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共用雲端硬碟\INT_TWN_SHP_內部-素材\WW\AI測試\#18節專案\18節套版工具\暖正MS\18節Tool_MS_V0.4\"/>
    </mc:Choice>
  </mc:AlternateContent>
  <xr:revisionPtr revIDLastSave="0" documentId="13_ncr:1_{51B424A5-BC68-4498-8A87-54A1514F1D00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MS section模版 v2" sheetId="1" r:id="rId1"/>
    <sheet name="公式邏輯說明" sheetId="2" r:id="rId2"/>
    <sheet name="版配&gt;&gt;" sheetId="3" r:id="rId3"/>
    <sheet name="MS section版配(Old)" sheetId="4" state="hidden" r:id="rId4"/>
    <sheet name="「(動工中勿使用!!)新版+舊版_Teaser」的副本" sheetId="5" state="hidden" r:id="rId5"/>
    <sheet name="L1_暖正版配" sheetId="6" r:id="rId6"/>
    <sheet name="GD資訊區&gt;&gt;" sheetId="7" r:id="rId7"/>
    <sheet name="L1_暖正GD做圖列表" sheetId="8" r:id="rId8"/>
    <sheet name="MS內部用&gt;&gt;" sheetId="9" r:id="rId9"/>
    <sheet name="(勿動)組件目錄表" sheetId="10" r:id="rId10"/>
    <sheet name="其他MS設定資訊&gt;&gt;" sheetId="11" state="hidden" r:id="rId11"/>
    <sheet name="優惠券_提醒我入稿表" sheetId="12" state="hidden" r:id="rId12"/>
    <sheet name="multi tabs_入稿表" sheetId="13" state="hidden" r:id="rId13"/>
    <sheet name="image&gt;5_提醒我入稿表" sheetId="14" state="hidden" r:id="rId14"/>
    <sheet name="(僅供MS內部用)錨點上傳格式" sheetId="15" r:id="rId15"/>
    <sheet name="(勿動)Component Label公版" sheetId="16" r:id="rId16"/>
    <sheet name="編輯紀錄" sheetId="17" state="hidden" r:id="rId17"/>
  </sheets>
  <definedNames>
    <definedName name="_xlnm._FilterDatabase" localSheetId="16" hidden="1">編輯紀錄!$A$1:$H$1</definedName>
    <definedName name="BackToTop">'(勿動)組件目錄表'!$C$140:$C$141</definedName>
    <definedName name="CollectionGroup">'(勿動)組件目錄表'!$C$121</definedName>
    <definedName name="CTAbutton">'(勿動)組件目錄表'!$C$126</definedName>
    <definedName name="FavouriteGame">'(勿動)組件目錄表'!$C$128</definedName>
    <definedName name="FloatingIcon">'(勿動)組件目錄表'!$C$134:$C$135</definedName>
    <definedName name="Gap">'(勿動)組件目錄表'!$C$130:$C$131</definedName>
    <definedName name="iframe">'(勿動)組件目錄表'!$C$127</definedName>
    <definedName name="KV">'(勿動)組件目錄表'!$C$20:$C$21</definedName>
    <definedName name="mission計時器">'(勿動)組件目錄表'!$C$19</definedName>
    <definedName name="ProductLabel">'(勿動)組件目錄表'!$C$16</definedName>
    <definedName name="VoucherGroup">'(勿動)組件目錄表'!$C$122:$C$123</definedName>
    <definedName name="三大保證">'(勿動)組件目錄表'!$C$23</definedName>
    <definedName name="文字">'(勿動)組件目錄表'!$C$28:$C$31</definedName>
    <definedName name="吸底圖">'(勿動)組件目錄表'!$C$136:$C$139</definedName>
    <definedName name="店">'(勿動)組件目錄表'!$C$61</definedName>
    <definedName name="版權商標">'(勿動)組件目錄表'!$C$132:$C$133</definedName>
    <definedName name="直播間">'(勿動)組件目錄表'!$C$129</definedName>
    <definedName name="品">'(勿動)組件目錄表'!$C$54:$C$60</definedName>
    <definedName name="活動倒數計時器">'(勿動)組件目錄表'!$C$22</definedName>
    <definedName name="限時特賣">'(勿動)組件目錄表'!$C$124:$C$125</definedName>
    <definedName name="頁面背景底色">'(勿動)組件目錄表'!$C$15</definedName>
    <definedName name="短影音">'(勿動)組件目錄表'!$C$142</definedName>
    <definedName name="圖_GD模版_MKT_Camp公版">'(勿動)組件目錄表'!$C$93:$C$106</definedName>
    <definedName name="圖_GD模版_MKT_LS公版">'(勿動)組件目錄表'!$C$114:$C$120</definedName>
    <definedName name="圖_GD模版_通用公版">'(勿動)組件目錄表'!$C$107:$C$113</definedName>
    <definedName name="圖_ImageCollection">'(勿動)組件目錄表'!$C$92</definedName>
    <definedName name="圖_MSBN">'(勿動)組件目錄表'!$C$62:$C$91</definedName>
    <definedName name="標題">'(勿動)組件目錄表'!$C$24:$C$27</definedName>
    <definedName name="頭巾">'(勿動)組件目錄表'!$C$17</definedName>
    <definedName name="優惠券_GD模版">'(勿動)組件目錄表'!$C$41:$C$53</definedName>
    <definedName name="優惠券_真券">'(勿動)組件目錄表'!$C$32:$C$40</definedName>
    <definedName name="錨點">'(勿動)組件目錄表'!$C$18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6" l="1"/>
  <c r="C2" i="16" s="1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C2" i="15" s="1" a="1"/>
  <c r="A3" i="14"/>
  <c r="A3" i="13"/>
  <c r="A3" i="12"/>
  <c r="V168" i="10"/>
  <c r="V167" i="10"/>
  <c r="V166" i="10"/>
  <c r="V165" i="10"/>
  <c r="V164" i="10"/>
  <c r="V163" i="10"/>
  <c r="V162" i="10"/>
  <c r="V161" i="10"/>
  <c r="V160" i="10"/>
  <c r="V159" i="10"/>
  <c r="V158" i="10"/>
  <c r="V157" i="10"/>
  <c r="V156" i="10"/>
  <c r="V155" i="10"/>
  <c r="V154" i="10"/>
  <c r="V153" i="10"/>
  <c r="V152" i="10"/>
  <c r="V151" i="10"/>
  <c r="V150" i="10"/>
  <c r="V149" i="10"/>
  <c r="V148" i="10"/>
  <c r="V147" i="10"/>
  <c r="V146" i="10"/>
  <c r="V145" i="10"/>
  <c r="V144" i="10"/>
  <c r="V143" i="10"/>
  <c r="V142" i="10"/>
  <c r="S142" i="10"/>
  <c r="D142" i="10"/>
  <c r="V141" i="10"/>
  <c r="S141" i="10"/>
  <c r="D141" i="10"/>
  <c r="V140" i="10"/>
  <c r="S140" i="10"/>
  <c r="D140" i="10"/>
  <c r="V139" i="10"/>
  <c r="S139" i="10"/>
  <c r="D139" i="10"/>
  <c r="V138" i="10"/>
  <c r="S138" i="10"/>
  <c r="D138" i="10"/>
  <c r="V137" i="10"/>
  <c r="S137" i="10"/>
  <c r="D137" i="10"/>
  <c r="V136" i="10"/>
  <c r="S136" i="10"/>
  <c r="D136" i="10"/>
  <c r="V135" i="10"/>
  <c r="S135" i="10"/>
  <c r="D135" i="10"/>
  <c r="V134" i="10"/>
  <c r="S134" i="10"/>
  <c r="D134" i="10"/>
  <c r="V133" i="10"/>
  <c r="S133" i="10"/>
  <c r="D133" i="10"/>
  <c r="V132" i="10"/>
  <c r="S132" i="10"/>
  <c r="D132" i="10"/>
  <c r="V131" i="10"/>
  <c r="S131" i="10"/>
  <c r="D131" i="10"/>
  <c r="V130" i="10"/>
  <c r="S130" i="10"/>
  <c r="D130" i="10"/>
  <c r="V129" i="10"/>
  <c r="S129" i="10"/>
  <c r="D129" i="10"/>
  <c r="V128" i="10"/>
  <c r="S128" i="10"/>
  <c r="D128" i="10"/>
  <c r="V127" i="10"/>
  <c r="S127" i="10"/>
  <c r="D127" i="10"/>
  <c r="V126" i="10"/>
  <c r="S126" i="10"/>
  <c r="D126" i="10"/>
  <c r="V125" i="10"/>
  <c r="S125" i="10"/>
  <c r="D125" i="10"/>
  <c r="V124" i="10"/>
  <c r="S124" i="10"/>
  <c r="D124" i="10"/>
  <c r="V123" i="10"/>
  <c r="S123" i="10"/>
  <c r="D123" i="10"/>
  <c r="V122" i="10"/>
  <c r="S122" i="10"/>
  <c r="D122" i="10"/>
  <c r="V121" i="10"/>
  <c r="S121" i="10"/>
  <c r="D121" i="10"/>
  <c r="V120" i="10"/>
  <c r="S120" i="10"/>
  <c r="D120" i="10"/>
  <c r="V119" i="10"/>
  <c r="S119" i="10"/>
  <c r="D119" i="10"/>
  <c r="V118" i="10"/>
  <c r="S118" i="10"/>
  <c r="D118" i="10"/>
  <c r="V117" i="10"/>
  <c r="S117" i="10"/>
  <c r="D117" i="10"/>
  <c r="V116" i="10"/>
  <c r="S116" i="10"/>
  <c r="D116" i="10"/>
  <c r="V115" i="10"/>
  <c r="S115" i="10"/>
  <c r="D115" i="10"/>
  <c r="V114" i="10"/>
  <c r="S114" i="10"/>
  <c r="D114" i="10"/>
  <c r="V113" i="10"/>
  <c r="S113" i="10"/>
  <c r="D113" i="10"/>
  <c r="V112" i="10"/>
  <c r="S112" i="10"/>
  <c r="D112" i="10"/>
  <c r="V111" i="10"/>
  <c r="S111" i="10"/>
  <c r="D111" i="10"/>
  <c r="V110" i="10"/>
  <c r="S110" i="10"/>
  <c r="D110" i="10"/>
  <c r="V109" i="10"/>
  <c r="S109" i="10"/>
  <c r="D109" i="10"/>
  <c r="V108" i="10"/>
  <c r="S108" i="10"/>
  <c r="D108" i="10"/>
  <c r="V107" i="10"/>
  <c r="S107" i="10"/>
  <c r="D107" i="10"/>
  <c r="V106" i="10"/>
  <c r="S106" i="10"/>
  <c r="D106" i="10"/>
  <c r="V105" i="10"/>
  <c r="S105" i="10"/>
  <c r="D105" i="10"/>
  <c r="V104" i="10"/>
  <c r="S104" i="10"/>
  <c r="D104" i="10"/>
  <c r="V103" i="10"/>
  <c r="S103" i="10"/>
  <c r="D103" i="10"/>
  <c r="V102" i="10"/>
  <c r="S102" i="10"/>
  <c r="D102" i="10"/>
  <c r="V101" i="10"/>
  <c r="S101" i="10"/>
  <c r="D101" i="10"/>
  <c r="V100" i="10"/>
  <c r="S100" i="10"/>
  <c r="D100" i="10"/>
  <c r="V99" i="10"/>
  <c r="S99" i="10"/>
  <c r="D99" i="10"/>
  <c r="V98" i="10"/>
  <c r="S98" i="10"/>
  <c r="D98" i="10"/>
  <c r="V97" i="10"/>
  <c r="S97" i="10"/>
  <c r="D97" i="10"/>
  <c r="V96" i="10"/>
  <c r="S96" i="10"/>
  <c r="D96" i="10"/>
  <c r="V95" i="10"/>
  <c r="S95" i="10"/>
  <c r="D95" i="10"/>
  <c r="V94" i="10"/>
  <c r="S94" i="10"/>
  <c r="D94" i="10"/>
  <c r="V93" i="10"/>
  <c r="S93" i="10"/>
  <c r="D93" i="10"/>
  <c r="V92" i="10"/>
  <c r="S92" i="10"/>
  <c r="D92" i="10"/>
  <c r="V91" i="10"/>
  <c r="S91" i="10"/>
  <c r="D91" i="10"/>
  <c r="V90" i="10"/>
  <c r="S90" i="10"/>
  <c r="D90" i="10"/>
  <c r="V89" i="10"/>
  <c r="S89" i="10"/>
  <c r="D89" i="10"/>
  <c r="V88" i="10"/>
  <c r="S88" i="10"/>
  <c r="D88" i="10"/>
  <c r="V87" i="10"/>
  <c r="S87" i="10"/>
  <c r="D87" i="10"/>
  <c r="V86" i="10"/>
  <c r="S86" i="10"/>
  <c r="D86" i="10"/>
  <c r="V85" i="10"/>
  <c r="S85" i="10"/>
  <c r="D85" i="10"/>
  <c r="V84" i="10"/>
  <c r="S84" i="10"/>
  <c r="D84" i="10"/>
  <c r="V83" i="10"/>
  <c r="S83" i="10"/>
  <c r="D83" i="10"/>
  <c r="V82" i="10"/>
  <c r="S82" i="10"/>
  <c r="D82" i="10"/>
  <c r="V81" i="10"/>
  <c r="S81" i="10"/>
  <c r="D81" i="10"/>
  <c r="V80" i="10"/>
  <c r="S80" i="10"/>
  <c r="D80" i="10"/>
  <c r="V79" i="10"/>
  <c r="S79" i="10"/>
  <c r="D79" i="10"/>
  <c r="V78" i="10"/>
  <c r="S78" i="10"/>
  <c r="D78" i="10"/>
  <c r="V77" i="10"/>
  <c r="S77" i="10"/>
  <c r="D77" i="10"/>
  <c r="V76" i="10"/>
  <c r="S76" i="10"/>
  <c r="D76" i="10"/>
  <c r="V75" i="10"/>
  <c r="S75" i="10"/>
  <c r="D75" i="10"/>
  <c r="V74" i="10"/>
  <c r="S74" i="10"/>
  <c r="D74" i="10"/>
  <c r="V73" i="10"/>
  <c r="S73" i="10"/>
  <c r="D73" i="10"/>
  <c r="V72" i="10"/>
  <c r="S72" i="10"/>
  <c r="D72" i="10"/>
  <c r="V71" i="10"/>
  <c r="S71" i="10"/>
  <c r="D71" i="10"/>
  <c r="V70" i="10"/>
  <c r="S70" i="10"/>
  <c r="D70" i="10"/>
  <c r="V69" i="10"/>
  <c r="S69" i="10"/>
  <c r="D69" i="10"/>
  <c r="V68" i="10"/>
  <c r="S68" i="10"/>
  <c r="D68" i="10"/>
  <c r="V67" i="10"/>
  <c r="S67" i="10"/>
  <c r="D67" i="10"/>
  <c r="V66" i="10"/>
  <c r="S66" i="10"/>
  <c r="D66" i="10"/>
  <c r="V65" i="10"/>
  <c r="S65" i="10"/>
  <c r="D65" i="10"/>
  <c r="V64" i="10"/>
  <c r="S64" i="10"/>
  <c r="D64" i="10"/>
  <c r="V63" i="10"/>
  <c r="S63" i="10"/>
  <c r="D63" i="10"/>
  <c r="V62" i="10"/>
  <c r="S62" i="10"/>
  <c r="D62" i="10"/>
  <c r="V61" i="10"/>
  <c r="S61" i="10"/>
  <c r="D61" i="10"/>
  <c r="V60" i="10"/>
  <c r="S60" i="10"/>
  <c r="D60" i="10"/>
  <c r="V59" i="10"/>
  <c r="S59" i="10"/>
  <c r="D59" i="10"/>
  <c r="V58" i="10"/>
  <c r="S58" i="10"/>
  <c r="D58" i="10"/>
  <c r="V57" i="10"/>
  <c r="S57" i="10"/>
  <c r="D57" i="10"/>
  <c r="V56" i="10"/>
  <c r="S56" i="10"/>
  <c r="D56" i="10"/>
  <c r="V55" i="10"/>
  <c r="S55" i="10"/>
  <c r="D55" i="10"/>
  <c r="V54" i="10"/>
  <c r="S54" i="10"/>
  <c r="D54" i="10"/>
  <c r="V53" i="10"/>
  <c r="S53" i="10"/>
  <c r="D53" i="10"/>
  <c r="V52" i="10"/>
  <c r="S52" i="10"/>
  <c r="D52" i="10"/>
  <c r="V51" i="10"/>
  <c r="S51" i="10"/>
  <c r="D51" i="10"/>
  <c r="V50" i="10"/>
  <c r="S50" i="10"/>
  <c r="D50" i="10"/>
  <c r="V49" i="10"/>
  <c r="S49" i="10"/>
  <c r="D49" i="10"/>
  <c r="V48" i="10"/>
  <c r="S48" i="10"/>
  <c r="D48" i="10"/>
  <c r="V47" i="10"/>
  <c r="S47" i="10"/>
  <c r="D47" i="10"/>
  <c r="V46" i="10"/>
  <c r="U46" i="10"/>
  <c r="S46" i="10"/>
  <c r="D46" i="10"/>
  <c r="W45" i="10"/>
  <c r="V45" i="10"/>
  <c r="U45" i="10"/>
  <c r="S45" i="10"/>
  <c r="D45" i="10"/>
  <c r="Y44" i="10"/>
  <c r="X44" i="10"/>
  <c r="W44" i="10"/>
  <c r="V44" i="10"/>
  <c r="U44" i="10"/>
  <c r="S44" i="10"/>
  <c r="D44" i="10"/>
  <c r="W43" i="10"/>
  <c r="V43" i="10"/>
  <c r="U43" i="10"/>
  <c r="S43" i="10"/>
  <c r="D43" i="10"/>
  <c r="W42" i="10"/>
  <c r="V42" i="10"/>
  <c r="U42" i="10"/>
  <c r="S42" i="10"/>
  <c r="D42" i="10"/>
  <c r="W41" i="10"/>
  <c r="V41" i="10"/>
  <c r="U41" i="10"/>
  <c r="S41" i="10"/>
  <c r="D41" i="10"/>
  <c r="V40" i="10"/>
  <c r="U40" i="10"/>
  <c r="S40" i="10"/>
  <c r="D40" i="10"/>
  <c r="V39" i="10"/>
  <c r="U39" i="10"/>
  <c r="S39" i="10"/>
  <c r="D39" i="10"/>
  <c r="V38" i="10"/>
  <c r="U38" i="10"/>
  <c r="S38" i="10"/>
  <c r="D38" i="10"/>
  <c r="V37" i="10"/>
  <c r="U37" i="10"/>
  <c r="S37" i="10"/>
  <c r="D37" i="10"/>
  <c r="W36" i="10"/>
  <c r="V36" i="10"/>
  <c r="U36" i="10"/>
  <c r="S36" i="10"/>
  <c r="D36" i="10"/>
  <c r="W35" i="10"/>
  <c r="V35" i="10"/>
  <c r="U35" i="10"/>
  <c r="S35" i="10"/>
  <c r="D35" i="10"/>
  <c r="V34" i="10"/>
  <c r="U34" i="10"/>
  <c r="S34" i="10"/>
  <c r="D34" i="10"/>
  <c r="AB33" i="10"/>
  <c r="AA33" i="10"/>
  <c r="Z33" i="10"/>
  <c r="Y33" i="10"/>
  <c r="X33" i="10"/>
  <c r="W33" i="10"/>
  <c r="V33" i="10"/>
  <c r="U33" i="10"/>
  <c r="S33" i="10"/>
  <c r="D33" i="10"/>
  <c r="AB32" i="10"/>
  <c r="AA32" i="10"/>
  <c r="Z32" i="10"/>
  <c r="Y32" i="10"/>
  <c r="X32" i="10"/>
  <c r="W32" i="10"/>
  <c r="V32" i="10"/>
  <c r="U32" i="10"/>
  <c r="S32" i="10"/>
  <c r="D32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S31" i="10"/>
  <c r="D31" i="10"/>
  <c r="V30" i="10"/>
  <c r="U30" i="10"/>
  <c r="S30" i="10"/>
  <c r="D30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S29" i="10"/>
  <c r="D29" i="10"/>
  <c r="V28" i="10"/>
  <c r="U28" i="10"/>
  <c r="S28" i="10"/>
  <c r="D28" i="10"/>
  <c r="AB27" i="10"/>
  <c r="AA27" i="10"/>
  <c r="Z27" i="10"/>
  <c r="Y27" i="10"/>
  <c r="X27" i="10"/>
  <c r="W27" i="10"/>
  <c r="V27" i="10"/>
  <c r="U27" i="10"/>
  <c r="S27" i="10"/>
  <c r="D27" i="10"/>
  <c r="BF193" i="6" s="1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S26" i="10"/>
  <c r="D26" i="10"/>
  <c r="AD25" i="10"/>
  <c r="AC25" i="10"/>
  <c r="AB25" i="10"/>
  <c r="AA25" i="10"/>
  <c r="Z25" i="10"/>
  <c r="Y25" i="10"/>
  <c r="X25" i="10"/>
  <c r="W25" i="10"/>
  <c r="V25" i="10"/>
  <c r="U25" i="10"/>
  <c r="S25" i="10"/>
  <c r="D25" i="10"/>
  <c r="Y24" i="10"/>
  <c r="X24" i="10"/>
  <c r="W24" i="10"/>
  <c r="V24" i="10"/>
  <c r="U24" i="10"/>
  <c r="S24" i="10"/>
  <c r="D24" i="10"/>
  <c r="Y23" i="10"/>
  <c r="X23" i="10"/>
  <c r="W23" i="10"/>
  <c r="V23" i="10"/>
  <c r="U23" i="10"/>
  <c r="S23" i="10"/>
  <c r="D23" i="10"/>
  <c r="V22" i="10"/>
  <c r="U22" i="10"/>
  <c r="S22" i="10"/>
  <c r="D22" i="10"/>
  <c r="V21" i="10"/>
  <c r="U21" i="10"/>
  <c r="S21" i="10"/>
  <c r="D21" i="10"/>
  <c r="W20" i="10"/>
  <c r="V20" i="10"/>
  <c r="U20" i="10"/>
  <c r="S20" i="10"/>
  <c r="D20" i="10"/>
  <c r="V19" i="10"/>
  <c r="U19" i="10"/>
  <c r="S19" i="10"/>
  <c r="D19" i="10"/>
  <c r="V18" i="10"/>
  <c r="U18" i="10"/>
  <c r="S18" i="10"/>
  <c r="D18" i="10"/>
  <c r="V17" i="10"/>
  <c r="U17" i="10"/>
  <c r="S17" i="10"/>
  <c r="D17" i="10"/>
  <c r="V16" i="10"/>
  <c r="U16" i="10"/>
  <c r="S16" i="10"/>
  <c r="D16" i="10"/>
  <c r="V15" i="10"/>
  <c r="U15" i="10"/>
  <c r="S15" i="10"/>
  <c r="D15" i="10"/>
  <c r="BF237" i="6" s="1"/>
  <c r="BD238" i="6"/>
  <c r="AN238" i="6"/>
  <c r="AM238" i="6"/>
  <c r="AG238" i="6"/>
  <c r="AF238" i="6"/>
  <c r="BD237" i="6"/>
  <c r="BE237" i="6" s="1"/>
  <c r="AN237" i="6"/>
  <c r="AM237" i="6"/>
  <c r="AG237" i="6"/>
  <c r="AF237" i="6"/>
  <c r="BD236" i="6"/>
  <c r="AN236" i="6"/>
  <c r="AM236" i="6"/>
  <c r="AG236" i="6"/>
  <c r="AF236" i="6"/>
  <c r="BD235" i="6"/>
  <c r="AN235" i="6"/>
  <c r="AM235" i="6"/>
  <c r="AF235" i="6"/>
  <c r="AG235" i="6" s="1"/>
  <c r="BE234" i="6"/>
  <c r="BD234" i="6"/>
  <c r="AN234" i="6"/>
  <c r="AM234" i="6"/>
  <c r="AG234" i="6"/>
  <c r="AF234" i="6"/>
  <c r="BD233" i="6"/>
  <c r="BE233" i="6" s="1"/>
  <c r="AN233" i="6"/>
  <c r="AM233" i="6"/>
  <c r="AG233" i="6"/>
  <c r="AF233" i="6"/>
  <c r="BD232" i="6"/>
  <c r="AN232" i="6"/>
  <c r="AM232" i="6"/>
  <c r="AF232" i="6"/>
  <c r="AG232" i="6" s="1"/>
  <c r="BD231" i="6"/>
  <c r="AN231" i="6"/>
  <c r="AM231" i="6"/>
  <c r="AI231" i="6"/>
  <c r="AG231" i="6"/>
  <c r="AF231" i="6"/>
  <c r="BD230" i="6"/>
  <c r="AN230" i="6"/>
  <c r="AM230" i="6"/>
  <c r="AF230" i="6"/>
  <c r="AG230" i="6" s="1"/>
  <c r="BD229" i="6"/>
  <c r="AN229" i="6"/>
  <c r="AM229" i="6"/>
  <c r="AI229" i="6"/>
  <c r="AF229" i="6"/>
  <c r="AG229" i="6" s="1"/>
  <c r="BD228" i="6"/>
  <c r="AN228" i="6"/>
  <c r="AM228" i="6"/>
  <c r="AG228" i="6"/>
  <c r="AF228" i="6"/>
  <c r="BD227" i="6"/>
  <c r="BF227" i="6" s="1"/>
  <c r="AN227" i="6"/>
  <c r="AM227" i="6"/>
  <c r="AF227" i="6"/>
  <c r="AG227" i="6" s="1"/>
  <c r="BD226" i="6"/>
  <c r="AN226" i="6"/>
  <c r="AM226" i="6"/>
  <c r="AG226" i="6"/>
  <c r="AF226" i="6"/>
  <c r="BD225" i="6"/>
  <c r="BF225" i="6" s="1"/>
  <c r="AN225" i="6"/>
  <c r="AM225" i="6"/>
  <c r="AI225" i="6"/>
  <c r="AG225" i="6" s="1"/>
  <c r="BF224" i="6"/>
  <c r="BD224" i="6"/>
  <c r="AN224" i="6"/>
  <c r="AM224" i="6"/>
  <c r="AI224" i="6"/>
  <c r="AG224" i="6"/>
  <c r="AF224" i="6"/>
  <c r="BE223" i="6"/>
  <c r="BD223" i="6"/>
  <c r="BF223" i="6" s="1"/>
  <c r="AN223" i="6"/>
  <c r="AM223" i="6"/>
  <c r="AI223" i="6"/>
  <c r="AG223" i="6"/>
  <c r="AF223" i="6"/>
  <c r="BD222" i="6"/>
  <c r="AN222" i="6"/>
  <c r="AM222" i="6"/>
  <c r="AG222" i="6"/>
  <c r="BE221" i="6"/>
  <c r="BD221" i="6"/>
  <c r="AN221" i="6"/>
  <c r="AM221" i="6"/>
  <c r="AF221" i="6"/>
  <c r="AG221" i="6" s="1"/>
  <c r="BE220" i="6"/>
  <c r="BD220" i="6"/>
  <c r="BF220" i="6" s="1"/>
  <c r="AN220" i="6"/>
  <c r="AM220" i="6"/>
  <c r="AI220" i="6"/>
  <c r="AG220" i="6"/>
  <c r="BE219" i="6"/>
  <c r="BD219" i="6"/>
  <c r="BF219" i="6" s="1"/>
  <c r="AN219" i="6"/>
  <c r="AM219" i="6"/>
  <c r="AG219" i="6"/>
  <c r="BD218" i="6"/>
  <c r="AN218" i="6"/>
  <c r="AM218" i="6"/>
  <c r="AI218" i="6"/>
  <c r="AG218" i="6"/>
  <c r="BD217" i="6"/>
  <c r="BF217" i="6" s="1"/>
  <c r="AN217" i="6"/>
  <c r="AM217" i="6"/>
  <c r="AI217" i="6"/>
  <c r="AG217" i="6"/>
  <c r="BD216" i="6"/>
  <c r="BF216" i="6" s="1"/>
  <c r="AN216" i="6"/>
  <c r="AM216" i="6"/>
  <c r="AF216" i="6"/>
  <c r="AG216" i="6" s="1"/>
  <c r="BD215" i="6"/>
  <c r="BF215" i="6" s="1"/>
  <c r="AN215" i="6"/>
  <c r="AM215" i="6"/>
  <c r="AI215" i="6"/>
  <c r="AF215" i="6"/>
  <c r="AG215" i="6" s="1"/>
  <c r="BD214" i="6"/>
  <c r="AN214" i="6"/>
  <c r="AM214" i="6"/>
  <c r="AG214" i="6"/>
  <c r="BF213" i="6"/>
  <c r="BD213" i="6"/>
  <c r="BE213" i="6" s="1"/>
  <c r="AN213" i="6"/>
  <c r="AM213" i="6"/>
  <c r="AI213" i="6"/>
  <c r="AG213" i="6"/>
  <c r="AF213" i="6"/>
  <c r="BF212" i="6"/>
  <c r="BD212" i="6"/>
  <c r="BE212" i="6" s="1"/>
  <c r="AN212" i="6"/>
  <c r="AM212" i="6"/>
  <c r="AI212" i="6"/>
  <c r="AF212" i="6"/>
  <c r="AG212" i="6" s="1"/>
  <c r="BD211" i="6"/>
  <c r="AN211" i="6"/>
  <c r="AM211" i="6"/>
  <c r="AI211" i="6"/>
  <c r="AG211" i="6"/>
  <c r="BD210" i="6"/>
  <c r="AN210" i="6"/>
  <c r="AM210" i="6"/>
  <c r="AI210" i="6"/>
  <c r="AF210" i="6"/>
  <c r="AG210" i="6" s="1"/>
  <c r="BD209" i="6"/>
  <c r="BF209" i="6" s="1"/>
  <c r="AN209" i="6"/>
  <c r="AM209" i="6"/>
  <c r="AI209" i="6"/>
  <c r="AF209" i="6"/>
  <c r="AG209" i="6" s="1"/>
  <c r="BE208" i="6"/>
  <c r="BD208" i="6"/>
  <c r="AN208" i="6"/>
  <c r="AM208" i="6"/>
  <c r="AI208" i="6"/>
  <c r="AG208" i="6"/>
  <c r="BE207" i="6"/>
  <c r="BD207" i="6"/>
  <c r="AN207" i="6"/>
  <c r="AM207" i="6"/>
  <c r="AI207" i="6"/>
  <c r="AG207" i="6"/>
  <c r="AF207" i="6"/>
  <c r="BE206" i="6"/>
  <c r="BD206" i="6"/>
  <c r="AN206" i="6"/>
  <c r="AM206" i="6"/>
  <c r="AI206" i="6"/>
  <c r="AG206" i="6"/>
  <c r="BD205" i="6"/>
  <c r="AN205" i="6"/>
  <c r="AM205" i="6"/>
  <c r="AI205" i="6"/>
  <c r="AG205" i="6"/>
  <c r="AF205" i="6"/>
  <c r="BE204" i="6"/>
  <c r="BD204" i="6"/>
  <c r="BF204" i="6" s="1"/>
  <c r="AN204" i="6"/>
  <c r="AM204" i="6"/>
  <c r="AI204" i="6"/>
  <c r="AG204" i="6"/>
  <c r="BE203" i="6"/>
  <c r="BD203" i="6"/>
  <c r="AN203" i="6"/>
  <c r="AM203" i="6"/>
  <c r="AI203" i="6"/>
  <c r="AG203" i="6"/>
  <c r="AF203" i="6"/>
  <c r="BE202" i="6"/>
  <c r="BD202" i="6"/>
  <c r="BF202" i="6" s="1"/>
  <c r="AN202" i="6"/>
  <c r="AM202" i="6"/>
  <c r="AI202" i="6"/>
  <c r="AG202" i="6" s="1"/>
  <c r="BF201" i="6"/>
  <c r="BD201" i="6"/>
  <c r="BE201" i="6" s="1"/>
  <c r="AN201" i="6"/>
  <c r="AM201" i="6"/>
  <c r="AI201" i="6"/>
  <c r="AG201" i="6" s="1"/>
  <c r="BF200" i="6"/>
  <c r="BD200" i="6"/>
  <c r="AN200" i="6"/>
  <c r="AM200" i="6"/>
  <c r="AI200" i="6"/>
  <c r="AG200" i="6" s="1"/>
  <c r="BD199" i="6"/>
  <c r="AN199" i="6"/>
  <c r="AM199" i="6"/>
  <c r="BF198" i="6"/>
  <c r="BD198" i="6"/>
  <c r="AN198" i="6"/>
  <c r="AM198" i="6"/>
  <c r="AI198" i="6"/>
  <c r="AF198" i="6"/>
  <c r="AG198" i="6" s="1"/>
  <c r="BF197" i="6"/>
  <c r="BD197" i="6"/>
  <c r="AN197" i="6"/>
  <c r="AM197" i="6"/>
  <c r="AI197" i="6"/>
  <c r="AG197" i="6"/>
  <c r="AF197" i="6"/>
  <c r="BF196" i="6"/>
  <c r="BD196" i="6"/>
  <c r="AN196" i="6"/>
  <c r="AM196" i="6"/>
  <c r="AG196" i="6"/>
  <c r="AF196" i="6"/>
  <c r="BD195" i="6"/>
  <c r="AN195" i="6"/>
  <c r="AM195" i="6"/>
  <c r="AG195" i="6"/>
  <c r="AF195" i="6"/>
  <c r="BD194" i="6"/>
  <c r="AN194" i="6"/>
  <c r="AM194" i="6"/>
  <c r="AF194" i="6"/>
  <c r="AG194" i="6" s="1"/>
  <c r="BE193" i="6"/>
  <c r="BD193" i="6"/>
  <c r="AN193" i="6"/>
  <c r="AM193" i="6"/>
  <c r="AF193" i="6"/>
  <c r="AG193" i="6" s="1"/>
  <c r="BF192" i="6"/>
  <c r="BD192" i="6"/>
  <c r="AN192" i="6"/>
  <c r="AM192" i="6"/>
  <c r="AG192" i="6"/>
  <c r="AF192" i="6"/>
  <c r="BD191" i="6"/>
  <c r="AN191" i="6"/>
  <c r="AM191" i="6"/>
  <c r="AF191" i="6"/>
  <c r="AG191" i="6" s="1"/>
  <c r="BD190" i="6"/>
  <c r="AN190" i="6"/>
  <c r="AM190" i="6"/>
  <c r="AI190" i="6"/>
  <c r="AG190" i="6"/>
  <c r="AF190" i="6"/>
  <c r="BD189" i="6"/>
  <c r="AN189" i="6"/>
  <c r="AM189" i="6"/>
  <c r="AI189" i="6"/>
  <c r="AG189" i="6"/>
  <c r="AF189" i="6"/>
  <c r="BE188" i="6"/>
  <c r="BD188" i="6"/>
  <c r="BF188" i="6" s="1"/>
  <c r="AN188" i="6"/>
  <c r="AM188" i="6"/>
  <c r="AG188" i="6"/>
  <c r="AF188" i="6"/>
  <c r="BF187" i="6"/>
  <c r="BD187" i="6"/>
  <c r="BE187" i="6" s="1"/>
  <c r="AN187" i="6"/>
  <c r="AM187" i="6"/>
  <c r="AG187" i="6"/>
  <c r="AF187" i="6"/>
  <c r="BD186" i="6"/>
  <c r="AN186" i="6"/>
  <c r="AM186" i="6"/>
  <c r="AI186" i="6"/>
  <c r="AG186" i="6"/>
  <c r="AF186" i="6"/>
  <c r="BE185" i="6"/>
  <c r="BD185" i="6"/>
  <c r="BF185" i="6" s="1"/>
  <c r="AN185" i="6"/>
  <c r="AM185" i="6"/>
  <c r="AI185" i="6"/>
  <c r="AF185" i="6"/>
  <c r="AG185" i="6" s="1"/>
  <c r="BF184" i="6"/>
  <c r="BE184" i="6"/>
  <c r="BD184" i="6"/>
  <c r="AN184" i="6"/>
  <c r="AM184" i="6"/>
  <c r="AI184" i="6"/>
  <c r="AF184" i="6"/>
  <c r="AG184" i="6" s="1"/>
  <c r="BE183" i="6"/>
  <c r="BD183" i="6"/>
  <c r="BF183" i="6" s="1"/>
  <c r="AN183" i="6"/>
  <c r="AM183" i="6"/>
  <c r="AI183" i="6"/>
  <c r="AF183" i="6"/>
  <c r="AG183" i="6" s="1"/>
  <c r="BF182" i="6"/>
  <c r="BD182" i="6"/>
  <c r="BE182" i="6" s="1"/>
  <c r="AN182" i="6"/>
  <c r="AM182" i="6"/>
  <c r="AI182" i="6"/>
  <c r="AG182" i="6"/>
  <c r="AF182" i="6"/>
  <c r="BD181" i="6"/>
  <c r="BF181" i="6" s="1"/>
  <c r="AN181" i="6"/>
  <c r="AM181" i="6"/>
  <c r="AI181" i="6"/>
  <c r="AG181" i="6"/>
  <c r="AF181" i="6"/>
  <c r="BE180" i="6"/>
  <c r="BD180" i="6"/>
  <c r="BF180" i="6" s="1"/>
  <c r="AN180" i="6"/>
  <c r="AM180" i="6"/>
  <c r="AI180" i="6"/>
  <c r="AF180" i="6"/>
  <c r="AG180" i="6" s="1"/>
  <c r="BF179" i="6"/>
  <c r="BD179" i="6"/>
  <c r="BE179" i="6" s="1"/>
  <c r="AN179" i="6"/>
  <c r="AM179" i="6"/>
  <c r="AI179" i="6"/>
  <c r="AG179" i="6"/>
  <c r="AF179" i="6"/>
  <c r="BF178" i="6"/>
  <c r="BD178" i="6"/>
  <c r="BE178" i="6" s="1"/>
  <c r="AN178" i="6"/>
  <c r="AM178" i="6"/>
  <c r="AI178" i="6"/>
  <c r="AF178" i="6"/>
  <c r="AG178" i="6" s="1"/>
  <c r="BD177" i="6"/>
  <c r="BF177" i="6" s="1"/>
  <c r="AN177" i="6"/>
  <c r="AM177" i="6"/>
  <c r="AI177" i="6"/>
  <c r="AG177" i="6"/>
  <c r="AF177" i="6"/>
  <c r="BD176" i="6"/>
  <c r="AN176" i="6"/>
  <c r="AM176" i="6"/>
  <c r="AI176" i="6"/>
  <c r="AG176" i="6"/>
  <c r="AF176" i="6"/>
  <c r="BF175" i="6"/>
  <c r="BE175" i="6"/>
  <c r="BD175" i="6"/>
  <c r="AN175" i="6"/>
  <c r="AM175" i="6"/>
  <c r="AF175" i="6"/>
  <c r="AG175" i="6" s="1"/>
  <c r="BD174" i="6"/>
  <c r="BF174" i="6" s="1"/>
  <c r="AN174" i="6"/>
  <c r="AM174" i="6"/>
  <c r="AI174" i="6"/>
  <c r="AG174" i="6"/>
  <c r="AF174" i="6"/>
  <c r="BD173" i="6"/>
  <c r="AN173" i="6"/>
  <c r="AM173" i="6"/>
  <c r="AI173" i="6"/>
  <c r="AF173" i="6"/>
  <c r="AG173" i="6" s="1"/>
  <c r="BD172" i="6"/>
  <c r="AN172" i="6"/>
  <c r="AM172" i="6"/>
  <c r="AI172" i="6"/>
  <c r="AF172" i="6"/>
  <c r="AG172" i="6" s="1"/>
  <c r="BD171" i="6"/>
  <c r="BE171" i="6" s="1"/>
  <c r="AN171" i="6"/>
  <c r="AM171" i="6"/>
  <c r="AI171" i="6"/>
  <c r="AG171" i="6"/>
  <c r="AF171" i="6"/>
  <c r="BF170" i="6"/>
  <c r="BD170" i="6"/>
  <c r="BE170" i="6" s="1"/>
  <c r="AN170" i="6"/>
  <c r="AM170" i="6"/>
  <c r="AI170" i="6"/>
  <c r="AF170" i="6"/>
  <c r="AG170" i="6" s="1"/>
  <c r="BF169" i="6"/>
  <c r="BD169" i="6"/>
  <c r="BE169" i="6" s="1"/>
  <c r="AN169" i="6"/>
  <c r="AM169" i="6"/>
  <c r="AI169" i="6"/>
  <c r="AG169" i="6"/>
  <c r="AF169" i="6"/>
  <c r="BD168" i="6"/>
  <c r="BF168" i="6" s="1"/>
  <c r="AN168" i="6"/>
  <c r="AM168" i="6"/>
  <c r="AI168" i="6"/>
  <c r="AG168" i="6"/>
  <c r="AF168" i="6"/>
  <c r="BF167" i="6"/>
  <c r="BE167" i="6"/>
  <c r="BD167" i="6"/>
  <c r="AN167" i="6"/>
  <c r="AM167" i="6"/>
  <c r="AF167" i="6"/>
  <c r="AG167" i="6" s="1"/>
  <c r="BE166" i="6"/>
  <c r="BD166" i="6"/>
  <c r="BF166" i="6" s="1"/>
  <c r="AN166" i="6"/>
  <c r="AM166" i="6"/>
  <c r="AF166" i="6"/>
  <c r="AG166" i="6" s="1"/>
  <c r="BF165" i="6"/>
  <c r="BE165" i="6"/>
  <c r="BD165" i="6"/>
  <c r="AN165" i="6"/>
  <c r="AM165" i="6"/>
  <c r="AI165" i="6"/>
  <c r="AF165" i="6"/>
  <c r="AG165" i="6" s="1"/>
  <c r="BF164" i="6"/>
  <c r="BE164" i="6"/>
  <c r="BD164" i="6"/>
  <c r="AN164" i="6"/>
  <c r="AM164" i="6"/>
  <c r="AI164" i="6"/>
  <c r="AF164" i="6"/>
  <c r="AG164" i="6" s="1"/>
  <c r="BF163" i="6"/>
  <c r="BE163" i="6"/>
  <c r="BD163" i="6"/>
  <c r="AN163" i="6"/>
  <c r="AM163" i="6"/>
  <c r="AI163" i="6"/>
  <c r="AF163" i="6"/>
  <c r="AG163" i="6" s="1"/>
  <c r="BF162" i="6"/>
  <c r="BE162" i="6"/>
  <c r="BD162" i="6"/>
  <c r="AN162" i="6"/>
  <c r="AM162" i="6"/>
  <c r="AI162" i="6"/>
  <c r="AF162" i="6"/>
  <c r="AG162" i="6" s="1"/>
  <c r="BF161" i="6"/>
  <c r="BE161" i="6"/>
  <c r="BD161" i="6"/>
  <c r="AN161" i="6"/>
  <c r="AM161" i="6"/>
  <c r="AI161" i="6"/>
  <c r="AF161" i="6"/>
  <c r="AG161" i="6" s="1"/>
  <c r="BE160" i="6"/>
  <c r="BD160" i="6"/>
  <c r="BF160" i="6" s="1"/>
  <c r="AN160" i="6"/>
  <c r="AM160" i="6"/>
  <c r="AI160" i="6"/>
  <c r="AG160" i="6"/>
  <c r="AF160" i="6"/>
  <c r="BF159" i="6"/>
  <c r="BD159" i="6"/>
  <c r="BE159" i="6" s="1"/>
  <c r="AN159" i="6"/>
  <c r="AM159" i="6"/>
  <c r="AF159" i="6"/>
  <c r="AG159" i="6" s="1"/>
  <c r="BF158" i="6"/>
  <c r="BD158" i="6"/>
  <c r="BE158" i="6" s="1"/>
  <c r="AN158" i="6"/>
  <c r="AM158" i="6"/>
  <c r="AG158" i="6"/>
  <c r="AF158" i="6"/>
  <c r="BF157" i="6"/>
  <c r="BE157" i="6"/>
  <c r="BD157" i="6"/>
  <c r="AN157" i="6"/>
  <c r="AM157" i="6"/>
  <c r="AI157" i="6"/>
  <c r="AG157" i="6" s="1"/>
  <c r="BF156" i="6"/>
  <c r="BE156" i="6"/>
  <c r="BD156" i="6"/>
  <c r="AN156" i="6"/>
  <c r="AM156" i="6"/>
  <c r="AI156" i="6"/>
  <c r="AF156" i="6"/>
  <c r="AG156" i="6" s="1"/>
  <c r="BF155" i="6"/>
  <c r="BE155" i="6"/>
  <c r="BD155" i="6"/>
  <c r="AN155" i="6"/>
  <c r="AM155" i="6"/>
  <c r="AI155" i="6"/>
  <c r="AF155" i="6"/>
  <c r="AG155" i="6" s="1"/>
  <c r="BE154" i="6"/>
  <c r="BD154" i="6"/>
  <c r="BF154" i="6" s="1"/>
  <c r="AN154" i="6"/>
  <c r="AM154" i="6"/>
  <c r="AI154" i="6"/>
  <c r="AG154" i="6"/>
  <c r="AF154" i="6"/>
  <c r="BF153" i="6"/>
  <c r="BD153" i="6"/>
  <c r="BE153" i="6" s="1"/>
  <c r="AN153" i="6"/>
  <c r="AM153" i="6"/>
  <c r="AI153" i="6"/>
  <c r="AG153" i="6"/>
  <c r="AF153" i="6"/>
  <c r="BF152" i="6"/>
  <c r="BD152" i="6"/>
  <c r="BE152" i="6" s="1"/>
  <c r="AN152" i="6"/>
  <c r="AM152" i="6"/>
  <c r="AI152" i="6"/>
  <c r="AF152" i="6"/>
  <c r="AG152" i="6" s="1"/>
  <c r="BE151" i="6"/>
  <c r="BD151" i="6"/>
  <c r="BF151" i="6" s="1"/>
  <c r="AN151" i="6"/>
  <c r="AM151" i="6"/>
  <c r="AI151" i="6"/>
  <c r="AG151" i="6" s="1"/>
  <c r="BF150" i="6"/>
  <c r="BE150" i="6"/>
  <c r="BD150" i="6"/>
  <c r="AN150" i="6"/>
  <c r="AM150" i="6"/>
  <c r="AI150" i="6"/>
  <c r="AF150" i="6"/>
  <c r="AG150" i="6" s="1"/>
  <c r="BD149" i="6"/>
  <c r="AN149" i="6"/>
  <c r="AM149" i="6"/>
  <c r="AI149" i="6"/>
  <c r="AG149" i="6"/>
  <c r="AF149" i="6"/>
  <c r="BF148" i="6"/>
  <c r="BD148" i="6"/>
  <c r="BE148" i="6" s="1"/>
  <c r="AN148" i="6"/>
  <c r="AM148" i="6"/>
  <c r="AI148" i="6"/>
  <c r="AG148" i="6"/>
  <c r="AF148" i="6"/>
  <c r="BF147" i="6"/>
  <c r="BE147" i="6"/>
  <c r="BD147" i="6"/>
  <c r="AN147" i="6"/>
  <c r="AM147" i="6"/>
  <c r="AI147" i="6"/>
  <c r="AG147" i="6" s="1"/>
  <c r="BE146" i="6"/>
  <c r="BD146" i="6"/>
  <c r="BF146" i="6" s="1"/>
  <c r="AN146" i="6"/>
  <c r="AM146" i="6"/>
  <c r="AF146" i="6"/>
  <c r="AG146" i="6" s="1"/>
  <c r="BE145" i="6"/>
  <c r="BD145" i="6"/>
  <c r="BF145" i="6" s="1"/>
  <c r="AN145" i="6"/>
  <c r="AM145" i="6"/>
  <c r="AG145" i="6"/>
  <c r="AF145" i="6"/>
  <c r="BE144" i="6"/>
  <c r="BD144" i="6"/>
  <c r="BF144" i="6" s="1"/>
  <c r="AN144" i="6"/>
  <c r="AM144" i="6"/>
  <c r="AG144" i="6"/>
  <c r="AF144" i="6"/>
  <c r="BD143" i="6"/>
  <c r="AN143" i="6"/>
  <c r="AM143" i="6"/>
  <c r="AI143" i="6"/>
  <c r="AF143" i="6"/>
  <c r="AG143" i="6" s="1"/>
  <c r="BF142" i="6"/>
  <c r="BE142" i="6"/>
  <c r="BD142" i="6"/>
  <c r="AN142" i="6"/>
  <c r="AM142" i="6"/>
  <c r="AI142" i="6"/>
  <c r="AF142" i="6"/>
  <c r="AG142" i="6" s="1"/>
  <c r="BD141" i="6"/>
  <c r="BF141" i="6" s="1"/>
  <c r="AN141" i="6"/>
  <c r="AM141" i="6"/>
  <c r="AI141" i="6"/>
  <c r="AG141" i="6"/>
  <c r="AF141" i="6"/>
  <c r="BD140" i="6"/>
  <c r="BE140" i="6" s="1"/>
  <c r="AN140" i="6"/>
  <c r="AM140" i="6"/>
  <c r="AF140" i="6"/>
  <c r="AG140" i="6" s="1"/>
  <c r="BD139" i="6"/>
  <c r="BE139" i="6" s="1"/>
  <c r="AN139" i="6"/>
  <c r="AM139" i="6"/>
  <c r="AG139" i="6"/>
  <c r="AF139" i="6"/>
  <c r="BD138" i="6"/>
  <c r="AN138" i="6"/>
  <c r="AM138" i="6"/>
  <c r="BF137" i="6"/>
  <c r="BE137" i="6"/>
  <c r="BD137" i="6"/>
  <c r="AN137" i="6"/>
  <c r="AM137" i="6"/>
  <c r="AF137" i="6"/>
  <c r="AG137" i="6" s="1"/>
  <c r="BD136" i="6"/>
  <c r="AN136" i="6"/>
  <c r="AM136" i="6"/>
  <c r="AI136" i="6"/>
  <c r="AG136" i="6"/>
  <c r="AF136" i="6"/>
  <c r="BF135" i="6"/>
  <c r="BE135" i="6"/>
  <c r="BD135" i="6"/>
  <c r="AN135" i="6"/>
  <c r="AM135" i="6"/>
  <c r="AI135" i="6"/>
  <c r="AG135" i="6"/>
  <c r="AF135" i="6"/>
  <c r="BD134" i="6"/>
  <c r="AN134" i="6"/>
  <c r="AM134" i="6"/>
  <c r="AG134" i="6"/>
  <c r="AF134" i="6"/>
  <c r="BF133" i="6"/>
  <c r="BD133" i="6"/>
  <c r="BE133" i="6" s="1"/>
  <c r="AN133" i="6"/>
  <c r="AM133" i="6"/>
  <c r="AI133" i="6"/>
  <c r="AG133" i="6"/>
  <c r="AF133" i="6"/>
  <c r="BF132" i="6"/>
  <c r="BD132" i="6"/>
  <c r="BE132" i="6" s="1"/>
  <c r="AN132" i="6"/>
  <c r="AM132" i="6"/>
  <c r="AI132" i="6"/>
  <c r="AG132" i="6" s="1"/>
  <c r="BF131" i="6"/>
  <c r="BE131" i="6"/>
  <c r="BD131" i="6"/>
  <c r="AN131" i="6"/>
  <c r="AM131" i="6"/>
  <c r="AI131" i="6"/>
  <c r="AF131" i="6"/>
  <c r="AG131" i="6" s="1"/>
  <c r="BF130" i="6"/>
  <c r="BE130" i="6"/>
  <c r="BD130" i="6"/>
  <c r="AN130" i="6"/>
  <c r="AI130" i="6"/>
  <c r="AF130" i="6"/>
  <c r="AG130" i="6" s="1"/>
  <c r="BF129" i="6"/>
  <c r="BE129" i="6"/>
  <c r="BD129" i="6"/>
  <c r="AN129" i="6"/>
  <c r="AM129" i="6"/>
  <c r="AI129" i="6"/>
  <c r="AF129" i="6"/>
  <c r="AG129" i="6" s="1"/>
  <c r="BD128" i="6"/>
  <c r="AN128" i="6"/>
  <c r="AM128" i="6"/>
  <c r="AI128" i="6"/>
  <c r="AG128" i="6" s="1"/>
  <c r="BF127" i="6"/>
  <c r="BD127" i="6"/>
  <c r="BE127" i="6" s="1"/>
  <c r="AN127" i="6"/>
  <c r="AM127" i="6"/>
  <c r="AI127" i="6"/>
  <c r="AF127" i="6"/>
  <c r="AG127" i="6" s="1"/>
  <c r="BD126" i="6"/>
  <c r="AN126" i="6"/>
  <c r="AM126" i="6"/>
  <c r="AF126" i="6"/>
  <c r="AG126" i="6" s="1"/>
  <c r="BD125" i="6"/>
  <c r="AN125" i="6"/>
  <c r="AM125" i="6"/>
  <c r="AG125" i="6"/>
  <c r="AF125" i="6"/>
  <c r="BD124" i="6"/>
  <c r="AN124" i="6"/>
  <c r="AM124" i="6"/>
  <c r="BE123" i="6"/>
  <c r="BD123" i="6"/>
  <c r="BF123" i="6" s="1"/>
  <c r="AN123" i="6"/>
  <c r="AM123" i="6"/>
  <c r="AI123" i="6"/>
  <c r="AG123" i="6"/>
  <c r="AF123" i="6"/>
  <c r="BE122" i="6"/>
  <c r="BD122" i="6"/>
  <c r="BF122" i="6" s="1"/>
  <c r="AN122" i="6"/>
  <c r="AM122" i="6"/>
  <c r="AF122" i="6"/>
  <c r="AG122" i="6" s="1"/>
  <c r="BF121" i="6"/>
  <c r="BD121" i="6"/>
  <c r="BE121" i="6" s="1"/>
  <c r="AN121" i="6"/>
  <c r="AM121" i="6"/>
  <c r="AF121" i="6"/>
  <c r="AG121" i="6" s="1"/>
  <c r="BF120" i="6"/>
  <c r="BD120" i="6"/>
  <c r="BE120" i="6" s="1"/>
  <c r="AN120" i="6"/>
  <c r="AM120" i="6"/>
  <c r="AF120" i="6"/>
  <c r="AG120" i="6" s="1"/>
  <c r="BD119" i="6"/>
  <c r="AN119" i="6"/>
  <c r="AM119" i="6"/>
  <c r="AI119" i="6"/>
  <c r="BF118" i="6"/>
  <c r="BE118" i="6"/>
  <c r="BD118" i="6"/>
  <c r="AN118" i="6"/>
  <c r="AM118" i="6"/>
  <c r="AI118" i="6"/>
  <c r="AG118" i="6"/>
  <c r="AF118" i="6"/>
  <c r="AI117" i="6"/>
  <c r="AI116" i="6"/>
  <c r="AI115" i="6"/>
  <c r="AI114" i="6"/>
  <c r="AI112" i="6"/>
  <c r="AI111" i="6"/>
  <c r="AI110" i="6"/>
  <c r="AI109" i="6"/>
  <c r="BD108" i="6"/>
  <c r="AN108" i="6"/>
  <c r="AM108" i="6"/>
  <c r="AI108" i="6"/>
  <c r="AG108" i="6"/>
  <c r="AF108" i="6"/>
  <c r="AI107" i="6"/>
  <c r="BD106" i="6"/>
  <c r="AN106" i="6"/>
  <c r="AM106" i="6"/>
  <c r="AI106" i="6"/>
  <c r="AF106" i="6"/>
  <c r="AG106" i="6" s="1"/>
  <c r="BD105" i="6"/>
  <c r="BF105" i="6" s="1"/>
  <c r="AN105" i="6"/>
  <c r="AM105" i="6"/>
  <c r="AI105" i="6"/>
  <c r="AF105" i="6"/>
  <c r="AG105" i="6" s="1"/>
  <c r="BD104" i="6"/>
  <c r="BE104" i="6" s="1"/>
  <c r="AN104" i="6"/>
  <c r="AM104" i="6"/>
  <c r="AI104" i="6"/>
  <c r="AG104" i="6"/>
  <c r="AF104" i="6"/>
  <c r="BD103" i="6"/>
  <c r="AN103" i="6"/>
  <c r="AM103" i="6"/>
  <c r="AF103" i="6"/>
  <c r="AG103" i="6" s="1"/>
  <c r="AI102" i="6"/>
  <c r="BD101" i="6"/>
  <c r="AN101" i="6"/>
  <c r="AM101" i="6"/>
  <c r="AI101" i="6"/>
  <c r="AG101" i="6"/>
  <c r="AF101" i="6"/>
  <c r="BF100" i="6"/>
  <c r="BE100" i="6"/>
  <c r="BD100" i="6"/>
  <c r="AN100" i="6"/>
  <c r="AM100" i="6"/>
  <c r="AI100" i="6"/>
  <c r="AF100" i="6"/>
  <c r="AG100" i="6" s="1"/>
  <c r="BD99" i="6"/>
  <c r="AN99" i="6"/>
  <c r="AM99" i="6"/>
  <c r="AI99" i="6"/>
  <c r="AG99" i="6"/>
  <c r="AF99" i="6"/>
  <c r="BD98" i="6"/>
  <c r="AN98" i="6"/>
  <c r="AM98" i="6"/>
  <c r="AI98" i="6"/>
  <c r="AF98" i="6"/>
  <c r="AG98" i="6" s="1"/>
  <c r="BF97" i="6"/>
  <c r="BD97" i="6"/>
  <c r="BE97" i="6" s="1"/>
  <c r="AN97" i="6"/>
  <c r="AM97" i="6"/>
  <c r="AI97" i="6"/>
  <c r="AG97" i="6"/>
  <c r="AF97" i="6"/>
  <c r="BF96" i="6"/>
  <c r="BD96" i="6"/>
  <c r="BE96" i="6" s="1"/>
  <c r="AN96" i="6"/>
  <c r="AM96" i="6"/>
  <c r="AI96" i="6"/>
  <c r="AG96" i="6" s="1"/>
  <c r="BF95" i="6"/>
  <c r="BD95" i="6"/>
  <c r="BE95" i="6" s="1"/>
  <c r="AN95" i="6"/>
  <c r="AM95" i="6"/>
  <c r="AI95" i="6"/>
  <c r="AG95" i="6"/>
  <c r="AF95" i="6"/>
  <c r="BD94" i="6"/>
  <c r="AN94" i="6"/>
  <c r="AM94" i="6"/>
  <c r="AI94" i="6"/>
  <c r="AG94" i="6"/>
  <c r="AF94" i="6"/>
  <c r="BF93" i="6"/>
  <c r="BE93" i="6"/>
  <c r="BD93" i="6"/>
  <c r="AN93" i="6"/>
  <c r="AM93" i="6"/>
  <c r="AI93" i="6"/>
  <c r="AF93" i="6"/>
  <c r="AG93" i="6" s="1"/>
  <c r="BF92" i="6"/>
  <c r="BE92" i="6"/>
  <c r="BD92" i="6"/>
  <c r="AN92" i="6"/>
  <c r="AM92" i="6"/>
  <c r="AI92" i="6"/>
  <c r="AG92" i="6"/>
  <c r="AF92" i="6"/>
  <c r="BD91" i="6"/>
  <c r="AN91" i="6"/>
  <c r="AM91" i="6"/>
  <c r="AI91" i="6"/>
  <c r="AF91" i="6"/>
  <c r="AG91" i="6" s="1"/>
  <c r="BD90" i="6"/>
  <c r="AN90" i="6"/>
  <c r="AM90" i="6"/>
  <c r="AI90" i="6"/>
  <c r="AF90" i="6"/>
  <c r="AG90" i="6" s="1"/>
  <c r="BF89" i="6"/>
  <c r="BD89" i="6"/>
  <c r="BE89" i="6" s="1"/>
  <c r="AN89" i="6"/>
  <c r="AM89" i="6"/>
  <c r="AI89" i="6"/>
  <c r="BF88" i="6"/>
  <c r="BE88" i="6"/>
  <c r="BD88" i="6"/>
  <c r="AN88" i="6"/>
  <c r="AM88" i="6"/>
  <c r="AI88" i="6"/>
  <c r="AG88" i="6"/>
  <c r="AF88" i="6"/>
  <c r="BD87" i="6"/>
  <c r="BE87" i="6" s="1"/>
  <c r="AN87" i="6"/>
  <c r="AM87" i="6"/>
  <c r="AI87" i="6"/>
  <c r="AG87" i="6"/>
  <c r="AF87" i="6"/>
  <c r="BF86" i="6"/>
  <c r="BE86" i="6"/>
  <c r="BD86" i="6"/>
  <c r="AN86" i="6"/>
  <c r="AM86" i="6"/>
  <c r="AG86" i="6"/>
  <c r="AF86" i="6"/>
  <c r="BF85" i="6"/>
  <c r="BE85" i="6"/>
  <c r="BD85" i="6"/>
  <c r="AN85" i="6"/>
  <c r="AM85" i="6"/>
  <c r="AI85" i="6"/>
  <c r="AF85" i="6"/>
  <c r="AG85" i="6" s="1"/>
  <c r="BF84" i="6"/>
  <c r="BD84" i="6"/>
  <c r="BE84" i="6" s="1"/>
  <c r="AN84" i="6"/>
  <c r="AM84" i="6"/>
  <c r="AI84" i="6"/>
  <c r="AG84" i="6"/>
  <c r="AF84" i="6"/>
  <c r="BE83" i="6"/>
  <c r="BD83" i="6"/>
  <c r="BF83" i="6" s="1"/>
  <c r="AN83" i="6"/>
  <c r="AM83" i="6"/>
  <c r="AI83" i="6"/>
  <c r="AF83" i="6"/>
  <c r="AG83" i="6" s="1"/>
  <c r="BF82" i="6"/>
  <c r="BD82" i="6"/>
  <c r="BE82" i="6" s="1"/>
  <c r="AN82" i="6"/>
  <c r="AM82" i="6"/>
  <c r="AI82" i="6"/>
  <c r="AG82" i="6"/>
  <c r="BF81" i="6"/>
  <c r="BE81" i="6"/>
  <c r="BD81" i="6"/>
  <c r="AN81" i="6"/>
  <c r="AM81" i="6"/>
  <c r="AI81" i="6"/>
  <c r="AG81" i="6"/>
  <c r="BE80" i="6"/>
  <c r="BD80" i="6"/>
  <c r="BF80" i="6" s="1"/>
  <c r="AN80" i="6"/>
  <c r="AM80" i="6"/>
  <c r="AI80" i="6"/>
  <c r="AG80" i="6"/>
  <c r="BD79" i="6"/>
  <c r="AN79" i="6"/>
  <c r="AM79" i="6"/>
  <c r="AI79" i="6"/>
  <c r="AG79" i="6"/>
  <c r="BD78" i="6"/>
  <c r="AN78" i="6"/>
  <c r="AM78" i="6"/>
  <c r="AI78" i="6"/>
  <c r="AG78" i="6"/>
  <c r="BF77" i="6"/>
  <c r="BE77" i="6"/>
  <c r="BD77" i="6"/>
  <c r="AN77" i="6"/>
  <c r="AM77" i="6"/>
  <c r="AI77" i="6"/>
  <c r="AG77" i="6"/>
  <c r="BF76" i="6"/>
  <c r="BD76" i="6"/>
  <c r="BE76" i="6" s="1"/>
  <c r="AN76" i="6"/>
  <c r="AM76" i="6"/>
  <c r="AI76" i="6"/>
  <c r="AG76" i="6"/>
  <c r="BF75" i="6"/>
  <c r="BD75" i="6"/>
  <c r="BE75" i="6" s="1"/>
  <c r="AN75" i="6"/>
  <c r="AM75" i="6"/>
  <c r="AI75" i="6"/>
  <c r="AG75" i="6"/>
  <c r="BF74" i="6"/>
  <c r="BD74" i="6"/>
  <c r="BE74" i="6" s="1"/>
  <c r="AN74" i="6"/>
  <c r="AM74" i="6"/>
  <c r="AI74" i="6"/>
  <c r="AG74" i="6"/>
  <c r="BD73" i="6"/>
  <c r="BF73" i="6" s="1"/>
  <c r="AN73" i="6"/>
  <c r="AM73" i="6"/>
  <c r="AI73" i="6"/>
  <c r="AG73" i="6" s="1"/>
  <c r="BE72" i="6"/>
  <c r="BD72" i="6"/>
  <c r="BF72" i="6" s="1"/>
  <c r="AN72" i="6"/>
  <c r="AM72" i="6"/>
  <c r="AI72" i="6"/>
  <c r="AF72" i="6"/>
  <c r="AG72" i="6" s="1"/>
  <c r="BE71" i="6"/>
  <c r="BD71" i="6"/>
  <c r="BF71" i="6" s="1"/>
  <c r="AN71" i="6"/>
  <c r="AM71" i="6"/>
  <c r="AF71" i="6"/>
  <c r="AG71" i="6" s="1"/>
  <c r="BE70" i="6"/>
  <c r="BD70" i="6"/>
  <c r="BF70" i="6" s="1"/>
  <c r="AN70" i="6"/>
  <c r="AM70" i="6"/>
  <c r="AI70" i="6"/>
  <c r="AG70" i="6"/>
  <c r="AF70" i="6"/>
  <c r="BF69" i="6"/>
  <c r="BE69" i="6"/>
  <c r="BD69" i="6"/>
  <c r="AN69" i="6"/>
  <c r="AM69" i="6"/>
  <c r="AI69" i="6"/>
  <c r="BF68" i="6"/>
  <c r="BE68" i="6"/>
  <c r="BD68" i="6"/>
  <c r="AN68" i="6"/>
  <c r="AM68" i="6"/>
  <c r="AI68" i="6"/>
  <c r="AF68" i="6"/>
  <c r="AG68" i="6" s="1"/>
  <c r="BF67" i="6"/>
  <c r="BE67" i="6"/>
  <c r="BD67" i="6"/>
  <c r="AN67" i="6"/>
  <c r="AM67" i="6"/>
  <c r="AI67" i="6"/>
  <c r="AF67" i="6"/>
  <c r="AG67" i="6" s="1"/>
  <c r="BD66" i="6"/>
  <c r="AN66" i="6"/>
  <c r="AM66" i="6"/>
  <c r="AI66" i="6"/>
  <c r="AG66" i="6"/>
  <c r="AF66" i="6"/>
  <c r="BF65" i="6"/>
  <c r="BD65" i="6"/>
  <c r="BE65" i="6" s="1"/>
  <c r="AN65" i="6"/>
  <c r="AM65" i="6"/>
  <c r="AI65" i="6"/>
  <c r="BD64" i="6"/>
  <c r="BF64" i="6" s="1"/>
  <c r="AN64" i="6"/>
  <c r="AM64" i="6"/>
  <c r="AI64" i="6"/>
  <c r="AF64" i="6"/>
  <c r="AG64" i="6" s="1"/>
  <c r="BD63" i="6"/>
  <c r="BF63" i="6" s="1"/>
  <c r="AN63" i="6"/>
  <c r="AM63" i="6"/>
  <c r="AI63" i="6"/>
  <c r="AF63" i="6"/>
  <c r="AG63" i="6" s="1"/>
  <c r="BE62" i="6"/>
  <c r="BD62" i="6"/>
  <c r="BF62" i="6" s="1"/>
  <c r="AN62" i="6"/>
  <c r="AM62" i="6"/>
  <c r="AI62" i="6"/>
  <c r="AF62" i="6"/>
  <c r="AG62" i="6" s="1"/>
  <c r="AI61" i="6"/>
  <c r="BF60" i="6"/>
  <c r="BE60" i="6"/>
  <c r="BD60" i="6"/>
  <c r="AN60" i="6"/>
  <c r="AM60" i="6"/>
  <c r="AI60" i="6"/>
  <c r="AG60" i="6" s="1"/>
  <c r="BE59" i="6"/>
  <c r="BD59" i="6"/>
  <c r="BF59" i="6" s="1"/>
  <c r="AN59" i="6"/>
  <c r="AM59" i="6"/>
  <c r="AI59" i="6"/>
  <c r="AF59" i="6"/>
  <c r="AG59" i="6" s="1"/>
  <c r="BE58" i="6"/>
  <c r="BD58" i="6"/>
  <c r="BF58" i="6" s="1"/>
  <c r="AN58" i="6"/>
  <c r="AM58" i="6"/>
  <c r="AI58" i="6"/>
  <c r="AG58" i="6"/>
  <c r="AF58" i="6"/>
  <c r="AI57" i="6"/>
  <c r="BD56" i="6"/>
  <c r="AN56" i="6"/>
  <c r="AM56" i="6"/>
  <c r="AI56" i="6"/>
  <c r="AG56" i="6"/>
  <c r="AI55" i="6"/>
  <c r="AI54" i="6"/>
  <c r="AI53" i="6"/>
  <c r="AI52" i="6"/>
  <c r="AI51" i="6"/>
  <c r="AI50" i="6"/>
  <c r="BF49" i="6"/>
  <c r="BE49" i="6"/>
  <c r="BD49" i="6"/>
  <c r="AN49" i="6"/>
  <c r="AM49" i="6"/>
  <c r="AI49" i="6"/>
  <c r="AG49" i="6"/>
  <c r="AF49" i="6"/>
  <c r="BF48" i="6"/>
  <c r="BE48" i="6"/>
  <c r="BD48" i="6"/>
  <c r="AN48" i="6"/>
  <c r="AM48" i="6"/>
  <c r="AI48" i="6"/>
  <c r="AF48" i="6"/>
  <c r="AG48" i="6" s="1"/>
  <c r="BF47" i="6"/>
  <c r="BE47" i="6"/>
  <c r="BD47" i="6"/>
  <c r="AN47" i="6"/>
  <c r="AM47" i="6"/>
  <c r="AI47" i="6"/>
  <c r="BD46" i="6"/>
  <c r="BF46" i="6" s="1"/>
  <c r="AN46" i="6"/>
  <c r="AM46" i="6"/>
  <c r="AI46" i="6"/>
  <c r="AF46" i="6"/>
  <c r="AG46" i="6" s="1"/>
  <c r="BD45" i="6"/>
  <c r="BF45" i="6" s="1"/>
  <c r="AN45" i="6"/>
  <c r="AM45" i="6"/>
  <c r="AI45" i="6"/>
  <c r="BF44" i="6"/>
  <c r="BD44" i="6"/>
  <c r="BE44" i="6" s="1"/>
  <c r="AN44" i="6"/>
  <c r="AM44" i="6"/>
  <c r="AI44" i="6"/>
  <c r="AG44" i="6"/>
  <c r="AF44" i="6"/>
  <c r="BD43" i="6"/>
  <c r="BF43" i="6" s="1"/>
  <c r="AN43" i="6"/>
  <c r="AM43" i="6"/>
  <c r="AI43" i="6"/>
  <c r="AF43" i="6"/>
  <c r="AG43" i="6" s="1"/>
  <c r="BD42" i="6"/>
  <c r="BF42" i="6" s="1"/>
  <c r="AN42" i="6"/>
  <c r="AM42" i="6"/>
  <c r="AI42" i="6"/>
  <c r="AF42" i="6"/>
  <c r="AG42" i="6" s="1"/>
  <c r="BF41" i="6"/>
  <c r="BE41" i="6"/>
  <c r="BD41" i="6"/>
  <c r="AN41" i="6"/>
  <c r="AM41" i="6"/>
  <c r="AI41" i="6"/>
  <c r="AF41" i="6"/>
  <c r="BF40" i="6"/>
  <c r="BE40" i="6"/>
  <c r="BD40" i="6"/>
  <c r="AN40" i="6"/>
  <c r="AM40" i="6"/>
  <c r="AI40" i="6"/>
  <c r="AG40" i="6"/>
  <c r="AF40" i="6"/>
  <c r="BE39" i="6"/>
  <c r="BD39" i="6"/>
  <c r="BF39" i="6" s="1"/>
  <c r="AN39" i="6"/>
  <c r="AM39" i="6"/>
  <c r="AI39" i="6"/>
  <c r="AG39" i="6"/>
  <c r="AF39" i="6"/>
  <c r="BF38" i="6"/>
  <c r="BE38" i="6"/>
  <c r="BD38" i="6"/>
  <c r="AN38" i="6"/>
  <c r="AM38" i="6"/>
  <c r="AI38" i="6"/>
  <c r="AF38" i="6"/>
  <c r="AG38" i="6" s="1"/>
  <c r="BD37" i="6"/>
  <c r="BF37" i="6" s="1"/>
  <c r="AN37" i="6"/>
  <c r="AM37" i="6"/>
  <c r="AI37" i="6"/>
  <c r="AF37" i="6"/>
  <c r="BD36" i="6"/>
  <c r="BF36" i="6" s="1"/>
  <c r="AN36" i="6"/>
  <c r="AM36" i="6"/>
  <c r="AI36" i="6"/>
  <c r="AF36" i="6"/>
  <c r="AG36" i="6" s="1"/>
  <c r="BF35" i="6"/>
  <c r="BE35" i="6"/>
  <c r="BD35" i="6"/>
  <c r="AN35" i="6"/>
  <c r="AM35" i="6"/>
  <c r="AI35" i="6"/>
  <c r="AF35" i="6"/>
  <c r="BF34" i="6"/>
  <c r="BE34" i="6"/>
  <c r="BD34" i="6"/>
  <c r="AN34" i="6"/>
  <c r="AM34" i="6"/>
  <c r="AI34" i="6"/>
  <c r="AF34" i="6"/>
  <c r="AG34" i="6" s="1"/>
  <c r="BD33" i="6"/>
  <c r="BF33" i="6" s="1"/>
  <c r="AN33" i="6"/>
  <c r="AM33" i="6"/>
  <c r="AI33" i="6"/>
  <c r="AF33" i="6"/>
  <c r="BD32" i="6"/>
  <c r="BF32" i="6" s="1"/>
  <c r="AN32" i="6"/>
  <c r="AM32" i="6"/>
  <c r="AI32" i="6"/>
  <c r="BD31" i="6"/>
  <c r="BF31" i="6" s="1"/>
  <c r="AN31" i="6"/>
  <c r="AM31" i="6"/>
  <c r="AI31" i="6"/>
  <c r="AG31" i="6"/>
  <c r="AF31" i="6"/>
  <c r="BF30" i="6"/>
  <c r="BE30" i="6"/>
  <c r="BD30" i="6"/>
  <c r="AN30" i="6"/>
  <c r="AM30" i="6"/>
  <c r="AI30" i="6"/>
  <c r="AG30" i="6"/>
  <c r="AF30" i="6"/>
  <c r="BD29" i="6"/>
  <c r="BF29" i="6" s="1"/>
  <c r="AN29" i="6"/>
  <c r="AM29" i="6"/>
  <c r="AI29" i="6"/>
  <c r="AF29" i="6"/>
  <c r="AG29" i="6" s="1"/>
  <c r="BD28" i="6"/>
  <c r="BF28" i="6" s="1"/>
  <c r="AN28" i="6"/>
  <c r="AM28" i="6"/>
  <c r="AI28" i="6"/>
  <c r="AF28" i="6"/>
  <c r="BD27" i="6"/>
  <c r="BF27" i="6" s="1"/>
  <c r="AN27" i="6"/>
  <c r="AM27" i="6"/>
  <c r="AI27" i="6"/>
  <c r="AF27" i="6"/>
  <c r="AG27" i="6" s="1"/>
  <c r="BF26" i="6"/>
  <c r="BE26" i="6"/>
  <c r="BD26" i="6"/>
  <c r="AN26" i="6"/>
  <c r="AM26" i="6"/>
  <c r="AI26" i="6"/>
  <c r="AG26" i="6"/>
  <c r="AF26" i="6"/>
  <c r="BE25" i="6"/>
  <c r="BD25" i="6"/>
  <c r="BF25" i="6" s="1"/>
  <c r="AN25" i="6"/>
  <c r="AM25" i="6"/>
  <c r="AI25" i="6"/>
  <c r="AF25" i="6"/>
  <c r="AG25" i="6" s="1"/>
  <c r="BF24" i="6"/>
  <c r="BE24" i="6"/>
  <c r="BD24" i="6"/>
  <c r="AN24" i="6"/>
  <c r="AM24" i="6"/>
  <c r="AI24" i="6"/>
  <c r="AF24" i="6"/>
  <c r="AG24" i="6" s="1"/>
  <c r="BF23" i="6"/>
  <c r="BE23" i="6"/>
  <c r="BD23" i="6"/>
  <c r="AN23" i="6"/>
  <c r="AM23" i="6"/>
  <c r="AI23" i="6"/>
  <c r="AG23" i="6"/>
  <c r="AF23" i="6"/>
  <c r="BF22" i="6"/>
  <c r="BE22" i="6"/>
  <c r="BD22" i="6"/>
  <c r="AN22" i="6"/>
  <c r="AM22" i="6"/>
  <c r="AI22" i="6"/>
  <c r="AF22" i="6"/>
  <c r="BF21" i="6"/>
  <c r="BE21" i="6"/>
  <c r="BD21" i="6"/>
  <c r="AN21" i="6"/>
  <c r="AM21" i="6"/>
  <c r="AI21" i="6"/>
  <c r="AG21" i="6"/>
  <c r="AF21" i="6"/>
  <c r="BE20" i="6"/>
  <c r="BD20" i="6"/>
  <c r="BF20" i="6" s="1"/>
  <c r="AN20" i="6"/>
  <c r="AM20" i="6"/>
  <c r="AI20" i="6"/>
  <c r="AF20" i="6"/>
  <c r="BE19" i="6"/>
  <c r="BD19" i="6"/>
  <c r="BF19" i="6" s="1"/>
  <c r="AN19" i="6"/>
  <c r="AM19" i="6"/>
  <c r="AI19" i="6"/>
  <c r="AG19" i="6"/>
  <c r="AF19" i="6"/>
  <c r="BD18" i="6"/>
  <c r="AN18" i="6"/>
  <c r="AM18" i="6"/>
  <c r="AI18" i="6"/>
  <c r="AF18" i="6"/>
  <c r="BD17" i="6"/>
  <c r="AN17" i="6"/>
  <c r="AM17" i="6"/>
  <c r="AI17" i="6"/>
  <c r="BF16" i="6"/>
  <c r="BE16" i="6"/>
  <c r="BD16" i="6"/>
  <c r="AN16" i="6"/>
  <c r="AM16" i="6"/>
  <c r="AI16" i="6"/>
  <c r="AG16" i="6"/>
  <c r="AF16" i="6"/>
  <c r="BF15" i="6"/>
  <c r="BE15" i="6"/>
  <c r="BD15" i="6"/>
  <c r="AN15" i="6"/>
  <c r="AM15" i="6"/>
  <c r="AI15" i="6"/>
  <c r="AG15" i="6"/>
  <c r="AF15" i="6"/>
  <c r="BD14" i="6"/>
  <c r="BF14" i="6" s="1"/>
  <c r="AN14" i="6"/>
  <c r="AM14" i="6"/>
  <c r="AI14" i="6"/>
  <c r="AG14" i="6"/>
  <c r="AF14" i="6"/>
  <c r="BF13" i="6"/>
  <c r="BE13" i="6"/>
  <c r="BD13" i="6"/>
  <c r="AN13" i="6"/>
  <c r="AM13" i="6"/>
  <c r="AI13" i="6"/>
  <c r="AF13" i="6"/>
  <c r="AG13" i="6" s="1"/>
  <c r="BE12" i="6"/>
  <c r="BD12" i="6"/>
  <c r="BF12" i="6" s="1"/>
  <c r="AN12" i="6"/>
  <c r="AM12" i="6"/>
  <c r="AI12" i="6"/>
  <c r="AG12" i="6"/>
  <c r="AF12" i="6"/>
  <c r="BF11" i="6"/>
  <c r="BE11" i="6"/>
  <c r="BD11" i="6"/>
  <c r="AN11" i="6"/>
  <c r="AM11" i="6"/>
  <c r="AI11" i="6"/>
  <c r="AF11" i="6"/>
  <c r="AG11" i="6" s="1"/>
  <c r="BF10" i="6"/>
  <c r="BD10" i="6"/>
  <c r="BE10" i="6" s="1"/>
  <c r="AN10" i="6"/>
  <c r="AM10" i="6"/>
  <c r="AI10" i="6"/>
  <c r="AG10" i="6"/>
  <c r="AF10" i="6"/>
  <c r="BD9" i="6"/>
  <c r="BF9" i="6" s="1"/>
  <c r="AN9" i="6"/>
  <c r="AM9" i="6"/>
  <c r="AI9" i="6"/>
  <c r="AF9" i="6"/>
  <c r="AG9" i="6" s="1"/>
  <c r="AN8" i="6"/>
  <c r="AM8" i="6"/>
  <c r="AN6" i="6"/>
  <c r="AM6" i="6"/>
  <c r="AI6" i="6"/>
  <c r="AG6" i="6"/>
  <c r="AN5" i="6"/>
  <c r="AM5" i="6"/>
  <c r="AI5" i="6"/>
  <c r="AG5" i="6"/>
  <c r="BF4" i="6"/>
  <c r="BE4" i="6"/>
  <c r="BD4" i="6"/>
  <c r="AN4" i="6"/>
  <c r="AM4" i="6"/>
  <c r="AI4" i="6"/>
  <c r="AG4" i="6"/>
  <c r="A1" i="6"/>
  <c r="BF451" i="5"/>
  <c r="BE451" i="5"/>
  <c r="BD451" i="5"/>
  <c r="AN451" i="5"/>
  <c r="AM451" i="5"/>
  <c r="AI451" i="5"/>
  <c r="AG451" i="5"/>
  <c r="AF451" i="5"/>
  <c r="BD450" i="5"/>
  <c r="AN450" i="5"/>
  <c r="AM450" i="5"/>
  <c r="AI450" i="5"/>
  <c r="AF450" i="5"/>
  <c r="AG450" i="5" s="1"/>
  <c r="BE449" i="5"/>
  <c r="BD449" i="5"/>
  <c r="BF449" i="5" s="1"/>
  <c r="AN449" i="5"/>
  <c r="AM449" i="5"/>
  <c r="AI449" i="5"/>
  <c r="AF449" i="5"/>
  <c r="AG449" i="5" s="1"/>
  <c r="BF448" i="5"/>
  <c r="BE448" i="5"/>
  <c r="BD448" i="5"/>
  <c r="AN448" i="5"/>
  <c r="AM448" i="5"/>
  <c r="AI448" i="5"/>
  <c r="AF448" i="5"/>
  <c r="AG448" i="5" s="1"/>
  <c r="BE447" i="5"/>
  <c r="BD447" i="5"/>
  <c r="BF447" i="5" s="1"/>
  <c r="AN447" i="5"/>
  <c r="AM447" i="5"/>
  <c r="AI447" i="5"/>
  <c r="AG447" i="5"/>
  <c r="AF447" i="5"/>
  <c r="BF446" i="5"/>
  <c r="BE446" i="5"/>
  <c r="BD446" i="5"/>
  <c r="AN446" i="5"/>
  <c r="AM446" i="5"/>
  <c r="AI446" i="5"/>
  <c r="AF446" i="5"/>
  <c r="AG446" i="5" s="1"/>
  <c r="BF445" i="5"/>
  <c r="BD445" i="5"/>
  <c r="BE445" i="5" s="1"/>
  <c r="AN445" i="5"/>
  <c r="AM445" i="5"/>
  <c r="AI445" i="5"/>
  <c r="AF445" i="5"/>
  <c r="AG445" i="5" s="1"/>
  <c r="BD444" i="5"/>
  <c r="AN444" i="5"/>
  <c r="AM444" i="5"/>
  <c r="AI444" i="5"/>
  <c r="AF444" i="5"/>
  <c r="AG444" i="5" s="1"/>
  <c r="BE443" i="5"/>
  <c r="BD443" i="5"/>
  <c r="BF443" i="5" s="1"/>
  <c r="AN443" i="5"/>
  <c r="AM443" i="5"/>
  <c r="AI443" i="5"/>
  <c r="AG443" i="5"/>
  <c r="AF443" i="5"/>
  <c r="BF442" i="5"/>
  <c r="BE442" i="5"/>
  <c r="BD442" i="5"/>
  <c r="AN442" i="5"/>
  <c r="AM442" i="5"/>
  <c r="AI442" i="5"/>
  <c r="AF442" i="5"/>
  <c r="AG442" i="5" s="1"/>
  <c r="BE441" i="5"/>
  <c r="BD441" i="5"/>
  <c r="BF441" i="5" s="1"/>
  <c r="AN441" i="5"/>
  <c r="AM441" i="5"/>
  <c r="AI441" i="5"/>
  <c r="AG441" i="5"/>
  <c r="AF441" i="5"/>
  <c r="BF440" i="5"/>
  <c r="BE440" i="5"/>
  <c r="BD440" i="5"/>
  <c r="AN440" i="5"/>
  <c r="AM440" i="5"/>
  <c r="AI440" i="5"/>
  <c r="AF440" i="5"/>
  <c r="AG440" i="5" s="1"/>
  <c r="BF439" i="5"/>
  <c r="BE439" i="5"/>
  <c r="BD439" i="5"/>
  <c r="AN439" i="5"/>
  <c r="AM439" i="5"/>
  <c r="AI439" i="5"/>
  <c r="AF439" i="5"/>
  <c r="AG439" i="5" s="1"/>
  <c r="BD438" i="5"/>
  <c r="AN438" i="5"/>
  <c r="AM438" i="5"/>
  <c r="AI438" i="5"/>
  <c r="AF438" i="5"/>
  <c r="AG438" i="5" s="1"/>
  <c r="BE437" i="5"/>
  <c r="BD437" i="5"/>
  <c r="BF437" i="5" s="1"/>
  <c r="AN437" i="5"/>
  <c r="AM437" i="5"/>
  <c r="AI437" i="5"/>
  <c r="AG437" i="5"/>
  <c r="AF437" i="5"/>
  <c r="BF436" i="5"/>
  <c r="BE436" i="5"/>
  <c r="BD436" i="5"/>
  <c r="AN436" i="5"/>
  <c r="AM436" i="5"/>
  <c r="AI436" i="5"/>
  <c r="AG436" i="5"/>
  <c r="AF436" i="5"/>
  <c r="BD435" i="5"/>
  <c r="BF435" i="5" s="1"/>
  <c r="AN435" i="5"/>
  <c r="AM435" i="5"/>
  <c r="AI435" i="5"/>
  <c r="AG435" i="5"/>
  <c r="AF435" i="5"/>
  <c r="BF434" i="5"/>
  <c r="BE434" i="5"/>
  <c r="BD434" i="5"/>
  <c r="AN434" i="5"/>
  <c r="AM434" i="5"/>
  <c r="AI434" i="5"/>
  <c r="AF434" i="5"/>
  <c r="AG434" i="5" s="1"/>
  <c r="BF433" i="5"/>
  <c r="BD433" i="5"/>
  <c r="BE433" i="5" s="1"/>
  <c r="AN433" i="5"/>
  <c r="AM433" i="5"/>
  <c r="AI433" i="5"/>
  <c r="AG433" i="5"/>
  <c r="AF433" i="5"/>
  <c r="BD432" i="5"/>
  <c r="AN432" i="5"/>
  <c r="AM432" i="5"/>
  <c r="AI432" i="5"/>
  <c r="AF432" i="5"/>
  <c r="AG432" i="5" s="1"/>
  <c r="BE431" i="5"/>
  <c r="BD431" i="5"/>
  <c r="BF431" i="5" s="1"/>
  <c r="AN431" i="5"/>
  <c r="AM431" i="5"/>
  <c r="AI431" i="5"/>
  <c r="AG431" i="5"/>
  <c r="AF431" i="5"/>
  <c r="BF430" i="5"/>
  <c r="BE430" i="5"/>
  <c r="BD430" i="5"/>
  <c r="AN430" i="5"/>
  <c r="AM430" i="5"/>
  <c r="AI430" i="5"/>
  <c r="AG430" i="5"/>
  <c r="AF430" i="5"/>
  <c r="BD429" i="5"/>
  <c r="AN429" i="5"/>
  <c r="AM429" i="5"/>
  <c r="AI429" i="5"/>
  <c r="AG429" i="5"/>
  <c r="AF429" i="5"/>
  <c r="BF428" i="5"/>
  <c r="BE428" i="5"/>
  <c r="BD428" i="5"/>
  <c r="AN428" i="5"/>
  <c r="AM428" i="5"/>
  <c r="AI428" i="5"/>
  <c r="AF428" i="5"/>
  <c r="AG428" i="5" s="1"/>
  <c r="BD427" i="5"/>
  <c r="BF427" i="5" s="1"/>
  <c r="AN427" i="5"/>
  <c r="AM427" i="5"/>
  <c r="AI427" i="5"/>
  <c r="AF427" i="5"/>
  <c r="AG427" i="5" s="1"/>
  <c r="BD426" i="5"/>
  <c r="AN426" i="5"/>
  <c r="AM426" i="5"/>
  <c r="AI426" i="5"/>
  <c r="AF426" i="5"/>
  <c r="AG426" i="5" s="1"/>
  <c r="BE425" i="5"/>
  <c r="BD425" i="5"/>
  <c r="BF425" i="5" s="1"/>
  <c r="AN425" i="5"/>
  <c r="AM425" i="5"/>
  <c r="AI425" i="5"/>
  <c r="AG425" i="5"/>
  <c r="AF425" i="5"/>
  <c r="BF424" i="5"/>
  <c r="BE424" i="5"/>
  <c r="BD424" i="5"/>
  <c r="AN424" i="5"/>
  <c r="AM424" i="5"/>
  <c r="AI424" i="5"/>
  <c r="AF424" i="5"/>
  <c r="AG424" i="5" s="1"/>
  <c r="BE423" i="5"/>
  <c r="BD423" i="5"/>
  <c r="BF423" i="5" s="1"/>
  <c r="AN423" i="5"/>
  <c r="AM423" i="5"/>
  <c r="AI423" i="5"/>
  <c r="AG423" i="5"/>
  <c r="AF423" i="5"/>
  <c r="BF422" i="5"/>
  <c r="BE422" i="5"/>
  <c r="BD422" i="5"/>
  <c r="AN422" i="5"/>
  <c r="AM422" i="5"/>
  <c r="AI422" i="5"/>
  <c r="AF422" i="5"/>
  <c r="AG422" i="5" s="1"/>
  <c r="BF421" i="5"/>
  <c r="BE421" i="5"/>
  <c r="BD421" i="5"/>
  <c r="AN421" i="5"/>
  <c r="AM421" i="5"/>
  <c r="AI421" i="5"/>
  <c r="AF421" i="5"/>
  <c r="AG421" i="5" s="1"/>
  <c r="BD420" i="5"/>
  <c r="AN420" i="5"/>
  <c r="AM420" i="5"/>
  <c r="AI420" i="5"/>
  <c r="AF420" i="5"/>
  <c r="AG420" i="5" s="1"/>
  <c r="BE419" i="5"/>
  <c r="BD419" i="5"/>
  <c r="BF419" i="5" s="1"/>
  <c r="AN419" i="5"/>
  <c r="AM419" i="5"/>
  <c r="AI419" i="5"/>
  <c r="AG419" i="5"/>
  <c r="AF419" i="5"/>
  <c r="BF418" i="5"/>
  <c r="BE418" i="5"/>
  <c r="BD418" i="5"/>
  <c r="AN418" i="5"/>
  <c r="AM418" i="5"/>
  <c r="AI418" i="5"/>
  <c r="AG418" i="5"/>
  <c r="AF418" i="5"/>
  <c r="BE417" i="5"/>
  <c r="BD417" i="5"/>
  <c r="BF417" i="5" s="1"/>
  <c r="AN417" i="5"/>
  <c r="AM417" i="5"/>
  <c r="AI417" i="5"/>
  <c r="AG417" i="5"/>
  <c r="AF417" i="5"/>
  <c r="BF416" i="5"/>
  <c r="BE416" i="5"/>
  <c r="BD416" i="5"/>
  <c r="AN416" i="5"/>
  <c r="AM416" i="5"/>
  <c r="AI416" i="5"/>
  <c r="AF416" i="5"/>
  <c r="AG416" i="5" s="1"/>
  <c r="BE415" i="5"/>
  <c r="BD415" i="5"/>
  <c r="BF415" i="5" s="1"/>
  <c r="AN415" i="5"/>
  <c r="AM415" i="5"/>
  <c r="AI415" i="5"/>
  <c r="AF415" i="5"/>
  <c r="AG415" i="5" s="1"/>
  <c r="BF414" i="5"/>
  <c r="BD414" i="5"/>
  <c r="BE414" i="5" s="1"/>
  <c r="AN414" i="5"/>
  <c r="AM414" i="5"/>
  <c r="AI414" i="5"/>
  <c r="AF414" i="5"/>
  <c r="AG414" i="5" s="1"/>
  <c r="BE413" i="5"/>
  <c r="BD413" i="5"/>
  <c r="BF413" i="5" s="1"/>
  <c r="AN413" i="5"/>
  <c r="AM413" i="5"/>
  <c r="AI413" i="5"/>
  <c r="AG413" i="5"/>
  <c r="AF413" i="5"/>
  <c r="BF412" i="5"/>
  <c r="BE412" i="5"/>
  <c r="BD412" i="5"/>
  <c r="AN412" i="5"/>
  <c r="AM412" i="5"/>
  <c r="AI412" i="5"/>
  <c r="AF412" i="5"/>
  <c r="AG412" i="5" s="1"/>
  <c r="BD411" i="5"/>
  <c r="BF411" i="5" s="1"/>
  <c r="AN411" i="5"/>
  <c r="AM411" i="5"/>
  <c r="AI411" i="5"/>
  <c r="AG411" i="5"/>
  <c r="AF411" i="5"/>
  <c r="BF410" i="5"/>
  <c r="BE410" i="5"/>
  <c r="BD410" i="5"/>
  <c r="AN410" i="5"/>
  <c r="AM410" i="5"/>
  <c r="AI410" i="5"/>
  <c r="AF410" i="5"/>
  <c r="AG410" i="5" s="1"/>
  <c r="BD409" i="5"/>
  <c r="BF409" i="5" s="1"/>
  <c r="AN409" i="5"/>
  <c r="AM409" i="5"/>
  <c r="AI409" i="5"/>
  <c r="AG409" i="5"/>
  <c r="AF409" i="5"/>
  <c r="BF408" i="5"/>
  <c r="BD408" i="5"/>
  <c r="BE408" i="5" s="1"/>
  <c r="AN408" i="5"/>
  <c r="AM408" i="5"/>
  <c r="AI408" i="5"/>
  <c r="AF408" i="5"/>
  <c r="AG408" i="5" s="1"/>
  <c r="BE407" i="5"/>
  <c r="BD407" i="5"/>
  <c r="BF407" i="5" s="1"/>
  <c r="AN407" i="5"/>
  <c r="AM407" i="5"/>
  <c r="AI407" i="5"/>
  <c r="AG407" i="5"/>
  <c r="AF407" i="5"/>
  <c r="BF406" i="5"/>
  <c r="BE406" i="5"/>
  <c r="BD406" i="5"/>
  <c r="AN406" i="5"/>
  <c r="AM406" i="5"/>
  <c r="AI406" i="5"/>
  <c r="AF406" i="5"/>
  <c r="AG406" i="5" s="1"/>
  <c r="BE405" i="5"/>
  <c r="BD405" i="5"/>
  <c r="BF405" i="5" s="1"/>
  <c r="AN405" i="5"/>
  <c r="AM405" i="5"/>
  <c r="AI405" i="5"/>
  <c r="AG405" i="5"/>
  <c r="AF405" i="5"/>
  <c r="BF404" i="5"/>
  <c r="BE404" i="5"/>
  <c r="BD404" i="5"/>
  <c r="AN404" i="5"/>
  <c r="AM404" i="5"/>
  <c r="AI404" i="5"/>
  <c r="AF404" i="5"/>
  <c r="AG404" i="5" s="1"/>
  <c r="BF403" i="5"/>
  <c r="BE403" i="5"/>
  <c r="BD403" i="5"/>
  <c r="AN403" i="5"/>
  <c r="AM403" i="5"/>
  <c r="AI403" i="5"/>
  <c r="AG403" i="5"/>
  <c r="AF403" i="5"/>
  <c r="BD402" i="5"/>
  <c r="BE402" i="5" s="1"/>
  <c r="AN402" i="5"/>
  <c r="AM402" i="5"/>
  <c r="AI402" i="5"/>
  <c r="AF402" i="5"/>
  <c r="AG402" i="5" s="1"/>
  <c r="BD401" i="5"/>
  <c r="BF401" i="5" s="1"/>
  <c r="AN401" i="5"/>
  <c r="AM401" i="5"/>
  <c r="AI401" i="5"/>
  <c r="AG401" i="5"/>
  <c r="AF401" i="5"/>
  <c r="BF400" i="5"/>
  <c r="BE400" i="5"/>
  <c r="BD400" i="5"/>
  <c r="AN400" i="5"/>
  <c r="AM400" i="5"/>
  <c r="AI400" i="5"/>
  <c r="AG400" i="5"/>
  <c r="AF400" i="5"/>
  <c r="BD399" i="5"/>
  <c r="BF399" i="5" s="1"/>
  <c r="AN399" i="5"/>
  <c r="AM399" i="5"/>
  <c r="AI399" i="5"/>
  <c r="AG399" i="5"/>
  <c r="AF399" i="5"/>
  <c r="BF398" i="5"/>
  <c r="BE398" i="5"/>
  <c r="BD398" i="5"/>
  <c r="AN398" i="5"/>
  <c r="AM398" i="5"/>
  <c r="AI398" i="5"/>
  <c r="AF398" i="5"/>
  <c r="AG398" i="5" s="1"/>
  <c r="BE397" i="5"/>
  <c r="BD397" i="5"/>
  <c r="BF397" i="5" s="1"/>
  <c r="AN397" i="5"/>
  <c r="AM397" i="5"/>
  <c r="AI397" i="5"/>
  <c r="AF397" i="5"/>
  <c r="AG397" i="5" s="1"/>
  <c r="BF396" i="5"/>
  <c r="BD396" i="5"/>
  <c r="BE396" i="5" s="1"/>
  <c r="AN396" i="5"/>
  <c r="AM396" i="5"/>
  <c r="AI396" i="5"/>
  <c r="AF396" i="5"/>
  <c r="AG396" i="5" s="1"/>
  <c r="BE395" i="5"/>
  <c r="BD395" i="5"/>
  <c r="BF395" i="5" s="1"/>
  <c r="AN395" i="5"/>
  <c r="AM395" i="5"/>
  <c r="AI395" i="5"/>
  <c r="AG395" i="5"/>
  <c r="AF395" i="5"/>
  <c r="BF394" i="5"/>
  <c r="BE394" i="5"/>
  <c r="BD394" i="5"/>
  <c r="AN394" i="5"/>
  <c r="AM394" i="5"/>
  <c r="AI394" i="5"/>
  <c r="AF394" i="5"/>
  <c r="AG394" i="5" s="1"/>
  <c r="BD393" i="5"/>
  <c r="BF393" i="5" s="1"/>
  <c r="AN393" i="5"/>
  <c r="AM393" i="5"/>
  <c r="AI393" i="5"/>
  <c r="AG393" i="5"/>
  <c r="AF393" i="5"/>
  <c r="BF392" i="5"/>
  <c r="BE392" i="5"/>
  <c r="BD392" i="5"/>
  <c r="AN392" i="5"/>
  <c r="AM392" i="5"/>
  <c r="AI392" i="5"/>
  <c r="AF392" i="5"/>
  <c r="AG392" i="5" s="1"/>
  <c r="BE391" i="5"/>
  <c r="BD391" i="5"/>
  <c r="BF391" i="5" s="1"/>
  <c r="AN391" i="5"/>
  <c r="AM391" i="5"/>
  <c r="AI391" i="5"/>
  <c r="AG391" i="5"/>
  <c r="AF391" i="5"/>
  <c r="BF390" i="5"/>
  <c r="BD390" i="5"/>
  <c r="BE390" i="5" s="1"/>
  <c r="AN390" i="5"/>
  <c r="AM390" i="5"/>
  <c r="AI390" i="5"/>
  <c r="AF390" i="5"/>
  <c r="AG390" i="5" s="1"/>
  <c r="BE389" i="5"/>
  <c r="BD389" i="5"/>
  <c r="BF389" i="5" s="1"/>
  <c r="AN389" i="5"/>
  <c r="AM389" i="5"/>
  <c r="AI389" i="5"/>
  <c r="AF389" i="5"/>
  <c r="AG389" i="5" s="1"/>
  <c r="BF388" i="5"/>
  <c r="BE388" i="5"/>
  <c r="BD388" i="5"/>
  <c r="AN388" i="5"/>
  <c r="AM388" i="5"/>
  <c r="AI388" i="5"/>
  <c r="AF388" i="5"/>
  <c r="AG388" i="5" s="1"/>
  <c r="BE387" i="5"/>
  <c r="BD387" i="5"/>
  <c r="BF387" i="5" s="1"/>
  <c r="AN387" i="5"/>
  <c r="AM387" i="5"/>
  <c r="AI387" i="5"/>
  <c r="AG387" i="5"/>
  <c r="AF387" i="5"/>
  <c r="BF386" i="5"/>
  <c r="BE386" i="5"/>
  <c r="BD386" i="5"/>
  <c r="AN386" i="5"/>
  <c r="AM386" i="5"/>
  <c r="AI386" i="5"/>
  <c r="AF386" i="5"/>
  <c r="AG386" i="5" s="1"/>
  <c r="BF385" i="5"/>
  <c r="BE385" i="5"/>
  <c r="BD385" i="5"/>
  <c r="AN385" i="5"/>
  <c r="AM385" i="5"/>
  <c r="AI385" i="5"/>
  <c r="AG385" i="5"/>
  <c r="AF385" i="5"/>
  <c r="BD384" i="5"/>
  <c r="BE384" i="5" s="1"/>
  <c r="AN384" i="5"/>
  <c r="AM384" i="5"/>
  <c r="AI384" i="5"/>
  <c r="AF384" i="5"/>
  <c r="AG384" i="5" s="1"/>
  <c r="BE383" i="5"/>
  <c r="BD383" i="5"/>
  <c r="BF383" i="5" s="1"/>
  <c r="AN383" i="5"/>
  <c r="AM383" i="5"/>
  <c r="AI383" i="5"/>
  <c r="AF383" i="5"/>
  <c r="AG383" i="5" s="1"/>
  <c r="BF382" i="5"/>
  <c r="BE382" i="5"/>
  <c r="BD382" i="5"/>
  <c r="AN382" i="5"/>
  <c r="AM382" i="5"/>
  <c r="AI382" i="5"/>
  <c r="AG382" i="5"/>
  <c r="AF382" i="5"/>
  <c r="BD381" i="5"/>
  <c r="BF381" i="5" s="1"/>
  <c r="AN381" i="5"/>
  <c r="AM381" i="5"/>
  <c r="AI381" i="5"/>
  <c r="AG381" i="5"/>
  <c r="AF381" i="5"/>
  <c r="BF380" i="5"/>
  <c r="BE380" i="5"/>
  <c r="BD380" i="5"/>
  <c r="AN380" i="5"/>
  <c r="AM380" i="5"/>
  <c r="AI380" i="5"/>
  <c r="AF380" i="5"/>
  <c r="AG380" i="5" s="1"/>
  <c r="BD379" i="5"/>
  <c r="BF379" i="5" s="1"/>
  <c r="AN379" i="5"/>
  <c r="AM379" i="5"/>
  <c r="AI379" i="5"/>
  <c r="AF379" i="5"/>
  <c r="AG379" i="5" s="1"/>
  <c r="BF378" i="5"/>
  <c r="BD378" i="5"/>
  <c r="BE378" i="5" s="1"/>
  <c r="AN378" i="5"/>
  <c r="AM378" i="5"/>
  <c r="AI378" i="5"/>
  <c r="AF378" i="5"/>
  <c r="AG378" i="5" s="1"/>
  <c r="BE377" i="5"/>
  <c r="BD377" i="5"/>
  <c r="BF377" i="5" s="1"/>
  <c r="AN377" i="5"/>
  <c r="AM377" i="5"/>
  <c r="AI377" i="5"/>
  <c r="AG377" i="5"/>
  <c r="AF377" i="5"/>
  <c r="BF376" i="5"/>
  <c r="BE376" i="5"/>
  <c r="BD376" i="5"/>
  <c r="AN376" i="5"/>
  <c r="AM376" i="5"/>
  <c r="AI376" i="5"/>
  <c r="AF376" i="5"/>
  <c r="AG376" i="5" s="1"/>
  <c r="BD375" i="5"/>
  <c r="BF375" i="5" s="1"/>
  <c r="AN375" i="5"/>
  <c r="AM375" i="5"/>
  <c r="AI375" i="5"/>
  <c r="AG375" i="5"/>
  <c r="AF375" i="5"/>
  <c r="BF374" i="5"/>
  <c r="BE374" i="5"/>
  <c r="BD374" i="5"/>
  <c r="AN374" i="5"/>
  <c r="AM374" i="5"/>
  <c r="AI374" i="5"/>
  <c r="AF374" i="5"/>
  <c r="AG374" i="5" s="1"/>
  <c r="BD373" i="5"/>
  <c r="BF373" i="5" s="1"/>
  <c r="AN373" i="5"/>
  <c r="AM373" i="5"/>
  <c r="AI373" i="5"/>
  <c r="AG373" i="5"/>
  <c r="AF373" i="5"/>
  <c r="BD372" i="5"/>
  <c r="BF372" i="5" s="1"/>
  <c r="AN372" i="5"/>
  <c r="AM372" i="5"/>
  <c r="AI372" i="5"/>
  <c r="AF372" i="5"/>
  <c r="AG372" i="5" s="1"/>
  <c r="BE371" i="5"/>
  <c r="BD371" i="5"/>
  <c r="BF371" i="5" s="1"/>
  <c r="AN371" i="5"/>
  <c r="AM371" i="5"/>
  <c r="AI371" i="5"/>
  <c r="AG371" i="5"/>
  <c r="AF371" i="5"/>
  <c r="BF370" i="5"/>
  <c r="BE370" i="5"/>
  <c r="BD370" i="5"/>
  <c r="AN370" i="5"/>
  <c r="AM370" i="5"/>
  <c r="AI370" i="5"/>
  <c r="AF370" i="5"/>
  <c r="AG370" i="5" s="1"/>
  <c r="BD369" i="5"/>
  <c r="AN369" i="5"/>
  <c r="AM369" i="5"/>
  <c r="AI369" i="5"/>
  <c r="AG369" i="5"/>
  <c r="AF369" i="5"/>
  <c r="BF368" i="5"/>
  <c r="BE368" i="5"/>
  <c r="BD368" i="5"/>
  <c r="AN368" i="5"/>
  <c r="AM368" i="5"/>
  <c r="AI368" i="5"/>
  <c r="AF368" i="5"/>
  <c r="AG368" i="5" s="1"/>
  <c r="BD367" i="5"/>
  <c r="BF367" i="5" s="1"/>
  <c r="AN367" i="5"/>
  <c r="AM367" i="5"/>
  <c r="AI367" i="5"/>
  <c r="AF367" i="5"/>
  <c r="AG367" i="5" s="1"/>
  <c r="BF366" i="5"/>
  <c r="BE366" i="5"/>
  <c r="BD366" i="5"/>
  <c r="AN366" i="5"/>
  <c r="AM366" i="5"/>
  <c r="AI366" i="5"/>
  <c r="AF366" i="5"/>
  <c r="AG366" i="5" s="1"/>
  <c r="BD365" i="5"/>
  <c r="AN365" i="5"/>
  <c r="AM365" i="5"/>
  <c r="AI365" i="5"/>
  <c r="AG365" i="5"/>
  <c r="AF365" i="5"/>
  <c r="BF364" i="5"/>
  <c r="BE364" i="5"/>
  <c r="BD364" i="5"/>
  <c r="AN364" i="5"/>
  <c r="AM364" i="5"/>
  <c r="AI364" i="5"/>
  <c r="AG364" i="5"/>
  <c r="AF364" i="5"/>
  <c r="BE363" i="5"/>
  <c r="BD363" i="5"/>
  <c r="BF363" i="5" s="1"/>
  <c r="AN363" i="5"/>
  <c r="AM363" i="5"/>
  <c r="AI363" i="5"/>
  <c r="AG363" i="5"/>
  <c r="AF363" i="5"/>
  <c r="BF362" i="5"/>
  <c r="BE362" i="5"/>
  <c r="BD362" i="5"/>
  <c r="AN362" i="5"/>
  <c r="AM362" i="5"/>
  <c r="AI362" i="5"/>
  <c r="AF362" i="5"/>
  <c r="AG362" i="5" s="1"/>
  <c r="BE361" i="5"/>
  <c r="BD361" i="5"/>
  <c r="BF361" i="5" s="1"/>
  <c r="AN361" i="5"/>
  <c r="AM361" i="5"/>
  <c r="AI361" i="5"/>
  <c r="AG361" i="5"/>
  <c r="AF361" i="5"/>
  <c r="BD360" i="5"/>
  <c r="BF360" i="5" s="1"/>
  <c r="AN360" i="5"/>
  <c r="AM360" i="5"/>
  <c r="AI360" i="5"/>
  <c r="AF360" i="5"/>
  <c r="AG360" i="5" s="1"/>
  <c r="BE359" i="5"/>
  <c r="BD359" i="5"/>
  <c r="BF359" i="5" s="1"/>
  <c r="AN359" i="5"/>
  <c r="AM359" i="5"/>
  <c r="AI359" i="5"/>
  <c r="AG359" i="5"/>
  <c r="AF359" i="5"/>
  <c r="BF358" i="5"/>
  <c r="BE358" i="5"/>
  <c r="BD358" i="5"/>
  <c r="AN358" i="5"/>
  <c r="AM358" i="5"/>
  <c r="AI358" i="5"/>
  <c r="AF358" i="5"/>
  <c r="AG358" i="5" s="1"/>
  <c r="BD357" i="5"/>
  <c r="AN357" i="5"/>
  <c r="AM357" i="5"/>
  <c r="AI357" i="5"/>
  <c r="AG357" i="5"/>
  <c r="AF357" i="5"/>
  <c r="BF356" i="5"/>
  <c r="BE356" i="5"/>
  <c r="BD356" i="5"/>
  <c r="AN356" i="5"/>
  <c r="AM356" i="5"/>
  <c r="AI356" i="5"/>
  <c r="AF356" i="5"/>
  <c r="AG356" i="5" s="1"/>
  <c r="BD355" i="5"/>
  <c r="BF355" i="5" s="1"/>
  <c r="AN355" i="5"/>
  <c r="AM355" i="5"/>
  <c r="AI355" i="5"/>
  <c r="AF355" i="5"/>
  <c r="AG355" i="5" s="1"/>
  <c r="BD354" i="5"/>
  <c r="BF354" i="5" s="1"/>
  <c r="AN354" i="5"/>
  <c r="AM354" i="5"/>
  <c r="AI354" i="5"/>
  <c r="AF354" i="5"/>
  <c r="AG354" i="5" s="1"/>
  <c r="BD353" i="5"/>
  <c r="AN353" i="5"/>
  <c r="AM353" i="5"/>
  <c r="AI353" i="5"/>
  <c r="AG353" i="5"/>
  <c r="AF353" i="5"/>
  <c r="BF352" i="5"/>
  <c r="BE352" i="5"/>
  <c r="BD352" i="5"/>
  <c r="AN352" i="5"/>
  <c r="AM352" i="5"/>
  <c r="AI352" i="5"/>
  <c r="AG352" i="5"/>
  <c r="AF352" i="5"/>
  <c r="BE351" i="5"/>
  <c r="BD351" i="5"/>
  <c r="BF351" i="5" s="1"/>
  <c r="AN351" i="5"/>
  <c r="AM351" i="5"/>
  <c r="AI351" i="5"/>
  <c r="AG351" i="5"/>
  <c r="AF351" i="5"/>
  <c r="BF350" i="5"/>
  <c r="BE350" i="5"/>
  <c r="BD350" i="5"/>
  <c r="AN350" i="5"/>
  <c r="AM350" i="5"/>
  <c r="AI350" i="5"/>
  <c r="AF350" i="5"/>
  <c r="AG350" i="5" s="1"/>
  <c r="BE349" i="5"/>
  <c r="BD349" i="5"/>
  <c r="BF349" i="5" s="1"/>
  <c r="AN349" i="5"/>
  <c r="AM349" i="5"/>
  <c r="AI349" i="5"/>
  <c r="AG349" i="5"/>
  <c r="AF349" i="5"/>
  <c r="BF348" i="5"/>
  <c r="BE348" i="5"/>
  <c r="BD348" i="5"/>
  <c r="AN348" i="5"/>
  <c r="AM348" i="5"/>
  <c r="AI348" i="5"/>
  <c r="AF348" i="5"/>
  <c r="AG348" i="5" s="1"/>
  <c r="BE347" i="5"/>
  <c r="BD347" i="5"/>
  <c r="BF347" i="5" s="1"/>
  <c r="AN347" i="5"/>
  <c r="AM347" i="5"/>
  <c r="AI347" i="5"/>
  <c r="AG347" i="5"/>
  <c r="AF347" i="5"/>
  <c r="BF346" i="5"/>
  <c r="BE346" i="5"/>
  <c r="BD346" i="5"/>
  <c r="AN346" i="5"/>
  <c r="AM346" i="5"/>
  <c r="AI346" i="5"/>
  <c r="AF346" i="5"/>
  <c r="AG346" i="5" s="1"/>
  <c r="BD345" i="5"/>
  <c r="AN345" i="5"/>
  <c r="AM345" i="5"/>
  <c r="AI345" i="5"/>
  <c r="AG345" i="5"/>
  <c r="AF345" i="5"/>
  <c r="BF344" i="5"/>
  <c r="BE344" i="5"/>
  <c r="BD344" i="5"/>
  <c r="AN344" i="5"/>
  <c r="AM344" i="5"/>
  <c r="AI344" i="5"/>
  <c r="AF344" i="5"/>
  <c r="AG344" i="5" s="1"/>
  <c r="BD343" i="5"/>
  <c r="BF343" i="5" s="1"/>
  <c r="AN343" i="5"/>
  <c r="AM343" i="5"/>
  <c r="AI343" i="5"/>
  <c r="AF343" i="5"/>
  <c r="AG343" i="5" s="1"/>
  <c r="BD342" i="5"/>
  <c r="BF342" i="5" s="1"/>
  <c r="AN342" i="5"/>
  <c r="AM342" i="5"/>
  <c r="AI342" i="5"/>
  <c r="AF342" i="5"/>
  <c r="AG342" i="5" s="1"/>
  <c r="BD341" i="5"/>
  <c r="AN341" i="5"/>
  <c r="AM341" i="5"/>
  <c r="AI341" i="5"/>
  <c r="AG341" i="5"/>
  <c r="AF341" i="5"/>
  <c r="BF340" i="5"/>
  <c r="BE340" i="5"/>
  <c r="BD340" i="5"/>
  <c r="AN340" i="5"/>
  <c r="AM340" i="5"/>
  <c r="AI340" i="5"/>
  <c r="AF340" i="5"/>
  <c r="AG340" i="5" s="1"/>
  <c r="BE339" i="5"/>
  <c r="BD339" i="5"/>
  <c r="BF339" i="5" s="1"/>
  <c r="AN339" i="5"/>
  <c r="AM339" i="5"/>
  <c r="AI339" i="5"/>
  <c r="AG339" i="5"/>
  <c r="AF339" i="5"/>
  <c r="BF338" i="5"/>
  <c r="BE338" i="5"/>
  <c r="BD338" i="5"/>
  <c r="AN338" i="5"/>
  <c r="AM338" i="5"/>
  <c r="AI338" i="5"/>
  <c r="AF338" i="5"/>
  <c r="AG338" i="5" s="1"/>
  <c r="BD337" i="5"/>
  <c r="BF337" i="5" s="1"/>
  <c r="AN337" i="5"/>
  <c r="AM337" i="5"/>
  <c r="AI337" i="5"/>
  <c r="AG337" i="5"/>
  <c r="AF337" i="5"/>
  <c r="BD336" i="5"/>
  <c r="BF336" i="5" s="1"/>
  <c r="AN336" i="5"/>
  <c r="AM336" i="5"/>
  <c r="AI336" i="5"/>
  <c r="AF336" i="5"/>
  <c r="AG336" i="5" s="1"/>
  <c r="BE335" i="5"/>
  <c r="BD335" i="5"/>
  <c r="BF335" i="5" s="1"/>
  <c r="AN335" i="5"/>
  <c r="AM335" i="5"/>
  <c r="AI335" i="5"/>
  <c r="AG335" i="5"/>
  <c r="AF335" i="5"/>
  <c r="BF334" i="5"/>
  <c r="BE334" i="5"/>
  <c r="BD334" i="5"/>
  <c r="AN334" i="5"/>
  <c r="AM334" i="5"/>
  <c r="AI334" i="5"/>
  <c r="AG334" i="5"/>
  <c r="AF334" i="5"/>
  <c r="BD333" i="5"/>
  <c r="AN333" i="5"/>
  <c r="AM333" i="5"/>
  <c r="AI333" i="5"/>
  <c r="AG333" i="5"/>
  <c r="AF333" i="5"/>
  <c r="BF332" i="5"/>
  <c r="BE332" i="5"/>
  <c r="BD332" i="5"/>
  <c r="AN332" i="5"/>
  <c r="AM332" i="5"/>
  <c r="AI332" i="5"/>
  <c r="AF332" i="5"/>
  <c r="AG332" i="5" s="1"/>
  <c r="BD331" i="5"/>
  <c r="AN331" i="5"/>
  <c r="AM331" i="5"/>
  <c r="AI331" i="5"/>
  <c r="AF331" i="5"/>
  <c r="AG331" i="5" s="1"/>
  <c r="BD330" i="5"/>
  <c r="BF330" i="5" s="1"/>
  <c r="AN330" i="5"/>
  <c r="AM330" i="5"/>
  <c r="AI330" i="5"/>
  <c r="AF330" i="5"/>
  <c r="AG330" i="5" s="1"/>
  <c r="BD329" i="5"/>
  <c r="AN329" i="5"/>
  <c r="AM329" i="5"/>
  <c r="AI329" i="5"/>
  <c r="AG329" i="5"/>
  <c r="AF329" i="5"/>
  <c r="BF328" i="5"/>
  <c r="BE328" i="5"/>
  <c r="BD328" i="5"/>
  <c r="AN328" i="5"/>
  <c r="AM328" i="5"/>
  <c r="AI328" i="5"/>
  <c r="AF328" i="5"/>
  <c r="AG328" i="5" s="1"/>
  <c r="BE327" i="5"/>
  <c r="BD327" i="5"/>
  <c r="BF327" i="5" s="1"/>
  <c r="AN327" i="5"/>
  <c r="AM327" i="5"/>
  <c r="AI327" i="5"/>
  <c r="AG327" i="5"/>
  <c r="AF327" i="5"/>
  <c r="BF326" i="5"/>
  <c r="BE326" i="5"/>
  <c r="BD326" i="5"/>
  <c r="AN326" i="5"/>
  <c r="AM326" i="5"/>
  <c r="AI326" i="5"/>
  <c r="AF326" i="5"/>
  <c r="AG326" i="5" s="1"/>
  <c r="BE325" i="5"/>
  <c r="BD325" i="5"/>
  <c r="BF325" i="5" s="1"/>
  <c r="AN325" i="5"/>
  <c r="AM325" i="5"/>
  <c r="AI325" i="5"/>
  <c r="AG325" i="5"/>
  <c r="AF325" i="5"/>
  <c r="BF324" i="5"/>
  <c r="BE324" i="5"/>
  <c r="BD324" i="5"/>
  <c r="AN324" i="5"/>
  <c r="AM324" i="5"/>
  <c r="AI324" i="5"/>
  <c r="AF324" i="5"/>
  <c r="AG324" i="5" s="1"/>
  <c r="BE323" i="5"/>
  <c r="BD323" i="5"/>
  <c r="BF323" i="5" s="1"/>
  <c r="AN323" i="5"/>
  <c r="AM323" i="5"/>
  <c r="AI323" i="5"/>
  <c r="AG323" i="5"/>
  <c r="AF323" i="5"/>
  <c r="BF322" i="5"/>
  <c r="BE322" i="5"/>
  <c r="BD322" i="5"/>
  <c r="AN322" i="5"/>
  <c r="AM322" i="5"/>
  <c r="AI322" i="5"/>
  <c r="AG322" i="5"/>
  <c r="AF322" i="5"/>
  <c r="BD321" i="5"/>
  <c r="AN321" i="5"/>
  <c r="AM321" i="5"/>
  <c r="AI321" i="5"/>
  <c r="AG321" i="5"/>
  <c r="AF321" i="5"/>
  <c r="BF320" i="5"/>
  <c r="BE320" i="5"/>
  <c r="BD320" i="5"/>
  <c r="AN320" i="5"/>
  <c r="AM320" i="5"/>
  <c r="AI320" i="5"/>
  <c r="AF320" i="5"/>
  <c r="AG320" i="5" s="1"/>
  <c r="BD319" i="5"/>
  <c r="AN319" i="5"/>
  <c r="AM319" i="5"/>
  <c r="AI319" i="5"/>
  <c r="AF319" i="5"/>
  <c r="AG319" i="5" s="1"/>
  <c r="BF318" i="5"/>
  <c r="BD318" i="5"/>
  <c r="BE318" i="5" s="1"/>
  <c r="AN318" i="5"/>
  <c r="AM318" i="5"/>
  <c r="AI318" i="5"/>
  <c r="AF318" i="5"/>
  <c r="AG318" i="5" s="1"/>
  <c r="BD317" i="5"/>
  <c r="AN317" i="5"/>
  <c r="AM317" i="5"/>
  <c r="AI317" i="5"/>
  <c r="AG317" i="5"/>
  <c r="AF317" i="5"/>
  <c r="BF316" i="5"/>
  <c r="BE316" i="5"/>
  <c r="BD316" i="5"/>
  <c r="AN316" i="5"/>
  <c r="AM316" i="5"/>
  <c r="AI316" i="5"/>
  <c r="AF316" i="5"/>
  <c r="AG316" i="5" s="1"/>
  <c r="BE315" i="5"/>
  <c r="BD315" i="5"/>
  <c r="BF315" i="5" s="1"/>
  <c r="AN315" i="5"/>
  <c r="AM315" i="5"/>
  <c r="AI315" i="5"/>
  <c r="AG315" i="5"/>
  <c r="AF315" i="5"/>
  <c r="BF314" i="5"/>
  <c r="BE314" i="5"/>
  <c r="BD314" i="5"/>
  <c r="AN314" i="5"/>
  <c r="AM314" i="5"/>
  <c r="AI314" i="5"/>
  <c r="AF314" i="5"/>
  <c r="AG314" i="5" s="1"/>
  <c r="BE313" i="5"/>
  <c r="BD313" i="5"/>
  <c r="BF313" i="5" s="1"/>
  <c r="AN313" i="5"/>
  <c r="AM313" i="5"/>
  <c r="AI313" i="5"/>
  <c r="AG313" i="5"/>
  <c r="AF313" i="5"/>
  <c r="BD312" i="5"/>
  <c r="BF312" i="5" s="1"/>
  <c r="AN312" i="5"/>
  <c r="AM312" i="5"/>
  <c r="AI312" i="5"/>
  <c r="AF312" i="5"/>
  <c r="AG312" i="5" s="1"/>
  <c r="BE311" i="5"/>
  <c r="BD311" i="5"/>
  <c r="BF311" i="5" s="1"/>
  <c r="AN311" i="5"/>
  <c r="AM311" i="5"/>
  <c r="AI311" i="5"/>
  <c r="AG311" i="5"/>
  <c r="AF311" i="5"/>
  <c r="BF310" i="5"/>
  <c r="BE310" i="5"/>
  <c r="BD310" i="5"/>
  <c r="AN310" i="5"/>
  <c r="AM310" i="5"/>
  <c r="AI310" i="5"/>
  <c r="AF310" i="5"/>
  <c r="AG310" i="5" s="1"/>
  <c r="BD309" i="5"/>
  <c r="AN309" i="5"/>
  <c r="AM309" i="5"/>
  <c r="AI309" i="5"/>
  <c r="AG309" i="5"/>
  <c r="AF309" i="5"/>
  <c r="BF308" i="5"/>
  <c r="BE308" i="5"/>
  <c r="BD308" i="5"/>
  <c r="AN308" i="5"/>
  <c r="AM308" i="5"/>
  <c r="AI308" i="5"/>
  <c r="AF308" i="5"/>
  <c r="AG308" i="5" s="1"/>
  <c r="BD307" i="5"/>
  <c r="AN307" i="5"/>
  <c r="AM307" i="5"/>
  <c r="AI307" i="5"/>
  <c r="AF307" i="5"/>
  <c r="AG307" i="5" s="1"/>
  <c r="BD306" i="5"/>
  <c r="BF306" i="5" s="1"/>
  <c r="AN306" i="5"/>
  <c r="AM306" i="5"/>
  <c r="AI306" i="5"/>
  <c r="AF306" i="5"/>
  <c r="AG306" i="5" s="1"/>
  <c r="BD305" i="5"/>
  <c r="AN305" i="5"/>
  <c r="AM305" i="5"/>
  <c r="AI305" i="5"/>
  <c r="AG305" i="5"/>
  <c r="AF305" i="5"/>
  <c r="BF304" i="5"/>
  <c r="BE304" i="5"/>
  <c r="BD304" i="5"/>
  <c r="AN304" i="5"/>
  <c r="AM304" i="5"/>
  <c r="AI304" i="5"/>
  <c r="AF304" i="5"/>
  <c r="AG304" i="5" s="1"/>
  <c r="BE303" i="5"/>
  <c r="BD303" i="5"/>
  <c r="BF303" i="5" s="1"/>
  <c r="AN303" i="5"/>
  <c r="AM303" i="5"/>
  <c r="AI303" i="5"/>
  <c r="AG303" i="5"/>
  <c r="AF303" i="5"/>
  <c r="BF302" i="5"/>
  <c r="BE302" i="5"/>
  <c r="BD302" i="5"/>
  <c r="AN302" i="5"/>
  <c r="AM302" i="5"/>
  <c r="AI302" i="5"/>
  <c r="AF302" i="5"/>
  <c r="AG302" i="5" s="1"/>
  <c r="BD301" i="5"/>
  <c r="BF301" i="5" s="1"/>
  <c r="AN301" i="5"/>
  <c r="AM301" i="5"/>
  <c r="AI301" i="5"/>
  <c r="AG301" i="5"/>
  <c r="AF301" i="5"/>
  <c r="BD300" i="5"/>
  <c r="BF300" i="5" s="1"/>
  <c r="AN300" i="5"/>
  <c r="AM300" i="5"/>
  <c r="AI300" i="5"/>
  <c r="AF300" i="5"/>
  <c r="AG300" i="5" s="1"/>
  <c r="BE299" i="5"/>
  <c r="BD299" i="5"/>
  <c r="BF299" i="5" s="1"/>
  <c r="AN299" i="5"/>
  <c r="AM299" i="5"/>
  <c r="AI299" i="5"/>
  <c r="AG299" i="5"/>
  <c r="AF299" i="5"/>
  <c r="BF298" i="5"/>
  <c r="BE298" i="5"/>
  <c r="BD298" i="5"/>
  <c r="AN298" i="5"/>
  <c r="AM298" i="5"/>
  <c r="AI298" i="5"/>
  <c r="AG298" i="5"/>
  <c r="AF298" i="5"/>
  <c r="BD297" i="5"/>
  <c r="AN297" i="5"/>
  <c r="AM297" i="5"/>
  <c r="AI297" i="5"/>
  <c r="AF297" i="5"/>
  <c r="AG297" i="5" s="1"/>
  <c r="BF296" i="5"/>
  <c r="BE296" i="5"/>
  <c r="BD296" i="5"/>
  <c r="AN296" i="5"/>
  <c r="AM296" i="5"/>
  <c r="AI296" i="5"/>
  <c r="AF296" i="5"/>
  <c r="AG296" i="5" s="1"/>
  <c r="BD295" i="5"/>
  <c r="BE295" i="5" s="1"/>
  <c r="AN295" i="5"/>
  <c r="AM295" i="5"/>
  <c r="AI295" i="5"/>
  <c r="AF295" i="5"/>
  <c r="AG295" i="5" s="1"/>
  <c r="BF294" i="5"/>
  <c r="BE294" i="5"/>
  <c r="BD294" i="5"/>
  <c r="AN294" i="5"/>
  <c r="AM294" i="5"/>
  <c r="AI294" i="5"/>
  <c r="AF294" i="5"/>
  <c r="AG294" i="5" s="1"/>
  <c r="BD293" i="5"/>
  <c r="AN293" i="5"/>
  <c r="AM293" i="5"/>
  <c r="AI293" i="5"/>
  <c r="AG293" i="5"/>
  <c r="AF293" i="5"/>
  <c r="BF292" i="5"/>
  <c r="BE292" i="5"/>
  <c r="BD292" i="5"/>
  <c r="AN292" i="5"/>
  <c r="AM292" i="5"/>
  <c r="AI292" i="5"/>
  <c r="AG292" i="5"/>
  <c r="AF292" i="5"/>
  <c r="BE291" i="5"/>
  <c r="BD291" i="5"/>
  <c r="BF291" i="5" s="1"/>
  <c r="AN291" i="5"/>
  <c r="AM291" i="5"/>
  <c r="AI291" i="5"/>
  <c r="AG291" i="5"/>
  <c r="AF291" i="5"/>
  <c r="BF290" i="5"/>
  <c r="BE290" i="5"/>
  <c r="BD290" i="5"/>
  <c r="AN290" i="5"/>
  <c r="AM290" i="5"/>
  <c r="AI290" i="5"/>
  <c r="AF290" i="5"/>
  <c r="AG290" i="5" s="1"/>
  <c r="BD289" i="5"/>
  <c r="BF289" i="5" s="1"/>
  <c r="AN289" i="5"/>
  <c r="AM289" i="5"/>
  <c r="AI289" i="5"/>
  <c r="AG289" i="5"/>
  <c r="AF289" i="5"/>
  <c r="BF288" i="5"/>
  <c r="BD288" i="5"/>
  <c r="BE288" i="5" s="1"/>
  <c r="AN288" i="5"/>
  <c r="AM288" i="5"/>
  <c r="AI288" i="5"/>
  <c r="AF288" i="5"/>
  <c r="AG288" i="5" s="1"/>
  <c r="BE287" i="5"/>
  <c r="BD287" i="5"/>
  <c r="BF287" i="5" s="1"/>
  <c r="AN287" i="5"/>
  <c r="AM287" i="5"/>
  <c r="AI287" i="5"/>
  <c r="AG287" i="5"/>
  <c r="AF287" i="5"/>
  <c r="BF286" i="5"/>
  <c r="BE286" i="5"/>
  <c r="BD286" i="5"/>
  <c r="AN286" i="5"/>
  <c r="AM286" i="5"/>
  <c r="AI286" i="5"/>
  <c r="AF286" i="5"/>
  <c r="AG286" i="5" s="1"/>
  <c r="BD285" i="5"/>
  <c r="AN285" i="5"/>
  <c r="AM285" i="5"/>
  <c r="AI285" i="5"/>
  <c r="AG285" i="5"/>
  <c r="AF285" i="5"/>
  <c r="BF284" i="5"/>
  <c r="BE284" i="5"/>
  <c r="BD284" i="5"/>
  <c r="AN284" i="5"/>
  <c r="AM284" i="5"/>
  <c r="AI284" i="5"/>
  <c r="AF284" i="5"/>
  <c r="AG284" i="5" s="1"/>
  <c r="BF283" i="5"/>
  <c r="BD283" i="5"/>
  <c r="BE283" i="5" s="1"/>
  <c r="AN283" i="5"/>
  <c r="AM283" i="5"/>
  <c r="AI283" i="5"/>
  <c r="AF283" i="5"/>
  <c r="AG283" i="5" s="1"/>
  <c r="BF282" i="5"/>
  <c r="BE282" i="5"/>
  <c r="BD282" i="5"/>
  <c r="AN282" i="5"/>
  <c r="AM282" i="5"/>
  <c r="AI282" i="5"/>
  <c r="AF282" i="5"/>
  <c r="AG282" i="5" s="1"/>
  <c r="BD281" i="5"/>
  <c r="AN281" i="5"/>
  <c r="AM281" i="5"/>
  <c r="AI281" i="5"/>
  <c r="AG281" i="5"/>
  <c r="AF281" i="5"/>
  <c r="BF280" i="5"/>
  <c r="BE280" i="5"/>
  <c r="BD280" i="5"/>
  <c r="AN280" i="5"/>
  <c r="AM280" i="5"/>
  <c r="AI280" i="5"/>
  <c r="AF280" i="5"/>
  <c r="AG280" i="5" s="1"/>
  <c r="BE279" i="5"/>
  <c r="BD279" i="5"/>
  <c r="BF279" i="5" s="1"/>
  <c r="AN279" i="5"/>
  <c r="AM279" i="5"/>
  <c r="AI279" i="5"/>
  <c r="AG279" i="5"/>
  <c r="AF279" i="5"/>
  <c r="BF278" i="5"/>
  <c r="BE278" i="5"/>
  <c r="BD278" i="5"/>
  <c r="AN278" i="5"/>
  <c r="AM278" i="5"/>
  <c r="AI278" i="5"/>
  <c r="AF278" i="5"/>
  <c r="AG278" i="5" s="1"/>
  <c r="BD277" i="5"/>
  <c r="BF277" i="5" s="1"/>
  <c r="AN277" i="5"/>
  <c r="AM277" i="5"/>
  <c r="AI277" i="5"/>
  <c r="AG277" i="5"/>
  <c r="AF277" i="5"/>
  <c r="BF276" i="5"/>
  <c r="BE276" i="5"/>
  <c r="BD276" i="5"/>
  <c r="AN276" i="5"/>
  <c r="AM276" i="5"/>
  <c r="AI276" i="5"/>
  <c r="AF276" i="5"/>
  <c r="AG276" i="5" s="1"/>
  <c r="BE275" i="5"/>
  <c r="BD275" i="5"/>
  <c r="BF275" i="5" s="1"/>
  <c r="AN275" i="5"/>
  <c r="AM275" i="5"/>
  <c r="AI275" i="5"/>
  <c r="AG275" i="5"/>
  <c r="AF275" i="5"/>
  <c r="BF274" i="5"/>
  <c r="BE274" i="5"/>
  <c r="BD274" i="5"/>
  <c r="AN274" i="5"/>
  <c r="AM274" i="5"/>
  <c r="AI274" i="5"/>
  <c r="AF274" i="5"/>
  <c r="AG274" i="5" s="1"/>
  <c r="BD273" i="5"/>
  <c r="AN273" i="5"/>
  <c r="AM273" i="5"/>
  <c r="AI273" i="5"/>
  <c r="AG273" i="5"/>
  <c r="AF273" i="5"/>
  <c r="BF272" i="5"/>
  <c r="BE272" i="5"/>
  <c r="BD272" i="5"/>
  <c r="AN272" i="5"/>
  <c r="AM272" i="5"/>
  <c r="AI272" i="5"/>
  <c r="AF272" i="5"/>
  <c r="AG272" i="5" s="1"/>
  <c r="BF271" i="5"/>
  <c r="BD271" i="5"/>
  <c r="BE271" i="5" s="1"/>
  <c r="AN271" i="5"/>
  <c r="AM271" i="5"/>
  <c r="AI271" i="5"/>
  <c r="AF271" i="5"/>
  <c r="AG271" i="5" s="1"/>
  <c r="BD270" i="5"/>
  <c r="BF270" i="5" s="1"/>
  <c r="AN270" i="5"/>
  <c r="AM270" i="5"/>
  <c r="AI270" i="5"/>
  <c r="AF270" i="5"/>
  <c r="AG270" i="5" s="1"/>
  <c r="BD269" i="5"/>
  <c r="AN269" i="5"/>
  <c r="AM269" i="5"/>
  <c r="AI269" i="5"/>
  <c r="AF269" i="5"/>
  <c r="AG269" i="5" s="1"/>
  <c r="BF268" i="5"/>
  <c r="BE268" i="5"/>
  <c r="BD268" i="5"/>
  <c r="AN268" i="5"/>
  <c r="AM268" i="5"/>
  <c r="AI268" i="5"/>
  <c r="AF268" i="5"/>
  <c r="AG268" i="5" s="1"/>
  <c r="BE267" i="5"/>
  <c r="BD267" i="5"/>
  <c r="BF267" i="5" s="1"/>
  <c r="AN267" i="5"/>
  <c r="AM267" i="5"/>
  <c r="AI267" i="5"/>
  <c r="AG267" i="5"/>
  <c r="AF267" i="5"/>
  <c r="BF266" i="5"/>
  <c r="BE266" i="5"/>
  <c r="BD266" i="5"/>
  <c r="AN266" i="5"/>
  <c r="AM266" i="5"/>
  <c r="AI266" i="5"/>
  <c r="AF266" i="5"/>
  <c r="AG266" i="5" s="1"/>
  <c r="BD265" i="5"/>
  <c r="BF265" i="5" s="1"/>
  <c r="AN265" i="5"/>
  <c r="AM265" i="5"/>
  <c r="AI265" i="5"/>
  <c r="AG265" i="5"/>
  <c r="AF265" i="5"/>
  <c r="BF264" i="5"/>
  <c r="BD264" i="5"/>
  <c r="BE264" i="5" s="1"/>
  <c r="AN264" i="5"/>
  <c r="AM264" i="5"/>
  <c r="AI264" i="5"/>
  <c r="AF264" i="5"/>
  <c r="AG264" i="5" s="1"/>
  <c r="BE263" i="5"/>
  <c r="BD263" i="5"/>
  <c r="BF263" i="5" s="1"/>
  <c r="AN263" i="5"/>
  <c r="AM263" i="5"/>
  <c r="AI263" i="5"/>
  <c r="AG263" i="5"/>
  <c r="AF263" i="5"/>
  <c r="BF262" i="5"/>
  <c r="BE262" i="5"/>
  <c r="BD262" i="5"/>
  <c r="AN262" i="5"/>
  <c r="AM262" i="5"/>
  <c r="AI262" i="5"/>
  <c r="AF262" i="5"/>
  <c r="AG262" i="5" s="1"/>
  <c r="BD261" i="5"/>
  <c r="AN261" i="5"/>
  <c r="AM261" i="5"/>
  <c r="AI261" i="5"/>
  <c r="AF261" i="5"/>
  <c r="AG261" i="5" s="1"/>
  <c r="BF260" i="5"/>
  <c r="BE260" i="5"/>
  <c r="BD260" i="5"/>
  <c r="AN260" i="5"/>
  <c r="AM260" i="5"/>
  <c r="AI260" i="5"/>
  <c r="AF260" i="5"/>
  <c r="AG260" i="5" s="1"/>
  <c r="BE259" i="5"/>
  <c r="BD259" i="5"/>
  <c r="BF259" i="5" s="1"/>
  <c r="AN259" i="5"/>
  <c r="AM259" i="5"/>
  <c r="AI259" i="5"/>
  <c r="AF259" i="5"/>
  <c r="AG259" i="5" s="1"/>
  <c r="BF258" i="5"/>
  <c r="BE258" i="5"/>
  <c r="BD258" i="5"/>
  <c r="AN258" i="5"/>
  <c r="AM258" i="5"/>
  <c r="AI258" i="5"/>
  <c r="AF258" i="5"/>
  <c r="AG258" i="5" s="1"/>
  <c r="BF257" i="5"/>
  <c r="BE257" i="5"/>
  <c r="BD257" i="5"/>
  <c r="AN257" i="5"/>
  <c r="AM257" i="5"/>
  <c r="AI257" i="5"/>
  <c r="AF257" i="5"/>
  <c r="AG257" i="5" s="1"/>
  <c r="BD256" i="5"/>
  <c r="BE256" i="5" s="1"/>
  <c r="AN256" i="5"/>
  <c r="AM256" i="5"/>
  <c r="AI256" i="5"/>
  <c r="AF256" i="5"/>
  <c r="AG256" i="5" s="1"/>
  <c r="BD255" i="5"/>
  <c r="BF255" i="5" s="1"/>
  <c r="AN255" i="5"/>
  <c r="AM255" i="5"/>
  <c r="AI255" i="5"/>
  <c r="AF255" i="5"/>
  <c r="AG255" i="5" s="1"/>
  <c r="BF254" i="5"/>
  <c r="BE254" i="5"/>
  <c r="BD254" i="5"/>
  <c r="AN254" i="5"/>
  <c r="AM254" i="5"/>
  <c r="AI254" i="5"/>
  <c r="AF254" i="5"/>
  <c r="AG254" i="5" s="1"/>
  <c r="BF253" i="5"/>
  <c r="BD253" i="5"/>
  <c r="BE253" i="5" s="1"/>
  <c r="AN253" i="5"/>
  <c r="AM253" i="5"/>
  <c r="AI253" i="5"/>
  <c r="AF253" i="5"/>
  <c r="AG253" i="5" s="1"/>
  <c r="BD252" i="5"/>
  <c r="BF252" i="5" s="1"/>
  <c r="AN252" i="5"/>
  <c r="AM252" i="5"/>
  <c r="AI252" i="5"/>
  <c r="AF252" i="5"/>
  <c r="AG252" i="5" s="1"/>
  <c r="BD251" i="5"/>
  <c r="BE251" i="5" s="1"/>
  <c r="AN251" i="5"/>
  <c r="AM251" i="5"/>
  <c r="AI251" i="5"/>
  <c r="AF251" i="5"/>
  <c r="AG251" i="5" s="1"/>
  <c r="BF250" i="5"/>
  <c r="BE250" i="5"/>
  <c r="BD250" i="5"/>
  <c r="AN250" i="5"/>
  <c r="AM250" i="5"/>
  <c r="AI250" i="5"/>
  <c r="AF250" i="5"/>
  <c r="AG250" i="5" s="1"/>
  <c r="BE249" i="5"/>
  <c r="BD249" i="5"/>
  <c r="BF249" i="5" s="1"/>
  <c r="AN249" i="5"/>
  <c r="AM249" i="5"/>
  <c r="AI249" i="5"/>
  <c r="AG249" i="5"/>
  <c r="AF249" i="5"/>
  <c r="BF248" i="5"/>
  <c r="BE248" i="5"/>
  <c r="BD248" i="5"/>
  <c r="AN248" i="5"/>
  <c r="AM248" i="5"/>
  <c r="AI248" i="5"/>
  <c r="AG248" i="5"/>
  <c r="AF248" i="5"/>
  <c r="BD247" i="5"/>
  <c r="BF247" i="5" s="1"/>
  <c r="AN247" i="5"/>
  <c r="AM247" i="5"/>
  <c r="AI247" i="5"/>
  <c r="AF247" i="5"/>
  <c r="AG247" i="5" s="1"/>
  <c r="BD246" i="5"/>
  <c r="BE246" i="5" s="1"/>
  <c r="AN246" i="5"/>
  <c r="AM246" i="5"/>
  <c r="AI246" i="5"/>
  <c r="AF246" i="5"/>
  <c r="AG246" i="5" s="1"/>
  <c r="BF245" i="5"/>
  <c r="BE245" i="5"/>
  <c r="BD245" i="5"/>
  <c r="AN245" i="5"/>
  <c r="AM245" i="5"/>
  <c r="AI245" i="5"/>
  <c r="AG245" i="5"/>
  <c r="AF245" i="5"/>
  <c r="BF244" i="5"/>
  <c r="BE244" i="5"/>
  <c r="BD244" i="5"/>
  <c r="AN244" i="5"/>
  <c r="AM244" i="5"/>
  <c r="AI244" i="5"/>
  <c r="AG244" i="5"/>
  <c r="AF244" i="5"/>
  <c r="BD243" i="5"/>
  <c r="BF243" i="5" s="1"/>
  <c r="AN243" i="5"/>
  <c r="AM243" i="5"/>
  <c r="AI243" i="5"/>
  <c r="AF243" i="5"/>
  <c r="AG243" i="5" s="1"/>
  <c r="BF242" i="5"/>
  <c r="BE242" i="5"/>
  <c r="BD242" i="5"/>
  <c r="AN242" i="5"/>
  <c r="AM242" i="5"/>
  <c r="AI242" i="5"/>
  <c r="AG242" i="5"/>
  <c r="AF242" i="5"/>
  <c r="BF241" i="5"/>
  <c r="BE241" i="5"/>
  <c r="BD241" i="5"/>
  <c r="AN241" i="5"/>
  <c r="AM241" i="5"/>
  <c r="AI241" i="5"/>
  <c r="AF241" i="5"/>
  <c r="AG241" i="5" s="1"/>
  <c r="BF240" i="5"/>
  <c r="BE240" i="5"/>
  <c r="BD240" i="5"/>
  <c r="AN240" i="5"/>
  <c r="AM240" i="5"/>
  <c r="AI240" i="5"/>
  <c r="AF240" i="5"/>
  <c r="AG240" i="5" s="1"/>
  <c r="BF239" i="5"/>
  <c r="BE239" i="5"/>
  <c r="BD239" i="5"/>
  <c r="AN239" i="5"/>
  <c r="AM239" i="5"/>
  <c r="AI239" i="5"/>
  <c r="AG239" i="5"/>
  <c r="AF239" i="5"/>
  <c r="BD238" i="5"/>
  <c r="BF238" i="5" s="1"/>
  <c r="AN238" i="5"/>
  <c r="AM238" i="5"/>
  <c r="AI238" i="5"/>
  <c r="AF238" i="5"/>
  <c r="AG238" i="5" s="1"/>
  <c r="BD237" i="5"/>
  <c r="AN237" i="5"/>
  <c r="AM237" i="5"/>
  <c r="AI237" i="5"/>
  <c r="AF237" i="5"/>
  <c r="AG237" i="5" s="1"/>
  <c r="BF236" i="5"/>
  <c r="BE236" i="5"/>
  <c r="BD236" i="5"/>
  <c r="AN236" i="5"/>
  <c r="AM236" i="5"/>
  <c r="AI236" i="5"/>
  <c r="AG236" i="5"/>
  <c r="AF236" i="5"/>
  <c r="BD235" i="5"/>
  <c r="BF235" i="5" s="1"/>
  <c r="AN235" i="5"/>
  <c r="AM235" i="5"/>
  <c r="AI235" i="5"/>
  <c r="AF235" i="5"/>
  <c r="AG235" i="5" s="1"/>
  <c r="BF234" i="5"/>
  <c r="BE234" i="5"/>
  <c r="BD234" i="5"/>
  <c r="AN234" i="5"/>
  <c r="AM234" i="5"/>
  <c r="AI234" i="5"/>
  <c r="AG234" i="5"/>
  <c r="AF234" i="5"/>
  <c r="BD233" i="5"/>
  <c r="BF233" i="5" s="1"/>
  <c r="AN233" i="5"/>
  <c r="AM233" i="5"/>
  <c r="AI233" i="5"/>
  <c r="AF233" i="5"/>
  <c r="AG233" i="5" s="1"/>
  <c r="BF232" i="5"/>
  <c r="BD232" i="5"/>
  <c r="BE232" i="5" s="1"/>
  <c r="AN232" i="5"/>
  <c r="AM232" i="5"/>
  <c r="AI232" i="5"/>
  <c r="AG232" i="5"/>
  <c r="AF232" i="5"/>
  <c r="BF231" i="5"/>
  <c r="BD231" i="5"/>
  <c r="BE231" i="5" s="1"/>
  <c r="AN231" i="5"/>
  <c r="AM231" i="5"/>
  <c r="AI231" i="5"/>
  <c r="AG231" i="5"/>
  <c r="AF231" i="5"/>
  <c r="BD230" i="5"/>
  <c r="BF230" i="5" s="1"/>
  <c r="AN230" i="5"/>
  <c r="AM230" i="5"/>
  <c r="AI230" i="5"/>
  <c r="AF230" i="5"/>
  <c r="AG230" i="5" s="1"/>
  <c r="BF229" i="5"/>
  <c r="BE229" i="5"/>
  <c r="BD229" i="5"/>
  <c r="AN229" i="5"/>
  <c r="AM229" i="5"/>
  <c r="AI229" i="5"/>
  <c r="AF229" i="5"/>
  <c r="AG229" i="5" s="1"/>
  <c r="BD228" i="5"/>
  <c r="BF228" i="5" s="1"/>
  <c r="AN228" i="5"/>
  <c r="AM228" i="5"/>
  <c r="AI228" i="5"/>
  <c r="AG228" i="5"/>
  <c r="AF228" i="5"/>
  <c r="BD227" i="5"/>
  <c r="BF227" i="5" s="1"/>
  <c r="AN227" i="5"/>
  <c r="AM227" i="5"/>
  <c r="AI227" i="5"/>
  <c r="AG227" i="5"/>
  <c r="AF227" i="5"/>
  <c r="BF226" i="5"/>
  <c r="BD226" i="5"/>
  <c r="BE226" i="5" s="1"/>
  <c r="AN226" i="5"/>
  <c r="AM226" i="5"/>
  <c r="AI226" i="5"/>
  <c r="AF226" i="5"/>
  <c r="AG226" i="5" s="1"/>
  <c r="BD225" i="5"/>
  <c r="BE225" i="5" s="1"/>
  <c r="AN225" i="5"/>
  <c r="AM225" i="5"/>
  <c r="AI225" i="5"/>
  <c r="AF225" i="5"/>
  <c r="AG225" i="5" s="1"/>
  <c r="BF224" i="5"/>
  <c r="BE224" i="5"/>
  <c r="BD224" i="5"/>
  <c r="AN224" i="5"/>
  <c r="AM224" i="5"/>
  <c r="AI224" i="5"/>
  <c r="AF224" i="5"/>
  <c r="AG224" i="5" s="1"/>
  <c r="BD223" i="5"/>
  <c r="BF223" i="5" s="1"/>
  <c r="AN223" i="5"/>
  <c r="AM223" i="5"/>
  <c r="AI223" i="5"/>
  <c r="AF223" i="5"/>
  <c r="AG223" i="5" s="1"/>
  <c r="BD222" i="5"/>
  <c r="BF222" i="5" s="1"/>
  <c r="AN222" i="5"/>
  <c r="AM222" i="5"/>
  <c r="AI222" i="5"/>
  <c r="AG222" i="5"/>
  <c r="AF222" i="5"/>
  <c r="BF221" i="5"/>
  <c r="BE221" i="5"/>
  <c r="BD221" i="5"/>
  <c r="AN221" i="5"/>
  <c r="AM221" i="5"/>
  <c r="AI221" i="5"/>
  <c r="AF221" i="5"/>
  <c r="AG221" i="5" s="1"/>
  <c r="BD220" i="5"/>
  <c r="BF220" i="5" s="1"/>
  <c r="AN220" i="5"/>
  <c r="AM220" i="5"/>
  <c r="AI220" i="5"/>
  <c r="AF220" i="5"/>
  <c r="AG220" i="5" s="1"/>
  <c r="BF219" i="5"/>
  <c r="BD219" i="5"/>
  <c r="BE219" i="5" s="1"/>
  <c r="AN219" i="5"/>
  <c r="AM219" i="5"/>
  <c r="AI219" i="5"/>
  <c r="AF219" i="5"/>
  <c r="AG219" i="5" s="1"/>
  <c r="BD218" i="5"/>
  <c r="BF218" i="5" s="1"/>
  <c r="AN218" i="5"/>
  <c r="AM218" i="5"/>
  <c r="AI218" i="5"/>
  <c r="AF218" i="5"/>
  <c r="AG218" i="5" s="1"/>
  <c r="BD217" i="5"/>
  <c r="BF217" i="5" s="1"/>
  <c r="AN217" i="5"/>
  <c r="AM217" i="5"/>
  <c r="AI217" i="5"/>
  <c r="AG217" i="5"/>
  <c r="AF217" i="5"/>
  <c r="BF216" i="5"/>
  <c r="BE216" i="5"/>
  <c r="BD216" i="5"/>
  <c r="AN216" i="5"/>
  <c r="AM216" i="5"/>
  <c r="AI216" i="5"/>
  <c r="AG216" i="5"/>
  <c r="AF216" i="5"/>
  <c r="BF215" i="5"/>
  <c r="BE215" i="5"/>
  <c r="BD215" i="5"/>
  <c r="AN215" i="5"/>
  <c r="AM215" i="5"/>
  <c r="AI215" i="5"/>
  <c r="AG215" i="5"/>
  <c r="AF215" i="5"/>
  <c r="BF214" i="5"/>
  <c r="BE214" i="5"/>
  <c r="BD214" i="5"/>
  <c r="AN214" i="5"/>
  <c r="AM214" i="5"/>
  <c r="AI214" i="5"/>
  <c r="AG214" i="5"/>
  <c r="AF214" i="5"/>
  <c r="BD213" i="5"/>
  <c r="BE213" i="5" s="1"/>
  <c r="AN213" i="5"/>
  <c r="AM213" i="5"/>
  <c r="AI213" i="5"/>
  <c r="AF213" i="5"/>
  <c r="AG213" i="5" s="1"/>
  <c r="BD212" i="5"/>
  <c r="BF212" i="5" s="1"/>
  <c r="AN212" i="5"/>
  <c r="AM212" i="5"/>
  <c r="AI212" i="5"/>
  <c r="AG212" i="5"/>
  <c r="AF212" i="5"/>
  <c r="BF211" i="5"/>
  <c r="BE211" i="5"/>
  <c r="BD211" i="5"/>
  <c r="AN211" i="5"/>
  <c r="AM211" i="5"/>
  <c r="AI211" i="5"/>
  <c r="AF211" i="5"/>
  <c r="AG211" i="5" s="1"/>
  <c r="BF210" i="5"/>
  <c r="BE210" i="5"/>
  <c r="BD210" i="5"/>
  <c r="AN210" i="5"/>
  <c r="AM210" i="5"/>
  <c r="AI210" i="5"/>
  <c r="AG210" i="5"/>
  <c r="AF210" i="5"/>
  <c r="BD209" i="5"/>
  <c r="BF209" i="5" s="1"/>
  <c r="AN209" i="5"/>
  <c r="AM209" i="5"/>
  <c r="AI209" i="5"/>
  <c r="AF209" i="5"/>
  <c r="AG209" i="5" s="1"/>
  <c r="BD208" i="5"/>
  <c r="BF208" i="5" s="1"/>
  <c r="AN208" i="5"/>
  <c r="AM208" i="5"/>
  <c r="AI208" i="5"/>
  <c r="AG208" i="5"/>
  <c r="AF208" i="5"/>
  <c r="BD207" i="5"/>
  <c r="BE207" i="5" s="1"/>
  <c r="AN207" i="5"/>
  <c r="AM207" i="5"/>
  <c r="AI207" i="5"/>
  <c r="AG207" i="5"/>
  <c r="AF207" i="5"/>
  <c r="BF206" i="5"/>
  <c r="BE206" i="5"/>
  <c r="BD206" i="5"/>
  <c r="AN206" i="5"/>
  <c r="AM206" i="5"/>
  <c r="AI206" i="5"/>
  <c r="AF206" i="5"/>
  <c r="AG206" i="5" s="1"/>
  <c r="BF205" i="5"/>
  <c r="BE205" i="5"/>
  <c r="BD205" i="5"/>
  <c r="AN205" i="5"/>
  <c r="AM205" i="5"/>
  <c r="AI205" i="5"/>
  <c r="AG205" i="5"/>
  <c r="AF205" i="5"/>
  <c r="BD204" i="5"/>
  <c r="BF204" i="5" s="1"/>
  <c r="AN204" i="5"/>
  <c r="AM204" i="5"/>
  <c r="AI204" i="5"/>
  <c r="AG204" i="5"/>
  <c r="AF204" i="5"/>
  <c r="BF203" i="5"/>
  <c r="BE203" i="5"/>
  <c r="BD203" i="5"/>
  <c r="AN203" i="5"/>
  <c r="AM203" i="5"/>
  <c r="AI203" i="5"/>
  <c r="AF203" i="5"/>
  <c r="AG203" i="5" s="1"/>
  <c r="BF202" i="5"/>
  <c r="BE202" i="5"/>
  <c r="BD202" i="5"/>
  <c r="AN202" i="5"/>
  <c r="AM202" i="5"/>
  <c r="AI202" i="5"/>
  <c r="AF202" i="5"/>
  <c r="AG202" i="5" s="1"/>
  <c r="BF201" i="5"/>
  <c r="BD201" i="5"/>
  <c r="BE201" i="5" s="1"/>
  <c r="AN201" i="5"/>
  <c r="AM201" i="5"/>
  <c r="AI201" i="5"/>
  <c r="AF201" i="5"/>
  <c r="AG201" i="5" s="1"/>
  <c r="BF200" i="5"/>
  <c r="BE200" i="5"/>
  <c r="BD200" i="5"/>
  <c r="AN200" i="5"/>
  <c r="AM200" i="5"/>
  <c r="AI200" i="5"/>
  <c r="AG200" i="5"/>
  <c r="AF200" i="5"/>
  <c r="BD199" i="5"/>
  <c r="BF199" i="5" s="1"/>
  <c r="AN199" i="5"/>
  <c r="AM199" i="5"/>
  <c r="AI199" i="5"/>
  <c r="AF199" i="5"/>
  <c r="AG199" i="5" s="1"/>
  <c r="BF198" i="5"/>
  <c r="BE198" i="5"/>
  <c r="BD198" i="5"/>
  <c r="AN198" i="5"/>
  <c r="AM198" i="5"/>
  <c r="AI198" i="5"/>
  <c r="AG198" i="5"/>
  <c r="AF198" i="5"/>
  <c r="BD197" i="5"/>
  <c r="BF197" i="5" s="1"/>
  <c r="AN197" i="5"/>
  <c r="AM197" i="5"/>
  <c r="AI197" i="5"/>
  <c r="AF197" i="5"/>
  <c r="AG197" i="5" s="1"/>
  <c r="BF196" i="5"/>
  <c r="BD196" i="5"/>
  <c r="BE196" i="5" s="1"/>
  <c r="AN196" i="5"/>
  <c r="AM196" i="5"/>
  <c r="AI196" i="5"/>
  <c r="AG196" i="5"/>
  <c r="AF196" i="5"/>
  <c r="BF195" i="5"/>
  <c r="BD195" i="5"/>
  <c r="BE195" i="5" s="1"/>
  <c r="AN195" i="5"/>
  <c r="AM195" i="5"/>
  <c r="AI195" i="5"/>
  <c r="AG195" i="5"/>
  <c r="AF195" i="5"/>
  <c r="BD194" i="5"/>
  <c r="BF194" i="5" s="1"/>
  <c r="AN194" i="5"/>
  <c r="AM194" i="5"/>
  <c r="AI194" i="5"/>
  <c r="AF194" i="5"/>
  <c r="AG194" i="5" s="1"/>
  <c r="BF193" i="5"/>
  <c r="BE193" i="5"/>
  <c r="BD193" i="5"/>
  <c r="AN193" i="5"/>
  <c r="AM193" i="5"/>
  <c r="AI193" i="5"/>
  <c r="AF193" i="5"/>
  <c r="AG193" i="5" s="1"/>
  <c r="BD192" i="5"/>
  <c r="BF192" i="5" s="1"/>
  <c r="AN192" i="5"/>
  <c r="AM192" i="5"/>
  <c r="AI192" i="5"/>
  <c r="AG192" i="5"/>
  <c r="AF192" i="5"/>
  <c r="BD191" i="5"/>
  <c r="BF191" i="5" s="1"/>
  <c r="AN191" i="5"/>
  <c r="AM191" i="5"/>
  <c r="AI191" i="5"/>
  <c r="AG191" i="5"/>
  <c r="AF191" i="5"/>
  <c r="BF190" i="5"/>
  <c r="BD190" i="5"/>
  <c r="BE190" i="5" s="1"/>
  <c r="AN190" i="5"/>
  <c r="AM190" i="5"/>
  <c r="AI190" i="5"/>
  <c r="AF190" i="5"/>
  <c r="AG190" i="5" s="1"/>
  <c r="BD189" i="5"/>
  <c r="BE189" i="5" s="1"/>
  <c r="AN189" i="5"/>
  <c r="AM189" i="5"/>
  <c r="AI189" i="5"/>
  <c r="AF189" i="5"/>
  <c r="AG189" i="5" s="1"/>
  <c r="BF188" i="5"/>
  <c r="BE188" i="5"/>
  <c r="BD188" i="5"/>
  <c r="AN188" i="5"/>
  <c r="AM188" i="5"/>
  <c r="AI188" i="5"/>
  <c r="AF188" i="5"/>
  <c r="AG188" i="5" s="1"/>
  <c r="BD187" i="5"/>
  <c r="BF187" i="5" s="1"/>
  <c r="AN187" i="5"/>
  <c r="AM187" i="5"/>
  <c r="AI187" i="5"/>
  <c r="AF187" i="5"/>
  <c r="AG187" i="5" s="1"/>
  <c r="BD186" i="5"/>
  <c r="BF186" i="5" s="1"/>
  <c r="AN186" i="5"/>
  <c r="AM186" i="5"/>
  <c r="AI186" i="5"/>
  <c r="AG186" i="5"/>
  <c r="AF186" i="5"/>
  <c r="BF185" i="5"/>
  <c r="BE185" i="5"/>
  <c r="BD185" i="5"/>
  <c r="AN185" i="5"/>
  <c r="AM185" i="5"/>
  <c r="AI185" i="5"/>
  <c r="AF185" i="5"/>
  <c r="AG185" i="5" s="1"/>
  <c r="BD184" i="5"/>
  <c r="BF184" i="5" s="1"/>
  <c r="AN184" i="5"/>
  <c r="AM184" i="5"/>
  <c r="AI184" i="5"/>
  <c r="AF184" i="5"/>
  <c r="AG184" i="5" s="1"/>
  <c r="BF183" i="5"/>
  <c r="BD183" i="5"/>
  <c r="BE183" i="5" s="1"/>
  <c r="AN183" i="5"/>
  <c r="AM183" i="5"/>
  <c r="AI183" i="5"/>
  <c r="AF183" i="5"/>
  <c r="AG183" i="5" s="1"/>
  <c r="BD182" i="5"/>
  <c r="BF182" i="5" s="1"/>
  <c r="AN182" i="5"/>
  <c r="AM182" i="5"/>
  <c r="AI182" i="5"/>
  <c r="AF182" i="5"/>
  <c r="AG182" i="5" s="1"/>
  <c r="BD181" i="5"/>
  <c r="BF181" i="5" s="1"/>
  <c r="AN181" i="5"/>
  <c r="AM181" i="5"/>
  <c r="AI181" i="5"/>
  <c r="AG181" i="5"/>
  <c r="AF181" i="5"/>
  <c r="BF180" i="5"/>
  <c r="BE180" i="5"/>
  <c r="BD180" i="5"/>
  <c r="AN180" i="5"/>
  <c r="AM180" i="5"/>
  <c r="AI180" i="5"/>
  <c r="AG180" i="5"/>
  <c r="AF180" i="5"/>
  <c r="BF179" i="5"/>
  <c r="BE179" i="5"/>
  <c r="BD179" i="5"/>
  <c r="AN179" i="5"/>
  <c r="AM179" i="5"/>
  <c r="AI179" i="5"/>
  <c r="AG179" i="5"/>
  <c r="AF179" i="5"/>
  <c r="BF178" i="5"/>
  <c r="BE178" i="5"/>
  <c r="BD178" i="5"/>
  <c r="AN178" i="5"/>
  <c r="AM178" i="5"/>
  <c r="AI178" i="5"/>
  <c r="AG178" i="5"/>
  <c r="AF178" i="5"/>
  <c r="BD177" i="5"/>
  <c r="BE177" i="5" s="1"/>
  <c r="AN177" i="5"/>
  <c r="AM177" i="5"/>
  <c r="AI177" i="5"/>
  <c r="AF177" i="5"/>
  <c r="AG177" i="5" s="1"/>
  <c r="BD176" i="5"/>
  <c r="BF176" i="5" s="1"/>
  <c r="AN176" i="5"/>
  <c r="AM176" i="5"/>
  <c r="AI176" i="5"/>
  <c r="AG176" i="5"/>
  <c r="AF176" i="5"/>
  <c r="BF175" i="5"/>
  <c r="BE175" i="5"/>
  <c r="BD175" i="5"/>
  <c r="AN175" i="5"/>
  <c r="AM175" i="5"/>
  <c r="AI175" i="5"/>
  <c r="AF175" i="5"/>
  <c r="AG175" i="5" s="1"/>
  <c r="BF174" i="5"/>
  <c r="BE174" i="5"/>
  <c r="BD174" i="5"/>
  <c r="AN174" i="5"/>
  <c r="AM174" i="5"/>
  <c r="AI174" i="5"/>
  <c r="AG174" i="5"/>
  <c r="AF174" i="5"/>
  <c r="BD173" i="5"/>
  <c r="BF173" i="5" s="1"/>
  <c r="AN173" i="5"/>
  <c r="AM173" i="5"/>
  <c r="AI173" i="5"/>
  <c r="AF173" i="5"/>
  <c r="AG173" i="5" s="1"/>
  <c r="BD172" i="5"/>
  <c r="BF172" i="5" s="1"/>
  <c r="AN172" i="5"/>
  <c r="AM172" i="5"/>
  <c r="AI172" i="5"/>
  <c r="AG172" i="5"/>
  <c r="AF172" i="5"/>
  <c r="BD171" i="5"/>
  <c r="BE171" i="5" s="1"/>
  <c r="AN171" i="5"/>
  <c r="AM171" i="5"/>
  <c r="AI171" i="5"/>
  <c r="AG171" i="5"/>
  <c r="AF171" i="5"/>
  <c r="BF170" i="5"/>
  <c r="BE170" i="5"/>
  <c r="BD170" i="5"/>
  <c r="AN170" i="5"/>
  <c r="AM170" i="5"/>
  <c r="AI170" i="5"/>
  <c r="AF170" i="5"/>
  <c r="AG170" i="5" s="1"/>
  <c r="BF169" i="5"/>
  <c r="BE169" i="5"/>
  <c r="BD169" i="5"/>
  <c r="AN169" i="5"/>
  <c r="AM169" i="5"/>
  <c r="AI169" i="5"/>
  <c r="AG169" i="5"/>
  <c r="AF169" i="5"/>
  <c r="BD168" i="5"/>
  <c r="BF168" i="5" s="1"/>
  <c r="AN168" i="5"/>
  <c r="AM168" i="5"/>
  <c r="AI168" i="5"/>
  <c r="AG168" i="5"/>
  <c r="AF168" i="5"/>
  <c r="BF167" i="5"/>
  <c r="BE167" i="5"/>
  <c r="BD167" i="5"/>
  <c r="AN167" i="5"/>
  <c r="AM167" i="5"/>
  <c r="AI167" i="5"/>
  <c r="AF167" i="5"/>
  <c r="AG167" i="5" s="1"/>
  <c r="BF166" i="5"/>
  <c r="BE166" i="5"/>
  <c r="BD166" i="5"/>
  <c r="AN166" i="5"/>
  <c r="AM166" i="5"/>
  <c r="AI166" i="5"/>
  <c r="AF166" i="5"/>
  <c r="AG166" i="5" s="1"/>
  <c r="BF165" i="5"/>
  <c r="BD165" i="5"/>
  <c r="BE165" i="5" s="1"/>
  <c r="AN165" i="5"/>
  <c r="AM165" i="5"/>
  <c r="AI165" i="5"/>
  <c r="AG165" i="5"/>
  <c r="AF165" i="5"/>
  <c r="BF164" i="5"/>
  <c r="BD164" i="5"/>
  <c r="BE164" i="5" s="1"/>
  <c r="AN164" i="5"/>
  <c r="AM164" i="5"/>
  <c r="AI164" i="5"/>
  <c r="AF164" i="5"/>
  <c r="AG164" i="5" s="1"/>
  <c r="BD163" i="5"/>
  <c r="BF163" i="5" s="1"/>
  <c r="AN163" i="5"/>
  <c r="AM163" i="5"/>
  <c r="AI163" i="5"/>
  <c r="AF163" i="5"/>
  <c r="AG163" i="5" s="1"/>
  <c r="BF162" i="5"/>
  <c r="BE162" i="5"/>
  <c r="BD162" i="5"/>
  <c r="AN162" i="5"/>
  <c r="AM162" i="5"/>
  <c r="AI162" i="5"/>
  <c r="AG162" i="5"/>
  <c r="AF162" i="5"/>
  <c r="BD161" i="5"/>
  <c r="AN161" i="5"/>
  <c r="AM161" i="5"/>
  <c r="AI161" i="5"/>
  <c r="AG161" i="5"/>
  <c r="AF161" i="5"/>
  <c r="BF160" i="5"/>
  <c r="BE160" i="5"/>
  <c r="BD160" i="5"/>
  <c r="AN160" i="5"/>
  <c r="AM160" i="5"/>
  <c r="AI160" i="5"/>
  <c r="AF160" i="5"/>
  <c r="AG160" i="5" s="1"/>
  <c r="BF159" i="5"/>
  <c r="BD159" i="5"/>
  <c r="BE159" i="5" s="1"/>
  <c r="AN159" i="5"/>
  <c r="AM159" i="5"/>
  <c r="AI159" i="5"/>
  <c r="AG159" i="5"/>
  <c r="AF159" i="5"/>
  <c r="BF158" i="5"/>
  <c r="BD158" i="5"/>
  <c r="BE158" i="5" s="1"/>
  <c r="AN158" i="5"/>
  <c r="AM158" i="5"/>
  <c r="AI158" i="5"/>
  <c r="AF158" i="5"/>
  <c r="AG158" i="5" s="1"/>
  <c r="BD157" i="5"/>
  <c r="AN157" i="5"/>
  <c r="AM157" i="5"/>
  <c r="AI157" i="5"/>
  <c r="AF157" i="5"/>
  <c r="AG157" i="5" s="1"/>
  <c r="BF156" i="5"/>
  <c r="BE156" i="5"/>
  <c r="BD156" i="5"/>
  <c r="AN156" i="5"/>
  <c r="AM156" i="5"/>
  <c r="AI156" i="5"/>
  <c r="AG156" i="5"/>
  <c r="AF156" i="5"/>
  <c r="BD155" i="5"/>
  <c r="AN155" i="5"/>
  <c r="AM155" i="5"/>
  <c r="AI155" i="5"/>
  <c r="AG155" i="5"/>
  <c r="AF155" i="5"/>
  <c r="BF154" i="5"/>
  <c r="BE154" i="5"/>
  <c r="BD154" i="5"/>
  <c r="AN154" i="5"/>
  <c r="AM154" i="5"/>
  <c r="AI154" i="5"/>
  <c r="AF154" i="5"/>
  <c r="AG154" i="5" s="1"/>
  <c r="BF153" i="5"/>
  <c r="BD153" i="5"/>
  <c r="BE153" i="5" s="1"/>
  <c r="AN153" i="5"/>
  <c r="AM153" i="5"/>
  <c r="AI153" i="5"/>
  <c r="AG153" i="5"/>
  <c r="AF153" i="5"/>
  <c r="BF152" i="5"/>
  <c r="BD152" i="5"/>
  <c r="BE152" i="5" s="1"/>
  <c r="AN152" i="5"/>
  <c r="AM152" i="5"/>
  <c r="AI152" i="5"/>
  <c r="AF152" i="5"/>
  <c r="AG152" i="5" s="1"/>
  <c r="BD151" i="5"/>
  <c r="AN151" i="5"/>
  <c r="AM151" i="5"/>
  <c r="AI151" i="5"/>
  <c r="AF151" i="5"/>
  <c r="AG151" i="5" s="1"/>
  <c r="BF150" i="5"/>
  <c r="BE150" i="5"/>
  <c r="BD150" i="5"/>
  <c r="AN150" i="5"/>
  <c r="AM150" i="5"/>
  <c r="AI150" i="5"/>
  <c r="AG150" i="5"/>
  <c r="AF150" i="5"/>
  <c r="BD149" i="5"/>
  <c r="AN149" i="5"/>
  <c r="AM149" i="5"/>
  <c r="AI149" i="5"/>
  <c r="AG149" i="5"/>
  <c r="AF149" i="5"/>
  <c r="BF148" i="5"/>
  <c r="BE148" i="5"/>
  <c r="BD148" i="5"/>
  <c r="AN148" i="5"/>
  <c r="AM148" i="5"/>
  <c r="AI148" i="5"/>
  <c r="AF148" i="5"/>
  <c r="AG148" i="5" s="1"/>
  <c r="BF147" i="5"/>
  <c r="BD147" i="5"/>
  <c r="BE147" i="5" s="1"/>
  <c r="AN147" i="5"/>
  <c r="AM147" i="5"/>
  <c r="AI147" i="5"/>
  <c r="AG147" i="5"/>
  <c r="AF147" i="5"/>
  <c r="BF146" i="5"/>
  <c r="BD146" i="5"/>
  <c r="BE146" i="5" s="1"/>
  <c r="AN146" i="5"/>
  <c r="AM146" i="5"/>
  <c r="AI146" i="5"/>
  <c r="AF146" i="5"/>
  <c r="AG146" i="5" s="1"/>
  <c r="BD145" i="5"/>
  <c r="AN145" i="5"/>
  <c r="AM145" i="5"/>
  <c r="AI145" i="5"/>
  <c r="AF145" i="5"/>
  <c r="AG145" i="5" s="1"/>
  <c r="BF144" i="5"/>
  <c r="BE144" i="5"/>
  <c r="BD144" i="5"/>
  <c r="AN144" i="5"/>
  <c r="AM144" i="5"/>
  <c r="AI144" i="5"/>
  <c r="AG144" i="5"/>
  <c r="AF144" i="5"/>
  <c r="BD143" i="5"/>
  <c r="AN143" i="5"/>
  <c r="AM143" i="5"/>
  <c r="AI143" i="5"/>
  <c r="AG143" i="5"/>
  <c r="AF143" i="5"/>
  <c r="BF142" i="5"/>
  <c r="BE142" i="5"/>
  <c r="BD142" i="5"/>
  <c r="AN142" i="5"/>
  <c r="AM142" i="5"/>
  <c r="AI142" i="5"/>
  <c r="AF142" i="5"/>
  <c r="AG142" i="5" s="1"/>
  <c r="BF141" i="5"/>
  <c r="BD141" i="5"/>
  <c r="BE141" i="5" s="1"/>
  <c r="AN141" i="5"/>
  <c r="AM141" i="5"/>
  <c r="AI141" i="5"/>
  <c r="AG141" i="5"/>
  <c r="AF141" i="5"/>
  <c r="BF140" i="5"/>
  <c r="BD140" i="5"/>
  <c r="BE140" i="5" s="1"/>
  <c r="AN140" i="5"/>
  <c r="AM140" i="5"/>
  <c r="AI140" i="5"/>
  <c r="AF140" i="5"/>
  <c r="AG140" i="5" s="1"/>
  <c r="BD139" i="5"/>
  <c r="AN139" i="5"/>
  <c r="AM139" i="5"/>
  <c r="AI139" i="5"/>
  <c r="AF139" i="5"/>
  <c r="AG139" i="5" s="1"/>
  <c r="BF138" i="5"/>
  <c r="BE138" i="5"/>
  <c r="BD138" i="5"/>
  <c r="AN138" i="5"/>
  <c r="AM138" i="5"/>
  <c r="AI138" i="5"/>
  <c r="AG138" i="5"/>
  <c r="AF138" i="5"/>
  <c r="BD137" i="5"/>
  <c r="AN137" i="5"/>
  <c r="AM137" i="5"/>
  <c r="AI137" i="5"/>
  <c r="AG137" i="5"/>
  <c r="AF137" i="5"/>
  <c r="BF136" i="5"/>
  <c r="BE136" i="5"/>
  <c r="BD136" i="5"/>
  <c r="AN136" i="5"/>
  <c r="AM136" i="5"/>
  <c r="AI136" i="5"/>
  <c r="AF136" i="5"/>
  <c r="AG136" i="5" s="1"/>
  <c r="BF135" i="5"/>
  <c r="BD135" i="5"/>
  <c r="BE135" i="5" s="1"/>
  <c r="AN135" i="5"/>
  <c r="AM135" i="5"/>
  <c r="AI135" i="5"/>
  <c r="AG135" i="5"/>
  <c r="AF135" i="5"/>
  <c r="BD134" i="5"/>
  <c r="BE134" i="5" s="1"/>
  <c r="AN134" i="5"/>
  <c r="AM134" i="5"/>
  <c r="AI134" i="5"/>
  <c r="AF134" i="5"/>
  <c r="AG134" i="5" s="1"/>
  <c r="BD133" i="5"/>
  <c r="AN133" i="5"/>
  <c r="AM133" i="5"/>
  <c r="AI133" i="5"/>
  <c r="AF133" i="5"/>
  <c r="AG133" i="5" s="1"/>
  <c r="BF132" i="5"/>
  <c r="BE132" i="5"/>
  <c r="BD132" i="5"/>
  <c r="AN132" i="5"/>
  <c r="AM132" i="5"/>
  <c r="AI132" i="5"/>
  <c r="AG132" i="5"/>
  <c r="AF132" i="5"/>
  <c r="BD131" i="5"/>
  <c r="AN131" i="5"/>
  <c r="AM131" i="5"/>
  <c r="AI131" i="5"/>
  <c r="AG131" i="5"/>
  <c r="AF131" i="5"/>
  <c r="BF130" i="5"/>
  <c r="BE130" i="5"/>
  <c r="BD130" i="5"/>
  <c r="AN130" i="5"/>
  <c r="AM130" i="5"/>
  <c r="AI130" i="5"/>
  <c r="AF130" i="5"/>
  <c r="AG130" i="5" s="1"/>
  <c r="BF129" i="5"/>
  <c r="BD129" i="5"/>
  <c r="BE129" i="5" s="1"/>
  <c r="AN129" i="5"/>
  <c r="AM129" i="5"/>
  <c r="AI129" i="5"/>
  <c r="AG129" i="5"/>
  <c r="AF129" i="5"/>
  <c r="BF128" i="5"/>
  <c r="BD128" i="5"/>
  <c r="BE128" i="5" s="1"/>
  <c r="AN128" i="5"/>
  <c r="AM128" i="5"/>
  <c r="AI128" i="5"/>
  <c r="AF128" i="5"/>
  <c r="AG128" i="5" s="1"/>
  <c r="BD127" i="5"/>
  <c r="AN127" i="5"/>
  <c r="AM127" i="5"/>
  <c r="AI127" i="5"/>
  <c r="AF127" i="5"/>
  <c r="AG127" i="5" s="1"/>
  <c r="BF126" i="5"/>
  <c r="BE126" i="5"/>
  <c r="BD126" i="5"/>
  <c r="AN126" i="5"/>
  <c r="AM126" i="5"/>
  <c r="AI126" i="5"/>
  <c r="AG126" i="5"/>
  <c r="AF126" i="5"/>
  <c r="BD125" i="5"/>
  <c r="AN125" i="5"/>
  <c r="AM125" i="5"/>
  <c r="AI125" i="5"/>
  <c r="AG125" i="5"/>
  <c r="AF125" i="5"/>
  <c r="BF124" i="5"/>
  <c r="BE124" i="5"/>
  <c r="BD124" i="5"/>
  <c r="AN124" i="5"/>
  <c r="AM124" i="5"/>
  <c r="AI124" i="5"/>
  <c r="AF124" i="5"/>
  <c r="AG124" i="5" s="1"/>
  <c r="BF123" i="5"/>
  <c r="BD123" i="5"/>
  <c r="BE123" i="5" s="1"/>
  <c r="AN123" i="5"/>
  <c r="AM123" i="5"/>
  <c r="AI123" i="5"/>
  <c r="AG123" i="5"/>
  <c r="AF123" i="5"/>
  <c r="BD122" i="5"/>
  <c r="BE122" i="5" s="1"/>
  <c r="AN122" i="5"/>
  <c r="AM122" i="5"/>
  <c r="AI122" i="5"/>
  <c r="AF122" i="5"/>
  <c r="AG122" i="5" s="1"/>
  <c r="BD121" i="5"/>
  <c r="AN121" i="5"/>
  <c r="AM121" i="5"/>
  <c r="AI121" i="5"/>
  <c r="AF121" i="5"/>
  <c r="AG121" i="5" s="1"/>
  <c r="BF120" i="5"/>
  <c r="BE120" i="5"/>
  <c r="BD120" i="5"/>
  <c r="AN120" i="5"/>
  <c r="AM120" i="5"/>
  <c r="AI120" i="5"/>
  <c r="AG120" i="5"/>
  <c r="AF120" i="5"/>
  <c r="BD119" i="5"/>
  <c r="AN119" i="5"/>
  <c r="AM119" i="5"/>
  <c r="AI119" i="5"/>
  <c r="AG119" i="5"/>
  <c r="AF119" i="5"/>
  <c r="BF118" i="5"/>
  <c r="BE118" i="5"/>
  <c r="BD118" i="5"/>
  <c r="AN118" i="5"/>
  <c r="AM118" i="5"/>
  <c r="AI118" i="5"/>
  <c r="AF118" i="5"/>
  <c r="AG118" i="5" s="1"/>
  <c r="BF117" i="5"/>
  <c r="BD117" i="5"/>
  <c r="BE117" i="5" s="1"/>
  <c r="AN117" i="5"/>
  <c r="AM117" i="5"/>
  <c r="AI117" i="5"/>
  <c r="AG117" i="5"/>
  <c r="AF117" i="5"/>
  <c r="BF116" i="5"/>
  <c r="BD116" i="5"/>
  <c r="BE116" i="5" s="1"/>
  <c r="AN116" i="5"/>
  <c r="AM116" i="5"/>
  <c r="AI116" i="5"/>
  <c r="AF116" i="5"/>
  <c r="AG116" i="5" s="1"/>
  <c r="BD115" i="5"/>
  <c r="AN115" i="5"/>
  <c r="AM115" i="5"/>
  <c r="AI115" i="5"/>
  <c r="AF115" i="5"/>
  <c r="AG115" i="5" s="1"/>
  <c r="BF114" i="5"/>
  <c r="BE114" i="5"/>
  <c r="BD114" i="5"/>
  <c r="AN114" i="5"/>
  <c r="AM114" i="5"/>
  <c r="AI114" i="5"/>
  <c r="AG114" i="5"/>
  <c r="AF114" i="5"/>
  <c r="BD113" i="5"/>
  <c r="AN113" i="5"/>
  <c r="AM113" i="5"/>
  <c r="AI113" i="5"/>
  <c r="AG113" i="5"/>
  <c r="AF113" i="5"/>
  <c r="BF112" i="5"/>
  <c r="BE112" i="5"/>
  <c r="BD112" i="5"/>
  <c r="AN112" i="5"/>
  <c r="AM112" i="5"/>
  <c r="AI112" i="5"/>
  <c r="AF112" i="5"/>
  <c r="AG112" i="5" s="1"/>
  <c r="BF111" i="5"/>
  <c r="BD111" i="5"/>
  <c r="BE111" i="5" s="1"/>
  <c r="AN111" i="5"/>
  <c r="AM111" i="5"/>
  <c r="AI111" i="5"/>
  <c r="AG111" i="5"/>
  <c r="AF111" i="5"/>
  <c r="BF110" i="5"/>
  <c r="BD110" i="5"/>
  <c r="BE110" i="5" s="1"/>
  <c r="AN110" i="5"/>
  <c r="AM110" i="5"/>
  <c r="AI110" i="5"/>
  <c r="AF110" i="5"/>
  <c r="AG110" i="5" s="1"/>
  <c r="BE109" i="5"/>
  <c r="BD109" i="5"/>
  <c r="BF109" i="5" s="1"/>
  <c r="AN109" i="5"/>
  <c r="AM109" i="5"/>
  <c r="AI109" i="5"/>
  <c r="AF109" i="5"/>
  <c r="AG109" i="5" s="1"/>
  <c r="BF108" i="5"/>
  <c r="BE108" i="5"/>
  <c r="BD108" i="5"/>
  <c r="AN108" i="5"/>
  <c r="AM108" i="5"/>
  <c r="AI108" i="5"/>
  <c r="AG108" i="5"/>
  <c r="AF108" i="5"/>
  <c r="BD107" i="5"/>
  <c r="AN107" i="5"/>
  <c r="AM107" i="5"/>
  <c r="AI107" i="5"/>
  <c r="AG107" i="5"/>
  <c r="AF107" i="5"/>
  <c r="BD106" i="5"/>
  <c r="AN106" i="5"/>
  <c r="AM106" i="5"/>
  <c r="AI106" i="5"/>
  <c r="AF106" i="5"/>
  <c r="AG106" i="5" s="1"/>
  <c r="BF105" i="5"/>
  <c r="BE105" i="5"/>
  <c r="BD105" i="5"/>
  <c r="AN105" i="5"/>
  <c r="AM105" i="5"/>
  <c r="AI105" i="5"/>
  <c r="AF105" i="5"/>
  <c r="AG105" i="5" s="1"/>
  <c r="BF104" i="5"/>
  <c r="BD104" i="5"/>
  <c r="BE104" i="5" s="1"/>
  <c r="AN104" i="5"/>
  <c r="AM104" i="5"/>
  <c r="AI104" i="5"/>
  <c r="AF104" i="5"/>
  <c r="AG104" i="5" s="1"/>
  <c r="BD103" i="5"/>
  <c r="AN103" i="5"/>
  <c r="AM103" i="5"/>
  <c r="AI103" i="5"/>
  <c r="AG103" i="5"/>
  <c r="AF103" i="5"/>
  <c r="BF102" i="5"/>
  <c r="BE102" i="5"/>
  <c r="BD102" i="5"/>
  <c r="AN102" i="5"/>
  <c r="AM102" i="5"/>
  <c r="AI102" i="5"/>
  <c r="AF102" i="5"/>
  <c r="AG102" i="5" s="1"/>
  <c r="BF101" i="5"/>
  <c r="BE101" i="5"/>
  <c r="BD101" i="5"/>
  <c r="AN101" i="5"/>
  <c r="AM101" i="5"/>
  <c r="AI101" i="5"/>
  <c r="AG101" i="5"/>
  <c r="AF101" i="5"/>
  <c r="BD100" i="5"/>
  <c r="AN100" i="5"/>
  <c r="AM100" i="5"/>
  <c r="AI100" i="5"/>
  <c r="AF100" i="5"/>
  <c r="AG100" i="5" s="1"/>
  <c r="BF99" i="5"/>
  <c r="BE99" i="5"/>
  <c r="BD99" i="5"/>
  <c r="AN99" i="5"/>
  <c r="AM99" i="5"/>
  <c r="AI99" i="5"/>
  <c r="AF99" i="5"/>
  <c r="AG99" i="5" s="1"/>
  <c r="BF98" i="5"/>
  <c r="BD98" i="5"/>
  <c r="BE98" i="5" s="1"/>
  <c r="AN98" i="5"/>
  <c r="AM98" i="5"/>
  <c r="AI98" i="5"/>
  <c r="AF98" i="5"/>
  <c r="AG98" i="5" s="1"/>
  <c r="BD97" i="5"/>
  <c r="AN97" i="5"/>
  <c r="AM97" i="5"/>
  <c r="AI97" i="5"/>
  <c r="AG97" i="5"/>
  <c r="AF97" i="5"/>
  <c r="BF96" i="5"/>
  <c r="BE96" i="5"/>
  <c r="BD96" i="5"/>
  <c r="AN96" i="5"/>
  <c r="AM96" i="5"/>
  <c r="AI96" i="5"/>
  <c r="AG96" i="5"/>
  <c r="AF96" i="5"/>
  <c r="BD95" i="5"/>
  <c r="BE95" i="5" s="1"/>
  <c r="AN95" i="5"/>
  <c r="AM95" i="5"/>
  <c r="AI95" i="5"/>
  <c r="AG95" i="5"/>
  <c r="AF95" i="5"/>
  <c r="BD94" i="5"/>
  <c r="AN94" i="5"/>
  <c r="AM94" i="5"/>
  <c r="AI94" i="5"/>
  <c r="AF94" i="5"/>
  <c r="AG94" i="5" s="1"/>
  <c r="BF93" i="5"/>
  <c r="BE93" i="5"/>
  <c r="BD93" i="5"/>
  <c r="AN93" i="5"/>
  <c r="AM93" i="5"/>
  <c r="AI93" i="5"/>
  <c r="AG93" i="5"/>
  <c r="AF93" i="5"/>
  <c r="BF92" i="5"/>
  <c r="BD92" i="5"/>
  <c r="BE92" i="5" s="1"/>
  <c r="AN92" i="5"/>
  <c r="AM92" i="5"/>
  <c r="AI92" i="5"/>
  <c r="AG92" i="5"/>
  <c r="AF92" i="5"/>
  <c r="BD91" i="5"/>
  <c r="AN91" i="5"/>
  <c r="AM91" i="5"/>
  <c r="AI91" i="5"/>
  <c r="AG91" i="5"/>
  <c r="AF91" i="5"/>
  <c r="BF90" i="5"/>
  <c r="BE90" i="5"/>
  <c r="BD90" i="5"/>
  <c r="AN90" i="5"/>
  <c r="AM90" i="5"/>
  <c r="AI90" i="5"/>
  <c r="AG90" i="5"/>
  <c r="AF90" i="5"/>
  <c r="BD89" i="5"/>
  <c r="BF89" i="5" s="1"/>
  <c r="AN89" i="5"/>
  <c r="AM89" i="5"/>
  <c r="AI89" i="5"/>
  <c r="AG89" i="5"/>
  <c r="AF89" i="5"/>
  <c r="BD88" i="5"/>
  <c r="AN88" i="5"/>
  <c r="AM88" i="5"/>
  <c r="AI88" i="5"/>
  <c r="AF88" i="5"/>
  <c r="AG88" i="5" s="1"/>
  <c r="BF87" i="5"/>
  <c r="BE87" i="5"/>
  <c r="BD87" i="5"/>
  <c r="AN87" i="5"/>
  <c r="AM87" i="5"/>
  <c r="AI87" i="5"/>
  <c r="AG87" i="5"/>
  <c r="AF87" i="5"/>
  <c r="BD86" i="5"/>
  <c r="BE86" i="5" s="1"/>
  <c r="AN86" i="5"/>
  <c r="AM86" i="5"/>
  <c r="AI86" i="5"/>
  <c r="AG86" i="5"/>
  <c r="AF86" i="5"/>
  <c r="BD85" i="5"/>
  <c r="AN85" i="5"/>
  <c r="AM85" i="5"/>
  <c r="AI85" i="5"/>
  <c r="AG85" i="5"/>
  <c r="AF85" i="5"/>
  <c r="BF84" i="5"/>
  <c r="BE84" i="5"/>
  <c r="BD84" i="5"/>
  <c r="AN84" i="5"/>
  <c r="AM84" i="5"/>
  <c r="AI84" i="5"/>
  <c r="AG84" i="5"/>
  <c r="AF84" i="5"/>
  <c r="BF83" i="5"/>
  <c r="BE83" i="5"/>
  <c r="BD83" i="5"/>
  <c r="AN83" i="5"/>
  <c r="AM83" i="5"/>
  <c r="AI83" i="5"/>
  <c r="AG83" i="5"/>
  <c r="AF83" i="5"/>
  <c r="BD82" i="5"/>
  <c r="AN82" i="5"/>
  <c r="AM82" i="5"/>
  <c r="AI82" i="5"/>
  <c r="AF82" i="5"/>
  <c r="AG82" i="5" s="1"/>
  <c r="BF81" i="5"/>
  <c r="BE81" i="5"/>
  <c r="BD81" i="5"/>
  <c r="AN81" i="5"/>
  <c r="AM81" i="5"/>
  <c r="AI81" i="5"/>
  <c r="AG81" i="5"/>
  <c r="AF81" i="5"/>
  <c r="BD80" i="5"/>
  <c r="BE80" i="5" s="1"/>
  <c r="AN80" i="5"/>
  <c r="AM80" i="5"/>
  <c r="AI80" i="5"/>
  <c r="AG80" i="5"/>
  <c r="AF80" i="5"/>
  <c r="BD79" i="5"/>
  <c r="AN79" i="5"/>
  <c r="AM79" i="5"/>
  <c r="AI79" i="5"/>
  <c r="AG79" i="5"/>
  <c r="AF79" i="5"/>
  <c r="BF78" i="5"/>
  <c r="BE78" i="5"/>
  <c r="BD78" i="5"/>
  <c r="AN78" i="5"/>
  <c r="AM78" i="5"/>
  <c r="AI78" i="5"/>
  <c r="AF78" i="5"/>
  <c r="AG78" i="5" s="1"/>
  <c r="BF77" i="5"/>
  <c r="BD77" i="5"/>
  <c r="BE77" i="5" s="1"/>
  <c r="AN77" i="5"/>
  <c r="AM77" i="5"/>
  <c r="AI77" i="5"/>
  <c r="AG77" i="5"/>
  <c r="AF77" i="5"/>
  <c r="BD76" i="5"/>
  <c r="AN76" i="5"/>
  <c r="AM76" i="5"/>
  <c r="AI76" i="5"/>
  <c r="AF76" i="5"/>
  <c r="AG76" i="5" s="1"/>
  <c r="BF75" i="5"/>
  <c r="BE75" i="5"/>
  <c r="BD75" i="5"/>
  <c r="AN75" i="5"/>
  <c r="AM75" i="5"/>
  <c r="AI75" i="5"/>
  <c r="AF75" i="5"/>
  <c r="AG75" i="5" s="1"/>
  <c r="BF74" i="5"/>
  <c r="BD74" i="5"/>
  <c r="BE74" i="5" s="1"/>
  <c r="AN74" i="5"/>
  <c r="AM74" i="5"/>
  <c r="AI74" i="5"/>
  <c r="AF74" i="5"/>
  <c r="AG74" i="5" s="1"/>
  <c r="BD73" i="5"/>
  <c r="AN73" i="5"/>
  <c r="AM73" i="5"/>
  <c r="AI73" i="5"/>
  <c r="AG73" i="5"/>
  <c r="AF73" i="5"/>
  <c r="BF72" i="5"/>
  <c r="BE72" i="5"/>
  <c r="BD72" i="5"/>
  <c r="AN72" i="5"/>
  <c r="AM72" i="5"/>
  <c r="AI72" i="5"/>
  <c r="AF72" i="5"/>
  <c r="AG72" i="5" s="1"/>
  <c r="BE71" i="5"/>
  <c r="BD71" i="5"/>
  <c r="BF71" i="5" s="1"/>
  <c r="AN71" i="5"/>
  <c r="AM71" i="5"/>
  <c r="AI71" i="5"/>
  <c r="AG71" i="5"/>
  <c r="AF71" i="5"/>
  <c r="BD70" i="5"/>
  <c r="AN70" i="5"/>
  <c r="AM70" i="5"/>
  <c r="AI70" i="5"/>
  <c r="AF70" i="5"/>
  <c r="AG70" i="5" s="1"/>
  <c r="BF69" i="5"/>
  <c r="BE69" i="5"/>
  <c r="BD69" i="5"/>
  <c r="AN69" i="5"/>
  <c r="AM69" i="5"/>
  <c r="AI69" i="5"/>
  <c r="AF69" i="5"/>
  <c r="AG69" i="5" s="1"/>
  <c r="BD68" i="5"/>
  <c r="BE68" i="5" s="1"/>
  <c r="AN68" i="5"/>
  <c r="AM68" i="5"/>
  <c r="AI68" i="5"/>
  <c r="AF68" i="5"/>
  <c r="AG68" i="5" s="1"/>
  <c r="BD67" i="5"/>
  <c r="AN67" i="5"/>
  <c r="AM67" i="5"/>
  <c r="AI67" i="5"/>
  <c r="AG67" i="5"/>
  <c r="AF67" i="5"/>
  <c r="BF66" i="5"/>
  <c r="BE66" i="5"/>
  <c r="BD66" i="5"/>
  <c r="AN66" i="5"/>
  <c r="AM66" i="5"/>
  <c r="AI66" i="5"/>
  <c r="AG66" i="5"/>
  <c r="AF66" i="5"/>
  <c r="BF65" i="5"/>
  <c r="BE65" i="5"/>
  <c r="BD65" i="5"/>
  <c r="AN65" i="5"/>
  <c r="AM65" i="5"/>
  <c r="AI65" i="5"/>
  <c r="AG65" i="5"/>
  <c r="AF65" i="5"/>
  <c r="BD64" i="5"/>
  <c r="AN64" i="5"/>
  <c r="AM64" i="5"/>
  <c r="AI64" i="5"/>
  <c r="AF64" i="5"/>
  <c r="AG64" i="5" s="1"/>
  <c r="BF63" i="5"/>
  <c r="BE63" i="5"/>
  <c r="BD63" i="5"/>
  <c r="AN63" i="5"/>
  <c r="AM63" i="5"/>
  <c r="AI63" i="5"/>
  <c r="AG63" i="5"/>
  <c r="AF63" i="5"/>
  <c r="BF62" i="5"/>
  <c r="BD62" i="5"/>
  <c r="BE62" i="5" s="1"/>
  <c r="AN62" i="5"/>
  <c r="AM62" i="5"/>
  <c r="AI62" i="5"/>
  <c r="AG62" i="5"/>
  <c r="AF62" i="5"/>
  <c r="BD61" i="5"/>
  <c r="AN61" i="5"/>
  <c r="AM61" i="5"/>
  <c r="AI61" i="5"/>
  <c r="AG61" i="5"/>
  <c r="AF61" i="5"/>
  <c r="BF60" i="5"/>
  <c r="BE60" i="5"/>
  <c r="BD60" i="5"/>
  <c r="AN60" i="5"/>
  <c r="AM60" i="5"/>
  <c r="AI60" i="5"/>
  <c r="AF60" i="5"/>
  <c r="AG60" i="5" s="1"/>
  <c r="BF59" i="5"/>
  <c r="BE59" i="5"/>
  <c r="BD59" i="5"/>
  <c r="AN59" i="5"/>
  <c r="AM59" i="5"/>
  <c r="AI59" i="5"/>
  <c r="AG59" i="5"/>
  <c r="AF59" i="5"/>
  <c r="BD58" i="5"/>
  <c r="AN58" i="5"/>
  <c r="AM58" i="5"/>
  <c r="AI58" i="5"/>
  <c r="AF58" i="5"/>
  <c r="AG58" i="5" s="1"/>
  <c r="BF57" i="5"/>
  <c r="BE57" i="5"/>
  <c r="BD57" i="5"/>
  <c r="AN57" i="5"/>
  <c r="AM57" i="5"/>
  <c r="AI57" i="5"/>
  <c r="AF57" i="5"/>
  <c r="AG57" i="5" s="1"/>
  <c r="BF56" i="5"/>
  <c r="BD56" i="5"/>
  <c r="BE56" i="5" s="1"/>
  <c r="AN56" i="5"/>
  <c r="AM56" i="5"/>
  <c r="AI56" i="5"/>
  <c r="AG56" i="5"/>
  <c r="AF56" i="5"/>
  <c r="BD55" i="5"/>
  <c r="BF55" i="5" s="1"/>
  <c r="AN55" i="5"/>
  <c r="AM55" i="5"/>
  <c r="AI55" i="5"/>
  <c r="AG55" i="5"/>
  <c r="AF55" i="5"/>
  <c r="BF54" i="5"/>
  <c r="BE54" i="5"/>
  <c r="BD54" i="5"/>
  <c r="AN54" i="5"/>
  <c r="AM54" i="5"/>
  <c r="AI54" i="5"/>
  <c r="AG54" i="5"/>
  <c r="AF54" i="5"/>
  <c r="BF53" i="5"/>
  <c r="BE53" i="5"/>
  <c r="BD53" i="5"/>
  <c r="AN53" i="5"/>
  <c r="AM53" i="5"/>
  <c r="AI53" i="5"/>
  <c r="AG53" i="5"/>
  <c r="AF53" i="5"/>
  <c r="BD52" i="5"/>
  <c r="AN52" i="5"/>
  <c r="AM52" i="5"/>
  <c r="AI52" i="5"/>
  <c r="AF52" i="5"/>
  <c r="AG52" i="5" s="1"/>
  <c r="BF51" i="5"/>
  <c r="BE51" i="5"/>
  <c r="BD51" i="5"/>
  <c r="AN51" i="5"/>
  <c r="AM51" i="5"/>
  <c r="AI51" i="5"/>
  <c r="AG51" i="5"/>
  <c r="AF51" i="5"/>
  <c r="BF50" i="5"/>
  <c r="BD50" i="5"/>
  <c r="BE50" i="5" s="1"/>
  <c r="AN50" i="5"/>
  <c r="AM50" i="5"/>
  <c r="AI50" i="5"/>
  <c r="AG50" i="5"/>
  <c r="AF50" i="5"/>
  <c r="BE49" i="5"/>
  <c r="BD49" i="5"/>
  <c r="BF49" i="5" s="1"/>
  <c r="AN49" i="5"/>
  <c r="AM49" i="5"/>
  <c r="AI49" i="5"/>
  <c r="AG49" i="5"/>
  <c r="AF49" i="5"/>
  <c r="BF48" i="5"/>
  <c r="BE48" i="5"/>
  <c r="BD48" i="5"/>
  <c r="AN48" i="5"/>
  <c r="AM48" i="5"/>
  <c r="AI48" i="5"/>
  <c r="AG48" i="5"/>
  <c r="AF48" i="5"/>
  <c r="BD47" i="5"/>
  <c r="BF47" i="5" s="1"/>
  <c r="AN47" i="5"/>
  <c r="AM47" i="5"/>
  <c r="AI47" i="5"/>
  <c r="AG47" i="5"/>
  <c r="AF47" i="5"/>
  <c r="BF46" i="5"/>
  <c r="BD46" i="5"/>
  <c r="BE46" i="5" s="1"/>
  <c r="AN46" i="5"/>
  <c r="AM46" i="5"/>
  <c r="AI46" i="5"/>
  <c r="AF46" i="5"/>
  <c r="AG46" i="5" s="1"/>
  <c r="BF45" i="5"/>
  <c r="BE45" i="5"/>
  <c r="BD45" i="5"/>
  <c r="AN45" i="5"/>
  <c r="AM45" i="5"/>
  <c r="AI45" i="5"/>
  <c r="AG45" i="5"/>
  <c r="AF45" i="5"/>
  <c r="BF44" i="5"/>
  <c r="BD44" i="5"/>
  <c r="BE44" i="5" s="1"/>
  <c r="AN44" i="5"/>
  <c r="AM44" i="5"/>
  <c r="AI44" i="5"/>
  <c r="AF44" i="5"/>
  <c r="AG44" i="5" s="1"/>
  <c r="BE43" i="5"/>
  <c r="BD43" i="5"/>
  <c r="BF43" i="5" s="1"/>
  <c r="AN43" i="5"/>
  <c r="AM43" i="5"/>
  <c r="AI43" i="5"/>
  <c r="AG43" i="5"/>
  <c r="AF43" i="5"/>
  <c r="BF42" i="5"/>
  <c r="BE42" i="5"/>
  <c r="BD42" i="5"/>
  <c r="AN42" i="5"/>
  <c r="AM42" i="5"/>
  <c r="AI42" i="5"/>
  <c r="AG42" i="5"/>
  <c r="AF42" i="5"/>
  <c r="BF41" i="5"/>
  <c r="BE41" i="5"/>
  <c r="BD41" i="5"/>
  <c r="AN41" i="5"/>
  <c r="AM41" i="5"/>
  <c r="AI41" i="5"/>
  <c r="AG41" i="5"/>
  <c r="AF41" i="5"/>
  <c r="BD40" i="5"/>
  <c r="BE40" i="5" s="1"/>
  <c r="AN40" i="5"/>
  <c r="AM40" i="5"/>
  <c r="AI40" i="5"/>
  <c r="AF40" i="5"/>
  <c r="AG40" i="5" s="1"/>
  <c r="BF39" i="5"/>
  <c r="BE39" i="5"/>
  <c r="BD39" i="5"/>
  <c r="AN39" i="5"/>
  <c r="AM39" i="5"/>
  <c r="AI39" i="5"/>
  <c r="AG39" i="5"/>
  <c r="AF39" i="5"/>
  <c r="BD38" i="5"/>
  <c r="BE38" i="5" s="1"/>
  <c r="AN38" i="5"/>
  <c r="AM38" i="5"/>
  <c r="AI38" i="5"/>
  <c r="AF38" i="5"/>
  <c r="BE37" i="5"/>
  <c r="BD37" i="5"/>
  <c r="BF37" i="5" s="1"/>
  <c r="AN37" i="5"/>
  <c r="AM37" i="5"/>
  <c r="AI37" i="5"/>
  <c r="AG37" i="5"/>
  <c r="AF37" i="5"/>
  <c r="BD36" i="5"/>
  <c r="BE36" i="5" s="1"/>
  <c r="AN36" i="5"/>
  <c r="AM36" i="5"/>
  <c r="AI36" i="5"/>
  <c r="AF36" i="5"/>
  <c r="AG36" i="5" s="1"/>
  <c r="BF35" i="5"/>
  <c r="BE35" i="5"/>
  <c r="BD35" i="5"/>
  <c r="AN35" i="5"/>
  <c r="AM35" i="5"/>
  <c r="AI35" i="5"/>
  <c r="AG35" i="5"/>
  <c r="AF35" i="5"/>
  <c r="BD34" i="5"/>
  <c r="BF34" i="5" s="1"/>
  <c r="AN34" i="5"/>
  <c r="AM34" i="5"/>
  <c r="AI34" i="5"/>
  <c r="AF34" i="5"/>
  <c r="AG34" i="5" s="1"/>
  <c r="BD33" i="5"/>
  <c r="BF33" i="5" s="1"/>
  <c r="AN33" i="5"/>
  <c r="AM33" i="5"/>
  <c r="AI33" i="5"/>
  <c r="AF33" i="5"/>
  <c r="AG33" i="5" s="1"/>
  <c r="BF32" i="5"/>
  <c r="BE32" i="5"/>
  <c r="BD32" i="5"/>
  <c r="AN32" i="5"/>
  <c r="AM32" i="5"/>
  <c r="AI32" i="5"/>
  <c r="AG32" i="5"/>
  <c r="BE31" i="5"/>
  <c r="BD31" i="5"/>
  <c r="BF31" i="5" s="1"/>
  <c r="AN31" i="5"/>
  <c r="AM31" i="5"/>
  <c r="AI31" i="5"/>
  <c r="AG31" i="5"/>
  <c r="AF31" i="5"/>
  <c r="BF30" i="5"/>
  <c r="BE30" i="5"/>
  <c r="BD30" i="5"/>
  <c r="AN30" i="5"/>
  <c r="AM30" i="5"/>
  <c r="AI30" i="5"/>
  <c r="AF30" i="5"/>
  <c r="AG30" i="5" s="1"/>
  <c r="BF29" i="5"/>
  <c r="BE29" i="5"/>
  <c r="BD29" i="5"/>
  <c r="AN29" i="5"/>
  <c r="AM29" i="5"/>
  <c r="AI29" i="5"/>
  <c r="AF29" i="5"/>
  <c r="AG29" i="5" s="1"/>
  <c r="BF28" i="5"/>
  <c r="BD28" i="5"/>
  <c r="BE28" i="5" s="1"/>
  <c r="AN28" i="5"/>
  <c r="AM28" i="5"/>
  <c r="AI28" i="5"/>
  <c r="AG28" i="5"/>
  <c r="AF28" i="5"/>
  <c r="BF27" i="5"/>
  <c r="BE27" i="5"/>
  <c r="BD27" i="5"/>
  <c r="AN27" i="5"/>
  <c r="AM27" i="5"/>
  <c r="AI27" i="5"/>
  <c r="AG27" i="5"/>
  <c r="AF27" i="5"/>
  <c r="BF26" i="5"/>
  <c r="BE26" i="5"/>
  <c r="BD26" i="5"/>
  <c r="AN26" i="5"/>
  <c r="AM26" i="5"/>
  <c r="AI26" i="5"/>
  <c r="AF26" i="5"/>
  <c r="AG26" i="5" s="1"/>
  <c r="BF25" i="5"/>
  <c r="BE25" i="5"/>
  <c r="BD25" i="5"/>
  <c r="AN25" i="5"/>
  <c r="AM25" i="5"/>
  <c r="AI25" i="5"/>
  <c r="AF25" i="5"/>
  <c r="AG25" i="5" s="1"/>
  <c r="BD24" i="5"/>
  <c r="BE24" i="5" s="1"/>
  <c r="AN24" i="5"/>
  <c r="AM24" i="5"/>
  <c r="AI24" i="5"/>
  <c r="AF24" i="5"/>
  <c r="AG24" i="5" s="1"/>
  <c r="BD23" i="5"/>
  <c r="BE23" i="5" s="1"/>
  <c r="AN23" i="5"/>
  <c r="AM23" i="5"/>
  <c r="AI23" i="5"/>
  <c r="AG23" i="5"/>
  <c r="BF22" i="5"/>
  <c r="BD22" i="5"/>
  <c r="BE22" i="5" s="1"/>
  <c r="AN22" i="5"/>
  <c r="AM22" i="5"/>
  <c r="AI22" i="5"/>
  <c r="AG22" i="5"/>
  <c r="AF22" i="5"/>
  <c r="BF21" i="5"/>
  <c r="BE21" i="5"/>
  <c r="BD21" i="5"/>
  <c r="AN21" i="5"/>
  <c r="AM21" i="5"/>
  <c r="AI21" i="5"/>
  <c r="AF21" i="5"/>
  <c r="AG21" i="5" s="1"/>
  <c r="BE20" i="5"/>
  <c r="BD20" i="5"/>
  <c r="BF20" i="5" s="1"/>
  <c r="AN20" i="5"/>
  <c r="AM20" i="5"/>
  <c r="AI20" i="5"/>
  <c r="AG20" i="5"/>
  <c r="AF20" i="5"/>
  <c r="BF19" i="5"/>
  <c r="BE19" i="5"/>
  <c r="BD19" i="5"/>
  <c r="AN19" i="5"/>
  <c r="AM19" i="5"/>
  <c r="AI19" i="5"/>
  <c r="AF19" i="5"/>
  <c r="AG19" i="5" s="1"/>
  <c r="BD18" i="5"/>
  <c r="BF18" i="5" s="1"/>
  <c r="AN18" i="5"/>
  <c r="AM18" i="5"/>
  <c r="AI18" i="5"/>
  <c r="AG18" i="5" s="1"/>
  <c r="BE17" i="5"/>
  <c r="BD17" i="5"/>
  <c r="BF17" i="5" s="1"/>
  <c r="AN17" i="5"/>
  <c r="AM17" i="5"/>
  <c r="AI17" i="5"/>
  <c r="AF17" i="5"/>
  <c r="AG17" i="5" s="1"/>
  <c r="BF16" i="5"/>
  <c r="BD16" i="5"/>
  <c r="BE16" i="5" s="1"/>
  <c r="AN16" i="5"/>
  <c r="AM16" i="5"/>
  <c r="AI16" i="5"/>
  <c r="AF16" i="5"/>
  <c r="AG16" i="5" s="1"/>
  <c r="BE15" i="5"/>
  <c r="BD15" i="5"/>
  <c r="BF15" i="5" s="1"/>
  <c r="AN15" i="5"/>
  <c r="AM15" i="5"/>
  <c r="AI15" i="5"/>
  <c r="AG15" i="5"/>
  <c r="AF15" i="5"/>
  <c r="BF14" i="5"/>
  <c r="BD14" i="5"/>
  <c r="BE14" i="5" s="1"/>
  <c r="AN14" i="5"/>
  <c r="AM14" i="5"/>
  <c r="AI14" i="5"/>
  <c r="AF14" i="5"/>
  <c r="AG14" i="5" s="1"/>
  <c r="BE13" i="5"/>
  <c r="BD13" i="5"/>
  <c r="BF13" i="5" s="1"/>
  <c r="AN13" i="5"/>
  <c r="AM13" i="5"/>
  <c r="AI13" i="5"/>
  <c r="AG13" i="5"/>
  <c r="AF13" i="5"/>
  <c r="BF12" i="5"/>
  <c r="BE12" i="5"/>
  <c r="BD12" i="5"/>
  <c r="AN12" i="5"/>
  <c r="AM12" i="5"/>
  <c r="AI12" i="5"/>
  <c r="AF12" i="5"/>
  <c r="AG12" i="5" s="1"/>
  <c r="BD11" i="5"/>
  <c r="BE11" i="5" s="1"/>
  <c r="AN11" i="5"/>
  <c r="AM11" i="5"/>
  <c r="AI11" i="5"/>
  <c r="AG11" i="5"/>
  <c r="AF11" i="5"/>
  <c r="BD10" i="5"/>
  <c r="AN10" i="5"/>
  <c r="AM10" i="5"/>
  <c r="AI10" i="5"/>
  <c r="AG10" i="5" s="1"/>
  <c r="BE9" i="5"/>
  <c r="BD9" i="5"/>
  <c r="BF9" i="5" s="1"/>
  <c r="AN9" i="5"/>
  <c r="AM9" i="5"/>
  <c r="AI9" i="5"/>
  <c r="AG9" i="5"/>
  <c r="AF9" i="5"/>
  <c r="BF8" i="5"/>
  <c r="BE8" i="5"/>
  <c r="BD8" i="5"/>
  <c r="AN8" i="5"/>
  <c r="AM8" i="5"/>
  <c r="AI8" i="5"/>
  <c r="AF8" i="5"/>
  <c r="BD7" i="5"/>
  <c r="AN7" i="5"/>
  <c r="AM7" i="5"/>
  <c r="AI7" i="5"/>
  <c r="AG7" i="5"/>
  <c r="AF7" i="5"/>
  <c r="AN6" i="5"/>
  <c r="AM6" i="5"/>
  <c r="AI6" i="5"/>
  <c r="AF6" i="5"/>
  <c r="AG6" i="5" s="1"/>
  <c r="AN5" i="5"/>
  <c r="AM5" i="5"/>
  <c r="AI5" i="5"/>
  <c r="AG5" i="5"/>
  <c r="AF5" i="5"/>
  <c r="BD4" i="5"/>
  <c r="BE4" i="5" s="1"/>
  <c r="AN4" i="5"/>
  <c r="AM4" i="5"/>
  <c r="AI4" i="5"/>
  <c r="AG4" i="5"/>
  <c r="AF4" i="5"/>
  <c r="BL601" i="4"/>
  <c r="AZ601" i="4"/>
  <c r="AY601" i="4"/>
  <c r="BL600" i="4"/>
  <c r="AZ600" i="4"/>
  <c r="AY600" i="4"/>
  <c r="BL599" i="4"/>
  <c r="AY599" i="4"/>
  <c r="AZ599" i="4" s="1"/>
  <c r="BL598" i="4"/>
  <c r="AZ598" i="4"/>
  <c r="AY598" i="4"/>
  <c r="BL597" i="4"/>
  <c r="AZ597" i="4"/>
  <c r="AY597" i="4"/>
  <c r="BL596" i="4"/>
  <c r="AY596" i="4"/>
  <c r="AZ596" i="4" s="1"/>
  <c r="BL595" i="4"/>
  <c r="AY595" i="4"/>
  <c r="AZ595" i="4" s="1"/>
  <c r="BL594" i="4"/>
  <c r="AZ594" i="4"/>
  <c r="AY594" i="4"/>
  <c r="BL593" i="4"/>
  <c r="AZ593" i="4"/>
  <c r="AY593" i="4"/>
  <c r="BL592" i="4"/>
  <c r="AY592" i="4"/>
  <c r="AZ592" i="4" s="1"/>
  <c r="BL591" i="4"/>
  <c r="AZ591" i="4"/>
  <c r="AY591" i="4"/>
  <c r="BL590" i="4"/>
  <c r="AY590" i="4"/>
  <c r="AZ590" i="4" s="1"/>
  <c r="BL589" i="4"/>
  <c r="AZ589" i="4"/>
  <c r="AY589" i="4"/>
  <c r="BL588" i="4"/>
  <c r="AZ588" i="4"/>
  <c r="AY588" i="4"/>
  <c r="BL587" i="4"/>
  <c r="AY587" i="4"/>
  <c r="AZ587" i="4" s="1"/>
  <c r="BL586" i="4"/>
  <c r="AZ586" i="4"/>
  <c r="AY586" i="4"/>
  <c r="BL585" i="4"/>
  <c r="AY585" i="4"/>
  <c r="AZ585" i="4" s="1"/>
  <c r="BL584" i="4"/>
  <c r="AY584" i="4"/>
  <c r="AZ584" i="4" s="1"/>
  <c r="BL583" i="4"/>
  <c r="AY583" i="4"/>
  <c r="AZ583" i="4" s="1"/>
  <c r="BL582" i="4"/>
  <c r="AZ582" i="4"/>
  <c r="AY582" i="4"/>
  <c r="BL581" i="4"/>
  <c r="AY581" i="4"/>
  <c r="AZ581" i="4" s="1"/>
  <c r="BL580" i="4"/>
  <c r="AZ580" i="4"/>
  <c r="AY580" i="4"/>
  <c r="BL579" i="4"/>
  <c r="AY579" i="4"/>
  <c r="AZ579" i="4" s="1"/>
  <c r="BL578" i="4"/>
  <c r="AY578" i="4"/>
  <c r="AZ578" i="4" s="1"/>
  <c r="BL577" i="4"/>
  <c r="AZ577" i="4"/>
  <c r="AY577" i="4"/>
  <c r="BL576" i="4"/>
  <c r="AY576" i="4"/>
  <c r="AZ576" i="4" s="1"/>
  <c r="BL575" i="4"/>
  <c r="AY575" i="4"/>
  <c r="AZ575" i="4" s="1"/>
  <c r="BL574" i="4"/>
  <c r="AY574" i="4"/>
  <c r="AZ574" i="4" s="1"/>
  <c r="BL573" i="4"/>
  <c r="AZ573" i="4"/>
  <c r="AY573" i="4"/>
  <c r="BL572" i="4"/>
  <c r="AY572" i="4"/>
  <c r="AZ572" i="4" s="1"/>
  <c r="BL571" i="4"/>
  <c r="AY571" i="4"/>
  <c r="AZ571" i="4" s="1"/>
  <c r="BL570" i="4"/>
  <c r="AY570" i="4"/>
  <c r="AZ570" i="4" s="1"/>
  <c r="BL569" i="4"/>
  <c r="AZ569" i="4"/>
  <c r="AY569" i="4"/>
  <c r="BL568" i="4"/>
  <c r="AZ568" i="4"/>
  <c r="AY568" i="4"/>
  <c r="BL567" i="4"/>
  <c r="AZ567" i="4"/>
  <c r="AY567" i="4"/>
  <c r="BL566" i="4"/>
  <c r="AZ566" i="4"/>
  <c r="AY566" i="4"/>
  <c r="BL565" i="4"/>
  <c r="AZ565" i="4"/>
  <c r="AY565" i="4"/>
  <c r="BL564" i="4"/>
  <c r="AY564" i="4"/>
  <c r="AZ564" i="4" s="1"/>
  <c r="BL563" i="4"/>
  <c r="AY563" i="4"/>
  <c r="AZ563" i="4" s="1"/>
  <c r="BL562" i="4"/>
  <c r="AZ562" i="4"/>
  <c r="AY562" i="4"/>
  <c r="BL561" i="4"/>
  <c r="AY561" i="4"/>
  <c r="AZ561" i="4" s="1"/>
  <c r="BL560" i="4"/>
  <c r="AY560" i="4"/>
  <c r="AZ560" i="4" s="1"/>
  <c r="BL559" i="4"/>
  <c r="AY559" i="4"/>
  <c r="AZ559" i="4" s="1"/>
  <c r="BL558" i="4"/>
  <c r="AZ558" i="4"/>
  <c r="AY558" i="4"/>
  <c r="BL557" i="4"/>
  <c r="AZ557" i="4"/>
  <c r="AY557" i="4"/>
  <c r="BL556" i="4"/>
  <c r="AZ556" i="4"/>
  <c r="AY556" i="4"/>
  <c r="BL555" i="4"/>
  <c r="AZ555" i="4"/>
  <c r="AY555" i="4"/>
  <c r="BL554" i="4"/>
  <c r="AZ554" i="4"/>
  <c r="AY554" i="4"/>
  <c r="BL553" i="4"/>
  <c r="AZ553" i="4"/>
  <c r="AY553" i="4"/>
  <c r="BL552" i="4"/>
  <c r="AY552" i="4"/>
  <c r="AZ552" i="4" s="1"/>
  <c r="BL551" i="4"/>
  <c r="AZ551" i="4"/>
  <c r="AY551" i="4"/>
  <c r="BL550" i="4"/>
  <c r="AZ550" i="4"/>
  <c r="AY550" i="4"/>
  <c r="BL549" i="4"/>
  <c r="AZ549" i="4"/>
  <c r="AY549" i="4"/>
  <c r="BL548" i="4"/>
  <c r="AY548" i="4"/>
  <c r="AZ548" i="4" s="1"/>
  <c r="BL547" i="4"/>
  <c r="AY547" i="4"/>
  <c r="AZ547" i="4" s="1"/>
  <c r="BL546" i="4"/>
  <c r="AZ546" i="4"/>
  <c r="AY546" i="4"/>
  <c r="BL545" i="4"/>
  <c r="AZ545" i="4"/>
  <c r="AY545" i="4"/>
  <c r="BL544" i="4"/>
  <c r="AY544" i="4"/>
  <c r="AZ544" i="4" s="1"/>
  <c r="BL543" i="4"/>
  <c r="AZ543" i="4"/>
  <c r="AY543" i="4"/>
  <c r="BL542" i="4"/>
  <c r="AZ542" i="4"/>
  <c r="AY542" i="4"/>
  <c r="BL541" i="4"/>
  <c r="AZ541" i="4"/>
  <c r="AY541" i="4"/>
  <c r="BL540" i="4"/>
  <c r="AY540" i="4"/>
  <c r="AZ540" i="4" s="1"/>
  <c r="BL539" i="4"/>
  <c r="AY539" i="4"/>
  <c r="AZ539" i="4" s="1"/>
  <c r="BL538" i="4"/>
  <c r="AZ538" i="4"/>
  <c r="AY538" i="4"/>
  <c r="BL537" i="4"/>
  <c r="AZ537" i="4"/>
  <c r="AY537" i="4"/>
  <c r="BL536" i="4"/>
  <c r="AZ536" i="4"/>
  <c r="AY536" i="4"/>
  <c r="BL535" i="4"/>
  <c r="AZ535" i="4"/>
  <c r="AY535" i="4"/>
  <c r="BL534" i="4"/>
  <c r="AZ534" i="4"/>
  <c r="AY534" i="4"/>
  <c r="BL533" i="4"/>
  <c r="AZ533" i="4"/>
  <c r="AY533" i="4"/>
  <c r="BL532" i="4"/>
  <c r="AZ532" i="4"/>
  <c r="AY532" i="4"/>
  <c r="BL531" i="4"/>
  <c r="AZ531" i="4"/>
  <c r="AY531" i="4"/>
  <c r="BL530" i="4"/>
  <c r="AZ530" i="4"/>
  <c r="AY530" i="4"/>
  <c r="BL529" i="4"/>
  <c r="AZ529" i="4"/>
  <c r="AY529" i="4"/>
  <c r="BL528" i="4"/>
  <c r="AY528" i="4"/>
  <c r="AZ528" i="4" s="1"/>
  <c r="BL527" i="4"/>
  <c r="AY527" i="4"/>
  <c r="AZ527" i="4" s="1"/>
  <c r="BL526" i="4"/>
  <c r="AZ526" i="4"/>
  <c r="AY526" i="4"/>
  <c r="BL525" i="4"/>
  <c r="AY525" i="4"/>
  <c r="AZ525" i="4" s="1"/>
  <c r="BL524" i="4"/>
  <c r="AY524" i="4"/>
  <c r="AZ524" i="4" s="1"/>
  <c r="BL523" i="4"/>
  <c r="AZ523" i="4"/>
  <c r="AY523" i="4"/>
  <c r="BL522" i="4"/>
  <c r="AZ522" i="4"/>
  <c r="AY522" i="4"/>
  <c r="BL521" i="4"/>
  <c r="AZ521" i="4"/>
  <c r="AY521" i="4"/>
  <c r="BL520" i="4"/>
  <c r="AZ520" i="4"/>
  <c r="AY520" i="4"/>
  <c r="BL519" i="4"/>
  <c r="AY519" i="4"/>
  <c r="AZ519" i="4" s="1"/>
  <c r="BL518" i="4"/>
  <c r="AZ518" i="4"/>
  <c r="AY518" i="4"/>
  <c r="BL517" i="4"/>
  <c r="AZ517" i="4"/>
  <c r="AY517" i="4"/>
  <c r="BL516" i="4"/>
  <c r="AZ516" i="4"/>
  <c r="AY516" i="4"/>
  <c r="BL515" i="4"/>
  <c r="AY515" i="4"/>
  <c r="AZ515" i="4" s="1"/>
  <c r="BL514" i="4"/>
  <c r="AY514" i="4"/>
  <c r="AZ514" i="4" s="1"/>
  <c r="BL513" i="4"/>
  <c r="AY513" i="4"/>
  <c r="AZ513" i="4" s="1"/>
  <c r="BL512" i="4"/>
  <c r="AY512" i="4"/>
  <c r="AZ512" i="4" s="1"/>
  <c r="BL511" i="4"/>
  <c r="AZ511" i="4"/>
  <c r="AY511" i="4"/>
  <c r="BL510" i="4"/>
  <c r="AZ510" i="4"/>
  <c r="AY510" i="4"/>
  <c r="BL509" i="4"/>
  <c r="AY509" i="4"/>
  <c r="AZ509" i="4" s="1"/>
  <c r="BL508" i="4"/>
  <c r="AY508" i="4"/>
  <c r="AZ508" i="4" s="1"/>
  <c r="BL507" i="4"/>
  <c r="AZ507" i="4"/>
  <c r="AY507" i="4"/>
  <c r="BL506" i="4"/>
  <c r="AZ506" i="4"/>
  <c r="AY506" i="4"/>
  <c r="BL505" i="4"/>
  <c r="AZ505" i="4"/>
  <c r="AY505" i="4"/>
  <c r="BL504" i="4"/>
  <c r="AZ504" i="4"/>
  <c r="AY504" i="4"/>
  <c r="BL503" i="4"/>
  <c r="AZ503" i="4"/>
  <c r="AY503" i="4"/>
  <c r="BL502" i="4"/>
  <c r="AZ502" i="4"/>
  <c r="AY502" i="4"/>
  <c r="BL501" i="4"/>
  <c r="AY501" i="4"/>
  <c r="AZ501" i="4" s="1"/>
  <c r="BL500" i="4"/>
  <c r="AY500" i="4"/>
  <c r="AZ500" i="4" s="1"/>
  <c r="BL499" i="4"/>
  <c r="AZ499" i="4"/>
  <c r="AY499" i="4"/>
  <c r="BL498" i="4"/>
  <c r="AZ498" i="4"/>
  <c r="AY498" i="4"/>
  <c r="BL497" i="4"/>
  <c r="AZ497" i="4"/>
  <c r="AY497" i="4"/>
  <c r="BL496" i="4"/>
  <c r="AZ496" i="4"/>
  <c r="AY496" i="4"/>
  <c r="BL495" i="4"/>
  <c r="AY495" i="4"/>
  <c r="AZ495" i="4" s="1"/>
  <c r="BL494" i="4"/>
  <c r="AZ494" i="4"/>
  <c r="AY494" i="4"/>
  <c r="BL493" i="4"/>
  <c r="AZ493" i="4"/>
  <c r="AY493" i="4"/>
  <c r="BL492" i="4"/>
  <c r="AY492" i="4"/>
  <c r="AZ492" i="4" s="1"/>
  <c r="BL491" i="4"/>
  <c r="AY491" i="4"/>
  <c r="AZ491" i="4" s="1"/>
  <c r="BL490" i="4"/>
  <c r="AY490" i="4"/>
  <c r="AZ490" i="4" s="1"/>
  <c r="BL489" i="4"/>
  <c r="AY489" i="4"/>
  <c r="AZ489" i="4" s="1"/>
  <c r="BL488" i="4"/>
  <c r="AY488" i="4"/>
  <c r="AZ488" i="4" s="1"/>
  <c r="BL487" i="4"/>
  <c r="AY487" i="4"/>
  <c r="AZ487" i="4" s="1"/>
  <c r="BL486" i="4"/>
  <c r="AZ486" i="4"/>
  <c r="AY486" i="4"/>
  <c r="BL485" i="4"/>
  <c r="AY485" i="4"/>
  <c r="AZ485" i="4" s="1"/>
  <c r="BL484" i="4"/>
  <c r="AZ484" i="4"/>
  <c r="AY484" i="4"/>
  <c r="BL483" i="4"/>
  <c r="AY483" i="4"/>
  <c r="AZ483" i="4" s="1"/>
  <c r="BL482" i="4"/>
  <c r="AZ482" i="4"/>
  <c r="AY482" i="4"/>
  <c r="BL481" i="4"/>
  <c r="AZ481" i="4"/>
  <c r="AY481" i="4"/>
  <c r="BL480" i="4"/>
  <c r="AY480" i="4"/>
  <c r="AZ480" i="4" s="1"/>
  <c r="BL479" i="4"/>
  <c r="AY479" i="4"/>
  <c r="AZ479" i="4" s="1"/>
  <c r="BL478" i="4"/>
  <c r="AZ478" i="4"/>
  <c r="AY478" i="4"/>
  <c r="BL477" i="4"/>
  <c r="AY477" i="4"/>
  <c r="AZ477" i="4" s="1"/>
  <c r="BL476" i="4"/>
  <c r="AY476" i="4"/>
  <c r="AZ476" i="4" s="1"/>
  <c r="BL475" i="4"/>
  <c r="AZ475" i="4"/>
  <c r="AY475" i="4"/>
  <c r="BL474" i="4"/>
  <c r="AY474" i="4"/>
  <c r="AZ474" i="4" s="1"/>
  <c r="BL473" i="4"/>
  <c r="AZ473" i="4"/>
  <c r="AY473" i="4"/>
  <c r="BL472" i="4"/>
  <c r="AY472" i="4"/>
  <c r="AZ472" i="4" s="1"/>
  <c r="BL471" i="4"/>
  <c r="AZ471" i="4"/>
  <c r="AY471" i="4"/>
  <c r="BL470" i="4"/>
  <c r="AZ470" i="4"/>
  <c r="AY470" i="4"/>
  <c r="BL469" i="4"/>
  <c r="AZ469" i="4"/>
  <c r="AY469" i="4"/>
  <c r="BL468" i="4"/>
  <c r="AY468" i="4"/>
  <c r="AZ468" i="4" s="1"/>
  <c r="BL467" i="4"/>
  <c r="AZ467" i="4"/>
  <c r="AY467" i="4"/>
  <c r="BL466" i="4"/>
  <c r="AY466" i="4"/>
  <c r="AZ466" i="4" s="1"/>
  <c r="BL465" i="4"/>
  <c r="AZ465" i="4"/>
  <c r="AY465" i="4"/>
  <c r="BL464" i="4"/>
  <c r="AZ464" i="4"/>
  <c r="AY464" i="4"/>
  <c r="BL463" i="4"/>
  <c r="AY463" i="4"/>
  <c r="AZ463" i="4" s="1"/>
  <c r="BL462" i="4"/>
  <c r="AY462" i="4"/>
  <c r="AZ462" i="4" s="1"/>
  <c r="BL461" i="4"/>
  <c r="AZ461" i="4"/>
  <c r="AY461" i="4"/>
  <c r="BL460" i="4"/>
  <c r="AZ460" i="4"/>
  <c r="AY460" i="4"/>
  <c r="BL459" i="4"/>
  <c r="AZ459" i="4"/>
  <c r="AY459" i="4"/>
  <c r="BL458" i="4"/>
  <c r="AY458" i="4"/>
  <c r="AZ458" i="4" s="1"/>
  <c r="BL457" i="4"/>
  <c r="AZ457" i="4"/>
  <c r="AY457" i="4"/>
  <c r="BL456" i="4"/>
  <c r="AZ456" i="4"/>
  <c r="AY456" i="4"/>
  <c r="BL455" i="4"/>
  <c r="AY455" i="4"/>
  <c r="AZ455" i="4" s="1"/>
  <c r="BL454" i="4"/>
  <c r="AY454" i="4"/>
  <c r="AZ454" i="4" s="1"/>
  <c r="BL453" i="4"/>
  <c r="AZ453" i="4"/>
  <c r="AY453" i="4"/>
  <c r="BL452" i="4"/>
  <c r="AZ452" i="4"/>
  <c r="AY452" i="4"/>
  <c r="BL451" i="4"/>
  <c r="AY451" i="4"/>
  <c r="AZ451" i="4" s="1"/>
  <c r="BL450" i="4"/>
  <c r="AZ450" i="4"/>
  <c r="AY450" i="4"/>
  <c r="BL449" i="4"/>
  <c r="AZ449" i="4"/>
  <c r="AY449" i="4"/>
  <c r="BL448" i="4"/>
  <c r="AZ448" i="4"/>
  <c r="AY448" i="4"/>
  <c r="BL447" i="4"/>
  <c r="AZ447" i="4"/>
  <c r="AY447" i="4"/>
  <c r="BL446" i="4"/>
  <c r="AZ446" i="4"/>
  <c r="AY446" i="4"/>
  <c r="BL445" i="4"/>
  <c r="AZ445" i="4"/>
  <c r="AY445" i="4"/>
  <c r="BL444" i="4"/>
  <c r="AZ444" i="4"/>
  <c r="AY444" i="4"/>
  <c r="BL443" i="4"/>
  <c r="AY443" i="4"/>
  <c r="AZ443" i="4" s="1"/>
  <c r="BL442" i="4"/>
  <c r="AY442" i="4"/>
  <c r="AZ442" i="4" s="1"/>
  <c r="BL441" i="4"/>
  <c r="AZ441" i="4"/>
  <c r="AY441" i="4"/>
  <c r="BL440" i="4"/>
  <c r="AZ440" i="4"/>
  <c r="AY440" i="4"/>
  <c r="BL439" i="4"/>
  <c r="AY439" i="4"/>
  <c r="AZ439" i="4" s="1"/>
  <c r="BL438" i="4"/>
  <c r="AY438" i="4"/>
  <c r="AZ438" i="4" s="1"/>
  <c r="BL437" i="4"/>
  <c r="AY437" i="4"/>
  <c r="AZ437" i="4" s="1"/>
  <c r="BL436" i="4"/>
  <c r="AZ436" i="4"/>
  <c r="AY436" i="4"/>
  <c r="BL435" i="4"/>
  <c r="AZ435" i="4"/>
  <c r="AY435" i="4"/>
  <c r="BL434" i="4"/>
  <c r="AZ434" i="4"/>
  <c r="AY434" i="4"/>
  <c r="BL433" i="4"/>
  <c r="AY433" i="4"/>
  <c r="AZ433" i="4" s="1"/>
  <c r="BL432" i="4"/>
  <c r="AZ432" i="4"/>
  <c r="AY432" i="4"/>
  <c r="BL431" i="4"/>
  <c r="AY431" i="4"/>
  <c r="AZ431" i="4" s="1"/>
  <c r="BL430" i="4"/>
  <c r="AY430" i="4"/>
  <c r="AZ430" i="4" s="1"/>
  <c r="BL429" i="4"/>
  <c r="AZ429" i="4"/>
  <c r="AY429" i="4"/>
  <c r="BL428" i="4"/>
  <c r="AZ428" i="4"/>
  <c r="AY428" i="4"/>
  <c r="BL427" i="4"/>
  <c r="AY427" i="4"/>
  <c r="AZ427" i="4" s="1"/>
  <c r="BL426" i="4"/>
  <c r="AZ426" i="4"/>
  <c r="AY426" i="4"/>
  <c r="BL425" i="4"/>
  <c r="AY425" i="4"/>
  <c r="AZ425" i="4" s="1"/>
  <c r="BL424" i="4"/>
  <c r="AZ424" i="4"/>
  <c r="AY424" i="4"/>
  <c r="BL423" i="4"/>
  <c r="AZ423" i="4"/>
  <c r="AY423" i="4"/>
  <c r="BL422" i="4"/>
  <c r="AY422" i="4"/>
  <c r="AZ422" i="4" s="1"/>
  <c r="BL421" i="4"/>
  <c r="AZ421" i="4"/>
  <c r="AY421" i="4"/>
  <c r="BL420" i="4"/>
  <c r="AZ420" i="4"/>
  <c r="AY420" i="4"/>
  <c r="BL419" i="4"/>
  <c r="AY419" i="4"/>
  <c r="AZ419" i="4" s="1"/>
  <c r="BL418" i="4"/>
  <c r="AY418" i="4"/>
  <c r="AZ418" i="4" s="1"/>
  <c r="BL417" i="4"/>
  <c r="AZ417" i="4"/>
  <c r="AY417" i="4"/>
  <c r="BL416" i="4"/>
  <c r="AZ416" i="4"/>
  <c r="AY416" i="4"/>
  <c r="BL415" i="4"/>
  <c r="AZ415" i="4"/>
  <c r="AY415" i="4"/>
  <c r="BL414" i="4"/>
  <c r="AZ414" i="4"/>
  <c r="AY414" i="4"/>
  <c r="BL413" i="4"/>
  <c r="AY413" i="4"/>
  <c r="AZ413" i="4" s="1"/>
  <c r="BL412" i="4"/>
  <c r="AZ412" i="4"/>
  <c r="AY412" i="4"/>
  <c r="BL411" i="4"/>
  <c r="AZ411" i="4"/>
  <c r="AY411" i="4"/>
  <c r="BL410" i="4"/>
  <c r="AZ410" i="4"/>
  <c r="AY410" i="4"/>
  <c r="BL409" i="4"/>
  <c r="AZ409" i="4"/>
  <c r="AY409" i="4"/>
  <c r="BL408" i="4"/>
  <c r="AZ408" i="4"/>
  <c r="AY408" i="4"/>
  <c r="BL407" i="4"/>
  <c r="AZ407" i="4"/>
  <c r="AY407" i="4"/>
  <c r="BL406" i="4"/>
  <c r="AY406" i="4"/>
  <c r="AZ406" i="4" s="1"/>
  <c r="BL405" i="4"/>
  <c r="AY405" i="4"/>
  <c r="AZ405" i="4" s="1"/>
  <c r="BL404" i="4"/>
  <c r="AZ404" i="4"/>
  <c r="AY404" i="4"/>
  <c r="BL403" i="4"/>
  <c r="AY403" i="4"/>
  <c r="AZ403" i="4" s="1"/>
  <c r="BL402" i="4"/>
  <c r="AY402" i="4"/>
  <c r="AZ402" i="4" s="1"/>
  <c r="BL401" i="4"/>
  <c r="AY401" i="4"/>
  <c r="AZ401" i="4" s="1"/>
  <c r="BL400" i="4"/>
  <c r="AZ400" i="4"/>
  <c r="AY400" i="4"/>
  <c r="BL399" i="4"/>
  <c r="AZ399" i="4"/>
  <c r="AY399" i="4"/>
  <c r="BL398" i="4"/>
  <c r="AZ398" i="4"/>
  <c r="AY398" i="4"/>
  <c r="BL397" i="4"/>
  <c r="AZ397" i="4"/>
  <c r="AY397" i="4"/>
  <c r="BL396" i="4"/>
  <c r="AZ396" i="4"/>
  <c r="AY396" i="4"/>
  <c r="BL395" i="4"/>
  <c r="AZ395" i="4"/>
  <c r="AY395" i="4"/>
  <c r="BL394" i="4"/>
  <c r="AY394" i="4"/>
  <c r="AZ394" i="4" s="1"/>
  <c r="BL393" i="4"/>
  <c r="AY393" i="4"/>
  <c r="AZ393" i="4" s="1"/>
  <c r="BL392" i="4"/>
  <c r="AZ392" i="4"/>
  <c r="AY392" i="4"/>
  <c r="BL391" i="4"/>
  <c r="AY391" i="4"/>
  <c r="AZ391" i="4" s="1"/>
  <c r="BL390" i="4"/>
  <c r="AY390" i="4"/>
  <c r="AZ390" i="4" s="1"/>
  <c r="BL389" i="4"/>
  <c r="AZ389" i="4"/>
  <c r="AY389" i="4"/>
  <c r="BL388" i="4"/>
  <c r="AZ388" i="4"/>
  <c r="AY388" i="4"/>
  <c r="BL387" i="4"/>
  <c r="AZ387" i="4"/>
  <c r="AY387" i="4"/>
  <c r="BL386" i="4"/>
  <c r="AZ386" i="4"/>
  <c r="AY386" i="4"/>
  <c r="BL385" i="4"/>
  <c r="AZ385" i="4"/>
  <c r="AY385" i="4"/>
  <c r="BL384" i="4"/>
  <c r="AZ384" i="4"/>
  <c r="AY384" i="4"/>
  <c r="BL383" i="4"/>
  <c r="AZ383" i="4"/>
  <c r="AY383" i="4"/>
  <c r="BL382" i="4"/>
  <c r="AY382" i="4"/>
  <c r="AZ382" i="4" s="1"/>
  <c r="BL381" i="4"/>
  <c r="AY381" i="4"/>
  <c r="AZ381" i="4" s="1"/>
  <c r="BL380" i="4"/>
  <c r="AZ380" i="4"/>
  <c r="AY380" i="4"/>
  <c r="BL379" i="4"/>
  <c r="AY379" i="4"/>
  <c r="AZ379" i="4" s="1"/>
  <c r="BL378" i="4"/>
  <c r="AY378" i="4"/>
  <c r="AZ378" i="4" s="1"/>
  <c r="BL377" i="4"/>
  <c r="AZ377" i="4"/>
  <c r="AY377" i="4"/>
  <c r="BL376" i="4"/>
  <c r="AZ376" i="4"/>
  <c r="AY376" i="4"/>
  <c r="BL375" i="4"/>
  <c r="AZ375" i="4"/>
  <c r="AY375" i="4"/>
  <c r="BL374" i="4"/>
  <c r="AZ374" i="4"/>
  <c r="AY374" i="4"/>
  <c r="BL373" i="4"/>
  <c r="AZ373" i="4"/>
  <c r="AY373" i="4"/>
  <c r="BL372" i="4"/>
  <c r="AZ372" i="4"/>
  <c r="AY372" i="4"/>
  <c r="BL371" i="4"/>
  <c r="AZ371" i="4"/>
  <c r="AY371" i="4"/>
  <c r="BL370" i="4"/>
  <c r="AY370" i="4"/>
  <c r="AZ370" i="4" s="1"/>
  <c r="BL369" i="4"/>
  <c r="AY369" i="4"/>
  <c r="AZ369" i="4" s="1"/>
  <c r="BL368" i="4"/>
  <c r="AZ368" i="4"/>
  <c r="AY368" i="4"/>
  <c r="BL367" i="4"/>
  <c r="AZ367" i="4"/>
  <c r="AY367" i="4"/>
  <c r="BL366" i="4"/>
  <c r="AY366" i="4"/>
  <c r="AZ366" i="4" s="1"/>
  <c r="BL365" i="4"/>
  <c r="AZ365" i="4"/>
  <c r="AY365" i="4"/>
  <c r="BL364" i="4"/>
  <c r="AY364" i="4"/>
  <c r="AZ364" i="4" s="1"/>
  <c r="BL363" i="4"/>
  <c r="AZ363" i="4"/>
  <c r="AY363" i="4"/>
  <c r="BL362" i="4"/>
  <c r="AZ362" i="4"/>
  <c r="AY362" i="4"/>
  <c r="BL361" i="4"/>
  <c r="AY361" i="4"/>
  <c r="AZ361" i="4" s="1"/>
  <c r="BL360" i="4"/>
  <c r="AZ360" i="4"/>
  <c r="AY360" i="4"/>
  <c r="BL359" i="4"/>
  <c r="AZ359" i="4"/>
  <c r="AY359" i="4"/>
  <c r="BL358" i="4"/>
  <c r="AY358" i="4"/>
  <c r="AZ358" i="4" s="1"/>
  <c r="BL357" i="4"/>
  <c r="AY357" i="4"/>
  <c r="AZ357" i="4" s="1"/>
  <c r="BL356" i="4"/>
  <c r="AZ356" i="4"/>
  <c r="AY356" i="4"/>
  <c r="BL355" i="4"/>
  <c r="AZ355" i="4"/>
  <c r="AY355" i="4"/>
  <c r="BL354" i="4"/>
  <c r="AY354" i="4"/>
  <c r="AZ354" i="4" s="1"/>
  <c r="BL353" i="4"/>
  <c r="AY353" i="4"/>
  <c r="AZ353" i="4" s="1"/>
  <c r="BL352" i="4"/>
  <c r="AY352" i="4"/>
  <c r="AZ352" i="4" s="1"/>
  <c r="BL351" i="4"/>
  <c r="AZ351" i="4"/>
  <c r="AY351" i="4"/>
  <c r="BL350" i="4"/>
  <c r="AZ350" i="4"/>
  <c r="AY350" i="4"/>
  <c r="BL349" i="4"/>
  <c r="AY349" i="4"/>
  <c r="AZ349" i="4" s="1"/>
  <c r="BL348" i="4"/>
  <c r="AZ348" i="4"/>
  <c r="AY348" i="4"/>
  <c r="BL347" i="4"/>
  <c r="AZ347" i="4"/>
  <c r="AY347" i="4"/>
  <c r="BL346" i="4"/>
  <c r="AY346" i="4"/>
  <c r="AZ346" i="4" s="1"/>
  <c r="BL345" i="4"/>
  <c r="AY345" i="4"/>
  <c r="AZ345" i="4" s="1"/>
  <c r="BL344" i="4"/>
  <c r="AZ344" i="4"/>
  <c r="AY344" i="4"/>
  <c r="BL343" i="4"/>
  <c r="AZ343" i="4"/>
  <c r="AY343" i="4"/>
  <c r="BL342" i="4"/>
  <c r="AY342" i="4"/>
  <c r="AZ342" i="4" s="1"/>
  <c r="BL341" i="4"/>
  <c r="AZ341" i="4"/>
  <c r="AY341" i="4"/>
  <c r="BL340" i="4"/>
  <c r="AY340" i="4"/>
  <c r="AZ340" i="4" s="1"/>
  <c r="BL339" i="4"/>
  <c r="AZ339" i="4"/>
  <c r="AY339" i="4"/>
  <c r="BL338" i="4"/>
  <c r="AZ338" i="4"/>
  <c r="AY338" i="4"/>
  <c r="BL337" i="4"/>
  <c r="AZ337" i="4"/>
  <c r="AY337" i="4"/>
  <c r="BL336" i="4"/>
  <c r="AZ336" i="4"/>
  <c r="AY336" i="4"/>
  <c r="BL335" i="4"/>
  <c r="AZ335" i="4"/>
  <c r="AY335" i="4"/>
  <c r="BL334" i="4"/>
  <c r="AY334" i="4"/>
  <c r="AZ334" i="4" s="1"/>
  <c r="BL333" i="4"/>
  <c r="AY333" i="4"/>
  <c r="AZ333" i="4" s="1"/>
  <c r="BL332" i="4"/>
  <c r="AZ332" i="4"/>
  <c r="AY332" i="4"/>
  <c r="BL331" i="4"/>
  <c r="AZ331" i="4"/>
  <c r="AY331" i="4"/>
  <c r="BL330" i="4"/>
  <c r="AY330" i="4"/>
  <c r="AZ330" i="4" s="1"/>
  <c r="BL329" i="4"/>
  <c r="AZ329" i="4"/>
  <c r="AY329" i="4"/>
  <c r="BL328" i="4"/>
  <c r="AZ328" i="4"/>
  <c r="AY328" i="4"/>
  <c r="BL327" i="4"/>
  <c r="AZ327" i="4"/>
  <c r="AY327" i="4"/>
  <c r="BL326" i="4"/>
  <c r="AZ326" i="4"/>
  <c r="AY326" i="4"/>
  <c r="BL325" i="4"/>
  <c r="AZ325" i="4"/>
  <c r="AY325" i="4"/>
  <c r="BL324" i="4"/>
  <c r="AZ324" i="4"/>
  <c r="AY324" i="4"/>
  <c r="BL323" i="4"/>
  <c r="AZ323" i="4"/>
  <c r="AY323" i="4"/>
  <c r="BL322" i="4"/>
  <c r="AY322" i="4"/>
  <c r="AZ322" i="4" s="1"/>
  <c r="BL321" i="4"/>
  <c r="AY321" i="4"/>
  <c r="AZ321" i="4" s="1"/>
  <c r="BL320" i="4"/>
  <c r="AZ320" i="4"/>
  <c r="AY320" i="4"/>
  <c r="BL319" i="4"/>
  <c r="AZ319" i="4"/>
  <c r="AY319" i="4"/>
  <c r="BL318" i="4"/>
  <c r="AY318" i="4"/>
  <c r="AZ318" i="4" s="1"/>
  <c r="BL317" i="4"/>
  <c r="AZ317" i="4"/>
  <c r="AY317" i="4"/>
  <c r="BL316" i="4"/>
  <c r="AZ316" i="4"/>
  <c r="AY316" i="4"/>
  <c r="BL315" i="4"/>
  <c r="AZ315" i="4"/>
  <c r="AY315" i="4"/>
  <c r="BL314" i="4"/>
  <c r="AZ314" i="4"/>
  <c r="AY314" i="4"/>
  <c r="BL313" i="4"/>
  <c r="AY313" i="4"/>
  <c r="AZ313" i="4" s="1"/>
  <c r="BL312" i="4"/>
  <c r="AY312" i="4"/>
  <c r="AZ312" i="4" s="1"/>
  <c r="BL311" i="4"/>
  <c r="AZ311" i="4"/>
  <c r="AY311" i="4"/>
  <c r="BL310" i="4"/>
  <c r="AY310" i="4"/>
  <c r="AZ310" i="4" s="1"/>
  <c r="BL309" i="4"/>
  <c r="AY309" i="4"/>
  <c r="AZ309" i="4" s="1"/>
  <c r="BL308" i="4"/>
  <c r="AZ308" i="4"/>
  <c r="AY308" i="4"/>
  <c r="BL307" i="4"/>
  <c r="AY307" i="4"/>
  <c r="AZ307" i="4" s="1"/>
  <c r="BL306" i="4"/>
  <c r="AZ306" i="4"/>
  <c r="AY306" i="4"/>
  <c r="BL305" i="4"/>
  <c r="AZ305" i="4"/>
  <c r="AY305" i="4"/>
  <c r="BL304" i="4"/>
  <c r="AY304" i="4"/>
  <c r="AZ304" i="4" s="1"/>
  <c r="BL303" i="4"/>
  <c r="AZ303" i="4"/>
  <c r="AY303" i="4"/>
  <c r="BL302" i="4"/>
  <c r="AZ302" i="4"/>
  <c r="AY302" i="4"/>
  <c r="BL301" i="4"/>
  <c r="AY301" i="4"/>
  <c r="AZ301" i="4" s="1"/>
  <c r="BL300" i="4"/>
  <c r="AY300" i="4"/>
  <c r="AZ300" i="4" s="1"/>
  <c r="BL299" i="4"/>
  <c r="AY299" i="4"/>
  <c r="AZ299" i="4" s="1"/>
  <c r="BL298" i="4"/>
  <c r="AZ298" i="4"/>
  <c r="AY298" i="4"/>
  <c r="BL297" i="4"/>
  <c r="AZ297" i="4"/>
  <c r="AY297" i="4"/>
  <c r="BL296" i="4"/>
  <c r="AY296" i="4"/>
  <c r="AZ296" i="4" s="1"/>
  <c r="BL295" i="4"/>
  <c r="AZ295" i="4"/>
  <c r="AY295" i="4"/>
  <c r="BL294" i="4"/>
  <c r="AZ294" i="4"/>
  <c r="AY294" i="4"/>
  <c r="BL293" i="4"/>
  <c r="AY293" i="4"/>
  <c r="AZ293" i="4" s="1"/>
  <c r="BL292" i="4"/>
  <c r="AY292" i="4"/>
  <c r="AZ292" i="4" s="1"/>
  <c r="BL291" i="4"/>
  <c r="AZ291" i="4"/>
  <c r="AY291" i="4"/>
  <c r="BL290" i="4"/>
  <c r="AZ290" i="4"/>
  <c r="AY290" i="4"/>
  <c r="BL289" i="4"/>
  <c r="AY289" i="4"/>
  <c r="AZ289" i="4" s="1"/>
  <c r="BL288" i="4"/>
  <c r="AY288" i="4"/>
  <c r="AZ288" i="4" s="1"/>
  <c r="BL287" i="4"/>
  <c r="AY287" i="4"/>
  <c r="AZ287" i="4" s="1"/>
  <c r="BL286" i="4"/>
  <c r="AZ286" i="4"/>
  <c r="AY286" i="4"/>
  <c r="BL285" i="4"/>
  <c r="AZ285" i="4"/>
  <c r="AY285" i="4"/>
  <c r="BL284" i="4"/>
  <c r="AY284" i="4"/>
  <c r="AZ284" i="4" s="1"/>
  <c r="BL283" i="4"/>
  <c r="AZ283" i="4"/>
  <c r="AY283" i="4"/>
  <c r="BL282" i="4"/>
  <c r="AZ282" i="4"/>
  <c r="AY282" i="4"/>
  <c r="BL281" i="4"/>
  <c r="AY281" i="4"/>
  <c r="AZ281" i="4" s="1"/>
  <c r="BL280" i="4"/>
  <c r="AY280" i="4"/>
  <c r="AZ280" i="4" s="1"/>
  <c r="BL279" i="4"/>
  <c r="AZ279" i="4"/>
  <c r="AY279" i="4"/>
  <c r="BL278" i="4"/>
  <c r="AZ278" i="4"/>
  <c r="AY278" i="4"/>
  <c r="BL277" i="4"/>
  <c r="AY277" i="4"/>
  <c r="AZ277" i="4" s="1"/>
  <c r="BL276" i="4"/>
  <c r="AY276" i="4"/>
  <c r="AZ276" i="4" s="1"/>
  <c r="BL275" i="4"/>
  <c r="AY275" i="4"/>
  <c r="AZ275" i="4" s="1"/>
  <c r="BL274" i="4"/>
  <c r="AZ274" i="4"/>
  <c r="AY274" i="4"/>
  <c r="BL273" i="4"/>
  <c r="AZ273" i="4"/>
  <c r="AY273" i="4"/>
  <c r="BL272" i="4"/>
  <c r="AY272" i="4"/>
  <c r="AZ272" i="4" s="1"/>
  <c r="BL271" i="4"/>
  <c r="AZ271" i="4"/>
  <c r="AY271" i="4"/>
  <c r="BL270" i="4"/>
  <c r="AZ270" i="4"/>
  <c r="AY270" i="4"/>
  <c r="BL269" i="4"/>
  <c r="AY269" i="4"/>
  <c r="AZ269" i="4" s="1"/>
  <c r="BL268" i="4"/>
  <c r="AY268" i="4"/>
  <c r="AZ268" i="4" s="1"/>
  <c r="BL267" i="4"/>
  <c r="AZ267" i="4"/>
  <c r="AY267" i="4"/>
  <c r="BL266" i="4"/>
  <c r="AZ266" i="4"/>
  <c r="AY266" i="4"/>
  <c r="BL265" i="4"/>
  <c r="AY265" i="4"/>
  <c r="AZ265" i="4" s="1"/>
  <c r="BL264" i="4"/>
  <c r="AY264" i="4"/>
  <c r="AZ264" i="4" s="1"/>
  <c r="BL263" i="4"/>
  <c r="AY263" i="4"/>
  <c r="AZ263" i="4" s="1"/>
  <c r="BL262" i="4"/>
  <c r="AZ262" i="4"/>
  <c r="AY262" i="4"/>
  <c r="BL261" i="4"/>
  <c r="AZ261" i="4"/>
  <c r="AY261" i="4"/>
  <c r="BL260" i="4"/>
  <c r="AZ260" i="4"/>
  <c r="AY260" i="4"/>
  <c r="BL259" i="4"/>
  <c r="AZ259" i="4"/>
  <c r="AY259" i="4"/>
  <c r="BL258" i="4"/>
  <c r="AZ258" i="4"/>
  <c r="AY258" i="4"/>
  <c r="BL257" i="4"/>
  <c r="AY257" i="4"/>
  <c r="AZ257" i="4" s="1"/>
  <c r="BL256" i="4"/>
  <c r="AY256" i="4"/>
  <c r="AZ256" i="4" s="1"/>
  <c r="BL255" i="4"/>
  <c r="AZ255" i="4"/>
  <c r="AY255" i="4"/>
  <c r="BL254" i="4"/>
  <c r="AZ254" i="4"/>
  <c r="AY254" i="4"/>
  <c r="BL253" i="4"/>
  <c r="AY253" i="4"/>
  <c r="AZ253" i="4" s="1"/>
  <c r="BL252" i="4"/>
  <c r="AY252" i="4"/>
  <c r="AZ252" i="4" s="1"/>
  <c r="BL251" i="4"/>
  <c r="AY251" i="4"/>
  <c r="AZ251" i="4" s="1"/>
  <c r="BL250" i="4"/>
  <c r="AZ250" i="4"/>
  <c r="AY250" i="4"/>
  <c r="BL249" i="4"/>
  <c r="AZ249" i="4"/>
  <c r="AY249" i="4"/>
  <c r="BL248" i="4"/>
  <c r="AZ248" i="4"/>
  <c r="AY248" i="4"/>
  <c r="BL247" i="4"/>
  <c r="AZ247" i="4"/>
  <c r="AY247" i="4"/>
  <c r="BL246" i="4"/>
  <c r="AZ246" i="4"/>
  <c r="AY246" i="4"/>
  <c r="BL245" i="4"/>
  <c r="AY245" i="4"/>
  <c r="AZ245" i="4" s="1"/>
  <c r="BL244" i="4"/>
  <c r="AY244" i="4"/>
  <c r="AZ244" i="4" s="1"/>
  <c r="BL243" i="4"/>
  <c r="AZ243" i="4"/>
  <c r="AY243" i="4"/>
  <c r="BL242" i="4"/>
  <c r="AZ242" i="4"/>
  <c r="AY242" i="4"/>
  <c r="BL241" i="4"/>
  <c r="AY241" i="4"/>
  <c r="AZ241" i="4" s="1"/>
  <c r="BL240" i="4"/>
  <c r="AY240" i="4"/>
  <c r="AZ240" i="4" s="1"/>
  <c r="BL239" i="4"/>
  <c r="AY239" i="4"/>
  <c r="AZ239" i="4" s="1"/>
  <c r="BL238" i="4"/>
  <c r="AZ238" i="4"/>
  <c r="AY238" i="4"/>
  <c r="BL237" i="4"/>
  <c r="AZ237" i="4"/>
  <c r="AY237" i="4"/>
  <c r="BL236" i="4"/>
  <c r="AY236" i="4"/>
  <c r="AZ236" i="4" s="1"/>
  <c r="BL235" i="4"/>
  <c r="AZ235" i="4"/>
  <c r="AY235" i="4"/>
  <c r="BL234" i="4"/>
  <c r="AZ234" i="4"/>
  <c r="AY234" i="4"/>
  <c r="BL233" i="4"/>
  <c r="AY233" i="4"/>
  <c r="AZ233" i="4" s="1"/>
  <c r="BL232" i="4"/>
  <c r="AY232" i="4"/>
  <c r="AZ232" i="4" s="1"/>
  <c r="BL231" i="4"/>
  <c r="AZ231" i="4"/>
  <c r="AY231" i="4"/>
  <c r="BL230" i="4"/>
  <c r="AZ230" i="4"/>
  <c r="AY230" i="4"/>
  <c r="BL229" i="4"/>
  <c r="AY229" i="4"/>
  <c r="AZ229" i="4" s="1"/>
  <c r="BL228" i="4"/>
  <c r="AY228" i="4"/>
  <c r="AZ228" i="4" s="1"/>
  <c r="BL227" i="4"/>
  <c r="AZ227" i="4"/>
  <c r="AY227" i="4"/>
  <c r="BL226" i="4"/>
  <c r="AZ226" i="4"/>
  <c r="AY226" i="4"/>
  <c r="BL225" i="4"/>
  <c r="AZ225" i="4"/>
  <c r="AY225" i="4"/>
  <c r="BL224" i="4"/>
  <c r="AZ224" i="4"/>
  <c r="AY224" i="4"/>
  <c r="BL223" i="4"/>
  <c r="AZ223" i="4"/>
  <c r="AY223" i="4"/>
  <c r="BL222" i="4"/>
  <c r="AZ222" i="4"/>
  <c r="AY222" i="4"/>
  <c r="BL221" i="4"/>
  <c r="AY221" i="4"/>
  <c r="AZ221" i="4" s="1"/>
  <c r="BL220" i="4"/>
  <c r="AY220" i="4"/>
  <c r="AZ220" i="4" s="1"/>
  <c r="BL219" i="4"/>
  <c r="AZ219" i="4"/>
  <c r="AY219" i="4"/>
  <c r="BL218" i="4"/>
  <c r="AZ218" i="4"/>
  <c r="AY218" i="4"/>
  <c r="BL217" i="4"/>
  <c r="AY217" i="4"/>
  <c r="AZ217" i="4" s="1"/>
  <c r="BL216" i="4"/>
  <c r="AZ216" i="4"/>
  <c r="AY216" i="4"/>
  <c r="BL215" i="4"/>
  <c r="AY215" i="4"/>
  <c r="AZ215" i="4" s="1"/>
  <c r="BL214" i="4"/>
  <c r="AZ214" i="4"/>
  <c r="AY214" i="4"/>
  <c r="BL213" i="4"/>
  <c r="AY213" i="4"/>
  <c r="AZ213" i="4" s="1"/>
  <c r="BL212" i="4"/>
  <c r="AY212" i="4"/>
  <c r="AZ212" i="4" s="1"/>
  <c r="BL211" i="4"/>
  <c r="AZ211" i="4"/>
  <c r="AY211" i="4"/>
  <c r="BL210" i="4"/>
  <c r="AZ210" i="4"/>
  <c r="AY210" i="4"/>
  <c r="BL209" i="4"/>
  <c r="AY209" i="4"/>
  <c r="AZ209" i="4" s="1"/>
  <c r="BL208" i="4"/>
  <c r="AY208" i="4"/>
  <c r="AZ208" i="4" s="1"/>
  <c r="BL207" i="4"/>
  <c r="AY207" i="4"/>
  <c r="AZ207" i="4" s="1"/>
  <c r="BL206" i="4"/>
  <c r="AZ206" i="4"/>
  <c r="AY206" i="4"/>
  <c r="BL205" i="4"/>
  <c r="AZ205" i="4"/>
  <c r="AY205" i="4"/>
  <c r="BL204" i="4"/>
  <c r="AY204" i="4"/>
  <c r="AZ204" i="4" s="1"/>
  <c r="BL203" i="4"/>
  <c r="AZ203" i="4"/>
  <c r="AY203" i="4"/>
  <c r="BL202" i="4"/>
  <c r="AZ202" i="4"/>
  <c r="AY202" i="4"/>
  <c r="BL201" i="4"/>
  <c r="AY201" i="4"/>
  <c r="AZ201" i="4" s="1"/>
  <c r="BL200" i="4"/>
  <c r="AY200" i="4"/>
  <c r="AZ200" i="4" s="1"/>
  <c r="BL199" i="4"/>
  <c r="AZ199" i="4"/>
  <c r="AY199" i="4"/>
  <c r="BL198" i="4"/>
  <c r="AZ198" i="4"/>
  <c r="AY198" i="4"/>
  <c r="BL197" i="4"/>
  <c r="AY197" i="4"/>
  <c r="AZ197" i="4" s="1"/>
  <c r="BL196" i="4"/>
  <c r="AY196" i="4"/>
  <c r="AZ196" i="4" s="1"/>
  <c r="BL195" i="4"/>
  <c r="AY195" i="4"/>
  <c r="AZ195" i="4" s="1"/>
  <c r="BL194" i="4"/>
  <c r="AZ194" i="4"/>
  <c r="AY194" i="4"/>
  <c r="BL193" i="4"/>
  <c r="AZ193" i="4"/>
  <c r="AY193" i="4"/>
  <c r="BL192" i="4"/>
  <c r="AZ192" i="4"/>
  <c r="AY192" i="4"/>
  <c r="BL191" i="4"/>
  <c r="AZ191" i="4"/>
  <c r="AY191" i="4"/>
  <c r="BL190" i="4"/>
  <c r="AZ190" i="4"/>
  <c r="AY190" i="4"/>
  <c r="BL189" i="4"/>
  <c r="AY189" i="4"/>
  <c r="AZ189" i="4" s="1"/>
  <c r="BL188" i="4"/>
  <c r="AY188" i="4"/>
  <c r="AZ188" i="4" s="1"/>
  <c r="BL187" i="4"/>
  <c r="AZ187" i="4"/>
  <c r="AY187" i="4"/>
  <c r="BL186" i="4"/>
  <c r="AZ186" i="4"/>
  <c r="AY186" i="4"/>
  <c r="BL185" i="4"/>
  <c r="AY185" i="4"/>
  <c r="AZ185" i="4" s="1"/>
  <c r="BL184" i="4"/>
  <c r="AY184" i="4"/>
  <c r="AZ184" i="4" s="1"/>
  <c r="BL183" i="4"/>
  <c r="AY183" i="4"/>
  <c r="AZ183" i="4" s="1"/>
  <c r="BL182" i="4"/>
  <c r="AZ182" i="4"/>
  <c r="AY182" i="4"/>
  <c r="BL181" i="4"/>
  <c r="AZ181" i="4"/>
  <c r="AY181" i="4"/>
  <c r="BL180" i="4"/>
  <c r="AY180" i="4"/>
  <c r="AZ180" i="4" s="1"/>
  <c r="BL179" i="4"/>
  <c r="AZ179" i="4"/>
  <c r="AY179" i="4"/>
  <c r="BL178" i="4"/>
  <c r="AZ178" i="4"/>
  <c r="AY178" i="4"/>
  <c r="BL177" i="4"/>
  <c r="AY177" i="4"/>
  <c r="AZ177" i="4" s="1"/>
  <c r="BL176" i="4"/>
  <c r="AY176" i="4"/>
  <c r="AZ176" i="4" s="1"/>
  <c r="BL175" i="4"/>
  <c r="AZ175" i="4"/>
  <c r="AY175" i="4"/>
  <c r="BL174" i="4"/>
  <c r="AZ174" i="4"/>
  <c r="AY174" i="4"/>
  <c r="BL173" i="4"/>
  <c r="AY173" i="4"/>
  <c r="AZ173" i="4" s="1"/>
  <c r="BL172" i="4"/>
  <c r="AZ172" i="4"/>
  <c r="AY172" i="4"/>
  <c r="BL171" i="4"/>
  <c r="AZ171" i="4"/>
  <c r="AY171" i="4"/>
  <c r="BL170" i="4"/>
  <c r="AZ170" i="4"/>
  <c r="AY170" i="4"/>
  <c r="BL169" i="4"/>
  <c r="AZ169" i="4"/>
  <c r="AY169" i="4"/>
  <c r="BL168" i="4"/>
  <c r="AY168" i="4"/>
  <c r="AZ168" i="4" s="1"/>
  <c r="BL167" i="4"/>
  <c r="AZ167" i="4"/>
  <c r="AY167" i="4"/>
  <c r="BL166" i="4"/>
  <c r="AZ166" i="4"/>
  <c r="AY166" i="4"/>
  <c r="BL165" i="4"/>
  <c r="AY165" i="4"/>
  <c r="AZ165" i="4" s="1"/>
  <c r="BL164" i="4"/>
  <c r="AY164" i="4"/>
  <c r="AZ164" i="4" s="1"/>
  <c r="BL163" i="4"/>
  <c r="AZ163" i="4"/>
  <c r="AY163" i="4"/>
  <c r="BL162" i="4"/>
  <c r="AZ162" i="4"/>
  <c r="AY162" i="4"/>
  <c r="BL161" i="4"/>
  <c r="AY161" i="4"/>
  <c r="AZ161" i="4" s="1"/>
  <c r="BL160" i="4"/>
  <c r="AZ160" i="4"/>
  <c r="AY160" i="4"/>
  <c r="BL159" i="4"/>
  <c r="AZ159" i="4"/>
  <c r="AY159" i="4"/>
  <c r="BL158" i="4"/>
  <c r="AZ158" i="4"/>
  <c r="AY158" i="4"/>
  <c r="BL157" i="4"/>
  <c r="AZ157" i="4"/>
  <c r="AY157" i="4"/>
  <c r="BL156" i="4"/>
  <c r="AZ156" i="4"/>
  <c r="AY156" i="4"/>
  <c r="BL155" i="4"/>
  <c r="AZ155" i="4"/>
  <c r="AY155" i="4"/>
  <c r="BL154" i="4"/>
  <c r="AZ154" i="4"/>
  <c r="AY154" i="4"/>
  <c r="BL153" i="4"/>
  <c r="AY153" i="4"/>
  <c r="AZ153" i="4" s="1"/>
  <c r="BL152" i="4"/>
  <c r="AY152" i="4"/>
  <c r="AZ152" i="4" s="1"/>
  <c r="BL151" i="4"/>
  <c r="AZ151" i="4"/>
  <c r="AY151" i="4"/>
  <c r="BL150" i="4"/>
  <c r="AZ150" i="4"/>
  <c r="AY150" i="4"/>
  <c r="BL149" i="4"/>
  <c r="AY149" i="4"/>
  <c r="AZ149" i="4" s="1"/>
  <c r="BL148" i="4"/>
  <c r="AY148" i="4"/>
  <c r="AZ148" i="4" s="1"/>
  <c r="BL147" i="4"/>
  <c r="AZ147" i="4"/>
  <c r="AY147" i="4"/>
  <c r="BL146" i="4"/>
  <c r="AZ146" i="4"/>
  <c r="AY146" i="4"/>
  <c r="BL145" i="4"/>
  <c r="AZ145" i="4"/>
  <c r="AY145" i="4"/>
  <c r="BL144" i="4"/>
  <c r="AY144" i="4"/>
  <c r="AZ144" i="4" s="1"/>
  <c r="BL143" i="4"/>
  <c r="AZ143" i="4"/>
  <c r="AY143" i="4"/>
  <c r="BL142" i="4"/>
  <c r="AZ142" i="4"/>
  <c r="AY142" i="4"/>
  <c r="BL141" i="4"/>
  <c r="AY141" i="4"/>
  <c r="AZ141" i="4" s="1"/>
  <c r="BL140" i="4"/>
  <c r="AY140" i="4"/>
  <c r="AZ140" i="4" s="1"/>
  <c r="BL139" i="4"/>
  <c r="AZ139" i="4"/>
  <c r="AY139" i="4"/>
  <c r="BL138" i="4"/>
  <c r="AZ138" i="4"/>
  <c r="AY138" i="4"/>
  <c r="BL137" i="4"/>
  <c r="AY137" i="4"/>
  <c r="AZ137" i="4" s="1"/>
  <c r="BL136" i="4"/>
  <c r="AY136" i="4"/>
  <c r="AZ136" i="4" s="1"/>
  <c r="BL135" i="4"/>
  <c r="AY135" i="4"/>
  <c r="AZ135" i="4" s="1"/>
  <c r="BL134" i="4"/>
  <c r="AZ134" i="4"/>
  <c r="AY134" i="4"/>
  <c r="BL133" i="4"/>
  <c r="AZ133" i="4"/>
  <c r="AY133" i="4"/>
  <c r="BL132" i="4"/>
  <c r="AZ132" i="4"/>
  <c r="AY132" i="4"/>
  <c r="BL131" i="4"/>
  <c r="AZ131" i="4"/>
  <c r="AY131" i="4"/>
  <c r="BL130" i="4"/>
  <c r="AZ130" i="4"/>
  <c r="AY130" i="4"/>
  <c r="BL129" i="4"/>
  <c r="AY129" i="4"/>
  <c r="AZ129" i="4" s="1"/>
  <c r="BL128" i="4"/>
  <c r="AY128" i="4"/>
  <c r="AZ128" i="4" s="1"/>
  <c r="BL127" i="4"/>
  <c r="AZ127" i="4"/>
  <c r="AY127" i="4"/>
  <c r="BL126" i="4"/>
  <c r="AZ126" i="4"/>
  <c r="AY126" i="4"/>
  <c r="BL125" i="4"/>
  <c r="AY125" i="4"/>
  <c r="AZ125" i="4" s="1"/>
  <c r="BL124" i="4"/>
  <c r="AZ124" i="4"/>
  <c r="AY124" i="4"/>
  <c r="BL123" i="4"/>
  <c r="AZ123" i="4"/>
  <c r="AY123" i="4"/>
  <c r="BL122" i="4"/>
  <c r="AZ122" i="4"/>
  <c r="AY122" i="4"/>
  <c r="BL121" i="4"/>
  <c r="AZ121" i="4"/>
  <c r="AY121" i="4"/>
  <c r="BL120" i="4"/>
  <c r="AZ120" i="4"/>
  <c r="AY120" i="4"/>
  <c r="BL119" i="4"/>
  <c r="AZ119" i="4"/>
  <c r="AY119" i="4"/>
  <c r="BL118" i="4"/>
  <c r="AZ118" i="4"/>
  <c r="AY118" i="4"/>
  <c r="BL117" i="4"/>
  <c r="AY117" i="4"/>
  <c r="AZ117" i="4" s="1"/>
  <c r="BL116" i="4"/>
  <c r="AY116" i="4"/>
  <c r="AZ116" i="4" s="1"/>
  <c r="BL115" i="4"/>
  <c r="AZ115" i="4"/>
  <c r="AY115" i="4"/>
  <c r="BL114" i="4"/>
  <c r="AZ114" i="4"/>
  <c r="AY114" i="4"/>
  <c r="BL113" i="4"/>
  <c r="AY113" i="4"/>
  <c r="AZ113" i="4" s="1"/>
  <c r="BL112" i="4"/>
  <c r="AZ112" i="4"/>
  <c r="AY112" i="4"/>
  <c r="BL111" i="4"/>
  <c r="AZ111" i="4"/>
  <c r="AY111" i="4"/>
  <c r="BL110" i="4"/>
  <c r="AZ110" i="4"/>
  <c r="AY110" i="4"/>
  <c r="BL109" i="4"/>
  <c r="AZ109" i="4"/>
  <c r="AY109" i="4"/>
  <c r="BL108" i="4"/>
  <c r="AZ108" i="4"/>
  <c r="AY108" i="4"/>
  <c r="BL107" i="4"/>
  <c r="AZ107" i="4"/>
  <c r="AY107" i="4"/>
  <c r="BL106" i="4"/>
  <c r="AZ106" i="4"/>
  <c r="AY106" i="4"/>
  <c r="BL105" i="4"/>
  <c r="AY105" i="4"/>
  <c r="AZ105" i="4" s="1"/>
  <c r="BL104" i="4"/>
  <c r="AY104" i="4"/>
  <c r="AZ104" i="4" s="1"/>
  <c r="BL103" i="4"/>
  <c r="AZ103" i="4"/>
  <c r="AY103" i="4"/>
  <c r="BL102" i="4"/>
  <c r="AZ102" i="4"/>
  <c r="AY102" i="4"/>
  <c r="BL101" i="4"/>
  <c r="AY101" i="4"/>
  <c r="AZ101" i="4" s="1"/>
  <c r="BL100" i="4"/>
  <c r="AZ100" i="4"/>
  <c r="AY100" i="4"/>
  <c r="BL99" i="4"/>
  <c r="AY99" i="4"/>
  <c r="AZ99" i="4" s="1"/>
  <c r="BL98" i="4"/>
  <c r="AZ98" i="4"/>
  <c r="AY98" i="4"/>
  <c r="BL97" i="4"/>
  <c r="AZ97" i="4"/>
  <c r="AY97" i="4"/>
  <c r="BL96" i="4"/>
  <c r="AY96" i="4"/>
  <c r="AZ96" i="4" s="1"/>
  <c r="BL95" i="4"/>
  <c r="AY95" i="4"/>
  <c r="AZ95" i="4" s="1"/>
  <c r="BL94" i="4"/>
  <c r="AZ94" i="4"/>
  <c r="AY94" i="4"/>
  <c r="BL93" i="4"/>
  <c r="AY93" i="4"/>
  <c r="AZ93" i="4" s="1"/>
  <c r="BL92" i="4"/>
  <c r="AY92" i="4"/>
  <c r="AZ92" i="4" s="1"/>
  <c r="BL91" i="4"/>
  <c r="AZ91" i="4"/>
  <c r="AY91" i="4"/>
  <c r="BL90" i="4"/>
  <c r="AY90" i="4"/>
  <c r="AZ90" i="4" s="1"/>
  <c r="BL89" i="4"/>
  <c r="AZ89" i="4"/>
  <c r="AY89" i="4"/>
  <c r="BL88" i="4"/>
  <c r="AZ88" i="4"/>
  <c r="AY88" i="4"/>
  <c r="BL87" i="4"/>
  <c r="AZ87" i="4"/>
  <c r="AY87" i="4"/>
  <c r="BL86" i="4"/>
  <c r="AZ86" i="4"/>
  <c r="AY86" i="4"/>
  <c r="BL85" i="4"/>
  <c r="AY85" i="4"/>
  <c r="AZ85" i="4" s="1"/>
  <c r="BL84" i="4"/>
  <c r="AY84" i="4"/>
  <c r="AZ84" i="4" s="1"/>
  <c r="BL83" i="4"/>
  <c r="AZ83" i="4"/>
  <c r="AY83" i="4"/>
  <c r="BL82" i="4"/>
  <c r="AZ82" i="4"/>
  <c r="AY82" i="4"/>
  <c r="BL81" i="4"/>
  <c r="AY81" i="4"/>
  <c r="AZ81" i="4" s="1"/>
  <c r="BL80" i="4"/>
  <c r="AY80" i="4"/>
  <c r="AZ80" i="4" s="1"/>
  <c r="BL79" i="4"/>
  <c r="AZ79" i="4"/>
  <c r="AY79" i="4"/>
  <c r="BL78" i="4"/>
  <c r="AZ78" i="4"/>
  <c r="AY78" i="4"/>
  <c r="BL77" i="4"/>
  <c r="AZ77" i="4"/>
  <c r="AY77" i="4"/>
  <c r="BL76" i="4"/>
  <c r="AZ76" i="4"/>
  <c r="AY76" i="4"/>
  <c r="BL75" i="4"/>
  <c r="AZ75" i="4"/>
  <c r="AY75" i="4"/>
  <c r="BL74" i="4"/>
  <c r="AZ74" i="4"/>
  <c r="AY74" i="4"/>
  <c r="BL73" i="4"/>
  <c r="AY73" i="4"/>
  <c r="AZ73" i="4" s="1"/>
  <c r="BL72" i="4"/>
  <c r="AY72" i="4"/>
  <c r="AZ72" i="4" s="1"/>
  <c r="BL71" i="4"/>
  <c r="AZ71" i="4"/>
  <c r="AY71" i="4"/>
  <c r="BL70" i="4"/>
  <c r="AZ70" i="4"/>
  <c r="AY70" i="4"/>
  <c r="BL69" i="4"/>
  <c r="AY69" i="4"/>
  <c r="AZ69" i="4" s="1"/>
  <c r="BL68" i="4"/>
  <c r="AY68" i="4"/>
  <c r="AZ68" i="4" s="1"/>
  <c r="BL67" i="4"/>
  <c r="AZ67" i="4"/>
  <c r="AY67" i="4"/>
  <c r="BL66" i="4"/>
  <c r="AZ66" i="4"/>
  <c r="AY66" i="4"/>
  <c r="BL65" i="4"/>
  <c r="AZ65" i="4"/>
  <c r="AY65" i="4"/>
  <c r="BL64" i="4"/>
  <c r="AZ64" i="4"/>
  <c r="AY64" i="4"/>
  <c r="BL63" i="4"/>
  <c r="AZ63" i="4"/>
  <c r="AY63" i="4"/>
  <c r="BL62" i="4"/>
  <c r="AZ62" i="4"/>
  <c r="AY62" i="4"/>
  <c r="BL61" i="4"/>
  <c r="AY61" i="4"/>
  <c r="AZ61" i="4" s="1"/>
  <c r="BL60" i="4"/>
  <c r="AY60" i="4"/>
  <c r="AZ60" i="4" s="1"/>
  <c r="BL59" i="4"/>
  <c r="AZ59" i="4"/>
  <c r="AY59" i="4"/>
  <c r="BL58" i="4"/>
  <c r="AZ58" i="4"/>
  <c r="AY58" i="4"/>
  <c r="BL57" i="4"/>
  <c r="AY57" i="4"/>
  <c r="AZ57" i="4" s="1"/>
  <c r="BL56" i="4"/>
  <c r="AY56" i="4"/>
  <c r="AZ56" i="4" s="1"/>
  <c r="BL55" i="4"/>
  <c r="AZ55" i="4"/>
  <c r="AY55" i="4"/>
  <c r="BL54" i="4"/>
  <c r="AZ54" i="4"/>
  <c r="AY54" i="4"/>
  <c r="BL53" i="4"/>
  <c r="AZ53" i="4"/>
  <c r="AY53" i="4"/>
  <c r="BL52" i="4"/>
  <c r="AZ52" i="4"/>
  <c r="AY52" i="4"/>
  <c r="BL51" i="4"/>
  <c r="AZ51" i="4"/>
  <c r="AY51" i="4"/>
  <c r="BL50" i="4"/>
  <c r="AZ50" i="4"/>
  <c r="AY50" i="4"/>
  <c r="BL49" i="4"/>
  <c r="AY49" i="4"/>
  <c r="AZ49" i="4" s="1"/>
  <c r="BL48" i="4"/>
  <c r="AY48" i="4"/>
  <c r="AZ48" i="4" s="1"/>
  <c r="BL47" i="4"/>
  <c r="AZ47" i="4"/>
  <c r="AY47" i="4"/>
  <c r="BL46" i="4"/>
  <c r="AZ46" i="4"/>
  <c r="AY46" i="4"/>
  <c r="BL45" i="4"/>
  <c r="AY45" i="4"/>
  <c r="AZ45" i="4" s="1"/>
  <c r="BL44" i="4"/>
  <c r="AY44" i="4"/>
  <c r="AZ44" i="4" s="1"/>
  <c r="BL43" i="4"/>
  <c r="AZ43" i="4"/>
  <c r="AY43" i="4"/>
  <c r="BL42" i="4"/>
  <c r="AZ42" i="4"/>
  <c r="AY42" i="4"/>
  <c r="BL41" i="4"/>
  <c r="AZ41" i="4"/>
  <c r="AY41" i="4"/>
  <c r="BL40" i="4"/>
  <c r="AZ40" i="4"/>
  <c r="AY40" i="4"/>
  <c r="BL39" i="4"/>
  <c r="AZ39" i="4"/>
  <c r="AY39" i="4"/>
  <c r="BL38" i="4"/>
  <c r="AZ38" i="4"/>
  <c r="AY38" i="4"/>
  <c r="BL37" i="4"/>
  <c r="AY37" i="4"/>
  <c r="AZ37" i="4" s="1"/>
  <c r="BL36" i="4"/>
  <c r="AY36" i="4"/>
  <c r="AZ36" i="4" s="1"/>
  <c r="BL35" i="4"/>
  <c r="AZ35" i="4"/>
  <c r="AY35" i="4"/>
  <c r="BL34" i="4"/>
  <c r="AZ34" i="4"/>
  <c r="AY34" i="4"/>
  <c r="BL33" i="4"/>
  <c r="AY33" i="4"/>
  <c r="AZ33" i="4" s="1"/>
  <c r="BL32" i="4"/>
  <c r="AY32" i="4"/>
  <c r="AZ32" i="4" s="1"/>
  <c r="BL31" i="4"/>
  <c r="AZ31" i="4"/>
  <c r="AY31" i="4"/>
  <c r="BL30" i="4"/>
  <c r="AZ30" i="4"/>
  <c r="AY30" i="4"/>
  <c r="BL29" i="4"/>
  <c r="AZ29" i="4"/>
  <c r="AY29" i="4"/>
  <c r="BL28" i="4"/>
  <c r="AZ28" i="4"/>
  <c r="AY28" i="4"/>
  <c r="BL27" i="4"/>
  <c r="AZ27" i="4"/>
  <c r="AY27" i="4"/>
  <c r="BL26" i="4"/>
  <c r="AZ26" i="4"/>
  <c r="AY26" i="4"/>
  <c r="BL25" i="4"/>
  <c r="AY25" i="4"/>
  <c r="AZ25" i="4" s="1"/>
  <c r="BL24" i="4"/>
  <c r="AY24" i="4"/>
  <c r="AZ24" i="4" s="1"/>
  <c r="BL23" i="4"/>
  <c r="AZ23" i="4"/>
  <c r="AY23" i="4"/>
  <c r="BL22" i="4"/>
  <c r="AZ22" i="4"/>
  <c r="AY22" i="4"/>
  <c r="BL21" i="4"/>
  <c r="AY21" i="4"/>
  <c r="AZ21" i="4" s="1"/>
  <c r="BL20" i="4"/>
  <c r="AZ20" i="4"/>
  <c r="AY20" i="4"/>
  <c r="BL19" i="4"/>
  <c r="AZ19" i="4"/>
  <c r="AY19" i="4"/>
  <c r="BL18" i="4"/>
  <c r="AZ18" i="4"/>
  <c r="AY18" i="4"/>
  <c r="BL17" i="4"/>
  <c r="AZ17" i="4"/>
  <c r="AY17" i="4"/>
  <c r="BL16" i="4"/>
  <c r="AY16" i="4"/>
  <c r="AZ16" i="4" s="1"/>
  <c r="BL15" i="4"/>
  <c r="AZ15" i="4"/>
  <c r="AY15" i="4"/>
  <c r="BL14" i="4"/>
  <c r="AY14" i="4"/>
  <c r="AZ14" i="4" s="1"/>
  <c r="BL13" i="4"/>
  <c r="AY13" i="4"/>
  <c r="AZ13" i="4" s="1"/>
  <c r="BL12" i="4"/>
  <c r="AZ12" i="4"/>
  <c r="AY12" i="4"/>
  <c r="BL11" i="4"/>
  <c r="AZ11" i="4"/>
  <c r="AY11" i="4"/>
  <c r="BL10" i="4"/>
  <c r="AY10" i="4"/>
  <c r="AZ10" i="4" s="1"/>
  <c r="BL9" i="4"/>
  <c r="AZ9" i="4"/>
  <c r="AY9" i="4"/>
  <c r="BL8" i="4"/>
  <c r="AZ8" i="4"/>
  <c r="AY8" i="4"/>
  <c r="AW8" i="4" a="1"/>
  <c r="AW601" i="4" s="1"/>
  <c r="AQ599" i="4"/>
  <c r="AQ592" i="4"/>
  <c r="AQ591" i="4"/>
  <c r="AQ587" i="4"/>
  <c r="AQ580" i="4"/>
  <c r="AQ579" i="4"/>
  <c r="AQ575" i="4"/>
  <c r="AQ568" i="4"/>
  <c r="AQ567" i="4"/>
  <c r="AQ563" i="4"/>
  <c r="AQ556" i="4"/>
  <c r="AQ555" i="4"/>
  <c r="AQ551" i="4"/>
  <c r="AQ544" i="4"/>
  <c r="AQ543" i="4"/>
  <c r="AQ539" i="4"/>
  <c r="AQ532" i="4"/>
  <c r="AQ531" i="4"/>
  <c r="AQ527" i="4"/>
  <c r="AQ520" i="4"/>
  <c r="AQ519" i="4"/>
  <c r="AQ515" i="4"/>
  <c r="AQ508" i="4"/>
  <c r="AQ507" i="4"/>
  <c r="AQ503" i="4"/>
  <c r="AQ496" i="4"/>
  <c r="AQ495" i="4"/>
  <c r="AQ491" i="4"/>
  <c r="AQ484" i="4"/>
  <c r="AQ483" i="4"/>
  <c r="AQ479" i="4"/>
  <c r="AQ472" i="4"/>
  <c r="AQ471" i="4"/>
  <c r="AQ467" i="4"/>
  <c r="AQ460" i="4"/>
  <c r="AQ459" i="4"/>
  <c r="AQ455" i="4"/>
  <c r="AQ448" i="4"/>
  <c r="AQ447" i="4"/>
  <c r="AQ443" i="4"/>
  <c r="AQ436" i="4"/>
  <c r="AQ435" i="4"/>
  <c r="AQ431" i="4"/>
  <c r="AQ424" i="4"/>
  <c r="AQ423" i="4"/>
  <c r="AQ419" i="4"/>
  <c r="AQ412" i="4"/>
  <c r="AQ411" i="4"/>
  <c r="AQ407" i="4"/>
  <c r="AQ400" i="4"/>
  <c r="AQ399" i="4"/>
  <c r="AQ395" i="4"/>
  <c r="AQ388" i="4"/>
  <c r="AQ387" i="4"/>
  <c r="AQ383" i="4"/>
  <c r="AQ376" i="4"/>
  <c r="AQ375" i="4"/>
  <c r="AQ371" i="4"/>
  <c r="AQ364" i="4"/>
  <c r="AQ363" i="4"/>
  <c r="AQ359" i="4"/>
  <c r="AQ354" i="4"/>
  <c r="AQ352" i="4"/>
  <c r="AQ351" i="4"/>
  <c r="AQ347" i="4"/>
  <c r="AQ342" i="4"/>
  <c r="AQ340" i="4"/>
  <c r="AQ339" i="4"/>
  <c r="AQ335" i="4"/>
  <c r="AQ330" i="4"/>
  <c r="AQ328" i="4"/>
  <c r="AQ327" i="4"/>
  <c r="AQ323" i="4"/>
  <c r="AQ318" i="4"/>
  <c r="AQ316" i="4"/>
  <c r="AQ315" i="4"/>
  <c r="AQ311" i="4"/>
  <c r="AQ306" i="4"/>
  <c r="AQ304" i="4"/>
  <c r="AQ303" i="4"/>
  <c r="AQ299" i="4"/>
  <c r="AQ294" i="4"/>
  <c r="AQ292" i="4"/>
  <c r="AQ291" i="4"/>
  <c r="AQ287" i="4"/>
  <c r="AQ282" i="4"/>
  <c r="AQ280" i="4"/>
  <c r="AQ279" i="4"/>
  <c r="AQ275" i="4"/>
  <c r="AQ270" i="4"/>
  <c r="AQ268" i="4"/>
  <c r="AQ267" i="4"/>
  <c r="AQ263" i="4"/>
  <c r="AQ258" i="4"/>
  <c r="AQ256" i="4"/>
  <c r="AQ255" i="4"/>
  <c r="AQ251" i="4"/>
  <c r="AQ246" i="4"/>
  <c r="AQ244" i="4"/>
  <c r="AQ243" i="4"/>
  <c r="AQ239" i="4"/>
  <c r="AQ234" i="4"/>
  <c r="AQ232" i="4"/>
  <c r="AQ231" i="4"/>
  <c r="AQ227" i="4"/>
  <c r="AQ222" i="4"/>
  <c r="AQ220" i="4"/>
  <c r="AQ219" i="4"/>
  <c r="AQ215" i="4"/>
  <c r="AQ213" i="4"/>
  <c r="AQ210" i="4"/>
  <c r="AQ208" i="4"/>
  <c r="AQ207" i="4"/>
  <c r="AQ203" i="4"/>
  <c r="AQ201" i="4"/>
  <c r="AQ198" i="4"/>
  <c r="AQ196" i="4"/>
  <c r="AQ195" i="4"/>
  <c r="AQ191" i="4"/>
  <c r="AQ189" i="4"/>
  <c r="AQ186" i="4"/>
  <c r="AQ184" i="4"/>
  <c r="AQ183" i="4"/>
  <c r="AQ179" i="4"/>
  <c r="AQ177" i="4"/>
  <c r="AQ174" i="4"/>
  <c r="AQ172" i="4"/>
  <c r="AQ171" i="4"/>
  <c r="AQ167" i="4"/>
  <c r="AQ165" i="4"/>
  <c r="AQ162" i="4"/>
  <c r="AQ160" i="4"/>
  <c r="AQ159" i="4"/>
  <c r="AQ155" i="4"/>
  <c r="AQ153" i="4"/>
  <c r="AQ150" i="4"/>
  <c r="AQ148" i="4"/>
  <c r="AQ147" i="4"/>
  <c r="AQ143" i="4"/>
  <c r="AQ141" i="4"/>
  <c r="AQ138" i="4"/>
  <c r="AQ136" i="4"/>
  <c r="AQ135" i="4"/>
  <c r="AQ131" i="4"/>
  <c r="AQ129" i="4"/>
  <c r="AQ126" i="4"/>
  <c r="AQ124" i="4"/>
  <c r="AQ123" i="4"/>
  <c r="AQ119" i="4"/>
  <c r="AQ117" i="4"/>
  <c r="AQ114" i="4"/>
  <c r="AQ112" i="4"/>
  <c r="AQ111" i="4"/>
  <c r="AQ107" i="4"/>
  <c r="AQ105" i="4"/>
  <c r="AQ102" i="4"/>
  <c r="AQ100" i="4"/>
  <c r="AQ99" i="4"/>
  <c r="AQ95" i="4"/>
  <c r="AQ93" i="4"/>
  <c r="AQ90" i="4"/>
  <c r="AQ88" i="4"/>
  <c r="AQ87" i="4"/>
  <c r="AQ83" i="4"/>
  <c r="AQ81" i="4"/>
  <c r="AQ78" i="4"/>
  <c r="AQ76" i="4"/>
  <c r="AQ75" i="4"/>
  <c r="AQ71" i="4"/>
  <c r="AQ69" i="4"/>
  <c r="AQ66" i="4"/>
  <c r="AQ64" i="4"/>
  <c r="AQ63" i="4"/>
  <c r="AQ59" i="4"/>
  <c r="AQ57" i="4"/>
  <c r="AQ54" i="4"/>
  <c r="AQ52" i="4"/>
  <c r="AQ51" i="4"/>
  <c r="AQ47" i="4"/>
  <c r="AQ45" i="4"/>
  <c r="AQ42" i="4"/>
  <c r="AQ40" i="4"/>
  <c r="AQ39" i="4"/>
  <c r="AQ35" i="4"/>
  <c r="AQ33" i="4"/>
  <c r="AQ30" i="4"/>
  <c r="AQ28" i="4"/>
  <c r="AQ27" i="4"/>
  <c r="AQ23" i="4"/>
  <c r="AQ21" i="4"/>
  <c r="AQ18" i="4"/>
  <c r="AQ16" i="4"/>
  <c r="AQ15" i="4"/>
  <c r="AQ11" i="4"/>
  <c r="AQ9" i="4"/>
  <c r="AQ8" i="4" a="1"/>
  <c r="AQ596" i="4" s="1"/>
  <c r="AN601" i="4"/>
  <c r="AN599" i="4"/>
  <c r="AN598" i="4"/>
  <c r="AN594" i="4"/>
  <c r="AN592" i="4"/>
  <c r="AN591" i="4"/>
  <c r="AN589" i="4"/>
  <c r="AN587" i="4"/>
  <c r="AN586" i="4"/>
  <c r="AN582" i="4"/>
  <c r="AN580" i="4"/>
  <c r="AN579" i="4"/>
  <c r="AN577" i="4"/>
  <c r="AN575" i="4"/>
  <c r="AN574" i="4"/>
  <c r="AN570" i="4"/>
  <c r="AN568" i="4"/>
  <c r="AN567" i="4"/>
  <c r="AN566" i="4"/>
  <c r="AN565" i="4"/>
  <c r="AN563" i="4"/>
  <c r="AN562" i="4"/>
  <c r="AN558" i="4"/>
  <c r="AN556" i="4"/>
  <c r="AN555" i="4"/>
  <c r="AN554" i="4"/>
  <c r="AN553" i="4"/>
  <c r="AN551" i="4"/>
  <c r="AN550" i="4"/>
  <c r="AN546" i="4"/>
  <c r="AN544" i="4"/>
  <c r="AN543" i="4"/>
  <c r="AN542" i="4"/>
  <c r="AN541" i="4"/>
  <c r="AN539" i="4"/>
  <c r="AN538" i="4"/>
  <c r="AN535" i="4"/>
  <c r="AN534" i="4"/>
  <c r="AN532" i="4"/>
  <c r="AN531" i="4"/>
  <c r="AN530" i="4"/>
  <c r="AN529" i="4"/>
  <c r="AN527" i="4"/>
  <c r="AN526" i="4"/>
  <c r="AN523" i="4"/>
  <c r="AN522" i="4"/>
  <c r="AN520" i="4"/>
  <c r="AN519" i="4"/>
  <c r="AN518" i="4"/>
  <c r="AN517" i="4"/>
  <c r="AN515" i="4"/>
  <c r="AN514" i="4"/>
  <c r="AN511" i="4"/>
  <c r="AN510" i="4"/>
  <c r="AN508" i="4"/>
  <c r="AN507" i="4"/>
  <c r="AN506" i="4"/>
  <c r="AN505" i="4"/>
  <c r="AN503" i="4"/>
  <c r="AN502" i="4"/>
  <c r="AN499" i="4"/>
  <c r="AN498" i="4"/>
  <c r="AN496" i="4"/>
  <c r="AN495" i="4"/>
  <c r="AN494" i="4"/>
  <c r="AN493" i="4"/>
  <c r="AN491" i="4"/>
  <c r="AN490" i="4"/>
  <c r="AN487" i="4"/>
  <c r="AN486" i="4"/>
  <c r="AN484" i="4"/>
  <c r="AN483" i="4"/>
  <c r="AN482" i="4"/>
  <c r="AN481" i="4"/>
  <c r="AN479" i="4"/>
  <c r="AN478" i="4"/>
  <c r="AN475" i="4"/>
  <c r="AN474" i="4"/>
  <c r="AN472" i="4"/>
  <c r="AN471" i="4"/>
  <c r="AN470" i="4"/>
  <c r="AN469" i="4"/>
  <c r="AN467" i="4"/>
  <c r="AN466" i="4"/>
  <c r="AN463" i="4"/>
  <c r="AN462" i="4"/>
  <c r="AN460" i="4"/>
  <c r="AN459" i="4"/>
  <c r="AN458" i="4"/>
  <c r="AN457" i="4"/>
  <c r="AN455" i="4"/>
  <c r="AN454" i="4"/>
  <c r="AN451" i="4"/>
  <c r="AN450" i="4"/>
  <c r="AN448" i="4"/>
  <c r="AN447" i="4"/>
  <c r="AN446" i="4"/>
  <c r="AN445" i="4"/>
  <c r="AN443" i="4"/>
  <c r="AN442" i="4"/>
  <c r="AN439" i="4"/>
  <c r="AN438" i="4"/>
  <c r="AN436" i="4"/>
  <c r="AN435" i="4"/>
  <c r="AN434" i="4"/>
  <c r="AN433" i="4"/>
  <c r="AN431" i="4"/>
  <c r="AN430" i="4"/>
  <c r="AN427" i="4"/>
  <c r="AN426" i="4"/>
  <c r="AN424" i="4"/>
  <c r="AN423" i="4"/>
  <c r="AN422" i="4"/>
  <c r="AN421" i="4"/>
  <c r="AN419" i="4"/>
  <c r="AN418" i="4"/>
  <c r="AN415" i="4"/>
  <c r="AN414" i="4"/>
  <c r="AN412" i="4"/>
  <c r="AN411" i="4"/>
  <c r="AN410" i="4"/>
  <c r="AN409" i="4"/>
  <c r="AN407" i="4"/>
  <c r="AN406" i="4"/>
  <c r="AN403" i="4"/>
  <c r="AN402" i="4"/>
  <c r="AN400" i="4"/>
  <c r="AN399" i="4"/>
  <c r="AN398" i="4"/>
  <c r="AN397" i="4"/>
  <c r="AN395" i="4"/>
  <c r="AN394" i="4"/>
  <c r="AN391" i="4"/>
  <c r="AN390" i="4"/>
  <c r="AN388" i="4"/>
  <c r="AN387" i="4"/>
  <c r="AN386" i="4"/>
  <c r="AN385" i="4"/>
  <c r="AN383" i="4"/>
  <c r="AN382" i="4"/>
  <c r="AN379" i="4"/>
  <c r="AN378" i="4"/>
  <c r="AN376" i="4"/>
  <c r="AN375" i="4"/>
  <c r="AN374" i="4"/>
  <c r="AN373" i="4"/>
  <c r="AN371" i="4"/>
  <c r="AN370" i="4"/>
  <c r="AN367" i="4"/>
  <c r="AN366" i="4"/>
  <c r="AN364" i="4"/>
  <c r="AN363" i="4"/>
  <c r="AN362" i="4"/>
  <c r="AN361" i="4"/>
  <c r="AN359" i="4"/>
  <c r="AN358" i="4"/>
  <c r="AN355" i="4"/>
  <c r="AN354" i="4"/>
  <c r="AN352" i="4"/>
  <c r="AN351" i="4"/>
  <c r="AN350" i="4"/>
  <c r="AN349" i="4"/>
  <c r="AN347" i="4"/>
  <c r="AN346" i="4"/>
  <c r="AN343" i="4"/>
  <c r="AN342" i="4"/>
  <c r="AN340" i="4"/>
  <c r="AN339" i="4"/>
  <c r="AN338" i="4"/>
  <c r="AN337" i="4"/>
  <c r="AN335" i="4"/>
  <c r="AN334" i="4"/>
  <c r="AN331" i="4"/>
  <c r="AN330" i="4"/>
  <c r="AN328" i="4"/>
  <c r="AN327" i="4"/>
  <c r="AN326" i="4"/>
  <c r="AN325" i="4"/>
  <c r="AN323" i="4"/>
  <c r="AN322" i="4"/>
  <c r="AN319" i="4"/>
  <c r="AN318" i="4"/>
  <c r="AN316" i="4"/>
  <c r="AN315" i="4"/>
  <c r="AN314" i="4"/>
  <c r="AN313" i="4"/>
  <c r="AN311" i="4"/>
  <c r="AN310" i="4"/>
  <c r="AN307" i="4"/>
  <c r="AN306" i="4"/>
  <c r="AN304" i="4"/>
  <c r="AN303" i="4"/>
  <c r="AN302" i="4"/>
  <c r="AN301" i="4"/>
  <c r="AN299" i="4"/>
  <c r="AN298" i="4"/>
  <c r="AN295" i="4"/>
  <c r="AN294" i="4"/>
  <c r="AN292" i="4"/>
  <c r="AN291" i="4"/>
  <c r="AN290" i="4"/>
  <c r="AN289" i="4"/>
  <c r="AN287" i="4"/>
  <c r="AN286" i="4"/>
  <c r="AN283" i="4"/>
  <c r="AN282" i="4"/>
  <c r="AN280" i="4"/>
  <c r="AN279" i="4"/>
  <c r="AN278" i="4"/>
  <c r="AN277" i="4"/>
  <c r="AN275" i="4"/>
  <c r="AN274" i="4"/>
  <c r="AN271" i="4"/>
  <c r="AN270" i="4"/>
  <c r="AN268" i="4"/>
  <c r="AN267" i="4"/>
  <c r="AN266" i="4"/>
  <c r="AN265" i="4"/>
  <c r="AN263" i="4"/>
  <c r="AN262" i="4"/>
  <c r="AN259" i="4"/>
  <c r="AN258" i="4"/>
  <c r="AN256" i="4"/>
  <c r="AN255" i="4"/>
  <c r="AN254" i="4"/>
  <c r="AN253" i="4"/>
  <c r="AN251" i="4"/>
  <c r="AN250" i="4"/>
  <c r="AN247" i="4"/>
  <c r="AN246" i="4"/>
  <c r="AN244" i="4"/>
  <c r="AN243" i="4"/>
  <c r="AN242" i="4"/>
  <c r="AN241" i="4"/>
  <c r="AN239" i="4"/>
  <c r="AN238" i="4"/>
  <c r="AN235" i="4"/>
  <c r="AN234" i="4"/>
  <c r="AN232" i="4"/>
  <c r="AN231" i="4"/>
  <c r="AN230" i="4"/>
  <c r="AN229" i="4"/>
  <c r="AN227" i="4"/>
  <c r="AN226" i="4"/>
  <c r="AN223" i="4"/>
  <c r="AN222" i="4"/>
  <c r="AN220" i="4"/>
  <c r="AN219" i="4"/>
  <c r="AN218" i="4"/>
  <c r="AN217" i="4"/>
  <c r="AN215" i="4"/>
  <c r="AN214" i="4"/>
  <c r="AN211" i="4"/>
  <c r="AN210" i="4"/>
  <c r="AN208" i="4"/>
  <c r="AN207" i="4"/>
  <c r="AN206" i="4"/>
  <c r="AN205" i="4"/>
  <c r="AN203" i="4"/>
  <c r="AN202" i="4"/>
  <c r="AN199" i="4"/>
  <c r="AN198" i="4"/>
  <c r="AN196" i="4"/>
  <c r="AN195" i="4"/>
  <c r="AN194" i="4"/>
  <c r="AN193" i="4"/>
  <c r="AN191" i="4"/>
  <c r="AN190" i="4"/>
  <c r="AN187" i="4"/>
  <c r="AN186" i="4"/>
  <c r="AN184" i="4"/>
  <c r="AN183" i="4"/>
  <c r="AN182" i="4"/>
  <c r="AN181" i="4"/>
  <c r="AN179" i="4"/>
  <c r="AN178" i="4"/>
  <c r="AN175" i="4"/>
  <c r="AN174" i="4"/>
  <c r="AN172" i="4"/>
  <c r="AN171" i="4"/>
  <c r="AN170" i="4"/>
  <c r="AN169" i="4"/>
  <c r="AN167" i="4"/>
  <c r="AN166" i="4"/>
  <c r="AN163" i="4"/>
  <c r="AN162" i="4"/>
  <c r="AN160" i="4"/>
  <c r="AN159" i="4"/>
  <c r="AN158" i="4"/>
  <c r="AN157" i="4"/>
  <c r="AN155" i="4"/>
  <c r="AN154" i="4"/>
  <c r="AN151" i="4"/>
  <c r="AN150" i="4"/>
  <c r="AN148" i="4"/>
  <c r="AN147" i="4"/>
  <c r="AN146" i="4"/>
  <c r="AN145" i="4"/>
  <c r="AN143" i="4"/>
  <c r="AN142" i="4"/>
  <c r="AN139" i="4"/>
  <c r="AN138" i="4"/>
  <c r="AN136" i="4"/>
  <c r="AN135" i="4"/>
  <c r="AN134" i="4"/>
  <c r="AN133" i="4"/>
  <c r="AN131" i="4"/>
  <c r="AN130" i="4"/>
  <c r="AN127" i="4"/>
  <c r="AN126" i="4"/>
  <c r="AN124" i="4"/>
  <c r="AN123" i="4"/>
  <c r="AN122" i="4"/>
  <c r="AN121" i="4"/>
  <c r="AN119" i="4"/>
  <c r="AN118" i="4"/>
  <c r="AN115" i="4"/>
  <c r="AN114" i="4"/>
  <c r="AN112" i="4"/>
  <c r="AN111" i="4"/>
  <c r="AN110" i="4"/>
  <c r="AN109" i="4"/>
  <c r="AN107" i="4"/>
  <c r="AN106" i="4"/>
  <c r="AN103" i="4"/>
  <c r="AN102" i="4"/>
  <c r="AN100" i="4"/>
  <c r="AN99" i="4"/>
  <c r="AN98" i="4"/>
  <c r="AN97" i="4"/>
  <c r="AN95" i="4"/>
  <c r="AN94" i="4"/>
  <c r="AN91" i="4"/>
  <c r="AN90" i="4"/>
  <c r="AN88" i="4"/>
  <c r="AN87" i="4"/>
  <c r="AN86" i="4"/>
  <c r="AN85" i="4"/>
  <c r="AN83" i="4"/>
  <c r="AN82" i="4"/>
  <c r="AN79" i="4"/>
  <c r="AN78" i="4"/>
  <c r="AN76" i="4"/>
  <c r="AN75" i="4"/>
  <c r="AN74" i="4"/>
  <c r="AN73" i="4"/>
  <c r="AN71" i="4"/>
  <c r="AN70" i="4"/>
  <c r="AN67" i="4"/>
  <c r="AN66" i="4"/>
  <c r="AN64" i="4"/>
  <c r="AN63" i="4"/>
  <c r="AN62" i="4"/>
  <c r="AN61" i="4"/>
  <c r="AN59" i="4"/>
  <c r="AN58" i="4"/>
  <c r="AN55" i="4"/>
  <c r="AN54" i="4"/>
  <c r="AN52" i="4"/>
  <c r="AN51" i="4"/>
  <c r="AN50" i="4"/>
  <c r="AN49" i="4"/>
  <c r="AN47" i="4"/>
  <c r="AN46" i="4"/>
  <c r="AN43" i="4"/>
  <c r="AN42" i="4"/>
  <c r="AN40" i="4"/>
  <c r="AN39" i="4"/>
  <c r="AN38" i="4"/>
  <c r="AN37" i="4"/>
  <c r="AN35" i="4"/>
  <c r="AN34" i="4"/>
  <c r="AN31" i="4"/>
  <c r="AN30" i="4"/>
  <c r="AN28" i="4"/>
  <c r="AN27" i="4"/>
  <c r="AN26" i="4"/>
  <c r="AN25" i="4"/>
  <c r="AN23" i="4"/>
  <c r="AN22" i="4"/>
  <c r="AN19" i="4"/>
  <c r="AN18" i="4"/>
  <c r="AN16" i="4"/>
  <c r="AN15" i="4"/>
  <c r="AN14" i="4"/>
  <c r="AN13" i="4"/>
  <c r="AN11" i="4"/>
  <c r="AN10" i="4"/>
  <c r="AN8" i="4" a="1"/>
  <c r="AN590" i="4" s="1"/>
  <c r="AN8" i="4"/>
  <c r="A1" i="4"/>
  <c r="A1" i="3"/>
  <c r="M999" i="1"/>
  <c r="L999" i="1"/>
  <c r="K999" i="1"/>
  <c r="J999" i="1"/>
  <c r="I999" i="1"/>
  <c r="H999" i="1"/>
  <c r="G999" i="1"/>
  <c r="N999" i="1" s="1"/>
  <c r="F999" i="1"/>
  <c r="E999" i="1"/>
  <c r="D999" i="1"/>
  <c r="C999" i="1"/>
  <c r="M998" i="1"/>
  <c r="L998" i="1"/>
  <c r="K998" i="1"/>
  <c r="J998" i="1"/>
  <c r="I998" i="1"/>
  <c r="H998" i="1"/>
  <c r="G998" i="1"/>
  <c r="N998" i="1" s="1"/>
  <c r="F998" i="1"/>
  <c r="E998" i="1"/>
  <c r="D998" i="1"/>
  <c r="C998" i="1"/>
  <c r="M997" i="1"/>
  <c r="L997" i="1"/>
  <c r="K997" i="1"/>
  <c r="J997" i="1"/>
  <c r="I997" i="1"/>
  <c r="H997" i="1"/>
  <c r="G997" i="1"/>
  <c r="N997" i="1" s="1"/>
  <c r="F997" i="1"/>
  <c r="E997" i="1"/>
  <c r="D997" i="1"/>
  <c r="C997" i="1"/>
  <c r="M996" i="1"/>
  <c r="L996" i="1"/>
  <c r="K996" i="1"/>
  <c r="J996" i="1"/>
  <c r="I996" i="1"/>
  <c r="H996" i="1"/>
  <c r="G996" i="1"/>
  <c r="N996" i="1" s="1"/>
  <c r="F996" i="1"/>
  <c r="E996" i="1"/>
  <c r="D996" i="1"/>
  <c r="C996" i="1"/>
  <c r="M995" i="1"/>
  <c r="L995" i="1"/>
  <c r="K995" i="1"/>
  <c r="J995" i="1"/>
  <c r="I995" i="1"/>
  <c r="H995" i="1"/>
  <c r="G995" i="1"/>
  <c r="N995" i="1" s="1"/>
  <c r="F995" i="1"/>
  <c r="E995" i="1"/>
  <c r="D995" i="1"/>
  <c r="C995" i="1"/>
  <c r="M994" i="1"/>
  <c r="L994" i="1"/>
  <c r="K994" i="1"/>
  <c r="J994" i="1"/>
  <c r="I994" i="1"/>
  <c r="H994" i="1"/>
  <c r="G994" i="1"/>
  <c r="N994" i="1" s="1"/>
  <c r="F994" i="1"/>
  <c r="E994" i="1"/>
  <c r="D994" i="1"/>
  <c r="C994" i="1"/>
  <c r="M993" i="1"/>
  <c r="L993" i="1"/>
  <c r="K993" i="1"/>
  <c r="J993" i="1"/>
  <c r="I993" i="1"/>
  <c r="H993" i="1"/>
  <c r="G993" i="1"/>
  <c r="N993" i="1" s="1"/>
  <c r="F993" i="1"/>
  <c r="E993" i="1"/>
  <c r="D993" i="1"/>
  <c r="C993" i="1"/>
  <c r="M992" i="1"/>
  <c r="L992" i="1"/>
  <c r="K992" i="1"/>
  <c r="J992" i="1"/>
  <c r="I992" i="1"/>
  <c r="H992" i="1"/>
  <c r="G992" i="1"/>
  <c r="N992" i="1" s="1"/>
  <c r="F992" i="1"/>
  <c r="E992" i="1"/>
  <c r="D992" i="1"/>
  <c r="C992" i="1"/>
  <c r="M991" i="1"/>
  <c r="L991" i="1"/>
  <c r="K991" i="1"/>
  <c r="J991" i="1"/>
  <c r="I991" i="1"/>
  <c r="H991" i="1"/>
  <c r="G991" i="1"/>
  <c r="N991" i="1" s="1"/>
  <c r="F991" i="1"/>
  <c r="E991" i="1"/>
  <c r="D991" i="1"/>
  <c r="C991" i="1"/>
  <c r="M990" i="1"/>
  <c r="L990" i="1"/>
  <c r="K990" i="1"/>
  <c r="J990" i="1"/>
  <c r="I990" i="1"/>
  <c r="H990" i="1"/>
  <c r="G990" i="1"/>
  <c r="N990" i="1" s="1"/>
  <c r="F990" i="1"/>
  <c r="E990" i="1"/>
  <c r="D990" i="1"/>
  <c r="C990" i="1"/>
  <c r="M989" i="1"/>
  <c r="L989" i="1"/>
  <c r="K989" i="1"/>
  <c r="J989" i="1"/>
  <c r="I989" i="1"/>
  <c r="H989" i="1"/>
  <c r="G989" i="1"/>
  <c r="N989" i="1" s="1"/>
  <c r="F989" i="1"/>
  <c r="E989" i="1"/>
  <c r="D989" i="1"/>
  <c r="C989" i="1"/>
  <c r="M988" i="1"/>
  <c r="L988" i="1"/>
  <c r="K988" i="1"/>
  <c r="J988" i="1"/>
  <c r="I988" i="1"/>
  <c r="H988" i="1"/>
  <c r="G988" i="1"/>
  <c r="N988" i="1" s="1"/>
  <c r="F988" i="1"/>
  <c r="E988" i="1"/>
  <c r="D988" i="1"/>
  <c r="C988" i="1"/>
  <c r="M987" i="1"/>
  <c r="L987" i="1"/>
  <c r="K987" i="1"/>
  <c r="J987" i="1"/>
  <c r="I987" i="1"/>
  <c r="H987" i="1"/>
  <c r="G987" i="1"/>
  <c r="N987" i="1" s="1"/>
  <c r="F987" i="1"/>
  <c r="E987" i="1"/>
  <c r="D987" i="1"/>
  <c r="C987" i="1"/>
  <c r="M986" i="1"/>
  <c r="L986" i="1"/>
  <c r="K986" i="1"/>
  <c r="J986" i="1"/>
  <c r="I986" i="1"/>
  <c r="H986" i="1"/>
  <c r="G986" i="1"/>
  <c r="N986" i="1" s="1"/>
  <c r="F986" i="1"/>
  <c r="E986" i="1"/>
  <c r="D986" i="1"/>
  <c r="C986" i="1"/>
  <c r="M985" i="1"/>
  <c r="L985" i="1"/>
  <c r="K985" i="1"/>
  <c r="J985" i="1"/>
  <c r="I985" i="1"/>
  <c r="H985" i="1"/>
  <c r="G985" i="1"/>
  <c r="N985" i="1" s="1"/>
  <c r="F985" i="1"/>
  <c r="E985" i="1"/>
  <c r="D985" i="1"/>
  <c r="C985" i="1"/>
  <c r="M984" i="1"/>
  <c r="L984" i="1"/>
  <c r="K984" i="1"/>
  <c r="J984" i="1"/>
  <c r="I984" i="1"/>
  <c r="H984" i="1"/>
  <c r="G984" i="1"/>
  <c r="N984" i="1" s="1"/>
  <c r="F984" i="1"/>
  <c r="E984" i="1"/>
  <c r="D984" i="1"/>
  <c r="C984" i="1"/>
  <c r="M983" i="1"/>
  <c r="L983" i="1"/>
  <c r="K983" i="1"/>
  <c r="J983" i="1"/>
  <c r="I983" i="1"/>
  <c r="H983" i="1"/>
  <c r="G983" i="1"/>
  <c r="N983" i="1" s="1"/>
  <c r="F983" i="1"/>
  <c r="E983" i="1"/>
  <c r="D983" i="1"/>
  <c r="C983" i="1"/>
  <c r="M982" i="1"/>
  <c r="L982" i="1"/>
  <c r="K982" i="1"/>
  <c r="J982" i="1"/>
  <c r="I982" i="1"/>
  <c r="H982" i="1"/>
  <c r="G982" i="1"/>
  <c r="N982" i="1" s="1"/>
  <c r="F982" i="1"/>
  <c r="E982" i="1"/>
  <c r="D982" i="1"/>
  <c r="C982" i="1"/>
  <c r="M981" i="1"/>
  <c r="L981" i="1"/>
  <c r="K981" i="1"/>
  <c r="J981" i="1"/>
  <c r="I981" i="1"/>
  <c r="H981" i="1"/>
  <c r="G981" i="1"/>
  <c r="N981" i="1" s="1"/>
  <c r="F981" i="1"/>
  <c r="E981" i="1"/>
  <c r="D981" i="1"/>
  <c r="C981" i="1"/>
  <c r="M980" i="1"/>
  <c r="L980" i="1"/>
  <c r="K980" i="1"/>
  <c r="J980" i="1"/>
  <c r="I980" i="1"/>
  <c r="H980" i="1"/>
  <c r="G980" i="1"/>
  <c r="N980" i="1" s="1"/>
  <c r="F980" i="1"/>
  <c r="E980" i="1"/>
  <c r="D980" i="1"/>
  <c r="C980" i="1"/>
  <c r="M979" i="1"/>
  <c r="L979" i="1"/>
  <c r="K979" i="1"/>
  <c r="J979" i="1"/>
  <c r="I979" i="1"/>
  <c r="H979" i="1"/>
  <c r="G979" i="1"/>
  <c r="N979" i="1" s="1"/>
  <c r="F979" i="1"/>
  <c r="E979" i="1"/>
  <c r="D979" i="1"/>
  <c r="C979" i="1"/>
  <c r="M978" i="1"/>
  <c r="L978" i="1"/>
  <c r="K978" i="1"/>
  <c r="J978" i="1"/>
  <c r="I978" i="1"/>
  <c r="H978" i="1"/>
  <c r="G978" i="1"/>
  <c r="N978" i="1" s="1"/>
  <c r="F978" i="1"/>
  <c r="E978" i="1"/>
  <c r="D978" i="1"/>
  <c r="C978" i="1"/>
  <c r="M977" i="1"/>
  <c r="L977" i="1"/>
  <c r="K977" i="1"/>
  <c r="J977" i="1"/>
  <c r="I977" i="1"/>
  <c r="H977" i="1"/>
  <c r="G977" i="1"/>
  <c r="N977" i="1" s="1"/>
  <c r="F977" i="1"/>
  <c r="E977" i="1"/>
  <c r="D977" i="1"/>
  <c r="C977" i="1"/>
  <c r="M976" i="1"/>
  <c r="L976" i="1"/>
  <c r="K976" i="1"/>
  <c r="J976" i="1"/>
  <c r="I976" i="1"/>
  <c r="H976" i="1"/>
  <c r="G976" i="1"/>
  <c r="N976" i="1" s="1"/>
  <c r="F976" i="1"/>
  <c r="E976" i="1"/>
  <c r="D976" i="1"/>
  <c r="C976" i="1"/>
  <c r="M975" i="1"/>
  <c r="L975" i="1"/>
  <c r="K975" i="1"/>
  <c r="J975" i="1"/>
  <c r="I975" i="1"/>
  <c r="H975" i="1"/>
  <c r="G975" i="1"/>
  <c r="N975" i="1" s="1"/>
  <c r="F975" i="1"/>
  <c r="E975" i="1"/>
  <c r="D975" i="1"/>
  <c r="C975" i="1"/>
  <c r="M974" i="1"/>
  <c r="L974" i="1"/>
  <c r="K974" i="1"/>
  <c r="J974" i="1"/>
  <c r="I974" i="1"/>
  <c r="H974" i="1"/>
  <c r="G974" i="1"/>
  <c r="N974" i="1" s="1"/>
  <c r="F974" i="1"/>
  <c r="E974" i="1"/>
  <c r="D974" i="1"/>
  <c r="C974" i="1"/>
  <c r="M973" i="1"/>
  <c r="L973" i="1"/>
  <c r="K973" i="1"/>
  <c r="J973" i="1"/>
  <c r="I973" i="1"/>
  <c r="H973" i="1"/>
  <c r="G973" i="1"/>
  <c r="N973" i="1" s="1"/>
  <c r="F973" i="1"/>
  <c r="E973" i="1"/>
  <c r="D973" i="1"/>
  <c r="C973" i="1"/>
  <c r="M972" i="1"/>
  <c r="L972" i="1"/>
  <c r="K972" i="1"/>
  <c r="J972" i="1"/>
  <c r="I972" i="1"/>
  <c r="H972" i="1"/>
  <c r="N972" i="1" s="1"/>
  <c r="G972" i="1"/>
  <c r="F972" i="1"/>
  <c r="E972" i="1"/>
  <c r="D972" i="1"/>
  <c r="C972" i="1"/>
  <c r="M971" i="1"/>
  <c r="L971" i="1"/>
  <c r="K971" i="1"/>
  <c r="J971" i="1"/>
  <c r="I971" i="1"/>
  <c r="H971" i="1"/>
  <c r="N971" i="1" s="1"/>
  <c r="G971" i="1"/>
  <c r="F971" i="1"/>
  <c r="E971" i="1"/>
  <c r="D971" i="1"/>
  <c r="C971" i="1"/>
  <c r="M970" i="1"/>
  <c r="L970" i="1"/>
  <c r="K970" i="1"/>
  <c r="J970" i="1"/>
  <c r="I970" i="1"/>
  <c r="H970" i="1"/>
  <c r="N970" i="1" s="1"/>
  <c r="G970" i="1"/>
  <c r="F970" i="1"/>
  <c r="E970" i="1"/>
  <c r="D970" i="1"/>
  <c r="C970" i="1"/>
  <c r="M969" i="1"/>
  <c r="L969" i="1"/>
  <c r="K969" i="1"/>
  <c r="J969" i="1"/>
  <c r="I969" i="1"/>
  <c r="H969" i="1"/>
  <c r="N969" i="1" s="1"/>
  <c r="G969" i="1"/>
  <c r="F969" i="1"/>
  <c r="E969" i="1"/>
  <c r="D969" i="1"/>
  <c r="C969" i="1"/>
  <c r="M968" i="1"/>
  <c r="L968" i="1"/>
  <c r="K968" i="1"/>
  <c r="J968" i="1"/>
  <c r="I968" i="1"/>
  <c r="H968" i="1"/>
  <c r="N968" i="1" s="1"/>
  <c r="G968" i="1"/>
  <c r="F968" i="1"/>
  <c r="E968" i="1"/>
  <c r="D968" i="1"/>
  <c r="C968" i="1"/>
  <c r="M967" i="1"/>
  <c r="L967" i="1"/>
  <c r="K967" i="1"/>
  <c r="J967" i="1"/>
  <c r="I967" i="1"/>
  <c r="H967" i="1"/>
  <c r="N967" i="1" s="1"/>
  <c r="G967" i="1"/>
  <c r="F967" i="1"/>
  <c r="E967" i="1"/>
  <c r="D967" i="1"/>
  <c r="C967" i="1"/>
  <c r="M966" i="1"/>
  <c r="L966" i="1"/>
  <c r="K966" i="1"/>
  <c r="J966" i="1"/>
  <c r="I966" i="1"/>
  <c r="H966" i="1"/>
  <c r="N966" i="1" s="1"/>
  <c r="G966" i="1"/>
  <c r="F966" i="1"/>
  <c r="E966" i="1"/>
  <c r="D966" i="1"/>
  <c r="C966" i="1"/>
  <c r="M965" i="1"/>
  <c r="L965" i="1"/>
  <c r="K965" i="1"/>
  <c r="J965" i="1"/>
  <c r="I965" i="1"/>
  <c r="H965" i="1"/>
  <c r="N965" i="1" s="1"/>
  <c r="G965" i="1"/>
  <c r="F965" i="1"/>
  <c r="E965" i="1"/>
  <c r="D965" i="1"/>
  <c r="C965" i="1"/>
  <c r="M964" i="1"/>
  <c r="L964" i="1"/>
  <c r="K964" i="1"/>
  <c r="J964" i="1"/>
  <c r="I964" i="1"/>
  <c r="H964" i="1"/>
  <c r="N964" i="1" s="1"/>
  <c r="G964" i="1"/>
  <c r="F964" i="1"/>
  <c r="E964" i="1"/>
  <c r="D964" i="1"/>
  <c r="C964" i="1"/>
  <c r="M963" i="1"/>
  <c r="L963" i="1"/>
  <c r="K963" i="1"/>
  <c r="J963" i="1"/>
  <c r="I963" i="1"/>
  <c r="H963" i="1"/>
  <c r="N963" i="1" s="1"/>
  <c r="G963" i="1"/>
  <c r="F963" i="1"/>
  <c r="E963" i="1"/>
  <c r="D963" i="1"/>
  <c r="C963" i="1"/>
  <c r="M962" i="1"/>
  <c r="L962" i="1"/>
  <c r="K962" i="1"/>
  <c r="J962" i="1"/>
  <c r="I962" i="1"/>
  <c r="H962" i="1"/>
  <c r="N962" i="1" s="1"/>
  <c r="G962" i="1"/>
  <c r="F962" i="1"/>
  <c r="E962" i="1"/>
  <c r="D962" i="1"/>
  <c r="C962" i="1"/>
  <c r="M961" i="1"/>
  <c r="L961" i="1"/>
  <c r="K961" i="1"/>
  <c r="J961" i="1"/>
  <c r="I961" i="1"/>
  <c r="H961" i="1"/>
  <c r="N961" i="1" s="1"/>
  <c r="G961" i="1"/>
  <c r="F961" i="1"/>
  <c r="E961" i="1"/>
  <c r="D961" i="1"/>
  <c r="C961" i="1"/>
  <c r="M960" i="1"/>
  <c r="L960" i="1"/>
  <c r="K960" i="1"/>
  <c r="J960" i="1"/>
  <c r="I960" i="1"/>
  <c r="H960" i="1"/>
  <c r="N960" i="1" s="1"/>
  <c r="G960" i="1"/>
  <c r="F960" i="1"/>
  <c r="E960" i="1"/>
  <c r="D960" i="1"/>
  <c r="C960" i="1"/>
  <c r="M959" i="1"/>
  <c r="L959" i="1"/>
  <c r="K959" i="1"/>
  <c r="J959" i="1"/>
  <c r="I959" i="1"/>
  <c r="H959" i="1"/>
  <c r="N959" i="1" s="1"/>
  <c r="G959" i="1"/>
  <c r="F959" i="1"/>
  <c r="E959" i="1"/>
  <c r="D959" i="1"/>
  <c r="C959" i="1"/>
  <c r="M958" i="1"/>
  <c r="L958" i="1"/>
  <c r="K958" i="1"/>
  <c r="J958" i="1"/>
  <c r="I958" i="1"/>
  <c r="H958" i="1"/>
  <c r="N958" i="1" s="1"/>
  <c r="G958" i="1"/>
  <c r="F958" i="1"/>
  <c r="E958" i="1"/>
  <c r="D958" i="1"/>
  <c r="C958" i="1"/>
  <c r="M957" i="1"/>
  <c r="L957" i="1"/>
  <c r="K957" i="1"/>
  <c r="J957" i="1"/>
  <c r="I957" i="1"/>
  <c r="H957" i="1"/>
  <c r="N957" i="1" s="1"/>
  <c r="G957" i="1"/>
  <c r="F957" i="1"/>
  <c r="E957" i="1"/>
  <c r="D957" i="1"/>
  <c r="C957" i="1"/>
  <c r="M956" i="1"/>
  <c r="L956" i="1"/>
  <c r="K956" i="1"/>
  <c r="J956" i="1"/>
  <c r="I956" i="1"/>
  <c r="H956" i="1"/>
  <c r="N956" i="1" s="1"/>
  <c r="G956" i="1"/>
  <c r="F956" i="1"/>
  <c r="E956" i="1"/>
  <c r="D956" i="1"/>
  <c r="C956" i="1"/>
  <c r="M955" i="1"/>
  <c r="L955" i="1"/>
  <c r="K955" i="1"/>
  <c r="J955" i="1"/>
  <c r="I955" i="1"/>
  <c r="H955" i="1"/>
  <c r="N955" i="1" s="1"/>
  <c r="G955" i="1"/>
  <c r="F955" i="1"/>
  <c r="E955" i="1"/>
  <c r="D955" i="1"/>
  <c r="C955" i="1"/>
  <c r="M954" i="1"/>
  <c r="L954" i="1"/>
  <c r="K954" i="1"/>
  <c r="J954" i="1"/>
  <c r="I954" i="1"/>
  <c r="H954" i="1"/>
  <c r="N954" i="1" s="1"/>
  <c r="G954" i="1"/>
  <c r="F954" i="1"/>
  <c r="E954" i="1"/>
  <c r="D954" i="1"/>
  <c r="C954" i="1"/>
  <c r="M953" i="1"/>
  <c r="L953" i="1"/>
  <c r="K953" i="1"/>
  <c r="J953" i="1"/>
  <c r="I953" i="1"/>
  <c r="H953" i="1"/>
  <c r="N953" i="1" s="1"/>
  <c r="G953" i="1"/>
  <c r="F953" i="1"/>
  <c r="E953" i="1"/>
  <c r="D953" i="1"/>
  <c r="C953" i="1"/>
  <c r="M952" i="1"/>
  <c r="L952" i="1"/>
  <c r="K952" i="1"/>
  <c r="J952" i="1"/>
  <c r="I952" i="1"/>
  <c r="H952" i="1"/>
  <c r="N952" i="1" s="1"/>
  <c r="G952" i="1"/>
  <c r="F952" i="1"/>
  <c r="E952" i="1"/>
  <c r="D952" i="1"/>
  <c r="C952" i="1"/>
  <c r="M951" i="1"/>
  <c r="L951" i="1"/>
  <c r="K951" i="1"/>
  <c r="J951" i="1"/>
  <c r="I951" i="1"/>
  <c r="H951" i="1"/>
  <c r="N951" i="1" s="1"/>
  <c r="G951" i="1"/>
  <c r="F951" i="1"/>
  <c r="E951" i="1"/>
  <c r="D951" i="1"/>
  <c r="C951" i="1"/>
  <c r="M950" i="1"/>
  <c r="L950" i="1"/>
  <c r="K950" i="1"/>
  <c r="J950" i="1"/>
  <c r="I950" i="1"/>
  <c r="H950" i="1"/>
  <c r="N950" i="1" s="1"/>
  <c r="G950" i="1"/>
  <c r="F950" i="1"/>
  <c r="E950" i="1"/>
  <c r="D950" i="1"/>
  <c r="C950" i="1"/>
  <c r="M949" i="1"/>
  <c r="L949" i="1"/>
  <c r="K949" i="1"/>
  <c r="J949" i="1"/>
  <c r="I949" i="1"/>
  <c r="H949" i="1"/>
  <c r="N949" i="1" s="1"/>
  <c r="G949" i="1"/>
  <c r="F949" i="1"/>
  <c r="E949" i="1"/>
  <c r="D949" i="1"/>
  <c r="C949" i="1"/>
  <c r="M948" i="1"/>
  <c r="L948" i="1"/>
  <c r="K948" i="1"/>
  <c r="J948" i="1"/>
  <c r="I948" i="1"/>
  <c r="H948" i="1"/>
  <c r="N948" i="1" s="1"/>
  <c r="G948" i="1"/>
  <c r="F948" i="1"/>
  <c r="E948" i="1"/>
  <c r="D948" i="1"/>
  <c r="C948" i="1"/>
  <c r="M947" i="1"/>
  <c r="L947" i="1"/>
  <c r="K947" i="1"/>
  <c r="J947" i="1"/>
  <c r="I947" i="1"/>
  <c r="H947" i="1"/>
  <c r="N947" i="1" s="1"/>
  <c r="G947" i="1"/>
  <c r="F947" i="1"/>
  <c r="E947" i="1"/>
  <c r="D947" i="1"/>
  <c r="C947" i="1"/>
  <c r="M946" i="1"/>
  <c r="L946" i="1"/>
  <c r="K946" i="1"/>
  <c r="J946" i="1"/>
  <c r="I946" i="1"/>
  <c r="H946" i="1"/>
  <c r="N946" i="1" s="1"/>
  <c r="G946" i="1"/>
  <c r="F946" i="1"/>
  <c r="E946" i="1"/>
  <c r="D946" i="1"/>
  <c r="C946" i="1"/>
  <c r="M945" i="1"/>
  <c r="L945" i="1"/>
  <c r="K945" i="1"/>
  <c r="J945" i="1"/>
  <c r="I945" i="1"/>
  <c r="H945" i="1"/>
  <c r="N945" i="1" s="1"/>
  <c r="G945" i="1"/>
  <c r="F945" i="1"/>
  <c r="E945" i="1"/>
  <c r="D945" i="1"/>
  <c r="C945" i="1"/>
  <c r="M944" i="1"/>
  <c r="L944" i="1"/>
  <c r="K944" i="1"/>
  <c r="J944" i="1"/>
  <c r="I944" i="1"/>
  <c r="H944" i="1"/>
  <c r="N944" i="1" s="1"/>
  <c r="G944" i="1"/>
  <c r="F944" i="1"/>
  <c r="E944" i="1"/>
  <c r="D944" i="1"/>
  <c r="C944" i="1"/>
  <c r="M943" i="1"/>
  <c r="L943" i="1"/>
  <c r="K943" i="1"/>
  <c r="J943" i="1"/>
  <c r="I943" i="1"/>
  <c r="H943" i="1"/>
  <c r="N943" i="1" s="1"/>
  <c r="G943" i="1"/>
  <c r="F943" i="1"/>
  <c r="E943" i="1"/>
  <c r="D943" i="1"/>
  <c r="C943" i="1"/>
  <c r="M942" i="1"/>
  <c r="L942" i="1"/>
  <c r="K942" i="1"/>
  <c r="J942" i="1"/>
  <c r="I942" i="1"/>
  <c r="H942" i="1"/>
  <c r="N942" i="1" s="1"/>
  <c r="G942" i="1"/>
  <c r="F942" i="1"/>
  <c r="E942" i="1"/>
  <c r="D942" i="1"/>
  <c r="C942" i="1"/>
  <c r="M941" i="1"/>
  <c r="L941" i="1"/>
  <c r="K941" i="1"/>
  <c r="J941" i="1"/>
  <c r="I941" i="1"/>
  <c r="H941" i="1"/>
  <c r="N941" i="1" s="1"/>
  <c r="G941" i="1"/>
  <c r="F941" i="1"/>
  <c r="E941" i="1"/>
  <c r="D941" i="1"/>
  <c r="C941" i="1"/>
  <c r="M940" i="1"/>
  <c r="L940" i="1"/>
  <c r="K940" i="1"/>
  <c r="J940" i="1"/>
  <c r="I940" i="1"/>
  <c r="H940" i="1"/>
  <c r="N940" i="1" s="1"/>
  <c r="G940" i="1"/>
  <c r="F940" i="1"/>
  <c r="E940" i="1"/>
  <c r="D940" i="1"/>
  <c r="C940" i="1"/>
  <c r="M939" i="1"/>
  <c r="L939" i="1"/>
  <c r="K939" i="1"/>
  <c r="J939" i="1"/>
  <c r="I939" i="1"/>
  <c r="H939" i="1"/>
  <c r="N939" i="1" s="1"/>
  <c r="G939" i="1"/>
  <c r="F939" i="1"/>
  <c r="E939" i="1"/>
  <c r="D939" i="1"/>
  <c r="C939" i="1"/>
  <c r="M938" i="1"/>
  <c r="L938" i="1"/>
  <c r="K938" i="1"/>
  <c r="J938" i="1"/>
  <c r="I938" i="1"/>
  <c r="H938" i="1"/>
  <c r="N938" i="1" s="1"/>
  <c r="G938" i="1"/>
  <c r="F938" i="1"/>
  <c r="E938" i="1"/>
  <c r="D938" i="1"/>
  <c r="C938" i="1"/>
  <c r="M937" i="1"/>
  <c r="L937" i="1"/>
  <c r="K937" i="1"/>
  <c r="J937" i="1"/>
  <c r="I937" i="1"/>
  <c r="H937" i="1"/>
  <c r="N937" i="1" s="1"/>
  <c r="G937" i="1"/>
  <c r="F937" i="1"/>
  <c r="E937" i="1"/>
  <c r="D937" i="1"/>
  <c r="C937" i="1"/>
  <c r="M936" i="1"/>
  <c r="L936" i="1"/>
  <c r="K936" i="1"/>
  <c r="J936" i="1"/>
  <c r="I936" i="1"/>
  <c r="H936" i="1"/>
  <c r="N936" i="1" s="1"/>
  <c r="G936" i="1"/>
  <c r="F936" i="1"/>
  <c r="E936" i="1"/>
  <c r="D936" i="1"/>
  <c r="C936" i="1"/>
  <c r="M935" i="1"/>
  <c r="L935" i="1"/>
  <c r="K935" i="1"/>
  <c r="J935" i="1"/>
  <c r="I935" i="1"/>
  <c r="H935" i="1"/>
  <c r="N935" i="1" s="1"/>
  <c r="G935" i="1"/>
  <c r="F935" i="1"/>
  <c r="E935" i="1"/>
  <c r="D935" i="1"/>
  <c r="C935" i="1"/>
  <c r="M934" i="1"/>
  <c r="L934" i="1"/>
  <c r="K934" i="1"/>
  <c r="J934" i="1"/>
  <c r="I934" i="1"/>
  <c r="H934" i="1"/>
  <c r="N934" i="1" s="1"/>
  <c r="G934" i="1"/>
  <c r="F934" i="1"/>
  <c r="E934" i="1"/>
  <c r="D934" i="1"/>
  <c r="C934" i="1"/>
  <c r="M933" i="1"/>
  <c r="L933" i="1"/>
  <c r="K933" i="1"/>
  <c r="J933" i="1"/>
  <c r="I933" i="1"/>
  <c r="H933" i="1"/>
  <c r="N933" i="1" s="1"/>
  <c r="G933" i="1"/>
  <c r="F933" i="1"/>
  <c r="E933" i="1"/>
  <c r="D933" i="1"/>
  <c r="C933" i="1"/>
  <c r="M932" i="1"/>
  <c r="L932" i="1"/>
  <c r="K932" i="1"/>
  <c r="J932" i="1"/>
  <c r="I932" i="1"/>
  <c r="H932" i="1"/>
  <c r="N932" i="1" s="1"/>
  <c r="G932" i="1"/>
  <c r="F932" i="1"/>
  <c r="E932" i="1"/>
  <c r="D932" i="1"/>
  <c r="C932" i="1"/>
  <c r="M931" i="1"/>
  <c r="L931" i="1"/>
  <c r="K931" i="1"/>
  <c r="J931" i="1"/>
  <c r="I931" i="1"/>
  <c r="H931" i="1"/>
  <c r="N931" i="1" s="1"/>
  <c r="G931" i="1"/>
  <c r="F931" i="1"/>
  <c r="E931" i="1"/>
  <c r="D931" i="1"/>
  <c r="C931" i="1"/>
  <c r="M930" i="1"/>
  <c r="L930" i="1"/>
  <c r="K930" i="1"/>
  <c r="J930" i="1"/>
  <c r="I930" i="1"/>
  <c r="H930" i="1"/>
  <c r="N930" i="1" s="1"/>
  <c r="G930" i="1"/>
  <c r="F930" i="1"/>
  <c r="E930" i="1"/>
  <c r="D930" i="1"/>
  <c r="C930" i="1"/>
  <c r="M929" i="1"/>
  <c r="L929" i="1"/>
  <c r="K929" i="1"/>
  <c r="J929" i="1"/>
  <c r="I929" i="1"/>
  <c r="H929" i="1"/>
  <c r="N929" i="1" s="1"/>
  <c r="G929" i="1"/>
  <c r="F929" i="1"/>
  <c r="E929" i="1"/>
  <c r="D929" i="1"/>
  <c r="C929" i="1"/>
  <c r="M928" i="1"/>
  <c r="L928" i="1"/>
  <c r="K928" i="1"/>
  <c r="J928" i="1"/>
  <c r="I928" i="1"/>
  <c r="H928" i="1"/>
  <c r="N928" i="1" s="1"/>
  <c r="G928" i="1"/>
  <c r="F928" i="1"/>
  <c r="E928" i="1"/>
  <c r="D928" i="1"/>
  <c r="C928" i="1"/>
  <c r="M927" i="1"/>
  <c r="L927" i="1"/>
  <c r="K927" i="1"/>
  <c r="J927" i="1"/>
  <c r="I927" i="1"/>
  <c r="H927" i="1"/>
  <c r="N927" i="1" s="1"/>
  <c r="G927" i="1"/>
  <c r="F927" i="1"/>
  <c r="E927" i="1"/>
  <c r="D927" i="1"/>
  <c r="C927" i="1"/>
  <c r="M926" i="1"/>
  <c r="L926" i="1"/>
  <c r="K926" i="1"/>
  <c r="J926" i="1"/>
  <c r="I926" i="1"/>
  <c r="H926" i="1"/>
  <c r="N926" i="1" s="1"/>
  <c r="G926" i="1"/>
  <c r="F926" i="1"/>
  <c r="E926" i="1"/>
  <c r="D926" i="1"/>
  <c r="C926" i="1"/>
  <c r="M925" i="1"/>
  <c r="L925" i="1"/>
  <c r="K925" i="1"/>
  <c r="J925" i="1"/>
  <c r="I925" i="1"/>
  <c r="H925" i="1"/>
  <c r="N925" i="1" s="1"/>
  <c r="G925" i="1"/>
  <c r="F925" i="1"/>
  <c r="E925" i="1"/>
  <c r="D925" i="1"/>
  <c r="C925" i="1"/>
  <c r="M924" i="1"/>
  <c r="L924" i="1"/>
  <c r="K924" i="1"/>
  <c r="J924" i="1"/>
  <c r="I924" i="1"/>
  <c r="H924" i="1"/>
  <c r="N924" i="1" s="1"/>
  <c r="G924" i="1"/>
  <c r="F924" i="1"/>
  <c r="E924" i="1"/>
  <c r="D924" i="1"/>
  <c r="C924" i="1"/>
  <c r="M923" i="1"/>
  <c r="L923" i="1"/>
  <c r="K923" i="1"/>
  <c r="J923" i="1"/>
  <c r="I923" i="1"/>
  <c r="H923" i="1"/>
  <c r="N923" i="1" s="1"/>
  <c r="G923" i="1"/>
  <c r="F923" i="1"/>
  <c r="E923" i="1"/>
  <c r="D923" i="1"/>
  <c r="C923" i="1"/>
  <c r="M922" i="1"/>
  <c r="L922" i="1"/>
  <c r="K922" i="1"/>
  <c r="J922" i="1"/>
  <c r="I922" i="1"/>
  <c r="H922" i="1"/>
  <c r="N922" i="1" s="1"/>
  <c r="G922" i="1"/>
  <c r="F922" i="1"/>
  <c r="E922" i="1"/>
  <c r="D922" i="1"/>
  <c r="C922" i="1"/>
  <c r="M921" i="1"/>
  <c r="L921" i="1"/>
  <c r="K921" i="1"/>
  <c r="J921" i="1"/>
  <c r="I921" i="1"/>
  <c r="H921" i="1"/>
  <c r="N921" i="1" s="1"/>
  <c r="G921" i="1"/>
  <c r="F921" i="1"/>
  <c r="E921" i="1"/>
  <c r="D921" i="1"/>
  <c r="C921" i="1"/>
  <c r="M920" i="1"/>
  <c r="L920" i="1"/>
  <c r="K920" i="1"/>
  <c r="J920" i="1"/>
  <c r="I920" i="1"/>
  <c r="H920" i="1"/>
  <c r="N920" i="1" s="1"/>
  <c r="G920" i="1"/>
  <c r="F920" i="1"/>
  <c r="E920" i="1"/>
  <c r="D920" i="1"/>
  <c r="C920" i="1"/>
  <c r="M919" i="1"/>
  <c r="L919" i="1"/>
  <c r="K919" i="1"/>
  <c r="J919" i="1"/>
  <c r="I919" i="1"/>
  <c r="H919" i="1"/>
  <c r="N919" i="1" s="1"/>
  <c r="G919" i="1"/>
  <c r="F919" i="1"/>
  <c r="E919" i="1"/>
  <c r="D919" i="1"/>
  <c r="C919" i="1"/>
  <c r="M918" i="1"/>
  <c r="L918" i="1"/>
  <c r="K918" i="1"/>
  <c r="J918" i="1"/>
  <c r="I918" i="1"/>
  <c r="H918" i="1"/>
  <c r="N918" i="1" s="1"/>
  <c r="G918" i="1"/>
  <c r="F918" i="1"/>
  <c r="E918" i="1"/>
  <c r="D918" i="1"/>
  <c r="C918" i="1"/>
  <c r="M917" i="1"/>
  <c r="L917" i="1"/>
  <c r="K917" i="1"/>
  <c r="J917" i="1"/>
  <c r="I917" i="1"/>
  <c r="H917" i="1"/>
  <c r="N917" i="1" s="1"/>
  <c r="G917" i="1"/>
  <c r="F917" i="1"/>
  <c r="E917" i="1"/>
  <c r="D917" i="1"/>
  <c r="C917" i="1"/>
  <c r="M916" i="1"/>
  <c r="L916" i="1"/>
  <c r="K916" i="1"/>
  <c r="J916" i="1"/>
  <c r="I916" i="1"/>
  <c r="H916" i="1"/>
  <c r="N916" i="1" s="1"/>
  <c r="G916" i="1"/>
  <c r="F916" i="1"/>
  <c r="E916" i="1"/>
  <c r="D916" i="1"/>
  <c r="C916" i="1"/>
  <c r="M915" i="1"/>
  <c r="L915" i="1"/>
  <c r="K915" i="1"/>
  <c r="J915" i="1"/>
  <c r="I915" i="1"/>
  <c r="H915" i="1"/>
  <c r="N915" i="1" s="1"/>
  <c r="G915" i="1"/>
  <c r="F915" i="1"/>
  <c r="E915" i="1"/>
  <c r="D915" i="1"/>
  <c r="C915" i="1"/>
  <c r="M914" i="1"/>
  <c r="L914" i="1"/>
  <c r="K914" i="1"/>
  <c r="J914" i="1"/>
  <c r="I914" i="1"/>
  <c r="H914" i="1"/>
  <c r="N914" i="1" s="1"/>
  <c r="G914" i="1"/>
  <c r="F914" i="1"/>
  <c r="E914" i="1"/>
  <c r="D914" i="1"/>
  <c r="C914" i="1"/>
  <c r="M913" i="1"/>
  <c r="L913" i="1"/>
  <c r="K913" i="1"/>
  <c r="J913" i="1"/>
  <c r="I913" i="1"/>
  <c r="H913" i="1"/>
  <c r="N913" i="1" s="1"/>
  <c r="G913" i="1"/>
  <c r="F913" i="1"/>
  <c r="E913" i="1"/>
  <c r="D913" i="1"/>
  <c r="C913" i="1"/>
  <c r="M912" i="1"/>
  <c r="L912" i="1"/>
  <c r="K912" i="1"/>
  <c r="J912" i="1"/>
  <c r="I912" i="1"/>
  <c r="H912" i="1"/>
  <c r="N912" i="1" s="1"/>
  <c r="G912" i="1"/>
  <c r="F912" i="1"/>
  <c r="E912" i="1"/>
  <c r="D912" i="1"/>
  <c r="C912" i="1"/>
  <c r="M911" i="1"/>
  <c r="L911" i="1"/>
  <c r="K911" i="1"/>
  <c r="J911" i="1"/>
  <c r="I911" i="1"/>
  <c r="H911" i="1"/>
  <c r="N911" i="1" s="1"/>
  <c r="G911" i="1"/>
  <c r="F911" i="1"/>
  <c r="E911" i="1"/>
  <c r="D911" i="1"/>
  <c r="C911" i="1"/>
  <c r="M910" i="1"/>
  <c r="L910" i="1"/>
  <c r="K910" i="1"/>
  <c r="J910" i="1"/>
  <c r="I910" i="1"/>
  <c r="H910" i="1"/>
  <c r="N910" i="1" s="1"/>
  <c r="G910" i="1"/>
  <c r="F910" i="1"/>
  <c r="E910" i="1"/>
  <c r="D910" i="1"/>
  <c r="C910" i="1"/>
  <c r="M909" i="1"/>
  <c r="L909" i="1"/>
  <c r="K909" i="1"/>
  <c r="J909" i="1"/>
  <c r="I909" i="1"/>
  <c r="H909" i="1"/>
  <c r="N909" i="1" s="1"/>
  <c r="G909" i="1"/>
  <c r="F909" i="1"/>
  <c r="E909" i="1"/>
  <c r="D909" i="1"/>
  <c r="C909" i="1"/>
  <c r="M908" i="1"/>
  <c r="L908" i="1"/>
  <c r="K908" i="1"/>
  <c r="J908" i="1"/>
  <c r="I908" i="1"/>
  <c r="H908" i="1"/>
  <c r="N908" i="1" s="1"/>
  <c r="G908" i="1"/>
  <c r="F908" i="1"/>
  <c r="E908" i="1"/>
  <c r="D908" i="1"/>
  <c r="C908" i="1"/>
  <c r="M907" i="1"/>
  <c r="L907" i="1"/>
  <c r="K907" i="1"/>
  <c r="J907" i="1"/>
  <c r="I907" i="1"/>
  <c r="H907" i="1"/>
  <c r="N907" i="1" s="1"/>
  <c r="G907" i="1"/>
  <c r="F907" i="1"/>
  <c r="E907" i="1"/>
  <c r="D907" i="1"/>
  <c r="C907" i="1"/>
  <c r="M906" i="1"/>
  <c r="L906" i="1"/>
  <c r="K906" i="1"/>
  <c r="J906" i="1"/>
  <c r="I906" i="1"/>
  <c r="H906" i="1"/>
  <c r="N906" i="1" s="1"/>
  <c r="G906" i="1"/>
  <c r="F906" i="1"/>
  <c r="E906" i="1"/>
  <c r="D906" i="1"/>
  <c r="C906" i="1"/>
  <c r="M905" i="1"/>
  <c r="L905" i="1"/>
  <c r="K905" i="1"/>
  <c r="J905" i="1"/>
  <c r="I905" i="1"/>
  <c r="H905" i="1"/>
  <c r="N905" i="1" s="1"/>
  <c r="G905" i="1"/>
  <c r="F905" i="1"/>
  <c r="E905" i="1"/>
  <c r="D905" i="1"/>
  <c r="C905" i="1"/>
  <c r="M904" i="1"/>
  <c r="L904" i="1"/>
  <c r="K904" i="1"/>
  <c r="J904" i="1"/>
  <c r="I904" i="1"/>
  <c r="H904" i="1"/>
  <c r="N904" i="1" s="1"/>
  <c r="G904" i="1"/>
  <c r="F904" i="1"/>
  <c r="E904" i="1"/>
  <c r="D904" i="1"/>
  <c r="C904" i="1"/>
  <c r="M903" i="1"/>
  <c r="L903" i="1"/>
  <c r="K903" i="1"/>
  <c r="J903" i="1"/>
  <c r="I903" i="1"/>
  <c r="H903" i="1"/>
  <c r="N903" i="1" s="1"/>
  <c r="G903" i="1"/>
  <c r="F903" i="1"/>
  <c r="E903" i="1"/>
  <c r="D903" i="1"/>
  <c r="C903" i="1"/>
  <c r="M902" i="1"/>
  <c r="L902" i="1"/>
  <c r="K902" i="1"/>
  <c r="J902" i="1"/>
  <c r="I902" i="1"/>
  <c r="H902" i="1"/>
  <c r="N902" i="1" s="1"/>
  <c r="G902" i="1"/>
  <c r="F902" i="1"/>
  <c r="E902" i="1"/>
  <c r="D902" i="1"/>
  <c r="C902" i="1"/>
  <c r="M901" i="1"/>
  <c r="L901" i="1"/>
  <c r="K901" i="1"/>
  <c r="J901" i="1"/>
  <c r="I901" i="1"/>
  <c r="H901" i="1"/>
  <c r="N901" i="1" s="1"/>
  <c r="G901" i="1"/>
  <c r="F901" i="1"/>
  <c r="E901" i="1"/>
  <c r="D901" i="1"/>
  <c r="C901" i="1"/>
  <c r="M900" i="1"/>
  <c r="L900" i="1"/>
  <c r="K900" i="1"/>
  <c r="J900" i="1"/>
  <c r="I900" i="1"/>
  <c r="H900" i="1"/>
  <c r="N900" i="1" s="1"/>
  <c r="G900" i="1"/>
  <c r="F900" i="1"/>
  <c r="E900" i="1"/>
  <c r="D900" i="1"/>
  <c r="C900" i="1"/>
  <c r="M899" i="1"/>
  <c r="L899" i="1"/>
  <c r="K899" i="1"/>
  <c r="J899" i="1"/>
  <c r="I899" i="1"/>
  <c r="H899" i="1"/>
  <c r="N899" i="1" s="1"/>
  <c r="G899" i="1"/>
  <c r="F899" i="1"/>
  <c r="E899" i="1"/>
  <c r="D899" i="1"/>
  <c r="C899" i="1"/>
  <c r="M898" i="1"/>
  <c r="L898" i="1"/>
  <c r="K898" i="1"/>
  <c r="J898" i="1"/>
  <c r="I898" i="1"/>
  <c r="H898" i="1"/>
  <c r="N898" i="1" s="1"/>
  <c r="G898" i="1"/>
  <c r="F898" i="1"/>
  <c r="E898" i="1"/>
  <c r="D898" i="1"/>
  <c r="C898" i="1"/>
  <c r="M897" i="1"/>
  <c r="L897" i="1"/>
  <c r="K897" i="1"/>
  <c r="J897" i="1"/>
  <c r="I897" i="1"/>
  <c r="H897" i="1"/>
  <c r="N897" i="1" s="1"/>
  <c r="G897" i="1"/>
  <c r="F897" i="1"/>
  <c r="E897" i="1"/>
  <c r="D897" i="1"/>
  <c r="C897" i="1"/>
  <c r="M896" i="1"/>
  <c r="L896" i="1"/>
  <c r="K896" i="1"/>
  <c r="J896" i="1"/>
  <c r="I896" i="1"/>
  <c r="H896" i="1"/>
  <c r="N896" i="1" s="1"/>
  <c r="G896" i="1"/>
  <c r="F896" i="1"/>
  <c r="E896" i="1"/>
  <c r="D896" i="1"/>
  <c r="C896" i="1"/>
  <c r="M895" i="1"/>
  <c r="L895" i="1"/>
  <c r="K895" i="1"/>
  <c r="J895" i="1"/>
  <c r="I895" i="1"/>
  <c r="H895" i="1"/>
  <c r="N895" i="1" s="1"/>
  <c r="G895" i="1"/>
  <c r="F895" i="1"/>
  <c r="E895" i="1"/>
  <c r="D895" i="1"/>
  <c r="C895" i="1"/>
  <c r="M894" i="1"/>
  <c r="L894" i="1"/>
  <c r="K894" i="1"/>
  <c r="J894" i="1"/>
  <c r="I894" i="1"/>
  <c r="H894" i="1"/>
  <c r="N894" i="1" s="1"/>
  <c r="G894" i="1"/>
  <c r="F894" i="1"/>
  <c r="E894" i="1"/>
  <c r="D894" i="1"/>
  <c r="C894" i="1"/>
  <c r="M893" i="1"/>
  <c r="L893" i="1"/>
  <c r="K893" i="1"/>
  <c r="J893" i="1"/>
  <c r="I893" i="1"/>
  <c r="H893" i="1"/>
  <c r="N893" i="1" s="1"/>
  <c r="G893" i="1"/>
  <c r="F893" i="1"/>
  <c r="E893" i="1"/>
  <c r="D893" i="1"/>
  <c r="C893" i="1"/>
  <c r="M892" i="1"/>
  <c r="L892" i="1"/>
  <c r="K892" i="1"/>
  <c r="J892" i="1"/>
  <c r="I892" i="1"/>
  <c r="H892" i="1"/>
  <c r="N892" i="1" s="1"/>
  <c r="G892" i="1"/>
  <c r="F892" i="1"/>
  <c r="E892" i="1"/>
  <c r="D892" i="1"/>
  <c r="C892" i="1"/>
  <c r="M891" i="1"/>
  <c r="L891" i="1"/>
  <c r="K891" i="1"/>
  <c r="J891" i="1"/>
  <c r="I891" i="1"/>
  <c r="H891" i="1"/>
  <c r="N891" i="1" s="1"/>
  <c r="G891" i="1"/>
  <c r="F891" i="1"/>
  <c r="E891" i="1"/>
  <c r="D891" i="1"/>
  <c r="C891" i="1"/>
  <c r="M890" i="1"/>
  <c r="L890" i="1"/>
  <c r="K890" i="1"/>
  <c r="J890" i="1"/>
  <c r="I890" i="1"/>
  <c r="H890" i="1"/>
  <c r="N890" i="1" s="1"/>
  <c r="G890" i="1"/>
  <c r="F890" i="1"/>
  <c r="E890" i="1"/>
  <c r="D890" i="1"/>
  <c r="C890" i="1"/>
  <c r="M889" i="1"/>
  <c r="L889" i="1"/>
  <c r="K889" i="1"/>
  <c r="J889" i="1"/>
  <c r="I889" i="1"/>
  <c r="H889" i="1"/>
  <c r="N889" i="1" s="1"/>
  <c r="G889" i="1"/>
  <c r="F889" i="1"/>
  <c r="E889" i="1"/>
  <c r="D889" i="1"/>
  <c r="C889" i="1"/>
  <c r="M888" i="1"/>
  <c r="L888" i="1"/>
  <c r="K888" i="1"/>
  <c r="J888" i="1"/>
  <c r="I888" i="1"/>
  <c r="H888" i="1"/>
  <c r="N888" i="1" s="1"/>
  <c r="G888" i="1"/>
  <c r="F888" i="1"/>
  <c r="E888" i="1"/>
  <c r="D888" i="1"/>
  <c r="C888" i="1"/>
  <c r="M887" i="1"/>
  <c r="L887" i="1"/>
  <c r="K887" i="1"/>
  <c r="J887" i="1"/>
  <c r="I887" i="1"/>
  <c r="H887" i="1"/>
  <c r="N887" i="1" s="1"/>
  <c r="G887" i="1"/>
  <c r="F887" i="1"/>
  <c r="E887" i="1"/>
  <c r="D887" i="1"/>
  <c r="C887" i="1"/>
  <c r="M886" i="1"/>
  <c r="L886" i="1"/>
  <c r="K886" i="1"/>
  <c r="J886" i="1"/>
  <c r="I886" i="1"/>
  <c r="H886" i="1"/>
  <c r="N886" i="1" s="1"/>
  <c r="G886" i="1"/>
  <c r="F886" i="1"/>
  <c r="E886" i="1"/>
  <c r="D886" i="1"/>
  <c r="C886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N525" i="1"/>
  <c r="M525" i="1"/>
  <c r="L525" i="1"/>
  <c r="K525" i="1"/>
  <c r="J525" i="1"/>
  <c r="I525" i="1"/>
  <c r="H525" i="1"/>
  <c r="G525" i="1"/>
  <c r="F525" i="1"/>
  <c r="E525" i="1"/>
  <c r="D525" i="1"/>
  <c r="C525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N506" i="1"/>
  <c r="M506" i="1"/>
  <c r="L506" i="1"/>
  <c r="K506" i="1"/>
  <c r="J506" i="1"/>
  <c r="I506" i="1"/>
  <c r="H506" i="1"/>
  <c r="G506" i="1"/>
  <c r="F506" i="1"/>
  <c r="E506" i="1"/>
  <c r="D506" i="1"/>
  <c r="C506" i="1"/>
  <c r="N505" i="1"/>
  <c r="M505" i="1"/>
  <c r="L505" i="1"/>
  <c r="K505" i="1"/>
  <c r="J505" i="1"/>
  <c r="I505" i="1"/>
  <c r="H505" i="1"/>
  <c r="G505" i="1"/>
  <c r="F505" i="1"/>
  <c r="E505" i="1"/>
  <c r="D505" i="1"/>
  <c r="C505" i="1"/>
  <c r="N504" i="1"/>
  <c r="M504" i="1"/>
  <c r="L504" i="1"/>
  <c r="K504" i="1"/>
  <c r="J504" i="1"/>
  <c r="I504" i="1"/>
  <c r="H504" i="1"/>
  <c r="G504" i="1"/>
  <c r="F504" i="1"/>
  <c r="E504" i="1"/>
  <c r="D504" i="1"/>
  <c r="C504" i="1"/>
  <c r="N503" i="1"/>
  <c r="M503" i="1"/>
  <c r="L503" i="1"/>
  <c r="K503" i="1"/>
  <c r="J503" i="1"/>
  <c r="I503" i="1"/>
  <c r="H503" i="1"/>
  <c r="G503" i="1"/>
  <c r="F503" i="1"/>
  <c r="E503" i="1"/>
  <c r="D503" i="1"/>
  <c r="C503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N483" i="1"/>
  <c r="M483" i="1"/>
  <c r="L483" i="1"/>
  <c r="K483" i="1"/>
  <c r="J483" i="1"/>
  <c r="I483" i="1"/>
  <c r="H483" i="1"/>
  <c r="G483" i="1"/>
  <c r="F483" i="1"/>
  <c r="E483" i="1"/>
  <c r="D483" i="1"/>
  <c r="C483" i="1"/>
  <c r="N482" i="1"/>
  <c r="M482" i="1"/>
  <c r="L482" i="1"/>
  <c r="K482" i="1"/>
  <c r="J482" i="1"/>
  <c r="I482" i="1"/>
  <c r="H482" i="1"/>
  <c r="G482" i="1"/>
  <c r="F482" i="1"/>
  <c r="E482" i="1"/>
  <c r="D482" i="1"/>
  <c r="C482" i="1"/>
  <c r="N481" i="1"/>
  <c r="M481" i="1"/>
  <c r="L481" i="1"/>
  <c r="K481" i="1"/>
  <c r="J481" i="1"/>
  <c r="I481" i="1"/>
  <c r="H481" i="1"/>
  <c r="G481" i="1"/>
  <c r="F481" i="1"/>
  <c r="E481" i="1"/>
  <c r="D481" i="1"/>
  <c r="C481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N99" i="1"/>
  <c r="M99" i="1"/>
  <c r="L99" i="1"/>
  <c r="K99" i="1"/>
  <c r="J99" i="1"/>
  <c r="I99" i="1"/>
  <c r="H99" i="1"/>
  <c r="G99" i="1"/>
  <c r="F99" i="1"/>
  <c r="E99" i="1"/>
  <c r="D99" i="1"/>
  <c r="C99" i="1"/>
  <c r="N98" i="1"/>
  <c r="M98" i="1"/>
  <c r="L98" i="1"/>
  <c r="K98" i="1"/>
  <c r="J98" i="1"/>
  <c r="I98" i="1"/>
  <c r="H98" i="1"/>
  <c r="G98" i="1"/>
  <c r="F98" i="1"/>
  <c r="E98" i="1"/>
  <c r="D98" i="1"/>
  <c r="C98" i="1"/>
  <c r="N97" i="1"/>
  <c r="M97" i="1"/>
  <c r="L97" i="1"/>
  <c r="K97" i="1"/>
  <c r="J97" i="1"/>
  <c r="I97" i="1"/>
  <c r="H97" i="1"/>
  <c r="G97" i="1"/>
  <c r="F97" i="1"/>
  <c r="E97" i="1"/>
  <c r="D97" i="1"/>
  <c r="C97" i="1"/>
  <c r="N96" i="1"/>
  <c r="M96" i="1"/>
  <c r="L96" i="1"/>
  <c r="K96" i="1"/>
  <c r="J96" i="1"/>
  <c r="I96" i="1"/>
  <c r="H96" i="1"/>
  <c r="G96" i="1"/>
  <c r="F96" i="1"/>
  <c r="E96" i="1"/>
  <c r="D96" i="1"/>
  <c r="C96" i="1"/>
  <c r="N95" i="1"/>
  <c r="M95" i="1"/>
  <c r="L95" i="1"/>
  <c r="K95" i="1"/>
  <c r="J95" i="1"/>
  <c r="I95" i="1"/>
  <c r="H95" i="1"/>
  <c r="G95" i="1"/>
  <c r="F95" i="1"/>
  <c r="E95" i="1"/>
  <c r="D95" i="1"/>
  <c r="C95" i="1"/>
  <c r="N94" i="1"/>
  <c r="M94" i="1"/>
  <c r="L94" i="1"/>
  <c r="K94" i="1"/>
  <c r="J94" i="1"/>
  <c r="I94" i="1"/>
  <c r="H94" i="1"/>
  <c r="G94" i="1"/>
  <c r="F94" i="1"/>
  <c r="E94" i="1"/>
  <c r="D94" i="1"/>
  <c r="C94" i="1"/>
  <c r="N93" i="1"/>
  <c r="M93" i="1"/>
  <c r="L93" i="1"/>
  <c r="K93" i="1"/>
  <c r="J93" i="1"/>
  <c r="I93" i="1"/>
  <c r="H93" i="1"/>
  <c r="G93" i="1"/>
  <c r="F93" i="1"/>
  <c r="E93" i="1"/>
  <c r="D93" i="1"/>
  <c r="C93" i="1"/>
  <c r="N92" i="1"/>
  <c r="M92" i="1"/>
  <c r="L92" i="1"/>
  <c r="K92" i="1"/>
  <c r="J92" i="1"/>
  <c r="I92" i="1"/>
  <c r="H92" i="1"/>
  <c r="G92" i="1"/>
  <c r="F92" i="1"/>
  <c r="E92" i="1"/>
  <c r="D92" i="1"/>
  <c r="C92" i="1"/>
  <c r="N91" i="1"/>
  <c r="M91" i="1"/>
  <c r="L91" i="1"/>
  <c r="K91" i="1"/>
  <c r="J91" i="1"/>
  <c r="I91" i="1"/>
  <c r="H91" i="1"/>
  <c r="G91" i="1"/>
  <c r="F91" i="1"/>
  <c r="E91" i="1"/>
  <c r="D91" i="1"/>
  <c r="C91" i="1"/>
  <c r="N90" i="1"/>
  <c r="M90" i="1"/>
  <c r="L90" i="1"/>
  <c r="K90" i="1"/>
  <c r="J90" i="1"/>
  <c r="I90" i="1"/>
  <c r="H90" i="1"/>
  <c r="G90" i="1"/>
  <c r="F90" i="1"/>
  <c r="E90" i="1"/>
  <c r="D90" i="1"/>
  <c r="C90" i="1"/>
  <c r="N89" i="1"/>
  <c r="M89" i="1"/>
  <c r="L89" i="1"/>
  <c r="K89" i="1"/>
  <c r="J89" i="1"/>
  <c r="I89" i="1"/>
  <c r="H89" i="1"/>
  <c r="G89" i="1"/>
  <c r="F89" i="1"/>
  <c r="E89" i="1"/>
  <c r="D89" i="1"/>
  <c r="C89" i="1"/>
  <c r="N88" i="1"/>
  <c r="M88" i="1"/>
  <c r="L88" i="1"/>
  <c r="K88" i="1"/>
  <c r="J88" i="1"/>
  <c r="I88" i="1"/>
  <c r="H88" i="1"/>
  <c r="G88" i="1"/>
  <c r="F88" i="1"/>
  <c r="E88" i="1"/>
  <c r="D88" i="1"/>
  <c r="C88" i="1"/>
  <c r="N87" i="1"/>
  <c r="M87" i="1"/>
  <c r="L87" i="1"/>
  <c r="K87" i="1"/>
  <c r="J87" i="1"/>
  <c r="I87" i="1"/>
  <c r="H87" i="1"/>
  <c r="G87" i="1"/>
  <c r="F87" i="1"/>
  <c r="E87" i="1"/>
  <c r="D87" i="1"/>
  <c r="C87" i="1"/>
  <c r="N86" i="1"/>
  <c r="M86" i="1"/>
  <c r="L86" i="1"/>
  <c r="K86" i="1"/>
  <c r="J86" i="1"/>
  <c r="I86" i="1"/>
  <c r="H86" i="1"/>
  <c r="G86" i="1"/>
  <c r="F86" i="1"/>
  <c r="E86" i="1"/>
  <c r="D86" i="1"/>
  <c r="C86" i="1"/>
  <c r="N85" i="1"/>
  <c r="M85" i="1"/>
  <c r="L85" i="1"/>
  <c r="K85" i="1"/>
  <c r="J85" i="1"/>
  <c r="I85" i="1"/>
  <c r="H85" i="1"/>
  <c r="G85" i="1"/>
  <c r="F85" i="1"/>
  <c r="E85" i="1"/>
  <c r="D85" i="1"/>
  <c r="C85" i="1"/>
  <c r="N84" i="1"/>
  <c r="M84" i="1"/>
  <c r="L84" i="1"/>
  <c r="K84" i="1"/>
  <c r="J84" i="1"/>
  <c r="I84" i="1"/>
  <c r="H84" i="1"/>
  <c r="G84" i="1"/>
  <c r="F84" i="1"/>
  <c r="E84" i="1"/>
  <c r="D84" i="1"/>
  <c r="C84" i="1"/>
  <c r="N83" i="1"/>
  <c r="M83" i="1"/>
  <c r="L83" i="1"/>
  <c r="K83" i="1"/>
  <c r="J83" i="1"/>
  <c r="I83" i="1"/>
  <c r="H83" i="1"/>
  <c r="G83" i="1"/>
  <c r="F83" i="1"/>
  <c r="E83" i="1"/>
  <c r="D83" i="1"/>
  <c r="C83" i="1"/>
  <c r="N82" i="1"/>
  <c r="M82" i="1"/>
  <c r="L82" i="1"/>
  <c r="K82" i="1"/>
  <c r="J82" i="1"/>
  <c r="I82" i="1"/>
  <c r="H82" i="1"/>
  <c r="G82" i="1"/>
  <c r="F82" i="1"/>
  <c r="E82" i="1"/>
  <c r="D82" i="1"/>
  <c r="C82" i="1"/>
  <c r="N81" i="1"/>
  <c r="M81" i="1"/>
  <c r="L81" i="1"/>
  <c r="K81" i="1"/>
  <c r="J81" i="1"/>
  <c r="I81" i="1"/>
  <c r="H81" i="1"/>
  <c r="G81" i="1"/>
  <c r="F81" i="1"/>
  <c r="E81" i="1"/>
  <c r="D81" i="1"/>
  <c r="C81" i="1"/>
  <c r="N80" i="1"/>
  <c r="M80" i="1"/>
  <c r="L80" i="1"/>
  <c r="K80" i="1"/>
  <c r="J80" i="1"/>
  <c r="I80" i="1"/>
  <c r="H80" i="1"/>
  <c r="G80" i="1"/>
  <c r="F80" i="1"/>
  <c r="E80" i="1"/>
  <c r="D80" i="1"/>
  <c r="C80" i="1"/>
  <c r="N79" i="1"/>
  <c r="M79" i="1"/>
  <c r="L79" i="1"/>
  <c r="K79" i="1"/>
  <c r="J79" i="1"/>
  <c r="I79" i="1"/>
  <c r="H79" i="1"/>
  <c r="G79" i="1"/>
  <c r="F79" i="1"/>
  <c r="E79" i="1"/>
  <c r="D79" i="1"/>
  <c r="C79" i="1"/>
  <c r="N78" i="1"/>
  <c r="M78" i="1"/>
  <c r="L78" i="1"/>
  <c r="K78" i="1"/>
  <c r="J78" i="1"/>
  <c r="I78" i="1"/>
  <c r="H78" i="1"/>
  <c r="G78" i="1"/>
  <c r="F78" i="1"/>
  <c r="E78" i="1"/>
  <c r="D78" i="1"/>
  <c r="C78" i="1"/>
  <c r="N77" i="1"/>
  <c r="M77" i="1"/>
  <c r="L77" i="1"/>
  <c r="K77" i="1"/>
  <c r="J77" i="1"/>
  <c r="I77" i="1"/>
  <c r="H77" i="1"/>
  <c r="G77" i="1"/>
  <c r="F77" i="1"/>
  <c r="E77" i="1"/>
  <c r="D77" i="1"/>
  <c r="C77" i="1"/>
  <c r="N76" i="1"/>
  <c r="M76" i="1"/>
  <c r="L76" i="1"/>
  <c r="K76" i="1"/>
  <c r="J76" i="1"/>
  <c r="I76" i="1"/>
  <c r="H76" i="1"/>
  <c r="G76" i="1"/>
  <c r="F76" i="1"/>
  <c r="E76" i="1"/>
  <c r="D76" i="1"/>
  <c r="C76" i="1"/>
  <c r="N75" i="1"/>
  <c r="M75" i="1"/>
  <c r="L75" i="1"/>
  <c r="K75" i="1"/>
  <c r="J75" i="1"/>
  <c r="I75" i="1"/>
  <c r="H75" i="1"/>
  <c r="G75" i="1"/>
  <c r="F75" i="1"/>
  <c r="E75" i="1"/>
  <c r="D75" i="1"/>
  <c r="C75" i="1"/>
  <c r="N74" i="1"/>
  <c r="M74" i="1"/>
  <c r="L74" i="1"/>
  <c r="K74" i="1"/>
  <c r="J74" i="1"/>
  <c r="I74" i="1"/>
  <c r="H74" i="1"/>
  <c r="G74" i="1"/>
  <c r="F74" i="1"/>
  <c r="E74" i="1"/>
  <c r="D74" i="1"/>
  <c r="C74" i="1"/>
  <c r="N73" i="1"/>
  <c r="M73" i="1"/>
  <c r="L73" i="1"/>
  <c r="K73" i="1"/>
  <c r="J73" i="1"/>
  <c r="I73" i="1"/>
  <c r="H73" i="1"/>
  <c r="G73" i="1"/>
  <c r="F73" i="1"/>
  <c r="E73" i="1"/>
  <c r="D73" i="1"/>
  <c r="C73" i="1"/>
  <c r="N72" i="1"/>
  <c r="M72" i="1"/>
  <c r="L72" i="1"/>
  <c r="K72" i="1"/>
  <c r="J72" i="1"/>
  <c r="I72" i="1"/>
  <c r="H72" i="1"/>
  <c r="G72" i="1"/>
  <c r="F72" i="1"/>
  <c r="E72" i="1"/>
  <c r="D72" i="1"/>
  <c r="C72" i="1"/>
  <c r="N71" i="1"/>
  <c r="M71" i="1"/>
  <c r="L71" i="1"/>
  <c r="K71" i="1"/>
  <c r="J71" i="1"/>
  <c r="I71" i="1"/>
  <c r="H71" i="1"/>
  <c r="G71" i="1"/>
  <c r="F71" i="1"/>
  <c r="E71" i="1"/>
  <c r="D71" i="1"/>
  <c r="C71" i="1"/>
  <c r="N70" i="1"/>
  <c r="M70" i="1"/>
  <c r="L70" i="1"/>
  <c r="K70" i="1"/>
  <c r="J70" i="1"/>
  <c r="I70" i="1"/>
  <c r="H70" i="1"/>
  <c r="G70" i="1"/>
  <c r="F70" i="1"/>
  <c r="E70" i="1"/>
  <c r="D70" i="1"/>
  <c r="C70" i="1"/>
  <c r="N69" i="1"/>
  <c r="M69" i="1"/>
  <c r="L69" i="1"/>
  <c r="K69" i="1"/>
  <c r="J69" i="1"/>
  <c r="I69" i="1"/>
  <c r="H69" i="1"/>
  <c r="G69" i="1"/>
  <c r="F69" i="1"/>
  <c r="E69" i="1"/>
  <c r="D69" i="1"/>
  <c r="C69" i="1"/>
  <c r="N68" i="1"/>
  <c r="M68" i="1"/>
  <c r="L68" i="1"/>
  <c r="K68" i="1"/>
  <c r="J68" i="1"/>
  <c r="I68" i="1"/>
  <c r="H68" i="1"/>
  <c r="G68" i="1"/>
  <c r="F68" i="1"/>
  <c r="E68" i="1"/>
  <c r="D68" i="1"/>
  <c r="C68" i="1"/>
  <c r="N67" i="1"/>
  <c r="M67" i="1"/>
  <c r="L67" i="1"/>
  <c r="K67" i="1"/>
  <c r="J67" i="1"/>
  <c r="I67" i="1"/>
  <c r="H67" i="1"/>
  <c r="G67" i="1"/>
  <c r="F67" i="1"/>
  <c r="E67" i="1"/>
  <c r="D67" i="1"/>
  <c r="C67" i="1"/>
  <c r="N66" i="1"/>
  <c r="M66" i="1"/>
  <c r="L66" i="1"/>
  <c r="K66" i="1"/>
  <c r="J66" i="1"/>
  <c r="I66" i="1"/>
  <c r="H66" i="1"/>
  <c r="G66" i="1"/>
  <c r="F66" i="1"/>
  <c r="E66" i="1"/>
  <c r="D66" i="1"/>
  <c r="C66" i="1"/>
  <c r="N65" i="1"/>
  <c r="M65" i="1"/>
  <c r="L65" i="1"/>
  <c r="K65" i="1"/>
  <c r="J65" i="1"/>
  <c r="I65" i="1"/>
  <c r="H65" i="1"/>
  <c r="G65" i="1"/>
  <c r="F65" i="1"/>
  <c r="E65" i="1"/>
  <c r="D65" i="1"/>
  <c r="C65" i="1"/>
  <c r="N64" i="1"/>
  <c r="M64" i="1"/>
  <c r="L64" i="1"/>
  <c r="K64" i="1"/>
  <c r="J64" i="1"/>
  <c r="I64" i="1"/>
  <c r="H64" i="1"/>
  <c r="G64" i="1"/>
  <c r="F64" i="1"/>
  <c r="E64" i="1"/>
  <c r="D64" i="1"/>
  <c r="C64" i="1"/>
  <c r="N63" i="1"/>
  <c r="M63" i="1"/>
  <c r="L63" i="1"/>
  <c r="K63" i="1"/>
  <c r="J63" i="1"/>
  <c r="I63" i="1"/>
  <c r="H63" i="1"/>
  <c r="G63" i="1"/>
  <c r="F63" i="1"/>
  <c r="E63" i="1"/>
  <c r="D63" i="1"/>
  <c r="C63" i="1"/>
  <c r="N62" i="1"/>
  <c r="M62" i="1"/>
  <c r="L62" i="1"/>
  <c r="K62" i="1"/>
  <c r="J62" i="1"/>
  <c r="I62" i="1"/>
  <c r="H62" i="1"/>
  <c r="G62" i="1"/>
  <c r="F62" i="1"/>
  <c r="E62" i="1"/>
  <c r="D62" i="1"/>
  <c r="C62" i="1"/>
  <c r="N61" i="1"/>
  <c r="M61" i="1"/>
  <c r="L61" i="1"/>
  <c r="K61" i="1"/>
  <c r="J61" i="1"/>
  <c r="I61" i="1"/>
  <c r="H61" i="1"/>
  <c r="G61" i="1"/>
  <c r="F61" i="1"/>
  <c r="E61" i="1"/>
  <c r="D61" i="1"/>
  <c r="C61" i="1"/>
  <c r="N60" i="1"/>
  <c r="M60" i="1"/>
  <c r="L60" i="1"/>
  <c r="K60" i="1"/>
  <c r="J60" i="1"/>
  <c r="I60" i="1"/>
  <c r="H60" i="1"/>
  <c r="G60" i="1"/>
  <c r="F60" i="1"/>
  <c r="E60" i="1"/>
  <c r="D60" i="1"/>
  <c r="C60" i="1"/>
  <c r="N59" i="1"/>
  <c r="M59" i="1"/>
  <c r="L59" i="1"/>
  <c r="K59" i="1"/>
  <c r="J59" i="1"/>
  <c r="I59" i="1"/>
  <c r="H59" i="1"/>
  <c r="G59" i="1"/>
  <c r="F59" i="1"/>
  <c r="E59" i="1"/>
  <c r="D59" i="1"/>
  <c r="C59" i="1"/>
  <c r="N58" i="1"/>
  <c r="M58" i="1"/>
  <c r="L58" i="1"/>
  <c r="K58" i="1"/>
  <c r="J58" i="1"/>
  <c r="I58" i="1"/>
  <c r="H58" i="1"/>
  <c r="G58" i="1"/>
  <c r="F58" i="1"/>
  <c r="E58" i="1"/>
  <c r="D58" i="1"/>
  <c r="C58" i="1"/>
  <c r="N57" i="1"/>
  <c r="M57" i="1"/>
  <c r="L57" i="1"/>
  <c r="K57" i="1"/>
  <c r="J57" i="1"/>
  <c r="I57" i="1"/>
  <c r="H57" i="1"/>
  <c r="G57" i="1"/>
  <c r="F57" i="1"/>
  <c r="E57" i="1"/>
  <c r="D57" i="1"/>
  <c r="C57" i="1"/>
  <c r="N56" i="1"/>
  <c r="M56" i="1"/>
  <c r="L56" i="1"/>
  <c r="K56" i="1"/>
  <c r="J56" i="1"/>
  <c r="I56" i="1"/>
  <c r="H56" i="1"/>
  <c r="G56" i="1"/>
  <c r="F56" i="1"/>
  <c r="E56" i="1"/>
  <c r="D56" i="1"/>
  <c r="C56" i="1"/>
  <c r="N55" i="1"/>
  <c r="M55" i="1"/>
  <c r="L55" i="1"/>
  <c r="K55" i="1"/>
  <c r="J55" i="1"/>
  <c r="I55" i="1"/>
  <c r="H55" i="1"/>
  <c r="G55" i="1"/>
  <c r="F55" i="1"/>
  <c r="E55" i="1"/>
  <c r="D55" i="1"/>
  <c r="C55" i="1"/>
  <c r="N54" i="1"/>
  <c r="M54" i="1"/>
  <c r="L54" i="1"/>
  <c r="K54" i="1"/>
  <c r="J54" i="1"/>
  <c r="I54" i="1"/>
  <c r="H54" i="1"/>
  <c r="G54" i="1"/>
  <c r="F54" i="1"/>
  <c r="E54" i="1"/>
  <c r="D54" i="1"/>
  <c r="C54" i="1"/>
  <c r="N53" i="1"/>
  <c r="M53" i="1"/>
  <c r="L53" i="1"/>
  <c r="K53" i="1"/>
  <c r="J53" i="1"/>
  <c r="I53" i="1"/>
  <c r="H53" i="1"/>
  <c r="G53" i="1"/>
  <c r="F53" i="1"/>
  <c r="E53" i="1"/>
  <c r="D53" i="1"/>
  <c r="C53" i="1"/>
  <c r="N52" i="1"/>
  <c r="M52" i="1"/>
  <c r="L52" i="1"/>
  <c r="K52" i="1"/>
  <c r="J52" i="1"/>
  <c r="I52" i="1"/>
  <c r="H52" i="1"/>
  <c r="G52" i="1"/>
  <c r="F52" i="1"/>
  <c r="E52" i="1"/>
  <c r="D52" i="1"/>
  <c r="C52" i="1"/>
  <c r="N51" i="1"/>
  <c r="M51" i="1"/>
  <c r="L51" i="1"/>
  <c r="K51" i="1"/>
  <c r="J51" i="1"/>
  <c r="I51" i="1"/>
  <c r="H51" i="1"/>
  <c r="G51" i="1"/>
  <c r="F51" i="1"/>
  <c r="E51" i="1"/>
  <c r="D51" i="1"/>
  <c r="C51" i="1"/>
  <c r="N50" i="1"/>
  <c r="M50" i="1"/>
  <c r="L50" i="1"/>
  <c r="K50" i="1"/>
  <c r="J50" i="1"/>
  <c r="I50" i="1"/>
  <c r="H50" i="1"/>
  <c r="G50" i="1"/>
  <c r="F50" i="1"/>
  <c r="E50" i="1"/>
  <c r="D50" i="1"/>
  <c r="C50" i="1"/>
  <c r="N49" i="1"/>
  <c r="M49" i="1"/>
  <c r="L49" i="1"/>
  <c r="K49" i="1"/>
  <c r="J49" i="1"/>
  <c r="I49" i="1"/>
  <c r="H49" i="1"/>
  <c r="G49" i="1"/>
  <c r="F49" i="1"/>
  <c r="E49" i="1"/>
  <c r="D49" i="1"/>
  <c r="C49" i="1"/>
  <c r="N48" i="1"/>
  <c r="M48" i="1"/>
  <c r="L48" i="1"/>
  <c r="K48" i="1"/>
  <c r="J48" i="1"/>
  <c r="I48" i="1"/>
  <c r="H48" i="1"/>
  <c r="G48" i="1"/>
  <c r="F48" i="1"/>
  <c r="E48" i="1"/>
  <c r="D48" i="1"/>
  <c r="C48" i="1"/>
  <c r="N47" i="1"/>
  <c r="M47" i="1"/>
  <c r="L47" i="1"/>
  <c r="K47" i="1"/>
  <c r="J47" i="1"/>
  <c r="I47" i="1"/>
  <c r="H47" i="1"/>
  <c r="G47" i="1"/>
  <c r="F47" i="1"/>
  <c r="E47" i="1"/>
  <c r="D47" i="1"/>
  <c r="C47" i="1"/>
  <c r="N46" i="1"/>
  <c r="M46" i="1"/>
  <c r="L46" i="1"/>
  <c r="K46" i="1"/>
  <c r="J46" i="1"/>
  <c r="I46" i="1"/>
  <c r="H46" i="1"/>
  <c r="G46" i="1"/>
  <c r="F46" i="1"/>
  <c r="E46" i="1"/>
  <c r="D46" i="1"/>
  <c r="C46" i="1"/>
  <c r="N45" i="1"/>
  <c r="M45" i="1"/>
  <c r="L45" i="1"/>
  <c r="K45" i="1"/>
  <c r="J45" i="1"/>
  <c r="I45" i="1"/>
  <c r="H45" i="1"/>
  <c r="G45" i="1"/>
  <c r="F45" i="1"/>
  <c r="E45" i="1"/>
  <c r="D45" i="1"/>
  <c r="C45" i="1"/>
  <c r="N44" i="1"/>
  <c r="M44" i="1"/>
  <c r="L44" i="1"/>
  <c r="K44" i="1"/>
  <c r="J44" i="1"/>
  <c r="I44" i="1"/>
  <c r="H44" i="1"/>
  <c r="G44" i="1"/>
  <c r="F44" i="1"/>
  <c r="E44" i="1"/>
  <c r="D44" i="1"/>
  <c r="C44" i="1"/>
  <c r="N43" i="1"/>
  <c r="M43" i="1"/>
  <c r="L43" i="1"/>
  <c r="K43" i="1"/>
  <c r="J43" i="1"/>
  <c r="I43" i="1"/>
  <c r="H43" i="1"/>
  <c r="G43" i="1"/>
  <c r="F43" i="1"/>
  <c r="E43" i="1"/>
  <c r="D43" i="1"/>
  <c r="C43" i="1"/>
  <c r="N42" i="1"/>
  <c r="M42" i="1"/>
  <c r="L42" i="1"/>
  <c r="K42" i="1"/>
  <c r="J42" i="1"/>
  <c r="I42" i="1"/>
  <c r="H42" i="1"/>
  <c r="G42" i="1"/>
  <c r="F42" i="1"/>
  <c r="E42" i="1"/>
  <c r="D42" i="1"/>
  <c r="C42" i="1"/>
  <c r="N41" i="1"/>
  <c r="M41" i="1"/>
  <c r="L41" i="1"/>
  <c r="K41" i="1"/>
  <c r="J41" i="1"/>
  <c r="I41" i="1"/>
  <c r="H41" i="1"/>
  <c r="G41" i="1"/>
  <c r="F41" i="1"/>
  <c r="E41" i="1"/>
  <c r="D41" i="1"/>
  <c r="C41" i="1"/>
  <c r="N40" i="1"/>
  <c r="M40" i="1"/>
  <c r="L40" i="1"/>
  <c r="K40" i="1"/>
  <c r="J40" i="1"/>
  <c r="I40" i="1"/>
  <c r="H40" i="1"/>
  <c r="G40" i="1"/>
  <c r="F40" i="1"/>
  <c r="E40" i="1"/>
  <c r="D40" i="1"/>
  <c r="C40" i="1"/>
  <c r="N39" i="1"/>
  <c r="M39" i="1"/>
  <c r="L39" i="1"/>
  <c r="K39" i="1"/>
  <c r="J39" i="1"/>
  <c r="I39" i="1"/>
  <c r="H39" i="1"/>
  <c r="G39" i="1"/>
  <c r="F39" i="1"/>
  <c r="E39" i="1"/>
  <c r="D39" i="1"/>
  <c r="C39" i="1"/>
  <c r="N38" i="1"/>
  <c r="M38" i="1"/>
  <c r="L38" i="1"/>
  <c r="K38" i="1"/>
  <c r="J38" i="1"/>
  <c r="I38" i="1"/>
  <c r="H38" i="1"/>
  <c r="G38" i="1"/>
  <c r="F38" i="1"/>
  <c r="E38" i="1"/>
  <c r="D38" i="1"/>
  <c r="C38" i="1"/>
  <c r="N37" i="1"/>
  <c r="M37" i="1"/>
  <c r="L37" i="1"/>
  <c r="K37" i="1"/>
  <c r="J37" i="1"/>
  <c r="I37" i="1"/>
  <c r="H37" i="1"/>
  <c r="G37" i="1"/>
  <c r="F37" i="1"/>
  <c r="E37" i="1"/>
  <c r="D37" i="1"/>
  <c r="C37" i="1"/>
  <c r="N36" i="1"/>
  <c r="M36" i="1"/>
  <c r="L36" i="1"/>
  <c r="K36" i="1"/>
  <c r="J36" i="1"/>
  <c r="I36" i="1"/>
  <c r="H36" i="1"/>
  <c r="G36" i="1"/>
  <c r="F36" i="1"/>
  <c r="E36" i="1"/>
  <c r="D36" i="1"/>
  <c r="C36" i="1"/>
  <c r="N35" i="1"/>
  <c r="M35" i="1"/>
  <c r="L35" i="1"/>
  <c r="K35" i="1"/>
  <c r="J35" i="1"/>
  <c r="I35" i="1"/>
  <c r="H35" i="1"/>
  <c r="G35" i="1"/>
  <c r="F35" i="1"/>
  <c r="E35" i="1"/>
  <c r="D35" i="1"/>
  <c r="C35" i="1"/>
  <c r="N34" i="1"/>
  <c r="M34" i="1"/>
  <c r="L34" i="1"/>
  <c r="K34" i="1"/>
  <c r="J34" i="1"/>
  <c r="I34" i="1"/>
  <c r="H34" i="1"/>
  <c r="G34" i="1"/>
  <c r="F34" i="1"/>
  <c r="E34" i="1"/>
  <c r="D34" i="1"/>
  <c r="C34" i="1"/>
  <c r="N33" i="1"/>
  <c r="M33" i="1"/>
  <c r="L33" i="1"/>
  <c r="K33" i="1"/>
  <c r="J33" i="1"/>
  <c r="I33" i="1"/>
  <c r="H33" i="1"/>
  <c r="G33" i="1"/>
  <c r="F33" i="1"/>
  <c r="E33" i="1"/>
  <c r="D33" i="1"/>
  <c r="C33" i="1"/>
  <c r="N32" i="1"/>
  <c r="M32" i="1"/>
  <c r="L32" i="1"/>
  <c r="K32" i="1"/>
  <c r="J32" i="1"/>
  <c r="I32" i="1"/>
  <c r="H32" i="1"/>
  <c r="G32" i="1"/>
  <c r="F32" i="1"/>
  <c r="E32" i="1"/>
  <c r="D32" i="1"/>
  <c r="C32" i="1"/>
  <c r="N31" i="1"/>
  <c r="M31" i="1"/>
  <c r="L31" i="1"/>
  <c r="K31" i="1"/>
  <c r="J31" i="1"/>
  <c r="I31" i="1"/>
  <c r="H31" i="1"/>
  <c r="G31" i="1"/>
  <c r="F31" i="1"/>
  <c r="E31" i="1"/>
  <c r="D31" i="1"/>
  <c r="C31" i="1"/>
  <c r="N30" i="1"/>
  <c r="M30" i="1"/>
  <c r="L30" i="1"/>
  <c r="K30" i="1"/>
  <c r="J30" i="1"/>
  <c r="I30" i="1"/>
  <c r="H30" i="1"/>
  <c r="G30" i="1"/>
  <c r="F30" i="1"/>
  <c r="E30" i="1"/>
  <c r="D30" i="1"/>
  <c r="C30" i="1"/>
  <c r="N29" i="1"/>
  <c r="M29" i="1"/>
  <c r="L29" i="1"/>
  <c r="K29" i="1"/>
  <c r="J29" i="1"/>
  <c r="I29" i="1"/>
  <c r="H29" i="1"/>
  <c r="G29" i="1"/>
  <c r="F29" i="1"/>
  <c r="E29" i="1"/>
  <c r="D29" i="1"/>
  <c r="C29" i="1"/>
  <c r="N28" i="1"/>
  <c r="M28" i="1"/>
  <c r="L28" i="1"/>
  <c r="K28" i="1"/>
  <c r="J28" i="1"/>
  <c r="I28" i="1"/>
  <c r="H28" i="1"/>
  <c r="G28" i="1"/>
  <c r="F28" i="1"/>
  <c r="E28" i="1"/>
  <c r="D28" i="1"/>
  <c r="C28" i="1"/>
  <c r="N27" i="1"/>
  <c r="M27" i="1"/>
  <c r="L27" i="1"/>
  <c r="K27" i="1"/>
  <c r="J27" i="1"/>
  <c r="I27" i="1"/>
  <c r="H27" i="1"/>
  <c r="G27" i="1"/>
  <c r="F27" i="1"/>
  <c r="E27" i="1"/>
  <c r="D27" i="1"/>
  <c r="C27" i="1"/>
  <c r="N26" i="1"/>
  <c r="M26" i="1"/>
  <c r="L26" i="1"/>
  <c r="K26" i="1"/>
  <c r="J26" i="1"/>
  <c r="I26" i="1"/>
  <c r="H26" i="1"/>
  <c r="G26" i="1"/>
  <c r="F26" i="1"/>
  <c r="E26" i="1"/>
  <c r="D26" i="1"/>
  <c r="C26" i="1"/>
  <c r="N25" i="1"/>
  <c r="M25" i="1"/>
  <c r="L25" i="1"/>
  <c r="K25" i="1"/>
  <c r="J25" i="1"/>
  <c r="I25" i="1"/>
  <c r="H25" i="1"/>
  <c r="G25" i="1"/>
  <c r="F25" i="1"/>
  <c r="E25" i="1"/>
  <c r="D25" i="1"/>
  <c r="C25" i="1"/>
  <c r="N24" i="1"/>
  <c r="M24" i="1"/>
  <c r="L24" i="1"/>
  <c r="K24" i="1"/>
  <c r="J24" i="1"/>
  <c r="I24" i="1"/>
  <c r="H24" i="1"/>
  <c r="G24" i="1"/>
  <c r="F24" i="1"/>
  <c r="E24" i="1"/>
  <c r="D24" i="1"/>
  <c r="C24" i="1"/>
  <c r="N23" i="1"/>
  <c r="M23" i="1"/>
  <c r="L23" i="1"/>
  <c r="K23" i="1"/>
  <c r="J23" i="1"/>
  <c r="I23" i="1"/>
  <c r="H23" i="1"/>
  <c r="G23" i="1"/>
  <c r="F23" i="1"/>
  <c r="E23" i="1"/>
  <c r="D23" i="1"/>
  <c r="C23" i="1"/>
  <c r="N22" i="1"/>
  <c r="M22" i="1"/>
  <c r="L22" i="1"/>
  <c r="K22" i="1"/>
  <c r="J22" i="1"/>
  <c r="I22" i="1"/>
  <c r="H22" i="1"/>
  <c r="G22" i="1"/>
  <c r="F22" i="1"/>
  <c r="E22" i="1"/>
  <c r="C22" i="1"/>
  <c r="M21" i="1"/>
  <c r="L21" i="1"/>
  <c r="K21" i="1"/>
  <c r="J21" i="1"/>
  <c r="I21" i="1"/>
  <c r="H21" i="1"/>
  <c r="G21" i="1"/>
  <c r="N21" i="1" s="1"/>
  <c r="F21" i="1"/>
  <c r="E21" i="1"/>
  <c r="D21" i="1"/>
  <c r="C21" i="1"/>
  <c r="M20" i="1"/>
  <c r="L20" i="1"/>
  <c r="K20" i="1"/>
  <c r="J20" i="1"/>
  <c r="I20" i="1"/>
  <c r="H20" i="1"/>
  <c r="G20" i="1"/>
  <c r="N20" i="1" s="1"/>
  <c r="F20" i="1"/>
  <c r="E20" i="1"/>
  <c r="D20" i="1"/>
  <c r="C20" i="1"/>
  <c r="M19" i="1"/>
  <c r="L19" i="1"/>
  <c r="K19" i="1"/>
  <c r="J19" i="1"/>
  <c r="I19" i="1"/>
  <c r="H19" i="1"/>
  <c r="G19" i="1"/>
  <c r="N19" i="1" s="1"/>
  <c r="F19" i="1"/>
  <c r="E19" i="1"/>
  <c r="D19" i="1"/>
  <c r="C19" i="1"/>
  <c r="M18" i="1"/>
  <c r="L18" i="1"/>
  <c r="K18" i="1"/>
  <c r="J18" i="1"/>
  <c r="I18" i="1"/>
  <c r="H18" i="1"/>
  <c r="G18" i="1"/>
  <c r="N18" i="1" s="1"/>
  <c r="F18" i="1"/>
  <c r="E18" i="1"/>
  <c r="D18" i="1"/>
  <c r="C18" i="1"/>
  <c r="M17" i="1"/>
  <c r="L17" i="1"/>
  <c r="K17" i="1"/>
  <c r="J17" i="1"/>
  <c r="I17" i="1"/>
  <c r="H17" i="1"/>
  <c r="G17" i="1"/>
  <c r="N17" i="1" s="1"/>
  <c r="F17" i="1"/>
  <c r="E17" i="1"/>
  <c r="D17" i="1"/>
  <c r="C17" i="1"/>
  <c r="M16" i="1"/>
  <c r="L16" i="1"/>
  <c r="K16" i="1"/>
  <c r="J16" i="1"/>
  <c r="I16" i="1"/>
  <c r="H16" i="1"/>
  <c r="G16" i="1"/>
  <c r="N16" i="1" s="1"/>
  <c r="F16" i="1"/>
  <c r="E16" i="1"/>
  <c r="D16" i="1"/>
  <c r="M15" i="1"/>
  <c r="L15" i="1"/>
  <c r="K15" i="1"/>
  <c r="J15" i="1"/>
  <c r="I15" i="1"/>
  <c r="H15" i="1"/>
  <c r="G15" i="1"/>
  <c r="N15" i="1" s="1"/>
  <c r="F15" i="1"/>
  <c r="E15" i="1"/>
  <c r="D15" i="1"/>
  <c r="C15" i="1"/>
  <c r="M14" i="1"/>
  <c r="L14" i="1"/>
  <c r="K14" i="1"/>
  <c r="J14" i="1"/>
  <c r="I14" i="1"/>
  <c r="H14" i="1"/>
  <c r="G14" i="1"/>
  <c r="N14" i="1" s="1"/>
  <c r="F14" i="1"/>
  <c r="E14" i="1"/>
  <c r="D14" i="1"/>
  <c r="C14" i="1"/>
  <c r="M13" i="1"/>
  <c r="L13" i="1"/>
  <c r="K13" i="1"/>
  <c r="J13" i="1"/>
  <c r="I13" i="1"/>
  <c r="H13" i="1"/>
  <c r="G13" i="1"/>
  <c r="N13" i="1" s="1"/>
  <c r="F13" i="1"/>
  <c r="E13" i="1"/>
  <c r="D13" i="1"/>
  <c r="C13" i="1"/>
  <c r="M12" i="1"/>
  <c r="L12" i="1"/>
  <c r="K12" i="1"/>
  <c r="J12" i="1"/>
  <c r="I12" i="1"/>
  <c r="H12" i="1"/>
  <c r="G12" i="1"/>
  <c r="N12" i="1" s="1"/>
  <c r="F12" i="1"/>
  <c r="E12" i="1"/>
  <c r="D12" i="1"/>
  <c r="C12" i="1"/>
  <c r="M11" i="1"/>
  <c r="L11" i="1"/>
  <c r="K11" i="1"/>
  <c r="J11" i="1"/>
  <c r="I11" i="1"/>
  <c r="H11" i="1"/>
  <c r="G11" i="1"/>
  <c r="N11" i="1" s="1"/>
  <c r="F11" i="1"/>
  <c r="E11" i="1"/>
  <c r="D11" i="1"/>
  <c r="C11" i="1"/>
  <c r="M10" i="1"/>
  <c r="L10" i="1"/>
  <c r="K10" i="1"/>
  <c r="J10" i="1"/>
  <c r="I10" i="1"/>
  <c r="H10" i="1"/>
  <c r="G10" i="1"/>
  <c r="N10" i="1" s="1"/>
  <c r="F10" i="1"/>
  <c r="E10" i="1"/>
  <c r="C10" i="1"/>
  <c r="M9" i="1"/>
  <c r="L9" i="1"/>
  <c r="K9" i="1"/>
  <c r="J9" i="1"/>
  <c r="I9" i="1"/>
  <c r="H9" i="1"/>
  <c r="G9" i="1"/>
  <c r="N9" i="1" s="1"/>
  <c r="F9" i="1"/>
  <c r="E9" i="1"/>
  <c r="M8" i="1"/>
  <c r="L8" i="1"/>
  <c r="K8" i="1"/>
  <c r="J8" i="1"/>
  <c r="I8" i="1"/>
  <c r="G8" i="1"/>
  <c r="N8" i="1" s="1"/>
  <c r="F8" i="1"/>
  <c r="E8" i="1"/>
  <c r="M7" i="1"/>
  <c r="L7" i="1"/>
  <c r="K7" i="1"/>
  <c r="J7" i="1"/>
  <c r="I7" i="1"/>
  <c r="H7" i="1"/>
  <c r="N7" i="1" s="1"/>
  <c r="G7" i="1"/>
  <c r="F7" i="1"/>
  <c r="E7" i="1"/>
  <c r="M6" i="1"/>
  <c r="L6" i="1"/>
  <c r="K6" i="1"/>
  <c r="J6" i="1"/>
  <c r="N6" i="1" s="1"/>
  <c r="I6" i="1"/>
  <c r="H6" i="1"/>
  <c r="G6" i="1"/>
  <c r="F6" i="1"/>
  <c r="E6" i="1"/>
  <c r="C6" i="1"/>
  <c r="M5" i="1"/>
  <c r="L5" i="1"/>
  <c r="K5" i="1"/>
  <c r="J5" i="1"/>
  <c r="I5" i="1"/>
  <c r="N5" i="1" s="1"/>
  <c r="H5" i="1"/>
  <c r="G5" i="1"/>
  <c r="F5" i="1"/>
  <c r="E5" i="1"/>
  <c r="M4" i="1"/>
  <c r="L4" i="1"/>
  <c r="K4" i="1"/>
  <c r="J4" i="1"/>
  <c r="I4" i="1"/>
  <c r="H4" i="1"/>
  <c r="G4" i="1"/>
  <c r="N4" i="1" s="1"/>
  <c r="F4" i="1"/>
  <c r="E4" i="1"/>
  <c r="M3" i="1"/>
  <c r="L3" i="1"/>
  <c r="K3" i="1"/>
  <c r="J3" i="1"/>
  <c r="I3" i="1"/>
  <c r="H3" i="1"/>
  <c r="G3" i="1"/>
  <c r="N3" i="1" s="1"/>
  <c r="F3" i="1"/>
  <c r="E3" i="1"/>
  <c r="D3" i="1"/>
  <c r="C3" i="1"/>
  <c r="A235" i="6" a="1"/>
  <c r="A234" i="6" a="1"/>
  <c r="A222" i="6" a="1"/>
  <c r="A218" i="6" a="1"/>
  <c r="A214" i="6" a="1"/>
  <c r="A207" i="6" a="1"/>
  <c r="A238" i="6" a="1"/>
  <c r="A237" i="6" a="1"/>
  <c r="A224" i="6" a="1"/>
  <c r="A221" i="6" a="1"/>
  <c r="A220" i="6" a="1"/>
  <c r="A205" i="6" a="1"/>
  <c r="A204" i="6" a="1"/>
  <c r="A182" i="6" a="1"/>
  <c r="A173" i="6" a="1"/>
  <c r="A212" i="6" a="1"/>
  <c r="A211" i="6" a="1"/>
  <c r="A196" i="6" a="1"/>
  <c r="A193" i="6" a="1"/>
  <c r="A226" i="6" a="1"/>
  <c r="A236" i="6" a="1"/>
  <c r="A223" i="6" a="1"/>
  <c r="A210" i="6" a="1"/>
  <c r="A232" i="6" a="1"/>
  <c r="A231" i="6" a="1"/>
  <c r="A230" i="6" a="1"/>
  <c r="A229" i="6" a="1"/>
  <c r="A227" i="6" a="1"/>
  <c r="A198" i="6" a="1"/>
  <c r="A178" i="6" a="1"/>
  <c r="A175" i="6" a="1"/>
  <c r="A228" i="6" a="1"/>
  <c r="A216" i="6" a="1"/>
  <c r="A195" i="6" a="1"/>
  <c r="A192" i="6" a="1"/>
  <c r="A172" i="6" a="1"/>
  <c r="A169" i="6" a="1"/>
  <c r="A233" i="6" a="1"/>
  <c r="A209" i="6" a="1"/>
  <c r="A208" i="6" a="1"/>
  <c r="A197" i="6" a="1"/>
  <c r="A206" i="6" a="1"/>
  <c r="A200" i="6" a="1"/>
  <c r="A191" i="6" a="1"/>
  <c r="A215" i="6" a="1"/>
  <c r="A213" i="6" a="1"/>
  <c r="A202" i="6" a="1"/>
  <c r="A188" i="6" a="1"/>
  <c r="A179" i="6" a="1"/>
  <c r="A219" i="6" a="1"/>
  <c r="A203" i="6" a="1"/>
  <c r="A180" i="6" a="1"/>
  <c r="A170" i="6" a="1"/>
  <c r="A165" i="6" a="1"/>
  <c r="A162" i="6" a="1"/>
  <c r="A156" i="6" a="1"/>
  <c r="A148" i="6" a="1"/>
  <c r="A138" i="6" a="1"/>
  <c r="A84" i="6" a="1"/>
  <c r="A189" i="6" a="1"/>
  <c r="A159" i="6" a="1"/>
  <c r="A181" i="6" a="1"/>
  <c r="A167" i="6" a="1"/>
  <c r="A177" i="6" a="1"/>
  <c r="A176" i="6" a="1"/>
  <c r="A174" i="6" a="1"/>
  <c r="A168" i="6" a="1"/>
  <c r="A217" i="6" a="1"/>
  <c r="A190" i="6" a="1"/>
  <c r="A183" i="6" a="1"/>
  <c r="A164" i="6" a="1"/>
  <c r="A143" i="6" a="1"/>
  <c r="A127" i="6" a="1"/>
  <c r="A120" i="6" a="1"/>
  <c r="A185" i="6" a="1"/>
  <c r="A184" i="6" a="1"/>
  <c r="A186" i="6" a="1"/>
  <c r="A201" i="6" a="1"/>
  <c r="A199" i="6" a="1"/>
  <c r="A194" i="6" a="1"/>
  <c r="A187" i="6" a="1"/>
  <c r="A166" i="6" a="1"/>
  <c r="A163" i="6" a="1"/>
  <c r="A144" i="6" a="1"/>
  <c r="A139" i="6" a="1"/>
  <c r="A135" i="6" a="1"/>
  <c r="A129" i="6" a="1"/>
  <c r="A161" i="6" a="1"/>
  <c r="A158" i="6" a="1"/>
  <c r="A134" i="6" a="1"/>
  <c r="A130" i="6" a="1"/>
  <c r="A225" i="6" a="1"/>
  <c r="A160" i="6" a="1"/>
  <c r="A171" i="6" a="1"/>
  <c r="A131" i="6" a="1"/>
  <c r="A118" i="6" a="1"/>
  <c r="A112" i="6" a="1"/>
  <c r="A101" i="6" a="1"/>
  <c r="A94" i="6" a="1"/>
  <c r="A141" i="6" a="1"/>
  <c r="A133" i="6" a="1"/>
  <c r="A126" i="6" a="1"/>
  <c r="A154" i="6" a="1"/>
  <c r="A151" i="6" a="1"/>
  <c r="A137" i="6" a="1"/>
  <c r="A132" i="6" a="1"/>
  <c r="A125" i="6" a="1"/>
  <c r="A119" i="6" a="1"/>
  <c r="A117" i="6" a="1"/>
  <c r="A147" i="6" a="1"/>
  <c r="A153" i="6" a="1"/>
  <c r="A157" i="6" a="1"/>
  <c r="A149" i="6" a="1"/>
  <c r="A122" i="6" a="1"/>
  <c r="A109" i="6" a="1"/>
  <c r="A108" i="6" a="1"/>
  <c r="A155" i="6" a="1"/>
  <c r="A140" i="6" a="1"/>
  <c r="A124" i="6" a="1"/>
  <c r="A111" i="6" a="1"/>
  <c r="A91" i="6" a="1"/>
  <c r="A150" i="6" a="1"/>
  <c r="A146" i="6" a="1"/>
  <c r="A123" i="6" a="1"/>
  <c r="A115" i="6" a="1"/>
  <c r="A107" i="6" a="1"/>
  <c r="A136" i="6" a="1"/>
  <c r="A128" i="6" a="1"/>
  <c r="A105" i="6" a="1"/>
  <c r="A103" i="6" a="1"/>
  <c r="A98" i="6" a="1"/>
  <c r="A92" i="6" a="1"/>
  <c r="A145" i="6" a="1"/>
  <c r="A142" i="6" a="1"/>
  <c r="A102" i="6" a="1"/>
  <c r="A88" i="6" a="1"/>
  <c r="A82" i="6" a="1"/>
  <c r="A121" i="6" a="1"/>
  <c r="A93" i="6" a="1"/>
  <c r="A90" i="6" a="1"/>
  <c r="A89" i="6" a="1"/>
  <c r="A85" i="6" a="1"/>
  <c r="A97" i="6" a="1"/>
  <c r="A80" i="6" a="1"/>
  <c r="A67" i="6" a="1"/>
  <c r="A54" i="6" a="1"/>
  <c r="A113" i="6" a="1"/>
  <c r="A106" i="6" a="1"/>
  <c r="A87" i="6" a="1"/>
  <c r="A56" i="6" a="1"/>
  <c r="A110" i="6" a="1"/>
  <c r="A66" i="6" a="1"/>
  <c r="A114" i="6" a="1"/>
  <c r="A152" i="6" a="1"/>
  <c r="A96" i="6" a="1"/>
  <c r="A74" i="6" a="1"/>
  <c r="A69" i="6" a="1"/>
  <c r="A68" i="6" a="1"/>
  <c r="A104" i="6" a="1"/>
  <c r="A99" i="6" a="1"/>
  <c r="A100" i="6" a="1"/>
  <c r="A78" i="6" a="1"/>
  <c r="A32" i="6" a="1"/>
  <c r="A16" i="6" a="1"/>
  <c r="A72" i="6" a="1"/>
  <c r="A70" i="6" a="1"/>
  <c r="A60" i="6" a="1"/>
  <c r="A58" i="6" a="1"/>
  <c r="A44" i="6" a="1"/>
  <c r="A30" i="6" a="1"/>
  <c r="A19" i="6" a="1"/>
  <c r="A18" i="6" a="1"/>
  <c r="A9" i="6" a="1"/>
  <c r="A451" i="5" a="1"/>
  <c r="A445" i="5" a="1"/>
  <c r="A439" i="5" a="1"/>
  <c r="A433" i="5" a="1"/>
  <c r="A427" i="5" a="1"/>
  <c r="A421" i="5" a="1"/>
  <c r="A415" i="5" a="1"/>
  <c r="A409" i="5" a="1"/>
  <c r="A403" i="5" a="1"/>
  <c r="A397" i="5" a="1"/>
  <c r="A391" i="5" a="1"/>
  <c r="A385" i="5" a="1"/>
  <c r="A379" i="5" a="1"/>
  <c r="A373" i="5" a="1"/>
  <c r="A367" i="5" a="1"/>
  <c r="A361" i="5" a="1"/>
  <c r="A355" i="5" a="1"/>
  <c r="A349" i="5" a="1"/>
  <c r="A343" i="5" a="1"/>
  <c r="A337" i="5" a="1"/>
  <c r="A331" i="5" a="1"/>
  <c r="A325" i="5" a="1"/>
  <c r="A319" i="5" a="1"/>
  <c r="A313" i="5" a="1"/>
  <c r="A307" i="5" a="1"/>
  <c r="A301" i="5" a="1"/>
  <c r="A295" i="5" a="1"/>
  <c r="A289" i="5" a="1"/>
  <c r="A283" i="5" a="1"/>
  <c r="A277" i="5" a="1"/>
  <c r="A271" i="5" a="1"/>
  <c r="A265" i="5" a="1"/>
  <c r="A71" i="6" a="1"/>
  <c r="A65" i="6" a="1"/>
  <c r="A50" i="6" a="1"/>
  <c r="A17" i="6" a="1"/>
  <c r="A73" i="6" a="1"/>
  <c r="A31" i="6" a="1"/>
  <c r="A24" i="6" a="1"/>
  <c r="A446" i="5" a="1"/>
  <c r="A440" i="5" a="1"/>
  <c r="A434" i="5" a="1"/>
  <c r="A116" i="6" a="1"/>
  <c r="A81" i="6" a="1"/>
  <c r="A64" i="6" a="1"/>
  <c r="A53" i="6" a="1"/>
  <c r="A11" i="6" a="1"/>
  <c r="A86" i="6" a="1"/>
  <c r="A79" i="6" a="1"/>
  <c r="A59" i="6" a="1"/>
  <c r="A39" i="6" a="1"/>
  <c r="A36" i="6" a="1"/>
  <c r="A35" i="6" a="1"/>
  <c r="A95" i="6" a="1"/>
  <c r="A83" i="6" a="1"/>
  <c r="A75" i="6" a="1"/>
  <c r="A49" i="6" a="1"/>
  <c r="A47" i="6" a="1"/>
  <c r="A63" i="6" a="1"/>
  <c r="A62" i="6" a="1"/>
  <c r="A51" i="6" a="1"/>
  <c r="A40" i="6" a="1"/>
  <c r="A26" i="6" a="1"/>
  <c r="A21" i="6" a="1"/>
  <c r="A20" i="6" a="1"/>
  <c r="A13" i="6" a="1"/>
  <c r="A448" i="5" a="1"/>
  <c r="A76" i="6" a="1"/>
  <c r="A48" i="6" a="1"/>
  <c r="A14" i="6" a="1"/>
  <c r="A42" i="6" a="1"/>
  <c r="A41" i="6" a="1"/>
  <c r="A27" i="6" a="1"/>
  <c r="A23" i="6" a="1"/>
  <c r="A22" i="6" a="1"/>
  <c r="A449" i="5" a="1"/>
  <c r="A443" i="5" a="1"/>
  <c r="A437" i="5" a="1"/>
  <c r="A431" i="5" a="1"/>
  <c r="A425" i="5" a="1"/>
  <c r="A419" i="5" a="1"/>
  <c r="A413" i="5" a="1"/>
  <c r="A407" i="5" a="1"/>
  <c r="A401" i="5" a="1"/>
  <c r="A395" i="5" a="1"/>
  <c r="A389" i="5" a="1"/>
  <c r="A383" i="5" a="1"/>
  <c r="A377" i="5" a="1"/>
  <c r="A371" i="5" a="1"/>
  <c r="A365" i="5" a="1"/>
  <c r="A359" i="5" a="1"/>
  <c r="A353" i="5" a="1"/>
  <c r="A347" i="5" a="1"/>
  <c r="A341" i="5" a="1"/>
  <c r="A335" i="5" a="1"/>
  <c r="A329" i="5" a="1"/>
  <c r="A323" i="5" a="1"/>
  <c r="A317" i="5" a="1"/>
  <c r="A311" i="5" a="1"/>
  <c r="A305" i="5" a="1"/>
  <c r="A299" i="5" a="1"/>
  <c r="A293" i="5" a="1"/>
  <c r="A287" i="5" a="1"/>
  <c r="A281" i="5" a="1"/>
  <c r="A275" i="5" a="1"/>
  <c r="A269" i="5" a="1"/>
  <c r="A263" i="5" a="1"/>
  <c r="A257" i="5" a="1"/>
  <c r="A251" i="5" a="1"/>
  <c r="A245" i="5" a="1"/>
  <c r="A239" i="5" a="1"/>
  <c r="A77" i="6" a="1"/>
  <c r="A45" i="6" a="1"/>
  <c r="A55" i="6" a="1"/>
  <c r="A52" i="6" a="1"/>
  <c r="A46" i="6" a="1"/>
  <c r="A43" i="6" a="1"/>
  <c r="A38" i="6" a="1"/>
  <c r="A37" i="6" a="1"/>
  <c r="A34" i="6" a="1"/>
  <c r="A33" i="6" a="1"/>
  <c r="A29" i="6" a="1"/>
  <c r="A28" i="6" a="1"/>
  <c r="A5" i="6" a="1"/>
  <c r="A447" i="5" a="1"/>
  <c r="A438" i="5" a="1"/>
  <c r="A428" i="5" a="1"/>
  <c r="A258" i="5" a="1"/>
  <c r="A253" i="5" a="1"/>
  <c r="A15" i="6" a="1"/>
  <c r="A8" i="6" a="1"/>
  <c r="A450" i="5" a="1"/>
  <c r="A441" i="5" a="1"/>
  <c r="A432" i="5" a="1"/>
  <c r="A418" i="5" a="1"/>
  <c r="A25" i="6" a="1"/>
  <c r="A10" i="6" a="1"/>
  <c r="A436" i="5" a="1"/>
  <c r="A423" i="5" a="1"/>
  <c r="A405" i="5" a="1"/>
  <c r="A387" i="5" a="1"/>
  <c r="A6" i="6" a="1"/>
  <c r="A430" i="5" a="1"/>
  <c r="A420" i="5" a="1"/>
  <c r="A416" i="5" a="1"/>
  <c r="A402" i="5" a="1"/>
  <c r="A398" i="5" a="1"/>
  <c r="A384" i="5" a="1"/>
  <c r="A380" i="5" a="1"/>
  <c r="A369" i="5" a="1"/>
  <c r="A357" i="5" a="1"/>
  <c r="A345" i="5" a="1"/>
  <c r="A333" i="5" a="1"/>
  <c r="A321" i="5" a="1"/>
  <c r="A309" i="5" a="1"/>
  <c r="A297" i="5" a="1"/>
  <c r="A285" i="5" a="1"/>
  <c r="A273" i="5" a="1"/>
  <c r="A261" i="5" a="1"/>
  <c r="A256" i="5" a="1"/>
  <c r="A12" i="6" a="1"/>
  <c r="A424" i="5" a="1"/>
  <c r="A410" i="5" a="1"/>
  <c r="A393" i="5" a="1"/>
  <c r="A364" i="5" a="1"/>
  <c r="A326" i="5" a="1"/>
  <c r="A286" i="5" a="1"/>
  <c r="A280" i="5" a="1"/>
  <c r="A259" i="5" a="1"/>
  <c r="A234" i="5" a="1"/>
  <c r="A229" i="5" a="1"/>
  <c r="A224" i="5" a="1"/>
  <c r="A219" i="5" a="1"/>
  <c r="A203" i="5" a="1"/>
  <c r="A198" i="5" a="1"/>
  <c r="A193" i="5" a="1"/>
  <c r="A188" i="5" a="1"/>
  <c r="A183" i="5" a="1"/>
  <c r="A167" i="5" a="1"/>
  <c r="A105" i="5" a="1"/>
  <c r="A99" i="5" a="1"/>
  <c r="A93" i="5" a="1"/>
  <c r="A87" i="5" a="1"/>
  <c r="A81" i="5" a="1"/>
  <c r="A75" i="5" a="1"/>
  <c r="A69" i="5" a="1"/>
  <c r="A63" i="5" a="1"/>
  <c r="A57" i="5" a="1"/>
  <c r="A51" i="5" a="1"/>
  <c r="A45" i="5" a="1"/>
  <c r="A39" i="5" a="1"/>
  <c r="A37" i="5" a="1"/>
  <c r="A29" i="5" a="1"/>
  <c r="A24" i="5" a="1"/>
  <c r="A23" i="5" a="1"/>
  <c r="A12" i="5" a="1"/>
  <c r="A598" i="4" a="1"/>
  <c r="A586" i="4" a="1"/>
  <c r="A429" i="5" a="1"/>
  <c r="A396" i="5" a="1"/>
  <c r="A352" i="5" a="1"/>
  <c r="A336" i="5" a="1"/>
  <c r="A300" i="5" a="1"/>
  <c r="A290" i="5" a="1"/>
  <c r="A270" i="5" a="1"/>
  <c r="A252" i="5" a="1"/>
  <c r="A248" i="5" a="1"/>
  <c r="A244" i="5" a="1"/>
  <c r="A214" i="5" a="1"/>
  <c r="A178" i="5" a="1"/>
  <c r="A162" i="5" a="1"/>
  <c r="A156" i="5" a="1"/>
  <c r="A150" i="5" a="1"/>
  <c r="A144" i="5" a="1"/>
  <c r="A138" i="5" a="1"/>
  <c r="A132" i="5" a="1"/>
  <c r="A126" i="5" a="1"/>
  <c r="A120" i="5" a="1"/>
  <c r="A114" i="5" a="1"/>
  <c r="A108" i="5" a="1"/>
  <c r="A408" i="5" a="1"/>
  <c r="A399" i="5" a="1"/>
  <c r="A382" i="5" a="1"/>
  <c r="A376" i="5" a="1"/>
  <c r="A370" i="5" a="1"/>
  <c r="A340" i="5" a="1"/>
  <c r="A330" i="5" a="1"/>
  <c r="A304" i="5" a="1"/>
  <c r="A267" i="5" a="1"/>
  <c r="A235" i="5" a="1"/>
  <c r="A230" i="5" a="1"/>
  <c r="A225" i="5" a="1"/>
  <c r="A209" i="5" a="1"/>
  <c r="A204" i="5" a="1"/>
  <c r="A199" i="5" a="1"/>
  <c r="A194" i="5" a="1"/>
  <c r="A189" i="5" a="1"/>
  <c r="A173" i="5" a="1"/>
  <c r="A168" i="5" a="1"/>
  <c r="A4" i="6" a="1"/>
  <c r="A442" i="5" a="1"/>
  <c r="A411" i="5" a="1"/>
  <c r="A388" i="5" a="1"/>
  <c r="A358" i="5" a="1"/>
  <c r="A327" i="5" a="1"/>
  <c r="A320" i="5" a="1"/>
  <c r="A310" i="5" a="1"/>
  <c r="A294" i="5" a="1"/>
  <c r="A260" i="5" a="1"/>
  <c r="A249" i="5" a="1"/>
  <c r="A240" i="5" a="1"/>
  <c r="A220" i="5" a="1"/>
  <c r="A184" i="5" a="1"/>
  <c r="A163" i="5" a="1"/>
  <c r="A157" i="5" a="1"/>
  <c r="A151" i="5" a="1"/>
  <c r="A145" i="5" a="1"/>
  <c r="A139" i="5" a="1"/>
  <c r="A133" i="5" a="1"/>
  <c r="A127" i="5" a="1"/>
  <c r="A121" i="5" a="1"/>
  <c r="A115" i="5" a="1"/>
  <c r="A109" i="5" a="1"/>
  <c r="A36" i="5" a="1"/>
  <c r="A422" i="5" a="1"/>
  <c r="A414" i="5" a="1"/>
  <c r="A346" i="5" a="1"/>
  <c r="A314" i="5" a="1"/>
  <c r="A291" i="5" a="1"/>
  <c r="A284" i="5" a="1"/>
  <c r="A264" i="5" a="1"/>
  <c r="A236" i="5" a="1"/>
  <c r="A231" i="5" a="1"/>
  <c r="A215" i="5" a="1"/>
  <c r="A210" i="5" a="1"/>
  <c r="A205" i="5" a="1"/>
  <c r="A200" i="5" a="1"/>
  <c r="A195" i="5" a="1"/>
  <c r="A179" i="5" a="1"/>
  <c r="A174" i="5" a="1"/>
  <c r="A169" i="5" a="1"/>
  <c r="A107" i="5" a="1"/>
  <c r="A417" i="5" a="1"/>
  <c r="A400" i="5" a="1"/>
  <c r="A394" i="5" a="1"/>
  <c r="A368" i="5" a="1"/>
  <c r="A324" i="5" a="1"/>
  <c r="A274" i="5" a="1"/>
  <c r="A268" i="5" a="1"/>
  <c r="A226" i="5" a="1"/>
  <c r="A190" i="5" a="1"/>
  <c r="A435" i="5" a="1"/>
  <c r="A406" i="5" a="1"/>
  <c r="A374" i="5" a="1"/>
  <c r="A362" i="5" a="1"/>
  <c r="A356" i="5" a="1"/>
  <c r="A328" i="5" a="1"/>
  <c r="A318" i="5" a="1"/>
  <c r="A288" i="5" a="1"/>
  <c r="A278" i="5" a="1"/>
  <c r="A250" i="5" a="1"/>
  <c r="A246" i="5" a="1"/>
  <c r="A241" i="5" a="1"/>
  <c r="A237" i="5" a="1"/>
  <c r="A221" i="5" a="1"/>
  <c r="A216" i="5" a="1"/>
  <c r="A211" i="5" a="1"/>
  <c r="A206" i="5" a="1"/>
  <c r="A201" i="5" a="1"/>
  <c r="A185" i="5" a="1"/>
  <c r="A180" i="5" a="1"/>
  <c r="A175" i="5" a="1"/>
  <c r="A170" i="5" a="1"/>
  <c r="A102" i="5" a="1"/>
  <c r="A96" i="5" a="1"/>
  <c r="A90" i="5" a="1"/>
  <c r="A84" i="5" a="1"/>
  <c r="A78" i="5" a="1"/>
  <c r="A72" i="5" a="1"/>
  <c r="A66" i="5" a="1"/>
  <c r="A60" i="5" a="1"/>
  <c r="A54" i="5" a="1"/>
  <c r="A386" i="5" a="1"/>
  <c r="A350" i="5" a="1"/>
  <c r="A344" i="5" a="1"/>
  <c r="A334" i="5" a="1"/>
  <c r="A315" i="5" a="1"/>
  <c r="A308" i="5" a="1"/>
  <c r="A298" i="5" a="1"/>
  <c r="A292" i="5" a="1"/>
  <c r="A254" i="5" a="1"/>
  <c r="A232" i="5" a="1"/>
  <c r="A196" i="5" a="1"/>
  <c r="A165" i="5" a="1"/>
  <c r="A159" i="5" a="1"/>
  <c r="A153" i="5" a="1"/>
  <c r="A147" i="5" a="1"/>
  <c r="A141" i="5" a="1"/>
  <c r="A135" i="5" a="1"/>
  <c r="A129" i="5" a="1"/>
  <c r="A123" i="5" a="1"/>
  <c r="A117" i="5" a="1"/>
  <c r="A111" i="5" a="1"/>
  <c r="A27" i="5" a="1"/>
  <c r="A599" i="4" a="1"/>
  <c r="A587" i="4" a="1"/>
  <c r="A575" i="4" a="1"/>
  <c r="A412" i="5" a="1"/>
  <c r="A366" i="5" a="1"/>
  <c r="A338" i="5" a="1"/>
  <c r="A302" i="5" a="1"/>
  <c r="A282" i="5" a="1"/>
  <c r="A242" i="5" a="1"/>
  <c r="A227" i="5" a="1"/>
  <c r="A222" i="5" a="1"/>
  <c r="A217" i="5" a="1"/>
  <c r="A212" i="5" a="1"/>
  <c r="A207" i="5" a="1"/>
  <c r="A191" i="5" a="1"/>
  <c r="A186" i="5" a="1"/>
  <c r="A181" i="5" a="1"/>
  <c r="A176" i="5" a="1"/>
  <c r="A171" i="5" a="1"/>
  <c r="A392" i="5" a="1"/>
  <c r="A375" i="5" a="1"/>
  <c r="A372" i="5" a="1"/>
  <c r="A363" i="5" a="1"/>
  <c r="A354" i="5" a="1"/>
  <c r="A312" i="5" a="1"/>
  <c r="A279" i="5" a="1"/>
  <c r="A272" i="5" a="1"/>
  <c r="A202" i="5" a="1"/>
  <c r="A166" i="5" a="1"/>
  <c r="A160" i="5" a="1"/>
  <c r="A426" i="5" a="1"/>
  <c r="A404" i="5" a="1"/>
  <c r="A378" i="5" a="1"/>
  <c r="A360" i="5" a="1"/>
  <c r="A351" i="5" a="1"/>
  <c r="A342" i="5" a="1"/>
  <c r="A316" i="5" a="1"/>
  <c r="A306" i="5" a="1"/>
  <c r="A262" i="5" a="1"/>
  <c r="A255" i="5" a="1"/>
  <c r="A247" i="5" a="1"/>
  <c r="A243" i="5" a="1"/>
  <c r="A238" i="5" a="1"/>
  <c r="A233" i="5" a="1"/>
  <c r="A228" i="5" a="1"/>
  <c r="A223" i="5" a="1"/>
  <c r="A218" i="5" a="1"/>
  <c r="A213" i="5" a="1"/>
  <c r="A197" i="5" a="1"/>
  <c r="A192" i="5" a="1"/>
  <c r="A187" i="5" a="1"/>
  <c r="A182" i="5" a="1"/>
  <c r="A177" i="5" a="1"/>
  <c r="A104" i="5" a="1"/>
  <c r="A444" i="5" a="1"/>
  <c r="A390" i="5" a="1"/>
  <c r="A381" i="5" a="1"/>
  <c r="A348" i="5" a="1"/>
  <c r="A339" i="5" a="1"/>
  <c r="A332" i="5" a="1"/>
  <c r="A322" i="5" a="1"/>
  <c r="A303" i="5" a="1"/>
  <c r="A296" i="5" a="1"/>
  <c r="A276" i="5" a="1"/>
  <c r="A266" i="5" a="1"/>
  <c r="A208" i="5" a="1"/>
  <c r="A172" i="5" a="1"/>
  <c r="A161" i="5" a="1"/>
  <c r="A155" i="5" a="1"/>
  <c r="A149" i="5" a="1"/>
  <c r="A103" i="5" a="1"/>
  <c r="A65" i="5" a="1"/>
  <c r="A33" i="5" a="1"/>
  <c r="A20" i="5" a="1"/>
  <c r="A18" i="5" a="1"/>
  <c r="A601" i="4" a="1"/>
  <c r="A580" i="4" a="1"/>
  <c r="A566" i="4" a="1"/>
  <c r="A142" i="5" a="1"/>
  <c r="A130" i="5" a="1"/>
  <c r="A118" i="5" a="1"/>
  <c r="A100" i="5" a="1"/>
  <c r="A97" i="5" a="1"/>
  <c r="A59" i="5" a="1"/>
  <c r="A56" i="5" a="1"/>
  <c r="A49" i="5" a="1"/>
  <c r="A41" i="5" a="1"/>
  <c r="A154" i="5" a="1"/>
  <c r="A106" i="5" a="1"/>
  <c r="A94" i="5" a="1"/>
  <c r="A91" i="5" a="1"/>
  <c r="A140" i="5" a="1"/>
  <c r="A128" i="5" a="1"/>
  <c r="A116" i="5" a="1"/>
  <c r="A88" i="5" a="1"/>
  <c r="A85" i="5" a="1"/>
  <c r="A593" i="4" a="1"/>
  <c r="A579" i="4" a="1"/>
  <c r="A576" i="4" a="1"/>
  <c r="A563" i="4" a="1"/>
  <c r="A551" i="4" a="1"/>
  <c r="A152" i="5" a="1"/>
  <c r="A82" i="5" a="1"/>
  <c r="A79" i="5" a="1"/>
  <c r="A53" i="5" a="1"/>
  <c r="A50" i="5" a="1"/>
  <c r="A46" i="5" a="1"/>
  <c r="A42" i="5" a="1"/>
  <c r="A38" i="5" a="1"/>
  <c r="A31" i="5" a="1"/>
  <c r="A143" i="5" a="1"/>
  <c r="A131" i="5" a="1"/>
  <c r="A119" i="5" a="1"/>
  <c r="A98" i="5" a="1"/>
  <c r="A76" i="5" a="1"/>
  <c r="A73" i="5" a="1"/>
  <c r="A35" i="5" a="1"/>
  <c r="A26" i="5" a="1"/>
  <c r="A25" i="5" a="1"/>
  <c r="A101" i="5" a="1"/>
  <c r="A92" i="5" a="1"/>
  <c r="A70" i="5" a="1"/>
  <c r="A67" i="5" a="1"/>
  <c r="A43" i="5" a="1"/>
  <c r="A34" i="5" a="1"/>
  <c r="A592" i="4" a="1"/>
  <c r="A572" i="4" a="1"/>
  <c r="A560" i="4" a="1"/>
  <c r="A548" i="4" a="1"/>
  <c r="A164" i="5" a="1"/>
  <c r="A148" i="5" a="1"/>
  <c r="A136" i="5" a="1"/>
  <c r="A124" i="5" a="1"/>
  <c r="A112" i="5" a="1"/>
  <c r="A95" i="5" a="1"/>
  <c r="A86" i="5" a="1"/>
  <c r="A64" i="5" a="1"/>
  <c r="A61" i="5" a="1"/>
  <c r="A32" i="5" a="1"/>
  <c r="A28" i="5" a="1"/>
  <c r="A22" i="5" a="1"/>
  <c r="A582" i="4" a="1"/>
  <c r="A578" i="4" a="1"/>
  <c r="A567" i="4" a="1"/>
  <c r="A555" i="4" a="1"/>
  <c r="A543" i="4" a="1"/>
  <c r="A531" i="4" a="1"/>
  <c r="A89" i="5" a="1"/>
  <c r="A80" i="5" a="1"/>
  <c r="A58" i="5" a="1"/>
  <c r="A47" i="5" a="1"/>
  <c r="A30" i="5" a="1"/>
  <c r="A146" i="5" a="1"/>
  <c r="A134" i="5" a="1"/>
  <c r="A122" i="5" a="1"/>
  <c r="A83" i="5" a="1"/>
  <c r="A74" i="5" a="1"/>
  <c r="A44" i="5" a="1"/>
  <c r="A40" i="5" a="1"/>
  <c r="A110" i="5" a="1"/>
  <c r="A77" i="5" a="1"/>
  <c r="A68" i="5" a="1"/>
  <c r="A55" i="5" a="1"/>
  <c r="A4" i="5" a="1"/>
  <c r="A590" i="4" a="1"/>
  <c r="A574" i="4" a="1"/>
  <c r="A564" i="4" a="1"/>
  <c r="A552" i="4" a="1"/>
  <c r="A158" i="5" a="1"/>
  <c r="A137" i="5" a="1"/>
  <c r="A125" i="5" a="1"/>
  <c r="A113" i="5" a="1"/>
  <c r="A71" i="5" a="1"/>
  <c r="A62" i="5" a="1"/>
  <c r="A52" i="5" a="1"/>
  <c r="A48" i="5" a="1"/>
  <c r="A16" i="5" a="1"/>
  <c r="A10" i="5" a="1"/>
  <c r="A21" i="5" a="1"/>
  <c r="A583" i="4" a="1"/>
  <c r="A554" i="4" a="1"/>
  <c r="A550" i="4" a="1"/>
  <c r="A528" i="4" a="1"/>
  <c r="A515" i="4" a="1"/>
  <c r="A503" i="4" a="1"/>
  <c r="A491" i="4" a="1"/>
  <c r="A479" i="4" a="1"/>
  <c r="A467" i="4" a="1"/>
  <c r="A589" i="4" a="1"/>
  <c r="A558" i="4" a="1"/>
  <c r="A556" i="4" a="1"/>
  <c r="A553" i="4" a="1"/>
  <c r="A15" i="5" a="1"/>
  <c r="A594" i="4" a="1"/>
  <c r="A584" i="4" a="1"/>
  <c r="A19" i="5" a="1"/>
  <c r="A9" i="5" a="1"/>
  <c r="A591" i="4" a="1"/>
  <c r="A581" i="4" a="1"/>
  <c r="A561" i="4" a="1"/>
  <c r="A536" i="4" a="1"/>
  <c r="A521" i="4" a="1"/>
  <c r="A509" i="4" a="1"/>
  <c r="A497" i="4" a="1"/>
  <c r="A596" i="4" a="1"/>
  <c r="A577" i="4" a="1"/>
  <c r="A562" i="4" a="1"/>
  <c r="A539" i="4" a="1"/>
  <c r="A526" i="4" a="1"/>
  <c r="A516" i="4" a="1"/>
  <c r="A504" i="4" a="1"/>
  <c r="A492" i="4" a="1"/>
  <c r="A480" i="4" a="1"/>
  <c r="A468" i="4" a="1"/>
  <c r="A17" i="5" a="1"/>
  <c r="A600" i="4" a="1"/>
  <c r="A14" i="5" a="1"/>
  <c r="A588" i="4" a="1"/>
  <c r="A565" i="4" a="1"/>
  <c r="A542" i="4" a="1"/>
  <c r="A525" i="4" a="1"/>
  <c r="A520" i="4" a="1"/>
  <c r="A508" i="4" a="1"/>
  <c r="A496" i="4" a="1"/>
  <c r="A8" i="5" a="1"/>
  <c r="A538" i="4" a="1"/>
  <c r="A502" i="4" a="1"/>
  <c r="A501" i="4" a="1"/>
  <c r="A500" i="4" a="1"/>
  <c r="A499" i="4" a="1"/>
  <c r="A498" i="4" a="1"/>
  <c r="A486" i="4" a="1"/>
  <c r="A457" i="4" a="1"/>
  <c r="A445" i="4" a="1"/>
  <c r="A433" i="4" a="1"/>
  <c r="A421" i="4" a="1"/>
  <c r="A13" i="5" a="1"/>
  <c r="A537" i="4" a="1"/>
  <c r="A535" i="4" a="1"/>
  <c r="A534" i="4" a="1"/>
  <c r="A533" i="4" a="1"/>
  <c r="A530" i="4" a="1"/>
  <c r="A529" i="4" a="1"/>
  <c r="A505" i="4" a="1"/>
  <c r="A494" i="4" a="1"/>
  <c r="A481" i="4" a="1"/>
  <c r="A471" i="4" a="1"/>
  <c r="A464" i="4" a="1"/>
  <c r="A570" i="4" a="1"/>
  <c r="A557" i="4" a="1"/>
  <c r="A532" i="4" a="1"/>
  <c r="A11" i="5" a="1"/>
  <c r="A544" i="4" a="1"/>
  <c r="A540" i="4" a="1"/>
  <c r="A493" i="4" a="1"/>
  <c r="A485" i="4" a="1"/>
  <c r="A466" i="4" a="1"/>
  <c r="A454" i="4" a="1"/>
  <c r="A442" i="4" a="1"/>
  <c r="A490" i="4" a="1"/>
  <c r="A475" i="4" a="1"/>
  <c r="A470" i="4" a="1"/>
  <c r="A461" i="4" a="1"/>
  <c r="A568" i="4" a="1"/>
  <c r="A541" i="4" a="1"/>
  <c r="A545" i="4" a="1"/>
  <c r="A474" i="4" a="1"/>
  <c r="A463" i="4" a="1"/>
  <c r="A451" i="4" a="1"/>
  <c r="A439" i="4" a="1"/>
  <c r="A427" i="4" a="1"/>
  <c r="A415" i="4" a="1"/>
  <c r="A7" i="5" a="1"/>
  <c r="A595" i="4" a="1"/>
  <c r="A549" i="4" a="1"/>
  <c r="A519" i="4" a="1"/>
  <c r="A483" i="4" a="1"/>
  <c r="A469" i="4" a="1"/>
  <c r="A458" i="4" a="1"/>
  <c r="A446" i="4" a="1"/>
  <c r="A434" i="4" a="1"/>
  <c r="A422" i="4" a="1"/>
  <c r="A410" i="4" a="1"/>
  <c r="A573" i="4" a="1"/>
  <c r="A546" i="4" a="1"/>
  <c r="A524" i="4" a="1"/>
  <c r="A523" i="4" a="1"/>
  <c r="A522" i="4" a="1"/>
  <c r="A488" i="4" a="1"/>
  <c r="A478" i="4" a="1"/>
  <c r="A465" i="4" a="1"/>
  <c r="A597" i="4" a="1"/>
  <c r="A571" i="4" a="1"/>
  <c r="A559" i="4" a="1"/>
  <c r="A518" i="4" a="1"/>
  <c r="A507" i="4" a="1"/>
  <c r="A569" i="4" a="1"/>
  <c r="A514" i="4" a="1"/>
  <c r="A513" i="4" a="1"/>
  <c r="A512" i="4" a="1"/>
  <c r="A511" i="4" a="1"/>
  <c r="A510" i="4" a="1"/>
  <c r="A487" i="4" a="1"/>
  <c r="A482" i="4" a="1"/>
  <c r="A585" i="4" a="1"/>
  <c r="A547" i="4" a="1"/>
  <c r="A527" i="4" a="1"/>
  <c r="A517" i="4" a="1"/>
  <c r="A506" i="4" a="1"/>
  <c r="A495" i="4" a="1"/>
  <c r="A477" i="4" a="1"/>
  <c r="A472" i="4" a="1"/>
  <c r="A462" i="4" a="1"/>
  <c r="A450" i="4" a="1"/>
  <c r="A438" i="4" a="1"/>
  <c r="A426" i="4" a="1"/>
  <c r="A414" i="4" a="1"/>
  <c r="A437" i="4" a="1"/>
  <c r="A411" i="4" a="1"/>
  <c r="A408" i="4" a="1"/>
  <c r="A396" i="4" a="1"/>
  <c r="A384" i="4" a="1"/>
  <c r="A372" i="4" a="1"/>
  <c r="A360" i="4" a="1"/>
  <c r="A348" i="4" a="1"/>
  <c r="A336" i="4" a="1"/>
  <c r="A324" i="4" a="1"/>
  <c r="A312" i="4" a="1"/>
  <c r="A449" i="4" a="1"/>
  <c r="A436" i="4" a="1"/>
  <c r="A425" i="4" a="1"/>
  <c r="A448" i="4" a="1"/>
  <c r="A432" i="4" a="1"/>
  <c r="A431" i="4" a="1"/>
  <c r="A430" i="4" a="1"/>
  <c r="A429" i="4" a="1"/>
  <c r="A428" i="4" a="1"/>
  <c r="A455" i="4" a="1"/>
  <c r="A447" i="4" a="1"/>
  <c r="A435" i="4" a="1"/>
  <c r="A424" i="4" a="1"/>
  <c r="A405" i="4" a="1"/>
  <c r="A393" i="4" a="1"/>
  <c r="A381" i="4" a="1"/>
  <c r="A369" i="4" a="1"/>
  <c r="A357" i="4" a="1"/>
  <c r="A345" i="4" a="1"/>
  <c r="A333" i="4" a="1"/>
  <c r="A321" i="4" a="1"/>
  <c r="A459" i="4" a="1"/>
  <c r="A456" i="4" a="1"/>
  <c r="A440" i="4" a="1"/>
  <c r="A476" i="4" a="1"/>
  <c r="A460" i="4" a="1"/>
  <c r="A441" i="4" a="1"/>
  <c r="A413" i="4" a="1"/>
  <c r="A402" i="4" a="1"/>
  <c r="A390" i="4" a="1"/>
  <c r="A378" i="4" a="1"/>
  <c r="A366" i="4" a="1"/>
  <c r="A354" i="4" a="1"/>
  <c r="A342" i="4" a="1"/>
  <c r="A330" i="4" a="1"/>
  <c r="A318" i="4" a="1"/>
  <c r="A452" i="4" a="1"/>
  <c r="A409" i="4" a="1"/>
  <c r="A397" i="4" a="1"/>
  <c r="A385" i="4" a="1"/>
  <c r="A373" i="4" a="1"/>
  <c r="A361" i="4" a="1"/>
  <c r="A349" i="4" a="1"/>
  <c r="A337" i="4" a="1"/>
  <c r="A325" i="4" a="1"/>
  <c r="A313" i="4" a="1"/>
  <c r="A484" i="4" a="1"/>
  <c r="A404" i="4" a="1"/>
  <c r="A453" i="4" a="1"/>
  <c r="A443" i="4" a="1"/>
  <c r="A412" i="4" a="1"/>
  <c r="A473" i="4" a="1"/>
  <c r="A444" i="4" a="1"/>
  <c r="A406" i="4" a="1"/>
  <c r="A394" i="4" a="1"/>
  <c r="A382" i="4" a="1"/>
  <c r="A370" i="4" a="1"/>
  <c r="A358" i="4" a="1"/>
  <c r="A346" i="4" a="1"/>
  <c r="A334" i="4" a="1"/>
  <c r="A322" i="4" a="1"/>
  <c r="A489" i="4" a="1"/>
  <c r="A401" i="4" a="1"/>
  <c r="A389" i="4" a="1"/>
  <c r="A377" i="4" a="1"/>
  <c r="A365" i="4" a="1"/>
  <c r="A353" i="4" a="1"/>
  <c r="A341" i="4" a="1"/>
  <c r="A329" i="4" a="1"/>
  <c r="A317" i="4" a="1"/>
  <c r="A420" i="4" a="1"/>
  <c r="A400" i="4" a="1"/>
  <c r="A376" i="4" a="1"/>
  <c r="A375" i="4" a="1"/>
  <c r="A359" i="4" a="1"/>
  <c r="A343" i="4" a="1"/>
  <c r="A328" i="4" a="1"/>
  <c r="A327" i="4" a="1"/>
  <c r="A306" i="4" a="1"/>
  <c r="A295" i="4" a="1"/>
  <c r="A283" i="4" a="1"/>
  <c r="A271" i="4" a="1"/>
  <c r="A259" i="4" a="1"/>
  <c r="A247" i="4" a="1"/>
  <c r="A235" i="4" a="1"/>
  <c r="A223" i="4" a="1"/>
  <c r="A423" i="4" a="1"/>
  <c r="A403" i="4" a="1"/>
  <c r="A391" i="4" a="1"/>
  <c r="A344" i="4" a="1"/>
  <c r="A315" i="4" a="1"/>
  <c r="A302" i="4" a="1"/>
  <c r="A290" i="4" a="1"/>
  <c r="A278" i="4" a="1"/>
  <c r="A266" i="4" a="1"/>
  <c r="A254" i="4" a="1"/>
  <c r="A242" i="4" a="1"/>
  <c r="A338" i="4" a="1"/>
  <c r="A311" i="4" a="1"/>
  <c r="A310" i="4" a="1"/>
  <c r="A305" i="4" a="1"/>
  <c r="A297" i="4" a="1"/>
  <c r="A285" i="4" a="1"/>
  <c r="A273" i="4" a="1"/>
  <c r="A419" i="4" a="1"/>
  <c r="A392" i="4" a="1"/>
  <c r="A386" i="4" a="1"/>
  <c r="A371" i="4" a="1"/>
  <c r="A355" i="4" a="1"/>
  <c r="A340" i="4" a="1"/>
  <c r="A339" i="4" a="1"/>
  <c r="A323" i="4" a="1"/>
  <c r="A314" i="4" a="1"/>
  <c r="A292" i="4" a="1"/>
  <c r="A280" i="4" a="1"/>
  <c r="A268" i="4" a="1"/>
  <c r="A256" i="4" a="1"/>
  <c r="A244" i="4" a="1"/>
  <c r="A232" i="4" a="1"/>
  <c r="A220" i="4" a="1"/>
  <c r="A416" i="4" a="1"/>
  <c r="A388" i="4" a="1"/>
  <c r="A387" i="4" a="1"/>
  <c r="A356" i="4" a="1"/>
  <c r="A304" i="4" a="1"/>
  <c r="A299" i="4" a="1"/>
  <c r="A287" i="4" a="1"/>
  <c r="A350" i="4" a="1"/>
  <c r="A309" i="4" a="1"/>
  <c r="A294" i="4" a="1"/>
  <c r="A418" i="4" a="1"/>
  <c r="A367" i="4" a="1"/>
  <c r="A352" i="4" a="1"/>
  <c r="A351" i="4" a="1"/>
  <c r="A335" i="4" a="1"/>
  <c r="A319" i="4" a="1"/>
  <c r="A301" i="4" a="1"/>
  <c r="A289" i="4" a="1"/>
  <c r="A277" i="4" a="1"/>
  <c r="A265" i="4" a="1"/>
  <c r="A253" i="4" a="1"/>
  <c r="A241" i="4" a="1"/>
  <c r="A229" i="4" a="1"/>
  <c r="A217" i="4" a="1"/>
  <c r="A383" i="4" a="1"/>
  <c r="A368" i="4" a="1"/>
  <c r="A320" i="4" a="1"/>
  <c r="A308" i="4" a="1"/>
  <c r="A296" i="4" a="1"/>
  <c r="A284" i="4" a="1"/>
  <c r="A272" i="4" a="1"/>
  <c r="A260" i="4" a="1"/>
  <c r="A248" i="4" a="1"/>
  <c r="A236" i="4" a="1"/>
  <c r="A224" i="4" a="1"/>
  <c r="A398" i="4" a="1"/>
  <c r="A362" i="4" a="1"/>
  <c r="A303" i="4" a="1"/>
  <c r="A291" i="4" a="1"/>
  <c r="A279" i="4" a="1"/>
  <c r="A267" i="4" a="1"/>
  <c r="A255" i="4" a="1"/>
  <c r="A379" i="4" a="1"/>
  <c r="A364" i="4" a="1"/>
  <c r="A363" i="4" a="1"/>
  <c r="A347" i="4" a="1"/>
  <c r="A331" i="4" a="1"/>
  <c r="A307" i="4" a="1"/>
  <c r="A298" i="4" a="1"/>
  <c r="A286" i="4" a="1"/>
  <c r="A274" i="4" a="1"/>
  <c r="A407" i="4" a="1"/>
  <c r="A399" i="4" a="1"/>
  <c r="A332" i="4" a="1"/>
  <c r="A293" i="4" a="1"/>
  <c r="A281" i="4" a="1"/>
  <c r="A269" i="4" a="1"/>
  <c r="A257" i="4" a="1"/>
  <c r="A245" i="4" a="1"/>
  <c r="A233" i="4" a="1"/>
  <c r="A221" i="4" a="1"/>
  <c r="A417" i="4" a="1"/>
  <c r="A395" i="4" a="1"/>
  <c r="A380" i="4" a="1"/>
  <c r="A374" i="4" a="1"/>
  <c r="A326" i="4" a="1"/>
  <c r="A316" i="4" a="1"/>
  <c r="A300" i="4" a="1"/>
  <c r="A288" i="4" a="1"/>
  <c r="A276" i="4" a="1"/>
  <c r="A264" i="4" a="1"/>
  <c r="A252" i="4" a="1"/>
  <c r="A240" i="4" a="1"/>
  <c r="A228" i="4" a="1"/>
  <c r="A216" i="4" a="1"/>
  <c r="A203" i="4" a="1"/>
  <c r="A191" i="4" a="1"/>
  <c r="A179" i="4" a="1"/>
  <c r="A167" i="4" a="1"/>
  <c r="A155" i="4" a="1"/>
  <c r="A143" i="4" a="1"/>
  <c r="A131" i="4" a="1"/>
  <c r="A119" i="4" a="1"/>
  <c r="A107" i="4" a="1"/>
  <c r="A95" i="4" a="1"/>
  <c r="A282" i="4" a="1"/>
  <c r="A261" i="4" a="1"/>
  <c r="A237" i="4" a="1"/>
  <c r="A210" i="4" a="1"/>
  <c r="A198" i="4" a="1"/>
  <c r="A186" i="4" a="1"/>
  <c r="A275" i="4" a="1"/>
  <c r="A239" i="4" a="1"/>
  <c r="A238" i="4" a="1"/>
  <c r="A222" i="4" a="1"/>
  <c r="A205" i="4" a="1"/>
  <c r="A193" i="4" a="1"/>
  <c r="A246" i="4" a="1"/>
  <c r="A212" i="4" a="1"/>
  <c r="A200" i="4" a="1"/>
  <c r="A188" i="4" a="1"/>
  <c r="A176" i="4" a="1"/>
  <c r="A164" i="4" a="1"/>
  <c r="A152" i="4" a="1"/>
  <c r="A140" i="4" a="1"/>
  <c r="A128" i="4" a="1"/>
  <c r="A116" i="4" a="1"/>
  <c r="A104" i="4" a="1"/>
  <c r="A249" i="4" a="1"/>
  <c r="A243" i="4" a="1"/>
  <c r="A215" i="4" a="1"/>
  <c r="A207" i="4" a="1"/>
  <c r="A262" i="4" a="1"/>
  <c r="A234" i="4" a="1"/>
  <c r="A218" i="4" a="1"/>
  <c r="A270" i="4" a="1"/>
  <c r="A219" i="4" a="1"/>
  <c r="A214" i="4" a="1"/>
  <c r="A209" i="4" a="1"/>
  <c r="A197" i="4" a="1"/>
  <c r="A185" i="4" a="1"/>
  <c r="A173" i="4" a="1"/>
  <c r="A161" i="4" a="1"/>
  <c r="A149" i="4" a="1"/>
  <c r="A137" i="4" a="1"/>
  <c r="A125" i="4" a="1"/>
  <c r="A113" i="4" a="1"/>
  <c r="A101" i="4" a="1"/>
  <c r="A204" i="4" a="1"/>
  <c r="A192" i="4" a="1"/>
  <c r="A180" i="4" a="1"/>
  <c r="A168" i="4" a="1"/>
  <c r="A156" i="4" a="1"/>
  <c r="A144" i="4" a="1"/>
  <c r="A132" i="4" a="1"/>
  <c r="A120" i="4" a="1"/>
  <c r="A108" i="4" a="1"/>
  <c r="A96" i="4" a="1"/>
  <c r="A263" i="4" a="1"/>
  <c r="A250" i="4" a="1"/>
  <c r="A230" i="4" a="1"/>
  <c r="A211" i="4" a="1"/>
  <c r="A199" i="4" a="1"/>
  <c r="A187" i="4" a="1"/>
  <c r="A258" i="4" a="1"/>
  <c r="A231" i="4" a="1"/>
  <c r="A206" i="4" a="1"/>
  <c r="A194" i="4" a="1"/>
  <c r="A225" i="4" a="1"/>
  <c r="A213" i="4" a="1"/>
  <c r="A201" i="4" a="1"/>
  <c r="A189" i="4" a="1"/>
  <c r="A177" i="4" a="1"/>
  <c r="A165" i="4" a="1"/>
  <c r="A153" i="4" a="1"/>
  <c r="A141" i="4" a="1"/>
  <c r="A129" i="4" a="1"/>
  <c r="A117" i="4" a="1"/>
  <c r="A105" i="4" a="1"/>
  <c r="A251" i="4" a="1"/>
  <c r="A227" i="4" a="1"/>
  <c r="A226" i="4" a="1"/>
  <c r="A208" i="4" a="1"/>
  <c r="A196" i="4" a="1"/>
  <c r="A184" i="4" a="1"/>
  <c r="A172" i="4" a="1"/>
  <c r="A160" i="4" a="1"/>
  <c r="A148" i="4" a="1"/>
  <c r="A136" i="4" a="1"/>
  <c r="A124" i="4" a="1"/>
  <c r="A112" i="4" a="1"/>
  <c r="A100" i="4" a="1"/>
  <c r="A182" i="4" a="1"/>
  <c r="A145" i="4" a="1"/>
  <c r="A94" i="4" a="1"/>
  <c r="A87" i="4" a="1"/>
  <c r="A75" i="4" a="1"/>
  <c r="A63" i="4" a="1"/>
  <c r="A51" i="4" a="1"/>
  <c r="A39" i="4" a="1"/>
  <c r="A27" i="4" a="1"/>
  <c r="A19" i="4" a="1"/>
  <c r="A12" i="4" a="1"/>
  <c r="A162" i="4" a="1"/>
  <c r="A147" i="4" a="1"/>
  <c r="A146" i="4" a="1"/>
  <c r="A130" i="4" a="1"/>
  <c r="A114" i="4" a="1"/>
  <c r="A82" i="4" a="1"/>
  <c r="A70" i="4" a="1"/>
  <c r="A58" i="4" a="1"/>
  <c r="A46" i="4" a="1"/>
  <c r="A163" i="4" a="1"/>
  <c r="A115" i="4" a="1"/>
  <c r="A89" i="4" a="1"/>
  <c r="A77" i="4" a="1"/>
  <c r="A65" i="4" a="1"/>
  <c r="A53" i="4" a="1"/>
  <c r="A41" i="4" a="1"/>
  <c r="A183" i="4" a="1"/>
  <c r="A157" i="4" a="1"/>
  <c r="A109" i="4" a="1"/>
  <c r="A93" i="4" a="1"/>
  <c r="A84" i="4" a="1"/>
  <c r="A72" i="4" a="1"/>
  <c r="A60" i="4" a="1"/>
  <c r="A48" i="4" a="1"/>
  <c r="A36" i="4" a="1"/>
  <c r="A24" i="4" a="1"/>
  <c r="A178" i="4" a="1"/>
  <c r="A174" i="4" a="1"/>
  <c r="A159" i="4" a="1"/>
  <c r="A158" i="4" a="1"/>
  <c r="A142" i="4" a="1"/>
  <c r="A126" i="4" a="1"/>
  <c r="A111" i="4" a="1"/>
  <c r="A110" i="4" a="1"/>
  <c r="A79" i="4" a="1"/>
  <c r="A67" i="4" a="1"/>
  <c r="A55" i="4" a="1"/>
  <c r="A175" i="4" a="1"/>
  <c r="A127" i="4" a="1"/>
  <c r="A99" i="4" a="1"/>
  <c r="A86" i="4" a="1"/>
  <c r="A74" i="4" a="1"/>
  <c r="A62" i="4" a="1"/>
  <c r="A50" i="4" a="1"/>
  <c r="A169" i="4" a="1"/>
  <c r="A121" i="4" a="1"/>
  <c r="A92" i="4" a="1"/>
  <c r="A81" i="4" a="1"/>
  <c r="A69" i="4" a="1"/>
  <c r="A57" i="4" a="1"/>
  <c r="A45" i="4" a="1"/>
  <c r="A33" i="4" a="1"/>
  <c r="A21" i="4" a="1"/>
  <c r="A195" i="4" a="1"/>
  <c r="A171" i="4" a="1"/>
  <c r="A170" i="4" a="1"/>
  <c r="A154" i="4" a="1"/>
  <c r="A138" i="4" a="1"/>
  <c r="A123" i="4" a="1"/>
  <c r="A122" i="4" a="1"/>
  <c r="A106" i="4" a="1"/>
  <c r="A98" i="4" a="1"/>
  <c r="A88" i="4" a="1"/>
  <c r="A76" i="4" a="1"/>
  <c r="A64" i="4" a="1"/>
  <c r="A52" i="4" a="1"/>
  <c r="A40" i="4" a="1"/>
  <c r="A28" i="4" a="1"/>
  <c r="A20" i="4" a="1"/>
  <c r="A13" i="4" a="1"/>
  <c r="A181" i="4" a="1"/>
  <c r="A139" i="4" a="1"/>
  <c r="A91" i="4" a="1"/>
  <c r="A83" i="4" a="1"/>
  <c r="A71" i="4" a="1"/>
  <c r="A59" i="4" a="1"/>
  <c r="A47" i="4" a="1"/>
  <c r="A35" i="4" a="1"/>
  <c r="A133" i="4" a="1"/>
  <c r="A97" i="4" a="1"/>
  <c r="A78" i="4" a="1"/>
  <c r="A66" i="4" a="1"/>
  <c r="A54" i="4" a="1"/>
  <c r="A190" i="4" a="1"/>
  <c r="A166" i="4" a="1"/>
  <c r="A150" i="4" a="1"/>
  <c r="A135" i="4" a="1"/>
  <c r="A134" i="4" a="1"/>
  <c r="A118" i="4" a="1"/>
  <c r="A102" i="4" a="1"/>
  <c r="A90" i="4" a="1"/>
  <c r="A85" i="4" a="1"/>
  <c r="A73" i="4" a="1"/>
  <c r="A61" i="4" a="1"/>
  <c r="A49" i="4" a="1"/>
  <c r="A37" i="4" a="1"/>
  <c r="A25" i="4" a="1"/>
  <c r="A202" i="4" a="1"/>
  <c r="A151" i="4" a="1"/>
  <c r="A103" i="4" a="1"/>
  <c r="A80" i="4" a="1"/>
  <c r="A68" i="4" a="1"/>
  <c r="A56" i="4" a="1"/>
  <c r="A44" i="4" a="1"/>
  <c r="A32" i="4" a="1"/>
  <c r="A18" i="4" a="1"/>
  <c r="A16" i="4" a="1"/>
  <c r="A17" i="4" a="1"/>
  <c r="A15" i="4" a="1"/>
  <c r="A11" i="4" a="1"/>
  <c r="A10" i="4" a="1"/>
  <c r="A9" i="4" a="1"/>
  <c r="A26" i="4" a="1"/>
  <c r="A43" i="4" a="1"/>
  <c r="A23" i="4" a="1"/>
  <c r="A34" i="4" a="1"/>
  <c r="A42" i="4" a="1"/>
  <c r="A29" i="4" a="1"/>
  <c r="A38" i="4" a="1"/>
  <c r="A31" i="4" a="1"/>
  <c r="A30" i="4" a="1"/>
  <c r="A14" i="4" a="1"/>
  <c r="A22" i="4" a="1"/>
  <c r="A8" i="4" a="1"/>
  <c r="AI214" i="6" l="1"/>
  <c r="AI219" i="6"/>
  <c r="AI221" i="6"/>
  <c r="AI238" i="6"/>
  <c r="AI86" i="6"/>
  <c r="AI113" i="6"/>
  <c r="AI121" i="6"/>
  <c r="AI125" i="6"/>
  <c r="AI137" i="6"/>
  <c r="AI139" i="6"/>
  <c r="AI145" i="6"/>
  <c r="AI158" i="6"/>
  <c r="AI167" i="6"/>
  <c r="AI175" i="6"/>
  <c r="AI188" i="6"/>
  <c r="AI192" i="6"/>
  <c r="AI194" i="6"/>
  <c r="AI196" i="6"/>
  <c r="AI233" i="6"/>
  <c r="AI71" i="6"/>
  <c r="AI103" i="6"/>
  <c r="AI126" i="6"/>
  <c r="AI134" i="6"/>
  <c r="AI140" i="6"/>
  <c r="AI144" i="6"/>
  <c r="AI187" i="6"/>
  <c r="AI236" i="6"/>
  <c r="AI120" i="6"/>
  <c r="AI122" i="6"/>
  <c r="AI124" i="6"/>
  <c r="AG124" i="6" s="1"/>
  <c r="AI138" i="6"/>
  <c r="AG138" i="6" s="1"/>
  <c r="AI146" i="6"/>
  <c r="AI159" i="6"/>
  <c r="AI166" i="6"/>
  <c r="AI191" i="6"/>
  <c r="AI193" i="6"/>
  <c r="AI195" i="6"/>
  <c r="AI199" i="6"/>
  <c r="AG199" i="6" s="1"/>
  <c r="AI216" i="6"/>
  <c r="AI232" i="6"/>
  <c r="AI234" i="6"/>
  <c r="AP2" i="4"/>
  <c r="AG38" i="5"/>
  <c r="AW28" i="4"/>
  <c r="AW52" i="4"/>
  <c r="AW76" i="4"/>
  <c r="AW100" i="4"/>
  <c r="AW124" i="4"/>
  <c r="AW148" i="4"/>
  <c r="AW172" i="4"/>
  <c r="AW196" i="4"/>
  <c r="AW220" i="4"/>
  <c r="AW244" i="4"/>
  <c r="AW268" i="4"/>
  <c r="AW292" i="4"/>
  <c r="AW316" i="4"/>
  <c r="AW340" i="4"/>
  <c r="AW364" i="4"/>
  <c r="AW388" i="4"/>
  <c r="AW412" i="4"/>
  <c r="AW436" i="4"/>
  <c r="AW460" i="4"/>
  <c r="AW484" i="4"/>
  <c r="AW508" i="4"/>
  <c r="AW537" i="4"/>
  <c r="AW576" i="4"/>
  <c r="AI227" i="6"/>
  <c r="AW31" i="4"/>
  <c r="AW55" i="4"/>
  <c r="AW79" i="4"/>
  <c r="AW103" i="4"/>
  <c r="AW127" i="4"/>
  <c r="AW151" i="4"/>
  <c r="AW175" i="4"/>
  <c r="AW199" i="4"/>
  <c r="AW223" i="4"/>
  <c r="AW247" i="4"/>
  <c r="AW271" i="4"/>
  <c r="AW295" i="4"/>
  <c r="AW319" i="4"/>
  <c r="AW343" i="4"/>
  <c r="AW367" i="4"/>
  <c r="AW391" i="4"/>
  <c r="AW415" i="4"/>
  <c r="AW439" i="4"/>
  <c r="AW463" i="4"/>
  <c r="AW487" i="4"/>
  <c r="AW512" i="4"/>
  <c r="AW540" i="4"/>
  <c r="AW581" i="4"/>
  <c r="AW8" i="4"/>
  <c r="AW102" i="4"/>
  <c r="AW198" i="4"/>
  <c r="AW318" i="4"/>
  <c r="AW414" i="4"/>
  <c r="AW510" i="4"/>
  <c r="AW11" i="4"/>
  <c r="AW35" i="4"/>
  <c r="AW59" i="4"/>
  <c r="AW83" i="4"/>
  <c r="AW107" i="4"/>
  <c r="AW131" i="4"/>
  <c r="AW155" i="4"/>
  <c r="AW179" i="4"/>
  <c r="AW203" i="4"/>
  <c r="AW227" i="4"/>
  <c r="AW251" i="4"/>
  <c r="AW275" i="4"/>
  <c r="AW299" i="4"/>
  <c r="AW323" i="4"/>
  <c r="AW347" i="4"/>
  <c r="AW371" i="4"/>
  <c r="AW395" i="4"/>
  <c r="AW419" i="4"/>
  <c r="AW443" i="4"/>
  <c r="AW467" i="4"/>
  <c r="AW491" i="4"/>
  <c r="AW516" i="4"/>
  <c r="AW546" i="4"/>
  <c r="AW585" i="4"/>
  <c r="AW246" i="4"/>
  <c r="AW12" i="4"/>
  <c r="AW36" i="4"/>
  <c r="AW60" i="4"/>
  <c r="AW84" i="4"/>
  <c r="AW108" i="4"/>
  <c r="AW132" i="4"/>
  <c r="AW156" i="4"/>
  <c r="AW180" i="4"/>
  <c r="AW204" i="4"/>
  <c r="AW228" i="4"/>
  <c r="AW252" i="4"/>
  <c r="AW276" i="4"/>
  <c r="AW300" i="4"/>
  <c r="AW324" i="4"/>
  <c r="AW348" i="4"/>
  <c r="AW372" i="4"/>
  <c r="AW396" i="4"/>
  <c r="AW420" i="4"/>
  <c r="AW444" i="4"/>
  <c r="AW468" i="4"/>
  <c r="AW492" i="4"/>
  <c r="AW517" i="4"/>
  <c r="AW550" i="4"/>
  <c r="AW592" i="4"/>
  <c r="AI230" i="6"/>
  <c r="AW15" i="4"/>
  <c r="AW39" i="4"/>
  <c r="AW63" i="4"/>
  <c r="AW87" i="4"/>
  <c r="AW111" i="4"/>
  <c r="AW135" i="4"/>
  <c r="AW159" i="4"/>
  <c r="AW183" i="4"/>
  <c r="AW207" i="4"/>
  <c r="AW231" i="4"/>
  <c r="AW255" i="4"/>
  <c r="AW279" i="4"/>
  <c r="AW303" i="4"/>
  <c r="AW327" i="4"/>
  <c r="AW351" i="4"/>
  <c r="AW375" i="4"/>
  <c r="AW399" i="4"/>
  <c r="AW423" i="4"/>
  <c r="AW447" i="4"/>
  <c r="AW471" i="4"/>
  <c r="AW495" i="4"/>
  <c r="AW521" i="4"/>
  <c r="AW551" i="4"/>
  <c r="AW597" i="4"/>
  <c r="AW16" i="4"/>
  <c r="AW40" i="4"/>
  <c r="AW64" i="4"/>
  <c r="AW88" i="4"/>
  <c r="AW112" i="4"/>
  <c r="AW136" i="4"/>
  <c r="AW160" i="4"/>
  <c r="AW184" i="4"/>
  <c r="AW208" i="4"/>
  <c r="AW232" i="4"/>
  <c r="AW256" i="4"/>
  <c r="AW280" i="4"/>
  <c r="AW304" i="4"/>
  <c r="AW328" i="4"/>
  <c r="AW352" i="4"/>
  <c r="AW376" i="4"/>
  <c r="AW400" i="4"/>
  <c r="AW424" i="4"/>
  <c r="AW448" i="4"/>
  <c r="AW472" i="4"/>
  <c r="AW496" i="4"/>
  <c r="AW522" i="4"/>
  <c r="AW553" i="4"/>
  <c r="AW598" i="4"/>
  <c r="AI228" i="6"/>
  <c r="AW18" i="4"/>
  <c r="AW42" i="4"/>
  <c r="AW66" i="4"/>
  <c r="AW90" i="4"/>
  <c r="AW114" i="4"/>
  <c r="AW138" i="4"/>
  <c r="AW162" i="4"/>
  <c r="AW186" i="4"/>
  <c r="AW210" i="4"/>
  <c r="AW234" i="4"/>
  <c r="AW258" i="4"/>
  <c r="AW282" i="4"/>
  <c r="AW306" i="4"/>
  <c r="AW330" i="4"/>
  <c r="AW354" i="4"/>
  <c r="AW378" i="4"/>
  <c r="AW402" i="4"/>
  <c r="AW426" i="4"/>
  <c r="AW450" i="4"/>
  <c r="AW474" i="4"/>
  <c r="AW498" i="4"/>
  <c r="AW525" i="4"/>
  <c r="AW555" i="4"/>
  <c r="AW600" i="4"/>
  <c r="AI222" i="6"/>
  <c r="AI226" i="6"/>
  <c r="AW54" i="4"/>
  <c r="AW150" i="4"/>
  <c r="AW270" i="4"/>
  <c r="AW366" i="4"/>
  <c r="AW462" i="4"/>
  <c r="AW19" i="4"/>
  <c r="AW43" i="4"/>
  <c r="AW67" i="4"/>
  <c r="AW91" i="4"/>
  <c r="AW115" i="4"/>
  <c r="AW139" i="4"/>
  <c r="AW163" i="4"/>
  <c r="AW187" i="4"/>
  <c r="AW211" i="4"/>
  <c r="AW235" i="4"/>
  <c r="AW259" i="4"/>
  <c r="AW283" i="4"/>
  <c r="AW307" i="4"/>
  <c r="AW331" i="4"/>
  <c r="AW355" i="4"/>
  <c r="AW379" i="4"/>
  <c r="AW403" i="4"/>
  <c r="AW427" i="4"/>
  <c r="AW451" i="4"/>
  <c r="AW475" i="4"/>
  <c r="AW499" i="4"/>
  <c r="AW526" i="4"/>
  <c r="AW561" i="4"/>
  <c r="AW23" i="4"/>
  <c r="AW47" i="4"/>
  <c r="AW71" i="4"/>
  <c r="AW95" i="4"/>
  <c r="AW119" i="4"/>
  <c r="AW143" i="4"/>
  <c r="AW167" i="4"/>
  <c r="AW191" i="4"/>
  <c r="AW215" i="4"/>
  <c r="AW239" i="4"/>
  <c r="AW263" i="4"/>
  <c r="AW287" i="4"/>
  <c r="AW311" i="4"/>
  <c r="AW335" i="4"/>
  <c r="AW359" i="4"/>
  <c r="AW383" i="4"/>
  <c r="AW407" i="4"/>
  <c r="AW431" i="4"/>
  <c r="AW455" i="4"/>
  <c r="AW479" i="4"/>
  <c r="AW503" i="4"/>
  <c r="AW531" i="4"/>
  <c r="AW564" i="4"/>
  <c r="AI235" i="6"/>
  <c r="AI237" i="6"/>
  <c r="AW78" i="4"/>
  <c r="AW174" i="4"/>
  <c r="AW294" i="4"/>
  <c r="AW390" i="4"/>
  <c r="AW486" i="4"/>
  <c r="AW580" i="4"/>
  <c r="AW24" i="4"/>
  <c r="AW48" i="4"/>
  <c r="AW72" i="4"/>
  <c r="AW96" i="4"/>
  <c r="AW120" i="4"/>
  <c r="AW144" i="4"/>
  <c r="AW168" i="4"/>
  <c r="AW192" i="4"/>
  <c r="AW216" i="4"/>
  <c r="AW240" i="4"/>
  <c r="AW264" i="4"/>
  <c r="AW288" i="4"/>
  <c r="AW312" i="4"/>
  <c r="AW336" i="4"/>
  <c r="AW360" i="4"/>
  <c r="AW384" i="4"/>
  <c r="AW408" i="4"/>
  <c r="AW432" i="4"/>
  <c r="AW456" i="4"/>
  <c r="AW480" i="4"/>
  <c r="AW504" i="4"/>
  <c r="AW532" i="4"/>
  <c r="AW565" i="4"/>
  <c r="AW30" i="4"/>
  <c r="AW126" i="4"/>
  <c r="AW222" i="4"/>
  <c r="AW342" i="4"/>
  <c r="AW438" i="4"/>
  <c r="AW539" i="4"/>
  <c r="AW27" i="4"/>
  <c r="AW51" i="4"/>
  <c r="AW75" i="4"/>
  <c r="AW99" i="4"/>
  <c r="AW123" i="4"/>
  <c r="AW147" i="4"/>
  <c r="AW171" i="4"/>
  <c r="AW195" i="4"/>
  <c r="AW219" i="4"/>
  <c r="AW243" i="4"/>
  <c r="AW267" i="4"/>
  <c r="AW291" i="4"/>
  <c r="AW315" i="4"/>
  <c r="AW339" i="4"/>
  <c r="AW363" i="4"/>
  <c r="AW387" i="4"/>
  <c r="AW411" i="4"/>
  <c r="AW435" i="4"/>
  <c r="AW459" i="4"/>
  <c r="AW483" i="4"/>
  <c r="AW507" i="4"/>
  <c r="AW536" i="4"/>
  <c r="AW568" i="4"/>
  <c r="A8" i="4"/>
  <c r="A22" i="4"/>
  <c r="B14" i="4"/>
  <c r="D14" i="4"/>
  <c r="C14" i="4"/>
  <c r="A14" i="4"/>
  <c r="A30" i="4"/>
  <c r="A31" i="4"/>
  <c r="A38" i="4"/>
  <c r="A29" i="4"/>
  <c r="A42" i="4"/>
  <c r="A34" i="4"/>
  <c r="A23" i="4"/>
  <c r="A43" i="4"/>
  <c r="A26" i="4"/>
  <c r="A9" i="4"/>
  <c r="A10" i="4"/>
  <c r="W11" i="4"/>
  <c r="K11" i="4"/>
  <c r="AC11" i="4"/>
  <c r="Q11" i="4"/>
  <c r="E11" i="4"/>
  <c r="AB11" i="4"/>
  <c r="P11" i="4"/>
  <c r="D11" i="4"/>
  <c r="X11" i="4"/>
  <c r="L11" i="4"/>
  <c r="A11" i="4"/>
  <c r="T11" i="4"/>
  <c r="B11" i="4"/>
  <c r="S11" i="4"/>
  <c r="O11" i="4"/>
  <c r="AD11" i="4"/>
  <c r="J11" i="4"/>
  <c r="AA11" i="4"/>
  <c r="I11" i="4"/>
  <c r="Y11" i="4"/>
  <c r="G11" i="4"/>
  <c r="V11" i="4"/>
  <c r="F11" i="4"/>
  <c r="U11" i="4"/>
  <c r="C11" i="4"/>
  <c r="Z11" i="4"/>
  <c r="R11" i="4"/>
  <c r="N11" i="4"/>
  <c r="M11" i="4"/>
  <c r="H11" i="4"/>
  <c r="C15" i="4"/>
  <c r="A15" i="4"/>
  <c r="B15" i="4"/>
  <c r="D15" i="4"/>
  <c r="B17" i="4"/>
  <c r="C17" i="4"/>
  <c r="A17" i="4"/>
  <c r="D17" i="4"/>
  <c r="A16" i="4"/>
  <c r="C18" i="4"/>
  <c r="B18" i="4"/>
  <c r="A18" i="4"/>
  <c r="D18" i="4"/>
  <c r="A32" i="4"/>
  <c r="A44" i="4"/>
  <c r="A56" i="4"/>
  <c r="A68" i="4"/>
  <c r="A80" i="4"/>
  <c r="A103" i="4"/>
  <c r="A151" i="4"/>
  <c r="A202" i="4"/>
  <c r="A25" i="4"/>
  <c r="A37" i="4"/>
  <c r="A49" i="4"/>
  <c r="A61" i="4"/>
  <c r="A73" i="4"/>
  <c r="A85" i="4"/>
  <c r="A90" i="4"/>
  <c r="A102" i="4"/>
  <c r="A118" i="4"/>
  <c r="A134" i="4"/>
  <c r="A135" i="4"/>
  <c r="A150" i="4"/>
  <c r="A166" i="4"/>
  <c r="A190" i="4"/>
  <c r="A54" i="4"/>
  <c r="A66" i="4"/>
  <c r="A78" i="4"/>
  <c r="A97" i="4"/>
  <c r="A133" i="4"/>
  <c r="A35" i="4"/>
  <c r="A47" i="4"/>
  <c r="A59" i="4"/>
  <c r="A71" i="4"/>
  <c r="A83" i="4"/>
  <c r="A91" i="4"/>
  <c r="A139" i="4"/>
  <c r="A181" i="4"/>
  <c r="B13" i="4"/>
  <c r="A13" i="4"/>
  <c r="H20" i="4"/>
  <c r="E20" i="4"/>
  <c r="B20" i="4"/>
  <c r="I20" i="4"/>
  <c r="G20" i="4"/>
  <c r="F20" i="4"/>
  <c r="D20" i="4"/>
  <c r="C20" i="4"/>
  <c r="A20" i="4"/>
  <c r="A28" i="4"/>
  <c r="A40" i="4"/>
  <c r="A52" i="4"/>
  <c r="A64" i="4"/>
  <c r="A76" i="4"/>
  <c r="A88" i="4"/>
  <c r="A98" i="4"/>
  <c r="A106" i="4"/>
  <c r="A122" i="4"/>
  <c r="A123" i="4"/>
  <c r="A138" i="4"/>
  <c r="A154" i="4"/>
  <c r="A170" i="4"/>
  <c r="A171" i="4"/>
  <c r="A195" i="4"/>
  <c r="A21" i="4"/>
  <c r="A33" i="4"/>
  <c r="A45" i="4"/>
  <c r="A57" i="4"/>
  <c r="A69" i="4"/>
  <c r="A81" i="4"/>
  <c r="A92" i="4"/>
  <c r="A121" i="4"/>
  <c r="A169" i="4"/>
  <c r="A50" i="4"/>
  <c r="A62" i="4"/>
  <c r="A74" i="4"/>
  <c r="A86" i="4"/>
  <c r="A99" i="4"/>
  <c r="A127" i="4"/>
  <c r="A175" i="4"/>
  <c r="A55" i="4"/>
  <c r="A67" i="4"/>
  <c r="A79" i="4"/>
  <c r="A110" i="4"/>
  <c r="A111" i="4"/>
  <c r="A126" i="4"/>
  <c r="A142" i="4"/>
  <c r="A158" i="4"/>
  <c r="A159" i="4"/>
  <c r="A174" i="4"/>
  <c r="A178" i="4"/>
  <c r="A24" i="4"/>
  <c r="A36" i="4"/>
  <c r="A48" i="4"/>
  <c r="A60" i="4"/>
  <c r="A72" i="4"/>
  <c r="A84" i="4"/>
  <c r="A93" i="4"/>
  <c r="A109" i="4"/>
  <c r="A157" i="4"/>
  <c r="A183" i="4"/>
  <c r="A41" i="4"/>
  <c r="A53" i="4"/>
  <c r="A65" i="4"/>
  <c r="A77" i="4"/>
  <c r="A89" i="4"/>
  <c r="A115" i="4"/>
  <c r="A163" i="4"/>
  <c r="A46" i="4"/>
  <c r="A58" i="4"/>
  <c r="A70" i="4"/>
  <c r="A82" i="4"/>
  <c r="A114" i="4"/>
  <c r="A130" i="4"/>
  <c r="A146" i="4"/>
  <c r="A147" i="4"/>
  <c r="A162" i="4"/>
  <c r="A12" i="4"/>
  <c r="A19" i="4"/>
  <c r="A27" i="4"/>
  <c r="A39" i="4"/>
  <c r="A51" i="4"/>
  <c r="A63" i="4"/>
  <c r="A75" i="4"/>
  <c r="A87" i="4"/>
  <c r="A94" i="4"/>
  <c r="A145" i="4"/>
  <c r="A182" i="4"/>
  <c r="A100" i="4"/>
  <c r="A112" i="4"/>
  <c r="A124" i="4"/>
  <c r="A136" i="4"/>
  <c r="A148" i="4"/>
  <c r="A160" i="4"/>
  <c r="A172" i="4"/>
  <c r="A184" i="4"/>
  <c r="A196" i="4"/>
  <c r="A208" i="4"/>
  <c r="A226" i="4"/>
  <c r="A227" i="4"/>
  <c r="A251" i="4"/>
  <c r="A105" i="4"/>
  <c r="A117" i="4"/>
  <c r="A129" i="4"/>
  <c r="A141" i="4"/>
  <c r="A153" i="4"/>
  <c r="A165" i="4"/>
  <c r="A177" i="4"/>
  <c r="A189" i="4"/>
  <c r="A201" i="4"/>
  <c r="A213" i="4"/>
  <c r="A225" i="4"/>
  <c r="A194" i="4"/>
  <c r="A206" i="4"/>
  <c r="A231" i="4"/>
  <c r="A258" i="4"/>
  <c r="A187" i="4"/>
  <c r="A199" i="4"/>
  <c r="A211" i="4"/>
  <c r="A230" i="4"/>
  <c r="A250" i="4"/>
  <c r="A263" i="4"/>
  <c r="A96" i="4"/>
  <c r="A108" i="4"/>
  <c r="A120" i="4"/>
  <c r="A132" i="4"/>
  <c r="A144" i="4"/>
  <c r="A156" i="4"/>
  <c r="A168" i="4"/>
  <c r="A180" i="4"/>
  <c r="A192" i="4"/>
  <c r="A204" i="4"/>
  <c r="A101" i="4"/>
  <c r="A113" i="4"/>
  <c r="A125" i="4"/>
  <c r="A137" i="4"/>
  <c r="A149" i="4"/>
  <c r="A161" i="4"/>
  <c r="A173" i="4"/>
  <c r="A185" i="4"/>
  <c r="A197" i="4"/>
  <c r="A209" i="4"/>
  <c r="A214" i="4"/>
  <c r="A219" i="4"/>
  <c r="A270" i="4"/>
  <c r="A218" i="4"/>
  <c r="A234" i="4"/>
  <c r="A262" i="4"/>
  <c r="A207" i="4"/>
  <c r="A215" i="4"/>
  <c r="A243" i="4"/>
  <c r="A249" i="4"/>
  <c r="A104" i="4"/>
  <c r="A116" i="4"/>
  <c r="A128" i="4"/>
  <c r="A140" i="4"/>
  <c r="A152" i="4"/>
  <c r="A164" i="4"/>
  <c r="A176" i="4"/>
  <c r="A188" i="4"/>
  <c r="A200" i="4"/>
  <c r="A212" i="4"/>
  <c r="A246" i="4"/>
  <c r="A193" i="4"/>
  <c r="A205" i="4"/>
  <c r="A222" i="4"/>
  <c r="A238" i="4"/>
  <c r="A239" i="4"/>
  <c r="A275" i="4"/>
  <c r="A186" i="4"/>
  <c r="A198" i="4"/>
  <c r="A210" i="4"/>
  <c r="A237" i="4"/>
  <c r="A261" i="4"/>
  <c r="A282" i="4"/>
  <c r="A95" i="4"/>
  <c r="A107" i="4"/>
  <c r="A119" i="4"/>
  <c r="A131" i="4"/>
  <c r="A143" i="4"/>
  <c r="A155" i="4"/>
  <c r="A167" i="4"/>
  <c r="A179" i="4"/>
  <c r="A191" i="4"/>
  <c r="A203" i="4"/>
  <c r="A216" i="4"/>
  <c r="A228" i="4"/>
  <c r="A240" i="4"/>
  <c r="A252" i="4"/>
  <c r="A264" i="4"/>
  <c r="A276" i="4"/>
  <c r="A288" i="4"/>
  <c r="A300" i="4"/>
  <c r="A316" i="4"/>
  <c r="A326" i="4"/>
  <c r="A374" i="4"/>
  <c r="A380" i="4"/>
  <c r="A395" i="4"/>
  <c r="A417" i="4"/>
  <c r="A221" i="4"/>
  <c r="A233" i="4"/>
  <c r="A245" i="4"/>
  <c r="A257" i="4"/>
  <c r="A269" i="4"/>
  <c r="A281" i="4"/>
  <c r="A293" i="4"/>
  <c r="A332" i="4"/>
  <c r="A399" i="4"/>
  <c r="A407" i="4"/>
  <c r="A274" i="4"/>
  <c r="A286" i="4"/>
  <c r="A298" i="4"/>
  <c r="A307" i="4"/>
  <c r="A331" i="4"/>
  <c r="A347" i="4"/>
  <c r="A363" i="4"/>
  <c r="A364" i="4"/>
  <c r="A379" i="4"/>
  <c r="A255" i="4"/>
  <c r="A267" i="4"/>
  <c r="A279" i="4"/>
  <c r="A291" i="4"/>
  <c r="A303" i="4"/>
  <c r="A362" i="4"/>
  <c r="A398" i="4"/>
  <c r="A224" i="4"/>
  <c r="A236" i="4"/>
  <c r="A248" i="4"/>
  <c r="A260" i="4"/>
  <c r="A272" i="4"/>
  <c r="A284" i="4"/>
  <c r="A296" i="4"/>
  <c r="A308" i="4"/>
  <c r="A320" i="4"/>
  <c r="A368" i="4"/>
  <c r="A383" i="4"/>
  <c r="A217" i="4"/>
  <c r="A229" i="4"/>
  <c r="A241" i="4"/>
  <c r="A253" i="4"/>
  <c r="A265" i="4"/>
  <c r="A277" i="4"/>
  <c r="A289" i="4"/>
  <c r="A301" i="4"/>
  <c r="A319" i="4"/>
  <c r="A335" i="4"/>
  <c r="A351" i="4"/>
  <c r="A352" i="4"/>
  <c r="A367" i="4"/>
  <c r="A418" i="4"/>
  <c r="A294" i="4"/>
  <c r="A309" i="4"/>
  <c r="A350" i="4"/>
  <c r="A287" i="4"/>
  <c r="A299" i="4"/>
  <c r="A304" i="4"/>
  <c r="A356" i="4"/>
  <c r="A387" i="4"/>
  <c r="A388" i="4"/>
  <c r="A416" i="4"/>
  <c r="A220" i="4"/>
  <c r="A232" i="4"/>
  <c r="A244" i="4"/>
  <c r="A256" i="4"/>
  <c r="A268" i="4"/>
  <c r="A280" i="4"/>
  <c r="A292" i="4"/>
  <c r="A314" i="4"/>
  <c r="A323" i="4"/>
  <c r="A339" i="4"/>
  <c r="A340" i="4"/>
  <c r="A355" i="4"/>
  <c r="A371" i="4"/>
  <c r="A386" i="4"/>
  <c r="A392" i="4"/>
  <c r="A419" i="4"/>
  <c r="A273" i="4"/>
  <c r="A285" i="4"/>
  <c r="A297" i="4"/>
  <c r="A305" i="4"/>
  <c r="A310" i="4"/>
  <c r="A311" i="4"/>
  <c r="A338" i="4"/>
  <c r="A242" i="4"/>
  <c r="A254" i="4"/>
  <c r="A266" i="4"/>
  <c r="A278" i="4"/>
  <c r="A290" i="4"/>
  <c r="A302" i="4"/>
  <c r="A315" i="4"/>
  <c r="A344" i="4"/>
  <c r="A391" i="4"/>
  <c r="A403" i="4"/>
  <c r="A423" i="4"/>
  <c r="A223" i="4"/>
  <c r="A235" i="4"/>
  <c r="A247" i="4"/>
  <c r="A259" i="4"/>
  <c r="A271" i="4"/>
  <c r="A283" i="4"/>
  <c r="A295" i="4"/>
  <c r="A306" i="4"/>
  <c r="A327" i="4"/>
  <c r="A328" i="4"/>
  <c r="A343" i="4"/>
  <c r="A359" i="4"/>
  <c r="A375" i="4"/>
  <c r="A376" i="4"/>
  <c r="A400" i="4"/>
  <c r="A420" i="4"/>
  <c r="A317" i="4"/>
  <c r="A329" i="4"/>
  <c r="A341" i="4"/>
  <c r="A353" i="4"/>
  <c r="A365" i="4"/>
  <c r="A377" i="4"/>
  <c r="A389" i="4"/>
  <c r="A401" i="4"/>
  <c r="A489" i="4"/>
  <c r="A322" i="4"/>
  <c r="A334" i="4"/>
  <c r="A346" i="4"/>
  <c r="A358" i="4"/>
  <c r="A370" i="4"/>
  <c r="A382" i="4"/>
  <c r="A394" i="4"/>
  <c r="A406" i="4"/>
  <c r="A444" i="4"/>
  <c r="A473" i="4"/>
  <c r="A412" i="4"/>
  <c r="A443" i="4"/>
  <c r="A453" i="4"/>
  <c r="A404" i="4"/>
  <c r="A484" i="4"/>
  <c r="A313" i="4"/>
  <c r="A325" i="4"/>
  <c r="A337" i="4"/>
  <c r="A349" i="4"/>
  <c r="A361" i="4"/>
  <c r="A373" i="4"/>
  <c r="A385" i="4"/>
  <c r="A397" i="4"/>
  <c r="A409" i="4"/>
  <c r="A452" i="4"/>
  <c r="A318" i="4"/>
  <c r="A330" i="4"/>
  <c r="A342" i="4"/>
  <c r="A354" i="4"/>
  <c r="A366" i="4"/>
  <c r="A378" i="4"/>
  <c r="A390" i="4"/>
  <c r="A402" i="4"/>
  <c r="A413" i="4"/>
  <c r="A441" i="4"/>
  <c r="A460" i="4"/>
  <c r="A476" i="4"/>
  <c r="A440" i="4"/>
  <c r="A456" i="4"/>
  <c r="A459" i="4"/>
  <c r="A321" i="4"/>
  <c r="A333" i="4"/>
  <c r="A345" i="4"/>
  <c r="A357" i="4"/>
  <c r="A369" i="4"/>
  <c r="A381" i="4"/>
  <c r="A393" i="4"/>
  <c r="A405" i="4"/>
  <c r="A424" i="4"/>
  <c r="A435" i="4"/>
  <c r="A447" i="4"/>
  <c r="A455" i="4"/>
  <c r="A428" i="4"/>
  <c r="A429" i="4"/>
  <c r="A430" i="4"/>
  <c r="A431" i="4"/>
  <c r="A432" i="4"/>
  <c r="A448" i="4"/>
  <c r="A425" i="4"/>
  <c r="A436" i="4"/>
  <c r="A449" i="4"/>
  <c r="A312" i="4"/>
  <c r="A324" i="4"/>
  <c r="A336" i="4"/>
  <c r="A348" i="4"/>
  <c r="A360" i="4"/>
  <c r="A372" i="4"/>
  <c r="A384" i="4"/>
  <c r="A396" i="4"/>
  <c r="A408" i="4"/>
  <c r="A411" i="4"/>
  <c r="A437" i="4"/>
  <c r="A414" i="4"/>
  <c r="A426" i="4"/>
  <c r="A438" i="4"/>
  <c r="A450" i="4"/>
  <c r="A462" i="4"/>
  <c r="A472" i="4"/>
  <c r="A477" i="4"/>
  <c r="A495" i="4"/>
  <c r="A506" i="4"/>
  <c r="A517" i="4"/>
  <c r="A527" i="4"/>
  <c r="A547" i="4"/>
  <c r="A585" i="4"/>
  <c r="A482" i="4"/>
  <c r="A487" i="4"/>
  <c r="A510" i="4"/>
  <c r="A511" i="4"/>
  <c r="A512" i="4"/>
  <c r="A513" i="4"/>
  <c r="A514" i="4"/>
  <c r="A569" i="4"/>
  <c r="A507" i="4"/>
  <c r="A518" i="4"/>
  <c r="A559" i="4"/>
  <c r="A571" i="4"/>
  <c r="A597" i="4"/>
  <c r="A465" i="4"/>
  <c r="A478" i="4"/>
  <c r="A488" i="4"/>
  <c r="A522" i="4"/>
  <c r="A523" i="4"/>
  <c r="A524" i="4"/>
  <c r="A546" i="4"/>
  <c r="A573" i="4"/>
  <c r="A410" i="4"/>
  <c r="A422" i="4"/>
  <c r="A434" i="4"/>
  <c r="A446" i="4"/>
  <c r="A458" i="4"/>
  <c r="A469" i="4"/>
  <c r="A483" i="4"/>
  <c r="A519" i="4"/>
  <c r="A549" i="4"/>
  <c r="A595" i="4"/>
  <c r="A7" i="5"/>
  <c r="A415" i="4"/>
  <c r="A427" i="4"/>
  <c r="A439" i="4"/>
  <c r="A451" i="4"/>
  <c r="A463" i="4"/>
  <c r="A474" i="4"/>
  <c r="A545" i="4"/>
  <c r="A541" i="4"/>
  <c r="A568" i="4"/>
  <c r="A461" i="4"/>
  <c r="A470" i="4"/>
  <c r="A475" i="4"/>
  <c r="A490" i="4"/>
  <c r="A442" i="4"/>
  <c r="A454" i="4"/>
  <c r="A466" i="4"/>
  <c r="A485" i="4"/>
  <c r="A493" i="4"/>
  <c r="A540" i="4"/>
  <c r="A544" i="4"/>
  <c r="B11" i="5"/>
  <c r="C11" i="5"/>
  <c r="D11" i="5"/>
  <c r="A11" i="5"/>
  <c r="A532" i="4"/>
  <c r="A557" i="4"/>
  <c r="A570" i="4"/>
  <c r="A464" i="4"/>
  <c r="A471" i="4"/>
  <c r="A481" i="4"/>
  <c r="A494" i="4"/>
  <c r="A505" i="4"/>
  <c r="A529" i="4"/>
  <c r="A530" i="4"/>
  <c r="A533" i="4"/>
  <c r="A534" i="4"/>
  <c r="A535" i="4"/>
  <c r="A537" i="4"/>
  <c r="A13" i="5"/>
  <c r="B13" i="5"/>
  <c r="D13" i="5"/>
  <c r="C13" i="5"/>
  <c r="A421" i="4"/>
  <c r="A433" i="4"/>
  <c r="A445" i="4"/>
  <c r="A457" i="4"/>
  <c r="A486" i="4"/>
  <c r="A498" i="4"/>
  <c r="A499" i="4"/>
  <c r="A500" i="4"/>
  <c r="A501" i="4"/>
  <c r="A502" i="4"/>
  <c r="A538" i="4"/>
  <c r="A8" i="5"/>
  <c r="B8" i="5"/>
  <c r="A496" i="4"/>
  <c r="A508" i="4"/>
  <c r="A520" i="4"/>
  <c r="A525" i="4"/>
  <c r="A542" i="4"/>
  <c r="A565" i="4"/>
  <c r="A588" i="4"/>
  <c r="H14" i="5"/>
  <c r="D14" i="5"/>
  <c r="F14" i="5"/>
  <c r="B14" i="5"/>
  <c r="I14" i="5"/>
  <c r="G14" i="5"/>
  <c r="A14" i="5"/>
  <c r="E14" i="5"/>
  <c r="C14" i="5"/>
  <c r="A600" i="4"/>
  <c r="B17" i="5"/>
  <c r="A17" i="5"/>
  <c r="A468" i="4"/>
  <c r="A480" i="4"/>
  <c r="A492" i="4"/>
  <c r="A504" i="4"/>
  <c r="A516" i="4"/>
  <c r="A526" i="4"/>
  <c r="A539" i="4"/>
  <c r="A562" i="4"/>
  <c r="A577" i="4"/>
  <c r="A596" i="4"/>
  <c r="A497" i="4"/>
  <c r="A509" i="4"/>
  <c r="A521" i="4"/>
  <c r="A536" i="4"/>
  <c r="A561" i="4"/>
  <c r="A581" i="4"/>
  <c r="A591" i="4"/>
  <c r="A9" i="5"/>
  <c r="F19" i="5"/>
  <c r="C19" i="5"/>
  <c r="D19" i="5"/>
  <c r="A19" i="5"/>
  <c r="I19" i="5"/>
  <c r="G19" i="5"/>
  <c r="E19" i="5"/>
  <c r="H19" i="5"/>
  <c r="B19" i="5"/>
  <c r="A584" i="4"/>
  <c r="A594" i="4"/>
  <c r="E15" i="5"/>
  <c r="B15" i="5"/>
  <c r="D15" i="5"/>
  <c r="A15" i="5"/>
  <c r="I15" i="5"/>
  <c r="G15" i="5"/>
  <c r="F15" i="5"/>
  <c r="H15" i="5"/>
  <c r="C15" i="5"/>
  <c r="A553" i="4"/>
  <c r="A556" i="4"/>
  <c r="A558" i="4"/>
  <c r="A589" i="4"/>
  <c r="A467" i="4"/>
  <c r="A479" i="4"/>
  <c r="A491" i="4"/>
  <c r="A503" i="4"/>
  <c r="A515" i="4"/>
  <c r="A528" i="4"/>
  <c r="A550" i="4"/>
  <c r="A554" i="4"/>
  <c r="A583" i="4"/>
  <c r="F21" i="5"/>
  <c r="C21" i="5"/>
  <c r="I21" i="5"/>
  <c r="H21" i="5"/>
  <c r="G21" i="5"/>
  <c r="E21" i="5"/>
  <c r="D21" i="5"/>
  <c r="B21" i="5"/>
  <c r="A21" i="5"/>
  <c r="B10" i="5"/>
  <c r="A10" i="5"/>
  <c r="C10" i="5"/>
  <c r="D10" i="5"/>
  <c r="H16" i="5"/>
  <c r="D16" i="5"/>
  <c r="A16" i="5"/>
  <c r="G16" i="5"/>
  <c r="F16" i="5"/>
  <c r="E16" i="5"/>
  <c r="B16" i="5"/>
  <c r="I16" i="5"/>
  <c r="C16" i="5"/>
  <c r="A48" i="5"/>
  <c r="A52" i="5"/>
  <c r="A62" i="5"/>
  <c r="A71" i="5"/>
  <c r="A113" i="5"/>
  <c r="A125" i="5"/>
  <c r="A137" i="5"/>
  <c r="A158" i="5"/>
  <c r="A552" i="4"/>
  <c r="A564" i="4"/>
  <c r="A574" i="4"/>
  <c r="A590" i="4"/>
  <c r="A4" i="5"/>
  <c r="A55" i="5"/>
  <c r="A68" i="5"/>
  <c r="A77" i="5"/>
  <c r="A110" i="5"/>
  <c r="A40" i="5"/>
  <c r="A44" i="5"/>
  <c r="A74" i="5"/>
  <c r="A83" i="5"/>
  <c r="A122" i="5"/>
  <c r="A134" i="5"/>
  <c r="A146" i="5"/>
  <c r="C30" i="5"/>
  <c r="A30" i="5"/>
  <c r="H30" i="5"/>
  <c r="I30" i="5"/>
  <c r="G30" i="5"/>
  <c r="F30" i="5"/>
  <c r="E30" i="5"/>
  <c r="D30" i="5"/>
  <c r="B30" i="5"/>
  <c r="A47" i="5"/>
  <c r="A58" i="5"/>
  <c r="A80" i="5"/>
  <c r="A89" i="5"/>
  <c r="A531" i="4"/>
  <c r="A543" i="4"/>
  <c r="A555" i="4"/>
  <c r="A567" i="4"/>
  <c r="A578" i="4"/>
  <c r="A582" i="4"/>
  <c r="A22" i="5"/>
  <c r="B22" i="5"/>
  <c r="G28" i="5"/>
  <c r="D28" i="5"/>
  <c r="A28" i="5"/>
  <c r="I28" i="5"/>
  <c r="H28" i="5"/>
  <c r="F28" i="5"/>
  <c r="E28" i="5"/>
  <c r="C28" i="5"/>
  <c r="B28" i="5"/>
  <c r="W32" i="5"/>
  <c r="K32" i="5"/>
  <c r="T32" i="5"/>
  <c r="H32" i="5"/>
  <c r="AB32" i="5"/>
  <c r="P32" i="5"/>
  <c r="D32" i="5"/>
  <c r="Z32" i="5"/>
  <c r="J32" i="5"/>
  <c r="Y32" i="5"/>
  <c r="I32" i="5"/>
  <c r="X32" i="5"/>
  <c r="G32" i="5"/>
  <c r="V32" i="5"/>
  <c r="F32" i="5"/>
  <c r="U32" i="5"/>
  <c r="E32" i="5"/>
  <c r="S32" i="5"/>
  <c r="C32" i="5"/>
  <c r="R32" i="5"/>
  <c r="B32" i="5"/>
  <c r="Q32" i="5"/>
  <c r="O32" i="5"/>
  <c r="A32" i="5"/>
  <c r="AD32" i="5"/>
  <c r="N32" i="5"/>
  <c r="AC32" i="5"/>
  <c r="M32" i="5"/>
  <c r="AA32" i="5"/>
  <c r="L32" i="5"/>
  <c r="A61" i="5"/>
  <c r="A64" i="5"/>
  <c r="A86" i="5"/>
  <c r="A95" i="5"/>
  <c r="A112" i="5"/>
  <c r="A124" i="5"/>
  <c r="A136" i="5"/>
  <c r="A148" i="5"/>
  <c r="A164" i="5"/>
  <c r="A548" i="4"/>
  <c r="A560" i="4"/>
  <c r="A572" i="4"/>
  <c r="A592" i="4"/>
  <c r="F34" i="5"/>
  <c r="C34" i="5"/>
  <c r="G34" i="5"/>
  <c r="E34" i="5"/>
  <c r="D34" i="5"/>
  <c r="B34" i="5"/>
  <c r="A34" i="5"/>
  <c r="A43" i="5"/>
  <c r="A67" i="5"/>
  <c r="A70" i="5"/>
  <c r="A92" i="5"/>
  <c r="A101" i="5"/>
  <c r="C25" i="5"/>
  <c r="D25" i="5"/>
  <c r="B25" i="5"/>
  <c r="A25" i="5"/>
  <c r="B26" i="5"/>
  <c r="D26" i="5"/>
  <c r="C26" i="5"/>
  <c r="A26" i="5"/>
  <c r="A35" i="5"/>
  <c r="A73" i="5"/>
  <c r="A76" i="5"/>
  <c r="A98" i="5"/>
  <c r="A119" i="5"/>
  <c r="A131" i="5"/>
  <c r="A143" i="5"/>
  <c r="A31" i="5"/>
  <c r="B38" i="5"/>
  <c r="D38" i="5"/>
  <c r="C38" i="5"/>
  <c r="A38" i="5"/>
  <c r="A42" i="5"/>
  <c r="A46" i="5"/>
  <c r="A50" i="5"/>
  <c r="A53" i="5"/>
  <c r="A79" i="5"/>
  <c r="A82" i="5"/>
  <c r="A152" i="5"/>
  <c r="A551" i="4"/>
  <c r="A563" i="4"/>
  <c r="A576" i="4"/>
  <c r="A579" i="4"/>
  <c r="A593" i="4"/>
  <c r="A85" i="5"/>
  <c r="A88" i="5"/>
  <c r="A116" i="5"/>
  <c r="A128" i="5"/>
  <c r="A140" i="5"/>
  <c r="A91" i="5"/>
  <c r="A94" i="5"/>
  <c r="A106" i="5"/>
  <c r="A154" i="5"/>
  <c r="A41" i="5"/>
  <c r="A49" i="5"/>
  <c r="A56" i="5"/>
  <c r="A59" i="5"/>
  <c r="A97" i="5"/>
  <c r="A100" i="5"/>
  <c r="A118" i="5"/>
  <c r="A130" i="5"/>
  <c r="A142" i="5"/>
  <c r="A566" i="4"/>
  <c r="A580" i="4"/>
  <c r="A601" i="4"/>
  <c r="C18" i="5"/>
  <c r="D18" i="5"/>
  <c r="B18" i="5"/>
  <c r="A18" i="5"/>
  <c r="A20" i="5"/>
  <c r="I20" i="5"/>
  <c r="E20" i="5"/>
  <c r="H20" i="5"/>
  <c r="G20" i="5"/>
  <c r="F20" i="5"/>
  <c r="C20" i="5"/>
  <c r="B20" i="5"/>
  <c r="D20" i="5"/>
  <c r="U33" i="5"/>
  <c r="I33" i="5"/>
  <c r="AD33" i="5"/>
  <c r="R33" i="5"/>
  <c r="F33" i="5"/>
  <c r="Z33" i="5"/>
  <c r="N33" i="5"/>
  <c r="B33" i="5"/>
  <c r="Q33" i="5"/>
  <c r="P33" i="5"/>
  <c r="A33" i="5"/>
  <c r="O33" i="5"/>
  <c r="AC33" i="5"/>
  <c r="M33" i="5"/>
  <c r="AB33" i="5"/>
  <c r="L33" i="5"/>
  <c r="AA33" i="5"/>
  <c r="K33" i="5"/>
  <c r="Y33" i="5"/>
  <c r="J33" i="5"/>
  <c r="X33" i="5"/>
  <c r="H33" i="5"/>
  <c r="W33" i="5"/>
  <c r="G33" i="5"/>
  <c r="V33" i="5"/>
  <c r="E33" i="5"/>
  <c r="T33" i="5"/>
  <c r="D33" i="5"/>
  <c r="S33" i="5"/>
  <c r="C33" i="5"/>
  <c r="A65" i="5"/>
  <c r="A103" i="5"/>
  <c r="A149" i="5"/>
  <c r="A155" i="5"/>
  <c r="A161" i="5"/>
  <c r="A172" i="5"/>
  <c r="A208" i="5"/>
  <c r="A266" i="5"/>
  <c r="A276" i="5"/>
  <c r="A296" i="5"/>
  <c r="A303" i="5"/>
  <c r="A322" i="5"/>
  <c r="A332" i="5"/>
  <c r="A339" i="5"/>
  <c r="A348" i="5"/>
  <c r="A381" i="5"/>
  <c r="A390" i="5"/>
  <c r="A444" i="5"/>
  <c r="A104" i="5"/>
  <c r="A177" i="5"/>
  <c r="A182" i="5"/>
  <c r="A187" i="5"/>
  <c r="A192" i="5"/>
  <c r="A197" i="5"/>
  <c r="A213" i="5"/>
  <c r="A218" i="5"/>
  <c r="A223" i="5"/>
  <c r="A228" i="5"/>
  <c r="A233" i="5"/>
  <c r="A238" i="5"/>
  <c r="A243" i="5"/>
  <c r="A247" i="5"/>
  <c r="A255" i="5"/>
  <c r="A262" i="5"/>
  <c r="A306" i="5"/>
  <c r="A316" i="5"/>
  <c r="A342" i="5"/>
  <c r="A351" i="5"/>
  <c r="A360" i="5"/>
  <c r="A378" i="5"/>
  <c r="A404" i="5"/>
  <c r="A426" i="5"/>
  <c r="A160" i="5"/>
  <c r="A166" i="5"/>
  <c r="A202" i="5"/>
  <c r="A272" i="5"/>
  <c r="A279" i="5"/>
  <c r="A312" i="5"/>
  <c r="A354" i="5"/>
  <c r="A363" i="5"/>
  <c r="A372" i="5"/>
  <c r="A375" i="5"/>
  <c r="A392" i="5"/>
  <c r="A171" i="5"/>
  <c r="A176" i="5"/>
  <c r="A181" i="5"/>
  <c r="A186" i="5"/>
  <c r="A191" i="5"/>
  <c r="A207" i="5"/>
  <c r="A212" i="5"/>
  <c r="A217" i="5"/>
  <c r="A222" i="5"/>
  <c r="A227" i="5"/>
  <c r="A242" i="5"/>
  <c r="A282" i="5"/>
  <c r="A302" i="5"/>
  <c r="A338" i="5"/>
  <c r="A366" i="5"/>
  <c r="A412" i="5"/>
  <c r="A575" i="4"/>
  <c r="A587" i="4"/>
  <c r="A599" i="4"/>
  <c r="D27" i="5"/>
  <c r="C27" i="5"/>
  <c r="B27" i="5"/>
  <c r="A27" i="5"/>
  <c r="A111" i="5"/>
  <c r="A117" i="5"/>
  <c r="A123" i="5"/>
  <c r="A129" i="5"/>
  <c r="A135" i="5"/>
  <c r="A141" i="5"/>
  <c r="A147" i="5"/>
  <c r="A153" i="5"/>
  <c r="A159" i="5"/>
  <c r="A165" i="5"/>
  <c r="A196" i="5"/>
  <c r="A232" i="5"/>
  <c r="A254" i="5"/>
  <c r="A292" i="5"/>
  <c r="A298" i="5"/>
  <c r="A308" i="5"/>
  <c r="A315" i="5"/>
  <c r="A334" i="5"/>
  <c r="A344" i="5"/>
  <c r="A350" i="5"/>
  <c r="A386" i="5"/>
  <c r="A54" i="5"/>
  <c r="A60" i="5"/>
  <c r="A66" i="5"/>
  <c r="A72" i="5"/>
  <c r="A78" i="5"/>
  <c r="A84" i="5"/>
  <c r="A90" i="5"/>
  <c r="A96" i="5"/>
  <c r="A102" i="5"/>
  <c r="A170" i="5"/>
  <c r="A175" i="5"/>
  <c r="A180" i="5"/>
  <c r="A185" i="5"/>
  <c r="A201" i="5"/>
  <c r="A206" i="5"/>
  <c r="A211" i="5"/>
  <c r="A216" i="5"/>
  <c r="A221" i="5"/>
  <c r="A237" i="5"/>
  <c r="A241" i="5"/>
  <c r="A246" i="5"/>
  <c r="A250" i="5"/>
  <c r="A278" i="5"/>
  <c r="A288" i="5"/>
  <c r="A318" i="5"/>
  <c r="A328" i="5"/>
  <c r="A356" i="5"/>
  <c r="A362" i="5"/>
  <c r="A374" i="5"/>
  <c r="A406" i="5"/>
  <c r="A435" i="5"/>
  <c r="A190" i="5"/>
  <c r="A226" i="5"/>
  <c r="A268" i="5"/>
  <c r="A274" i="5"/>
  <c r="A324" i="5"/>
  <c r="A368" i="5"/>
  <c r="A394" i="5"/>
  <c r="A400" i="5"/>
  <c r="A417" i="5"/>
  <c r="AC107" i="5"/>
  <c r="Q107" i="5"/>
  <c r="E107" i="5"/>
  <c r="AB107" i="5"/>
  <c r="P107" i="5"/>
  <c r="D107" i="5"/>
  <c r="Z107" i="5"/>
  <c r="N107" i="5"/>
  <c r="B107" i="5"/>
  <c r="Y107" i="5"/>
  <c r="M107" i="5"/>
  <c r="W107" i="5"/>
  <c r="K107" i="5"/>
  <c r="V107" i="5"/>
  <c r="J107" i="5"/>
  <c r="S107" i="5"/>
  <c r="G107" i="5"/>
  <c r="T107" i="5"/>
  <c r="R107" i="5"/>
  <c r="O107" i="5"/>
  <c r="L107" i="5"/>
  <c r="I107" i="5"/>
  <c r="H107" i="5"/>
  <c r="F107" i="5"/>
  <c r="C107" i="5"/>
  <c r="AD107" i="5"/>
  <c r="A107" i="5"/>
  <c r="AA107" i="5"/>
  <c r="X107" i="5"/>
  <c r="U107" i="5"/>
  <c r="A169" i="5"/>
  <c r="A174" i="5"/>
  <c r="A179" i="5"/>
  <c r="A195" i="5"/>
  <c r="A200" i="5"/>
  <c r="A205" i="5"/>
  <c r="A210" i="5"/>
  <c r="A215" i="5"/>
  <c r="A231" i="5"/>
  <c r="A236" i="5"/>
  <c r="A264" i="5"/>
  <c r="A284" i="5"/>
  <c r="A291" i="5"/>
  <c r="A314" i="5"/>
  <c r="A346" i="5"/>
  <c r="A414" i="5"/>
  <c r="A422" i="5"/>
  <c r="AB36" i="5"/>
  <c r="P36" i="5"/>
  <c r="D36" i="5"/>
  <c r="Y36" i="5"/>
  <c r="M36" i="5"/>
  <c r="U36" i="5"/>
  <c r="I36" i="5"/>
  <c r="AA36" i="5"/>
  <c r="K36" i="5"/>
  <c r="Z36" i="5"/>
  <c r="J36" i="5"/>
  <c r="X36" i="5"/>
  <c r="H36" i="5"/>
  <c r="W36" i="5"/>
  <c r="G36" i="5"/>
  <c r="V36" i="5"/>
  <c r="F36" i="5"/>
  <c r="T36" i="5"/>
  <c r="E36" i="5"/>
  <c r="S36" i="5"/>
  <c r="C36" i="5"/>
  <c r="R36" i="5"/>
  <c r="B36" i="5"/>
  <c r="Q36" i="5"/>
  <c r="A36" i="5"/>
  <c r="O36" i="5"/>
  <c r="AD36" i="5"/>
  <c r="N36" i="5"/>
  <c r="AC36" i="5"/>
  <c r="L36" i="5"/>
  <c r="A109" i="5"/>
  <c r="A115" i="5"/>
  <c r="A121" i="5"/>
  <c r="A127" i="5"/>
  <c r="A133" i="5"/>
  <c r="A139" i="5"/>
  <c r="A145" i="5"/>
  <c r="A151" i="5"/>
  <c r="A157" i="5"/>
  <c r="A163" i="5"/>
  <c r="A184" i="5"/>
  <c r="A220" i="5"/>
  <c r="A240" i="5"/>
  <c r="A249" i="5"/>
  <c r="A260" i="5"/>
  <c r="A294" i="5"/>
  <c r="A310" i="5"/>
  <c r="A320" i="5"/>
  <c r="A327" i="5"/>
  <c r="A358" i="5"/>
  <c r="A388" i="5"/>
  <c r="A411" i="5"/>
  <c r="A442" i="5"/>
  <c r="A4" i="6"/>
  <c r="A168" i="5"/>
  <c r="A173" i="5"/>
  <c r="A189" i="5"/>
  <c r="A194" i="5"/>
  <c r="A199" i="5"/>
  <c r="A204" i="5"/>
  <c r="A209" i="5"/>
  <c r="A225" i="5"/>
  <c r="A230" i="5"/>
  <c r="A235" i="5"/>
  <c r="A267" i="5"/>
  <c r="A304" i="5"/>
  <c r="A330" i="5"/>
  <c r="A340" i="5"/>
  <c r="A370" i="5"/>
  <c r="A376" i="5"/>
  <c r="A382" i="5"/>
  <c r="A399" i="5"/>
  <c r="A408" i="5"/>
  <c r="A108" i="5"/>
  <c r="A114" i="5"/>
  <c r="A120" i="5"/>
  <c r="A126" i="5"/>
  <c r="A132" i="5"/>
  <c r="A138" i="5"/>
  <c r="A144" i="5"/>
  <c r="A150" i="5"/>
  <c r="A156" i="5"/>
  <c r="A162" i="5"/>
  <c r="A178" i="5"/>
  <c r="A214" i="5"/>
  <c r="A244" i="5"/>
  <c r="A248" i="5"/>
  <c r="A252" i="5"/>
  <c r="A270" i="5"/>
  <c r="A290" i="5"/>
  <c r="A300" i="5"/>
  <c r="A336" i="5"/>
  <c r="A352" i="5"/>
  <c r="A396" i="5"/>
  <c r="A429" i="5"/>
  <c r="A586" i="4"/>
  <c r="A598" i="4"/>
  <c r="D12" i="5"/>
  <c r="A12" i="5"/>
  <c r="C12" i="5"/>
  <c r="B12" i="5"/>
  <c r="D23" i="5"/>
  <c r="C23" i="5"/>
  <c r="A23" i="5"/>
  <c r="B23" i="5"/>
  <c r="Y24" i="5"/>
  <c r="M24" i="5"/>
  <c r="V24" i="5"/>
  <c r="J24" i="5"/>
  <c r="AD24" i="5"/>
  <c r="R24" i="5"/>
  <c r="F24" i="5"/>
  <c r="P24" i="5"/>
  <c r="A24" i="5"/>
  <c r="O24" i="5"/>
  <c r="AC24" i="5"/>
  <c r="N24" i="5"/>
  <c r="AB24" i="5"/>
  <c r="L24" i="5"/>
  <c r="AA24" i="5"/>
  <c r="K24" i="5"/>
  <c r="Z24" i="5"/>
  <c r="I24" i="5"/>
  <c r="X24" i="5"/>
  <c r="H24" i="5"/>
  <c r="W24" i="5"/>
  <c r="G24" i="5"/>
  <c r="U24" i="5"/>
  <c r="E24" i="5"/>
  <c r="S24" i="5"/>
  <c r="C24" i="5"/>
  <c r="Q24" i="5"/>
  <c r="B24" i="5"/>
  <c r="T24" i="5"/>
  <c r="D24" i="5"/>
  <c r="A29" i="5"/>
  <c r="B37" i="5"/>
  <c r="A37" i="5"/>
  <c r="A39" i="5"/>
  <c r="A45" i="5"/>
  <c r="A51" i="5"/>
  <c r="A57" i="5"/>
  <c r="A63" i="5"/>
  <c r="A69" i="5"/>
  <c r="A75" i="5"/>
  <c r="A81" i="5"/>
  <c r="A87" i="5"/>
  <c r="A93" i="5"/>
  <c r="A99" i="5"/>
  <c r="A105" i="5"/>
  <c r="A167" i="5"/>
  <c r="A183" i="5"/>
  <c r="A188" i="5"/>
  <c r="A193" i="5"/>
  <c r="A198" i="5"/>
  <c r="A203" i="5"/>
  <c r="A219" i="5"/>
  <c r="A224" i="5"/>
  <c r="A229" i="5"/>
  <c r="A234" i="5"/>
  <c r="A259" i="5"/>
  <c r="A280" i="5"/>
  <c r="A286" i="5"/>
  <c r="A326" i="5"/>
  <c r="A364" i="5"/>
  <c r="A393" i="5"/>
  <c r="A410" i="5"/>
  <c r="A424" i="5"/>
  <c r="A12" i="6"/>
  <c r="A256" i="5"/>
  <c r="A261" i="5"/>
  <c r="A273" i="5"/>
  <c r="A285" i="5"/>
  <c r="A297" i="5"/>
  <c r="A309" i="5"/>
  <c r="A321" i="5"/>
  <c r="A333" i="5"/>
  <c r="A345" i="5"/>
  <c r="A357" i="5"/>
  <c r="A369" i="5"/>
  <c r="A380" i="5"/>
  <c r="A384" i="5"/>
  <c r="A398" i="5"/>
  <c r="A402" i="5"/>
  <c r="A416" i="5"/>
  <c r="A420" i="5"/>
  <c r="A430" i="5"/>
  <c r="A6" i="6"/>
  <c r="A387" i="5"/>
  <c r="A405" i="5"/>
  <c r="A423" i="5"/>
  <c r="A436" i="5"/>
  <c r="A10" i="6"/>
  <c r="F25" i="6"/>
  <c r="E25" i="6"/>
  <c r="D25" i="6"/>
  <c r="C25" i="6"/>
  <c r="B25" i="6"/>
  <c r="L25" i="6"/>
  <c r="A25" i="6"/>
  <c r="K25" i="6"/>
  <c r="J25" i="6"/>
  <c r="I25" i="6"/>
  <c r="G25" i="6"/>
  <c r="M25" i="6"/>
  <c r="H25" i="6"/>
  <c r="A418" i="5"/>
  <c r="A432" i="5"/>
  <c r="A441" i="5"/>
  <c r="A450" i="5"/>
  <c r="A8" i="6"/>
  <c r="A15" i="6"/>
  <c r="A253" i="5"/>
  <c r="A258" i="5"/>
  <c r="A428" i="5"/>
  <c r="A438" i="5"/>
  <c r="A447" i="5"/>
  <c r="A5" i="6"/>
  <c r="A28" i="6"/>
  <c r="D28" i="6"/>
  <c r="C28" i="6"/>
  <c r="B28" i="6"/>
  <c r="A29" i="6"/>
  <c r="A33" i="6"/>
  <c r="D33" i="6"/>
  <c r="C33" i="6"/>
  <c r="B33" i="6"/>
  <c r="A34" i="6"/>
  <c r="I34" i="6"/>
  <c r="H34" i="6"/>
  <c r="G34" i="6"/>
  <c r="F34" i="6"/>
  <c r="E34" i="6"/>
  <c r="D34" i="6"/>
  <c r="C34" i="6"/>
  <c r="B34" i="6"/>
  <c r="A37" i="6"/>
  <c r="D37" i="6"/>
  <c r="C37" i="6"/>
  <c r="B37" i="6"/>
  <c r="A38" i="6"/>
  <c r="I38" i="6"/>
  <c r="H38" i="6"/>
  <c r="G38" i="6"/>
  <c r="F38" i="6"/>
  <c r="E38" i="6"/>
  <c r="D38" i="6"/>
  <c r="C38" i="6"/>
  <c r="B38" i="6"/>
  <c r="A43" i="6"/>
  <c r="H46" i="6"/>
  <c r="A46" i="6"/>
  <c r="I46" i="6"/>
  <c r="G46" i="6"/>
  <c r="F46" i="6"/>
  <c r="E46" i="6"/>
  <c r="D46" i="6"/>
  <c r="C46" i="6"/>
  <c r="B46" i="6"/>
  <c r="I52" i="6"/>
  <c r="H52" i="6"/>
  <c r="E52" i="6"/>
  <c r="A52" i="6"/>
  <c r="G52" i="6"/>
  <c r="F52" i="6"/>
  <c r="D52" i="6"/>
  <c r="C52" i="6"/>
  <c r="B52" i="6"/>
  <c r="B55" i="6"/>
  <c r="A55" i="6"/>
  <c r="H55" i="6"/>
  <c r="I55" i="6"/>
  <c r="G55" i="6"/>
  <c r="F55" i="6"/>
  <c r="E55" i="6"/>
  <c r="D55" i="6"/>
  <c r="C55" i="6"/>
  <c r="D45" i="6"/>
  <c r="C45" i="6"/>
  <c r="B45" i="6"/>
  <c r="A45" i="6"/>
  <c r="AD77" i="6"/>
  <c r="R77" i="6"/>
  <c r="F77" i="6"/>
  <c r="W77" i="6"/>
  <c r="J77" i="6"/>
  <c r="V77" i="6"/>
  <c r="I77" i="6"/>
  <c r="T77" i="6"/>
  <c r="G77" i="6"/>
  <c r="S77" i="6"/>
  <c r="E77" i="6"/>
  <c r="AB77" i="6"/>
  <c r="O77" i="6"/>
  <c r="B77" i="6"/>
  <c r="X77" i="6"/>
  <c r="K77" i="6"/>
  <c r="Y77" i="6"/>
  <c r="U77" i="6"/>
  <c r="Q77" i="6"/>
  <c r="P77" i="6"/>
  <c r="N77" i="6"/>
  <c r="M77" i="6"/>
  <c r="L77" i="6"/>
  <c r="H77" i="6"/>
  <c r="D77" i="6"/>
  <c r="AC77" i="6"/>
  <c r="C77" i="6"/>
  <c r="AA77" i="6"/>
  <c r="Z77" i="6"/>
  <c r="A77" i="6"/>
  <c r="A239" i="5"/>
  <c r="A245" i="5"/>
  <c r="A251" i="5"/>
  <c r="A257" i="5"/>
  <c r="A263" i="5"/>
  <c r="A269" i="5"/>
  <c r="A275" i="5"/>
  <c r="A281" i="5"/>
  <c r="A287" i="5"/>
  <c r="A293" i="5"/>
  <c r="A299" i="5"/>
  <c r="A305" i="5"/>
  <c r="A311" i="5"/>
  <c r="A317" i="5"/>
  <c r="A323" i="5"/>
  <c r="A329" i="5"/>
  <c r="A335" i="5"/>
  <c r="A341" i="5"/>
  <c r="A347" i="5"/>
  <c r="A353" i="5"/>
  <c r="A359" i="5"/>
  <c r="A365" i="5"/>
  <c r="A371" i="5"/>
  <c r="A377" i="5"/>
  <c r="A383" i="5"/>
  <c r="A389" i="5"/>
  <c r="A395" i="5"/>
  <c r="A401" i="5"/>
  <c r="A407" i="5"/>
  <c r="A413" i="5"/>
  <c r="A419" i="5"/>
  <c r="A425" i="5"/>
  <c r="A431" i="5"/>
  <c r="A437" i="5"/>
  <c r="A443" i="5"/>
  <c r="A449" i="5"/>
  <c r="D22" i="6"/>
  <c r="C22" i="6"/>
  <c r="B22" i="6"/>
  <c r="A22" i="6"/>
  <c r="I23" i="6"/>
  <c r="H23" i="6"/>
  <c r="G23" i="6"/>
  <c r="F23" i="6"/>
  <c r="D23" i="6"/>
  <c r="C23" i="6"/>
  <c r="B23" i="6"/>
  <c r="E23" i="6"/>
  <c r="A23" i="6"/>
  <c r="J27" i="6"/>
  <c r="I27" i="6"/>
  <c r="H27" i="6"/>
  <c r="G27" i="6"/>
  <c r="F27" i="6"/>
  <c r="D27" i="6"/>
  <c r="C27" i="6"/>
  <c r="B27" i="6"/>
  <c r="M27" i="6"/>
  <c r="K27" i="6"/>
  <c r="L27" i="6"/>
  <c r="E27" i="6"/>
  <c r="A27" i="6"/>
  <c r="D41" i="6"/>
  <c r="C41" i="6"/>
  <c r="B41" i="6"/>
  <c r="A41" i="6"/>
  <c r="A42" i="6"/>
  <c r="A14" i="6"/>
  <c r="I48" i="6"/>
  <c r="F48" i="6"/>
  <c r="C48" i="6"/>
  <c r="H48" i="6"/>
  <c r="G48" i="6"/>
  <c r="E48" i="6"/>
  <c r="D48" i="6"/>
  <c r="B48" i="6"/>
  <c r="A48" i="6"/>
  <c r="T76" i="6"/>
  <c r="H76" i="6"/>
  <c r="W76" i="6"/>
  <c r="J76" i="6"/>
  <c r="V76" i="6"/>
  <c r="I76" i="6"/>
  <c r="S76" i="6"/>
  <c r="F76" i="6"/>
  <c r="R76" i="6"/>
  <c r="E76" i="6"/>
  <c r="AB76" i="6"/>
  <c r="O76" i="6"/>
  <c r="B76" i="6"/>
  <c r="X76" i="6"/>
  <c r="K76" i="6"/>
  <c r="Q76" i="6"/>
  <c r="P76" i="6"/>
  <c r="N76" i="6"/>
  <c r="M76" i="6"/>
  <c r="L76" i="6"/>
  <c r="G76" i="6"/>
  <c r="AD76" i="6"/>
  <c r="D76" i="6"/>
  <c r="AC76" i="6"/>
  <c r="C76" i="6"/>
  <c r="AA76" i="6"/>
  <c r="Z76" i="6"/>
  <c r="A76" i="6"/>
  <c r="Y76" i="6"/>
  <c r="U76" i="6"/>
  <c r="A448" i="5"/>
  <c r="B13" i="6"/>
  <c r="A13" i="6"/>
  <c r="D20" i="6"/>
  <c r="B20" i="6"/>
  <c r="A20" i="6"/>
  <c r="C20" i="6"/>
  <c r="A21" i="6"/>
  <c r="H26" i="6"/>
  <c r="G26" i="6"/>
  <c r="F26" i="6"/>
  <c r="E26" i="6"/>
  <c r="D26" i="6"/>
  <c r="B26" i="6"/>
  <c r="M26" i="6"/>
  <c r="L26" i="6"/>
  <c r="A26" i="6"/>
  <c r="K26" i="6"/>
  <c r="I26" i="6"/>
  <c r="J26" i="6"/>
  <c r="C26" i="6"/>
  <c r="H40" i="6"/>
  <c r="G40" i="6"/>
  <c r="F40" i="6"/>
  <c r="E40" i="6"/>
  <c r="D40" i="6"/>
  <c r="C40" i="6"/>
  <c r="B40" i="6"/>
  <c r="M40" i="6"/>
  <c r="L40" i="6"/>
  <c r="A40" i="6"/>
  <c r="K40" i="6"/>
  <c r="J40" i="6"/>
  <c r="I40" i="6"/>
  <c r="H51" i="6"/>
  <c r="G51" i="6"/>
  <c r="D51" i="6"/>
  <c r="I51" i="6"/>
  <c r="F51" i="6"/>
  <c r="E51" i="6"/>
  <c r="C51" i="6"/>
  <c r="B51" i="6"/>
  <c r="A51" i="6"/>
  <c r="H62" i="6"/>
  <c r="F62" i="6"/>
  <c r="E62" i="6"/>
  <c r="B62" i="6"/>
  <c r="I62" i="6"/>
  <c r="G62" i="6"/>
  <c r="D62" i="6"/>
  <c r="C62" i="6"/>
  <c r="A62" i="6"/>
  <c r="B63" i="6"/>
  <c r="A63" i="6"/>
  <c r="H63" i="6"/>
  <c r="I63" i="6"/>
  <c r="G63" i="6"/>
  <c r="F63" i="6"/>
  <c r="E63" i="6"/>
  <c r="D63" i="6"/>
  <c r="C63" i="6"/>
  <c r="B47" i="6"/>
  <c r="D47" i="6"/>
  <c r="C47" i="6"/>
  <c r="A47" i="6"/>
  <c r="C49" i="6"/>
  <c r="A49" i="6"/>
  <c r="I49" i="6"/>
  <c r="H49" i="6"/>
  <c r="G49" i="6"/>
  <c r="F49" i="6"/>
  <c r="E49" i="6"/>
  <c r="D49" i="6"/>
  <c r="B49" i="6"/>
  <c r="V75" i="6"/>
  <c r="J75" i="6"/>
  <c r="W75" i="6"/>
  <c r="I75" i="6"/>
  <c r="U75" i="6"/>
  <c r="H75" i="6"/>
  <c r="S75" i="6"/>
  <c r="F75" i="6"/>
  <c r="R75" i="6"/>
  <c r="E75" i="6"/>
  <c r="AB75" i="6"/>
  <c r="O75" i="6"/>
  <c r="B75" i="6"/>
  <c r="X75" i="6"/>
  <c r="K75" i="6"/>
  <c r="N75" i="6"/>
  <c r="M75" i="6"/>
  <c r="L75" i="6"/>
  <c r="G75" i="6"/>
  <c r="AD75" i="6"/>
  <c r="D75" i="6"/>
  <c r="AC75" i="6"/>
  <c r="C75" i="6"/>
  <c r="AA75" i="6"/>
  <c r="Z75" i="6"/>
  <c r="A75" i="6"/>
  <c r="Y75" i="6"/>
  <c r="T75" i="6"/>
  <c r="Q75" i="6"/>
  <c r="P75" i="6"/>
  <c r="G83" i="6"/>
  <c r="D83" i="6"/>
  <c r="E83" i="6"/>
  <c r="F83" i="6"/>
  <c r="A83" i="6"/>
  <c r="I83" i="6"/>
  <c r="H83" i="6"/>
  <c r="C83" i="6"/>
  <c r="B83" i="6"/>
  <c r="W95" i="6"/>
  <c r="K95" i="6"/>
  <c r="Y95" i="6"/>
  <c r="L95" i="6"/>
  <c r="R95" i="6"/>
  <c r="T95" i="6"/>
  <c r="E95" i="6"/>
  <c r="Q95" i="6"/>
  <c r="C95" i="6"/>
  <c r="P95" i="6"/>
  <c r="A95" i="6"/>
  <c r="O95" i="6"/>
  <c r="AC95" i="6"/>
  <c r="J95" i="6"/>
  <c r="Z95" i="6"/>
  <c r="G95" i="6"/>
  <c r="I95" i="6"/>
  <c r="H95" i="6"/>
  <c r="F95" i="6"/>
  <c r="AD95" i="6"/>
  <c r="D95" i="6"/>
  <c r="AB95" i="6"/>
  <c r="B95" i="6"/>
  <c r="V95" i="6"/>
  <c r="U95" i="6"/>
  <c r="S95" i="6"/>
  <c r="M95" i="6"/>
  <c r="AA95" i="6"/>
  <c r="X95" i="6"/>
  <c r="N95" i="6"/>
  <c r="D35" i="6"/>
  <c r="C35" i="6"/>
  <c r="B35" i="6"/>
  <c r="A35" i="6"/>
  <c r="F36" i="6"/>
  <c r="E36" i="6"/>
  <c r="D36" i="6"/>
  <c r="C36" i="6"/>
  <c r="B36" i="6"/>
  <c r="A36" i="6"/>
  <c r="I36" i="6"/>
  <c r="H36" i="6"/>
  <c r="G36" i="6"/>
  <c r="F39" i="6"/>
  <c r="E39" i="6"/>
  <c r="D39" i="6"/>
  <c r="C39" i="6"/>
  <c r="B39" i="6"/>
  <c r="M39" i="6"/>
  <c r="L39" i="6"/>
  <c r="A39" i="6"/>
  <c r="K39" i="6"/>
  <c r="J39" i="6"/>
  <c r="I39" i="6"/>
  <c r="H39" i="6"/>
  <c r="G39" i="6"/>
  <c r="Z59" i="6"/>
  <c r="N59" i="6"/>
  <c r="B59" i="6"/>
  <c r="X59" i="6"/>
  <c r="L59" i="6"/>
  <c r="A59" i="6"/>
  <c r="W59" i="6"/>
  <c r="K59" i="6"/>
  <c r="T59" i="6"/>
  <c r="H59" i="6"/>
  <c r="AA59" i="6"/>
  <c r="G59" i="6"/>
  <c r="Y59" i="6"/>
  <c r="F59" i="6"/>
  <c r="V59" i="6"/>
  <c r="E59" i="6"/>
  <c r="U59" i="6"/>
  <c r="D59" i="6"/>
  <c r="S59" i="6"/>
  <c r="C59" i="6"/>
  <c r="R59" i="6"/>
  <c r="Q59" i="6"/>
  <c r="P59" i="6"/>
  <c r="O59" i="6"/>
  <c r="AD59" i="6"/>
  <c r="M59" i="6"/>
  <c r="AC59" i="6"/>
  <c r="J59" i="6"/>
  <c r="AB59" i="6"/>
  <c r="I59" i="6"/>
  <c r="S79" i="6"/>
  <c r="G79" i="6"/>
  <c r="AB79" i="6"/>
  <c r="O79" i="6"/>
  <c r="B79" i="6"/>
  <c r="AA79" i="6"/>
  <c r="M79" i="6"/>
  <c r="Z79" i="6"/>
  <c r="L79" i="6"/>
  <c r="X79" i="6"/>
  <c r="J79" i="6"/>
  <c r="W79" i="6"/>
  <c r="I79" i="6"/>
  <c r="T79" i="6"/>
  <c r="E79" i="6"/>
  <c r="AC79" i="6"/>
  <c r="N79" i="6"/>
  <c r="A79" i="6"/>
  <c r="K79" i="6"/>
  <c r="H79" i="6"/>
  <c r="F79" i="6"/>
  <c r="D79" i="6"/>
  <c r="C79" i="6"/>
  <c r="AD79" i="6"/>
  <c r="Y79" i="6"/>
  <c r="V79" i="6"/>
  <c r="U79" i="6"/>
  <c r="R79" i="6"/>
  <c r="Q79" i="6"/>
  <c r="P79" i="6"/>
  <c r="X86" i="6"/>
  <c r="L86" i="6"/>
  <c r="A86" i="6"/>
  <c r="AC86" i="6"/>
  <c r="P86" i="6"/>
  <c r="C86" i="6"/>
  <c r="Q86" i="6"/>
  <c r="B86" i="6"/>
  <c r="W86" i="6"/>
  <c r="I86" i="6"/>
  <c r="AD86" i="6"/>
  <c r="M86" i="6"/>
  <c r="AB86" i="6"/>
  <c r="K86" i="6"/>
  <c r="AA86" i="6"/>
  <c r="J86" i="6"/>
  <c r="Z86" i="6"/>
  <c r="H86" i="6"/>
  <c r="Y86" i="6"/>
  <c r="G86" i="6"/>
  <c r="T86" i="6"/>
  <c r="D86" i="6"/>
  <c r="N86" i="6"/>
  <c r="S86" i="6"/>
  <c r="R86" i="6"/>
  <c r="O86" i="6"/>
  <c r="F86" i="6"/>
  <c r="E86" i="6"/>
  <c r="V86" i="6"/>
  <c r="U86" i="6"/>
  <c r="B11" i="6"/>
  <c r="A11" i="6"/>
  <c r="A53" i="6"/>
  <c r="I53" i="6"/>
  <c r="F53" i="6"/>
  <c r="E53" i="6"/>
  <c r="D53" i="6"/>
  <c r="C53" i="6"/>
  <c r="B53" i="6"/>
  <c r="H53" i="6"/>
  <c r="G53" i="6"/>
  <c r="T64" i="6"/>
  <c r="H64" i="6"/>
  <c r="AD64" i="6"/>
  <c r="R64" i="6"/>
  <c r="F64" i="6"/>
  <c r="AC64" i="6"/>
  <c r="Q64" i="6"/>
  <c r="E64" i="6"/>
  <c r="Z64" i="6"/>
  <c r="N64" i="6"/>
  <c r="B64" i="6"/>
  <c r="Y64" i="6"/>
  <c r="I64" i="6"/>
  <c r="X64" i="6"/>
  <c r="G64" i="6"/>
  <c r="W64" i="6"/>
  <c r="D64" i="6"/>
  <c r="V64" i="6"/>
  <c r="C64" i="6"/>
  <c r="U64" i="6"/>
  <c r="S64" i="6"/>
  <c r="A64" i="6"/>
  <c r="P64" i="6"/>
  <c r="O64" i="6"/>
  <c r="M64" i="6"/>
  <c r="L64" i="6"/>
  <c r="AB64" i="6"/>
  <c r="K64" i="6"/>
  <c r="AA64" i="6"/>
  <c r="J64" i="6"/>
  <c r="W81" i="6"/>
  <c r="K81" i="6"/>
  <c r="AD81" i="6"/>
  <c r="Q81" i="6"/>
  <c r="D81" i="6"/>
  <c r="S81" i="6"/>
  <c r="E81" i="6"/>
  <c r="Z81" i="6"/>
  <c r="L81" i="6"/>
  <c r="AA81" i="6"/>
  <c r="I81" i="6"/>
  <c r="Y81" i="6"/>
  <c r="H81" i="6"/>
  <c r="V81" i="6"/>
  <c r="F81" i="6"/>
  <c r="U81" i="6"/>
  <c r="C81" i="6"/>
  <c r="P81" i="6"/>
  <c r="A81" i="6"/>
  <c r="AB81" i="6"/>
  <c r="J81" i="6"/>
  <c r="N81" i="6"/>
  <c r="M81" i="6"/>
  <c r="G81" i="6"/>
  <c r="B81" i="6"/>
  <c r="AC81" i="6"/>
  <c r="X81" i="6"/>
  <c r="T81" i="6"/>
  <c r="R81" i="6"/>
  <c r="O81" i="6"/>
  <c r="C116" i="6"/>
  <c r="D116" i="6"/>
  <c r="F116" i="6"/>
  <c r="E116" i="6"/>
  <c r="A116" i="6"/>
  <c r="G116" i="6"/>
  <c r="B116" i="6"/>
  <c r="A434" i="5"/>
  <c r="A440" i="5"/>
  <c r="A446" i="5"/>
  <c r="D24" i="6"/>
  <c r="C24" i="6"/>
  <c r="B24" i="6"/>
  <c r="M24" i="6"/>
  <c r="L24" i="6"/>
  <c r="A24" i="6"/>
  <c r="J24" i="6"/>
  <c r="I24" i="6"/>
  <c r="H24" i="6"/>
  <c r="G24" i="6"/>
  <c r="E24" i="6"/>
  <c r="K24" i="6"/>
  <c r="F24" i="6"/>
  <c r="AB31" i="6"/>
  <c r="P31" i="6"/>
  <c r="D31" i="6"/>
  <c r="AA31" i="6"/>
  <c r="O31" i="6"/>
  <c r="C31" i="6"/>
  <c r="Z31" i="6"/>
  <c r="N31" i="6"/>
  <c r="B31" i="6"/>
  <c r="Y31" i="6"/>
  <c r="M31" i="6"/>
  <c r="X31" i="6"/>
  <c r="L31" i="6"/>
  <c r="A31" i="6"/>
  <c r="W31" i="6"/>
  <c r="K31" i="6"/>
  <c r="V31" i="6"/>
  <c r="J31" i="6"/>
  <c r="U31" i="6"/>
  <c r="I31" i="6"/>
  <c r="T31" i="6"/>
  <c r="H31" i="6"/>
  <c r="S31" i="6"/>
  <c r="G31" i="6"/>
  <c r="AC31" i="6"/>
  <c r="Q31" i="6"/>
  <c r="E31" i="6"/>
  <c r="AD31" i="6"/>
  <c r="R31" i="6"/>
  <c r="F31" i="6"/>
  <c r="Z73" i="6"/>
  <c r="N73" i="6"/>
  <c r="B73" i="6"/>
  <c r="S73" i="6"/>
  <c r="F73" i="6"/>
  <c r="AD73" i="6"/>
  <c r="Q73" i="6"/>
  <c r="D73" i="6"/>
  <c r="AC73" i="6"/>
  <c r="P73" i="6"/>
  <c r="C73" i="6"/>
  <c r="Y73" i="6"/>
  <c r="L73" i="6"/>
  <c r="U73" i="6"/>
  <c r="H73" i="6"/>
  <c r="I73" i="6"/>
  <c r="AB73" i="6"/>
  <c r="G73" i="6"/>
  <c r="AA73" i="6"/>
  <c r="E73" i="6"/>
  <c r="X73" i="6"/>
  <c r="W73" i="6"/>
  <c r="A73" i="6"/>
  <c r="V73" i="6"/>
  <c r="T73" i="6"/>
  <c r="R73" i="6"/>
  <c r="O73" i="6"/>
  <c r="M73" i="6"/>
  <c r="K73" i="6"/>
  <c r="J73" i="6"/>
  <c r="AA17" i="6"/>
  <c r="O17" i="6"/>
  <c r="C17" i="6"/>
  <c r="Z17" i="6"/>
  <c r="N17" i="6"/>
  <c r="B17" i="6"/>
  <c r="Y17" i="6"/>
  <c r="M17" i="6"/>
  <c r="X17" i="6"/>
  <c r="L17" i="6"/>
  <c r="A17" i="6"/>
  <c r="W17" i="6"/>
  <c r="K17" i="6"/>
  <c r="U17" i="6"/>
  <c r="I17" i="6"/>
  <c r="T17" i="6"/>
  <c r="H17" i="6"/>
  <c r="S17" i="6"/>
  <c r="G17" i="6"/>
  <c r="AD17" i="6"/>
  <c r="R17" i="6"/>
  <c r="F17" i="6"/>
  <c r="AB17" i="6"/>
  <c r="P17" i="6"/>
  <c r="D17" i="6"/>
  <c r="AC17" i="6"/>
  <c r="V17" i="6"/>
  <c r="Q17" i="6"/>
  <c r="J17" i="6"/>
  <c r="E17" i="6"/>
  <c r="I50" i="6"/>
  <c r="G50" i="6"/>
  <c r="F50" i="6"/>
  <c r="C50" i="6"/>
  <c r="D50" i="6"/>
  <c r="B50" i="6"/>
  <c r="A50" i="6"/>
  <c r="H50" i="6"/>
  <c r="E50" i="6"/>
  <c r="AC65" i="6"/>
  <c r="Q65" i="6"/>
  <c r="E65" i="6"/>
  <c r="AA65" i="6"/>
  <c r="O65" i="6"/>
  <c r="C65" i="6"/>
  <c r="Z65" i="6"/>
  <c r="N65" i="6"/>
  <c r="B65" i="6"/>
  <c r="W65" i="6"/>
  <c r="K65" i="6"/>
  <c r="V65" i="6"/>
  <c r="F65" i="6"/>
  <c r="U65" i="6"/>
  <c r="D65" i="6"/>
  <c r="T65" i="6"/>
  <c r="S65" i="6"/>
  <c r="A65" i="6"/>
  <c r="R65" i="6"/>
  <c r="P65" i="6"/>
  <c r="M65" i="6"/>
  <c r="L65" i="6"/>
  <c r="AD65" i="6"/>
  <c r="J65" i="6"/>
  <c r="AB65" i="6"/>
  <c r="I65" i="6"/>
  <c r="Y65" i="6"/>
  <c r="H65" i="6"/>
  <c r="X65" i="6"/>
  <c r="G65" i="6"/>
  <c r="H71" i="6"/>
  <c r="G71" i="6"/>
  <c r="D71" i="6"/>
  <c r="A71" i="6"/>
  <c r="C71" i="6"/>
  <c r="B71" i="6"/>
  <c r="I71" i="6"/>
  <c r="F71" i="6"/>
  <c r="E71" i="6"/>
  <c r="A265" i="5"/>
  <c r="A271" i="5"/>
  <c r="A277" i="5"/>
  <c r="A283" i="5"/>
  <c r="A289" i="5"/>
  <c r="A295" i="5"/>
  <c r="A301" i="5"/>
  <c r="A307" i="5"/>
  <c r="A313" i="5"/>
  <c r="A319" i="5"/>
  <c r="A325" i="5"/>
  <c r="A331" i="5"/>
  <c r="A337" i="5"/>
  <c r="A343" i="5"/>
  <c r="A349" i="5"/>
  <c r="A355" i="5"/>
  <c r="A361" i="5"/>
  <c r="A367" i="5"/>
  <c r="A373" i="5"/>
  <c r="A379" i="5"/>
  <c r="A385" i="5"/>
  <c r="A391" i="5"/>
  <c r="A397" i="5"/>
  <c r="A403" i="5"/>
  <c r="A409" i="5"/>
  <c r="A415" i="5"/>
  <c r="A421" i="5"/>
  <c r="A427" i="5"/>
  <c r="A433" i="5"/>
  <c r="A439" i="5"/>
  <c r="A445" i="5"/>
  <c r="A451" i="5"/>
  <c r="B9" i="6"/>
  <c r="A9" i="6"/>
  <c r="B18" i="6"/>
  <c r="A18" i="6"/>
  <c r="C18" i="6"/>
  <c r="D18" i="6"/>
  <c r="B19" i="6"/>
  <c r="A19" i="6"/>
  <c r="H19" i="6"/>
  <c r="G19" i="6"/>
  <c r="F19" i="6"/>
  <c r="E19" i="6"/>
  <c r="C19" i="6"/>
  <c r="I19" i="6"/>
  <c r="D19" i="6"/>
  <c r="A30" i="6"/>
  <c r="Z44" i="6"/>
  <c r="N44" i="6"/>
  <c r="B44" i="6"/>
  <c r="Y44" i="6"/>
  <c r="M44" i="6"/>
  <c r="X44" i="6"/>
  <c r="L44" i="6"/>
  <c r="A44" i="6"/>
  <c r="W44" i="6"/>
  <c r="K44" i="6"/>
  <c r="V44" i="6"/>
  <c r="J44" i="6"/>
  <c r="U44" i="6"/>
  <c r="I44" i="6"/>
  <c r="T44" i="6"/>
  <c r="H44" i="6"/>
  <c r="S44" i="6"/>
  <c r="G44" i="6"/>
  <c r="AD44" i="6"/>
  <c r="R44" i="6"/>
  <c r="F44" i="6"/>
  <c r="AC44" i="6"/>
  <c r="Q44" i="6"/>
  <c r="E44" i="6"/>
  <c r="AB44" i="6"/>
  <c r="P44" i="6"/>
  <c r="D44" i="6"/>
  <c r="AA44" i="6"/>
  <c r="O44" i="6"/>
  <c r="C44" i="6"/>
  <c r="A58" i="6"/>
  <c r="W60" i="6"/>
  <c r="K60" i="6"/>
  <c r="U60" i="6"/>
  <c r="I60" i="6"/>
  <c r="T60" i="6"/>
  <c r="H60" i="6"/>
  <c r="AC60" i="6"/>
  <c r="Q60" i="6"/>
  <c r="E60" i="6"/>
  <c r="S60" i="6"/>
  <c r="B60" i="6"/>
  <c r="R60" i="6"/>
  <c r="P60" i="6"/>
  <c r="A60" i="6"/>
  <c r="O60" i="6"/>
  <c r="N60" i="6"/>
  <c r="AD60" i="6"/>
  <c r="M60" i="6"/>
  <c r="AB60" i="6"/>
  <c r="L60" i="6"/>
  <c r="AA60" i="6"/>
  <c r="J60" i="6"/>
  <c r="Z60" i="6"/>
  <c r="G60" i="6"/>
  <c r="Y60" i="6"/>
  <c r="F60" i="6"/>
  <c r="X60" i="6"/>
  <c r="D60" i="6"/>
  <c r="V60" i="6"/>
  <c r="C60" i="6"/>
  <c r="Z70" i="6"/>
  <c r="N70" i="6"/>
  <c r="B70" i="6"/>
  <c r="W70" i="6"/>
  <c r="J70" i="6"/>
  <c r="U70" i="6"/>
  <c r="H70" i="6"/>
  <c r="T70" i="6"/>
  <c r="G70" i="6"/>
  <c r="AD70" i="6"/>
  <c r="Q70" i="6"/>
  <c r="D70" i="6"/>
  <c r="Y70" i="6"/>
  <c r="L70" i="6"/>
  <c r="AA70" i="6"/>
  <c r="C70" i="6"/>
  <c r="X70" i="6"/>
  <c r="V70" i="6"/>
  <c r="A70" i="6"/>
  <c r="S70" i="6"/>
  <c r="R70" i="6"/>
  <c r="P70" i="6"/>
  <c r="O70" i="6"/>
  <c r="M70" i="6"/>
  <c r="K70" i="6"/>
  <c r="I70" i="6"/>
  <c r="AC70" i="6"/>
  <c r="F70" i="6"/>
  <c r="AB70" i="6"/>
  <c r="E70" i="6"/>
  <c r="AC72" i="6"/>
  <c r="Q72" i="6"/>
  <c r="E72" i="6"/>
  <c r="S72" i="6"/>
  <c r="F72" i="6"/>
  <c r="AD72" i="6"/>
  <c r="P72" i="6"/>
  <c r="C72" i="6"/>
  <c r="AB72" i="6"/>
  <c r="O72" i="6"/>
  <c r="B72" i="6"/>
  <c r="Y72" i="6"/>
  <c r="L72" i="6"/>
  <c r="U72" i="6"/>
  <c r="H72" i="6"/>
  <c r="Z72" i="6"/>
  <c r="D72" i="6"/>
  <c r="X72" i="6"/>
  <c r="W72" i="6"/>
  <c r="A72" i="6"/>
  <c r="V72" i="6"/>
  <c r="T72" i="6"/>
  <c r="R72" i="6"/>
  <c r="N72" i="6"/>
  <c r="M72" i="6"/>
  <c r="K72" i="6"/>
  <c r="J72" i="6"/>
  <c r="I72" i="6"/>
  <c r="AA72" i="6"/>
  <c r="G72" i="6"/>
  <c r="A16" i="6"/>
  <c r="Y32" i="6"/>
  <c r="M32" i="6"/>
  <c r="X32" i="6"/>
  <c r="L32" i="6"/>
  <c r="A32" i="6"/>
  <c r="W32" i="6"/>
  <c r="K32" i="6"/>
  <c r="V32" i="6"/>
  <c r="J32" i="6"/>
  <c r="U32" i="6"/>
  <c r="I32" i="6"/>
  <c r="T32" i="6"/>
  <c r="H32" i="6"/>
  <c r="S32" i="6"/>
  <c r="G32" i="6"/>
  <c r="AD32" i="6"/>
  <c r="R32" i="6"/>
  <c r="F32" i="6"/>
  <c r="AC32" i="6"/>
  <c r="Q32" i="6"/>
  <c r="E32" i="6"/>
  <c r="AB32" i="6"/>
  <c r="P32" i="6"/>
  <c r="D32" i="6"/>
  <c r="Z32" i="6"/>
  <c r="N32" i="6"/>
  <c r="B32" i="6"/>
  <c r="AA32" i="6"/>
  <c r="O32" i="6"/>
  <c r="C32" i="6"/>
  <c r="AB78" i="6"/>
  <c r="P78" i="6"/>
  <c r="D78" i="6"/>
  <c r="X78" i="6"/>
  <c r="K78" i="6"/>
  <c r="W78" i="6"/>
  <c r="J78" i="6"/>
  <c r="U78" i="6"/>
  <c r="H78" i="6"/>
  <c r="T78" i="6"/>
  <c r="G78" i="6"/>
  <c r="AD78" i="6"/>
  <c r="Q78" i="6"/>
  <c r="C78" i="6"/>
  <c r="Y78" i="6"/>
  <c r="L78" i="6"/>
  <c r="AA78" i="6"/>
  <c r="Z78" i="6"/>
  <c r="A78" i="6"/>
  <c r="V78" i="6"/>
  <c r="S78" i="6"/>
  <c r="R78" i="6"/>
  <c r="O78" i="6"/>
  <c r="N78" i="6"/>
  <c r="M78" i="6"/>
  <c r="I78" i="6"/>
  <c r="F78" i="6"/>
  <c r="E78" i="6"/>
  <c r="AC78" i="6"/>
  <c r="B78" i="6"/>
  <c r="G100" i="6"/>
  <c r="D100" i="6"/>
  <c r="E100" i="6"/>
  <c r="B100" i="6"/>
  <c r="F100" i="6"/>
  <c r="C100" i="6"/>
  <c r="A100" i="6"/>
  <c r="B99" i="6"/>
  <c r="G99" i="6"/>
  <c r="E99" i="6"/>
  <c r="D99" i="6"/>
  <c r="C99" i="6"/>
  <c r="F99" i="6"/>
  <c r="A99" i="6"/>
  <c r="A104" i="6"/>
  <c r="F104" i="6"/>
  <c r="E104" i="6"/>
  <c r="D104" i="6"/>
  <c r="C104" i="6"/>
  <c r="B104" i="6"/>
  <c r="G104" i="6"/>
  <c r="AD68" i="6"/>
  <c r="R68" i="6"/>
  <c r="F68" i="6"/>
  <c r="U68" i="6"/>
  <c r="H68" i="6"/>
  <c r="S68" i="6"/>
  <c r="E68" i="6"/>
  <c r="Q68" i="6"/>
  <c r="D68" i="6"/>
  <c r="AA68" i="6"/>
  <c r="N68" i="6"/>
  <c r="W68" i="6"/>
  <c r="J68" i="6"/>
  <c r="Y68" i="6"/>
  <c r="B68" i="6"/>
  <c r="X68" i="6"/>
  <c r="A68" i="6"/>
  <c r="V68" i="6"/>
  <c r="T68" i="6"/>
  <c r="P68" i="6"/>
  <c r="O68" i="6"/>
  <c r="M68" i="6"/>
  <c r="L68" i="6"/>
  <c r="K68" i="6"/>
  <c r="AC68" i="6"/>
  <c r="I68" i="6"/>
  <c r="AB68" i="6"/>
  <c r="G68" i="6"/>
  <c r="Z68" i="6"/>
  <c r="C68" i="6"/>
  <c r="AA69" i="6"/>
  <c r="O69" i="6"/>
  <c r="C69" i="6"/>
  <c r="U69" i="6"/>
  <c r="H69" i="6"/>
  <c r="S69" i="6"/>
  <c r="F69" i="6"/>
  <c r="R69" i="6"/>
  <c r="E69" i="6"/>
  <c r="AB69" i="6"/>
  <c r="N69" i="6"/>
  <c r="W69" i="6"/>
  <c r="J69" i="6"/>
  <c r="Y69" i="6"/>
  <c r="B69" i="6"/>
  <c r="X69" i="6"/>
  <c r="A69" i="6"/>
  <c r="V69" i="6"/>
  <c r="T69" i="6"/>
  <c r="Q69" i="6"/>
  <c r="P69" i="6"/>
  <c r="M69" i="6"/>
  <c r="L69" i="6"/>
  <c r="K69" i="6"/>
  <c r="AD69" i="6"/>
  <c r="I69" i="6"/>
  <c r="AC69" i="6"/>
  <c r="G69" i="6"/>
  <c r="Z69" i="6"/>
  <c r="D69" i="6"/>
  <c r="X74" i="6"/>
  <c r="L74" i="6"/>
  <c r="A74" i="6"/>
  <c r="T74" i="6"/>
  <c r="G74" i="6"/>
  <c r="R74" i="6"/>
  <c r="E74" i="6"/>
  <c r="AD74" i="6"/>
  <c r="Q74" i="6"/>
  <c r="D74" i="6"/>
  <c r="AA74" i="6"/>
  <c r="N74" i="6"/>
  <c r="V74" i="6"/>
  <c r="I74" i="6"/>
  <c r="K74" i="6"/>
  <c r="J74" i="6"/>
  <c r="AC74" i="6"/>
  <c r="H74" i="6"/>
  <c r="AB74" i="6"/>
  <c r="F74" i="6"/>
  <c r="Z74" i="6"/>
  <c r="C74" i="6"/>
  <c r="Y74" i="6"/>
  <c r="B74" i="6"/>
  <c r="W74" i="6"/>
  <c r="U74" i="6"/>
  <c r="S74" i="6"/>
  <c r="P74" i="6"/>
  <c r="O74" i="6"/>
  <c r="M74" i="6"/>
  <c r="T96" i="6"/>
  <c r="H96" i="6"/>
  <c r="X96" i="6"/>
  <c r="K96" i="6"/>
  <c r="AD96" i="6"/>
  <c r="Q96" i="6"/>
  <c r="D96" i="6"/>
  <c r="Z96" i="6"/>
  <c r="J96" i="6"/>
  <c r="W96" i="6"/>
  <c r="G96" i="6"/>
  <c r="AC96" i="6"/>
  <c r="L96" i="6"/>
  <c r="AB96" i="6"/>
  <c r="I96" i="6"/>
  <c r="V96" i="6"/>
  <c r="C96" i="6"/>
  <c r="R96" i="6"/>
  <c r="A96" i="6"/>
  <c r="P96" i="6"/>
  <c r="O96" i="6"/>
  <c r="N96" i="6"/>
  <c r="M96" i="6"/>
  <c r="F96" i="6"/>
  <c r="AA96" i="6"/>
  <c r="Y96" i="6"/>
  <c r="S96" i="6"/>
  <c r="U96" i="6"/>
  <c r="E96" i="6"/>
  <c r="B96" i="6"/>
  <c r="F152" i="6"/>
  <c r="B152" i="6"/>
  <c r="G152" i="6"/>
  <c r="C152" i="6"/>
  <c r="E152" i="6"/>
  <c r="D152" i="6"/>
  <c r="A152" i="6"/>
  <c r="T114" i="6"/>
  <c r="H114" i="6"/>
  <c r="AB114" i="6"/>
  <c r="P114" i="6"/>
  <c r="D114" i="6"/>
  <c r="Y114" i="6"/>
  <c r="K114" i="6"/>
  <c r="AD114" i="6"/>
  <c r="N114" i="6"/>
  <c r="V114" i="6"/>
  <c r="F114" i="6"/>
  <c r="U114" i="6"/>
  <c r="B114" i="6"/>
  <c r="R114" i="6"/>
  <c r="A114" i="6"/>
  <c r="Q114" i="6"/>
  <c r="M114" i="6"/>
  <c r="X114" i="6"/>
  <c r="W114" i="6"/>
  <c r="L114" i="6"/>
  <c r="G114" i="6"/>
  <c r="AC114" i="6"/>
  <c r="C114" i="6"/>
  <c r="S114" i="6"/>
  <c r="O114" i="6"/>
  <c r="J114" i="6"/>
  <c r="I114" i="6"/>
  <c r="E114" i="6"/>
  <c r="Z114" i="6"/>
  <c r="AA114" i="6"/>
  <c r="AB66" i="6"/>
  <c r="P66" i="6"/>
  <c r="D66" i="6"/>
  <c r="Z66" i="6"/>
  <c r="N66" i="6"/>
  <c r="B66" i="6"/>
  <c r="Y66" i="6"/>
  <c r="M66" i="6"/>
  <c r="V66" i="6"/>
  <c r="J66" i="6"/>
  <c r="AD66" i="6"/>
  <c r="R66" i="6"/>
  <c r="F66" i="6"/>
  <c r="X66" i="6"/>
  <c r="E66" i="6"/>
  <c r="W66" i="6"/>
  <c r="C66" i="6"/>
  <c r="U66" i="6"/>
  <c r="A66" i="6"/>
  <c r="T66" i="6"/>
  <c r="S66" i="6"/>
  <c r="Q66" i="6"/>
  <c r="O66" i="6"/>
  <c r="L66" i="6"/>
  <c r="K66" i="6"/>
  <c r="I66" i="6"/>
  <c r="AC66" i="6"/>
  <c r="H66" i="6"/>
  <c r="AA66" i="6"/>
  <c r="G66" i="6"/>
  <c r="F110" i="6"/>
  <c r="B110" i="6"/>
  <c r="G110" i="6"/>
  <c r="C110" i="6"/>
  <c r="E110" i="6"/>
  <c r="A110" i="6"/>
  <c r="D110" i="6"/>
  <c r="AA56" i="6"/>
  <c r="O56" i="6"/>
  <c r="C56" i="6"/>
  <c r="Y56" i="6"/>
  <c r="M56" i="6"/>
  <c r="X56" i="6"/>
  <c r="L56" i="6"/>
  <c r="A56" i="6"/>
  <c r="U56" i="6"/>
  <c r="I56" i="6"/>
  <c r="W56" i="6"/>
  <c r="F56" i="6"/>
  <c r="V56" i="6"/>
  <c r="E56" i="6"/>
  <c r="T56" i="6"/>
  <c r="D56" i="6"/>
  <c r="S56" i="6"/>
  <c r="B56" i="6"/>
  <c r="R56" i="6"/>
  <c r="Q56" i="6"/>
  <c r="P56" i="6"/>
  <c r="N56" i="6"/>
  <c r="AD56" i="6"/>
  <c r="K56" i="6"/>
  <c r="AC56" i="6"/>
  <c r="J56" i="6"/>
  <c r="AB56" i="6"/>
  <c r="H56" i="6"/>
  <c r="Z56" i="6"/>
  <c r="G56" i="6"/>
  <c r="B87" i="6"/>
  <c r="A87" i="6"/>
  <c r="B106" i="6"/>
  <c r="F106" i="6"/>
  <c r="E106" i="6"/>
  <c r="C106" i="6"/>
  <c r="G106" i="6"/>
  <c r="A106" i="6"/>
  <c r="D106" i="6"/>
  <c r="AB113" i="6"/>
  <c r="P113" i="6"/>
  <c r="D113" i="6"/>
  <c r="X113" i="6"/>
  <c r="L113" i="6"/>
  <c r="A113" i="6"/>
  <c r="AC113" i="6"/>
  <c r="N113" i="6"/>
  <c r="O113" i="6"/>
  <c r="V113" i="6"/>
  <c r="G113" i="6"/>
  <c r="R113" i="6"/>
  <c r="M113" i="6"/>
  <c r="K113" i="6"/>
  <c r="AA113" i="6"/>
  <c r="I113" i="6"/>
  <c r="AD113" i="6"/>
  <c r="C113" i="6"/>
  <c r="Z113" i="6"/>
  <c r="B113" i="6"/>
  <c r="U113" i="6"/>
  <c r="Q113" i="6"/>
  <c r="H113" i="6"/>
  <c r="F113" i="6"/>
  <c r="E113" i="6"/>
  <c r="Y113" i="6"/>
  <c r="W113" i="6"/>
  <c r="T113" i="6"/>
  <c r="J113" i="6"/>
  <c r="S113" i="6"/>
  <c r="G54" i="6"/>
  <c r="I54" i="6"/>
  <c r="H54" i="6"/>
  <c r="F54" i="6"/>
  <c r="E54" i="6"/>
  <c r="D54" i="6"/>
  <c r="C54" i="6"/>
  <c r="B54" i="6"/>
  <c r="A54" i="6"/>
  <c r="G67" i="6"/>
  <c r="C67" i="6"/>
  <c r="E67" i="6"/>
  <c r="D67" i="6"/>
  <c r="B67" i="6"/>
  <c r="A67" i="6"/>
  <c r="I67" i="6"/>
  <c r="H67" i="6"/>
  <c r="F67" i="6"/>
  <c r="AC80" i="6"/>
  <c r="Q80" i="6"/>
  <c r="E80" i="6"/>
  <c r="AB80" i="6"/>
  <c r="O80" i="6"/>
  <c r="B80" i="6"/>
  <c r="R80" i="6"/>
  <c r="C80" i="6"/>
  <c r="P80" i="6"/>
  <c r="AA80" i="6"/>
  <c r="M80" i="6"/>
  <c r="Z80" i="6"/>
  <c r="L80" i="6"/>
  <c r="W80" i="6"/>
  <c r="I80" i="6"/>
  <c r="S80" i="6"/>
  <c r="D80" i="6"/>
  <c r="Y80" i="6"/>
  <c r="X80" i="6"/>
  <c r="V80" i="6"/>
  <c r="U80" i="6"/>
  <c r="T80" i="6"/>
  <c r="N80" i="6"/>
  <c r="K80" i="6"/>
  <c r="J80" i="6"/>
  <c r="H80" i="6"/>
  <c r="G80" i="6"/>
  <c r="F80" i="6"/>
  <c r="AD80" i="6"/>
  <c r="A80" i="6"/>
  <c r="AD97" i="6"/>
  <c r="R97" i="6"/>
  <c r="F97" i="6"/>
  <c r="X97" i="6"/>
  <c r="K97" i="6"/>
  <c r="Q97" i="6"/>
  <c r="D97" i="6"/>
  <c r="S97" i="6"/>
  <c r="B97" i="6"/>
  <c r="O97" i="6"/>
  <c r="A97" i="6"/>
  <c r="AA97" i="6"/>
  <c r="I97" i="6"/>
  <c r="Z97" i="6"/>
  <c r="H97" i="6"/>
  <c r="V97" i="6"/>
  <c r="C97" i="6"/>
  <c r="P97" i="6"/>
  <c r="E97" i="6"/>
  <c r="AC97" i="6"/>
  <c r="AB97" i="6"/>
  <c r="Y97" i="6"/>
  <c r="W97" i="6"/>
  <c r="U97" i="6"/>
  <c r="N97" i="6"/>
  <c r="M97" i="6"/>
  <c r="L97" i="6"/>
  <c r="G97" i="6"/>
  <c r="T97" i="6"/>
  <c r="J97" i="6"/>
  <c r="AA85" i="6"/>
  <c r="O85" i="6"/>
  <c r="C85" i="6"/>
  <c r="AC85" i="6"/>
  <c r="P85" i="6"/>
  <c r="B85" i="6"/>
  <c r="Z85" i="6"/>
  <c r="L85" i="6"/>
  <c r="T85" i="6"/>
  <c r="F85" i="6"/>
  <c r="S85" i="6"/>
  <c r="R85" i="6"/>
  <c r="A85" i="6"/>
  <c r="N85" i="6"/>
  <c r="M85" i="6"/>
  <c r="Y85" i="6"/>
  <c r="I85" i="6"/>
  <c r="U85" i="6"/>
  <c r="D85" i="6"/>
  <c r="AD85" i="6"/>
  <c r="AB85" i="6"/>
  <c r="X85" i="6"/>
  <c r="W85" i="6"/>
  <c r="V85" i="6"/>
  <c r="Q85" i="6"/>
  <c r="K85" i="6"/>
  <c r="J85" i="6"/>
  <c r="H85" i="6"/>
  <c r="G85" i="6"/>
  <c r="E85" i="6"/>
  <c r="S89" i="6"/>
  <c r="G89" i="6"/>
  <c r="W89" i="6"/>
  <c r="J89" i="6"/>
  <c r="U89" i="6"/>
  <c r="F89" i="6"/>
  <c r="R89" i="6"/>
  <c r="D89" i="6"/>
  <c r="AC89" i="6"/>
  <c r="M89" i="6"/>
  <c r="V89" i="6"/>
  <c r="C89" i="6"/>
  <c r="X89" i="6"/>
  <c r="T89" i="6"/>
  <c r="A89" i="6"/>
  <c r="Q89" i="6"/>
  <c r="P89" i="6"/>
  <c r="O89" i="6"/>
  <c r="AD89" i="6"/>
  <c r="K89" i="6"/>
  <c r="AB89" i="6"/>
  <c r="I89" i="6"/>
  <c r="AA89" i="6"/>
  <c r="H89" i="6"/>
  <c r="Y89" i="6"/>
  <c r="B89" i="6"/>
  <c r="Z89" i="6"/>
  <c r="N89" i="6"/>
  <c r="L89" i="6"/>
  <c r="E89" i="6"/>
  <c r="AD90" i="6"/>
  <c r="R90" i="6"/>
  <c r="F90" i="6"/>
  <c r="X90" i="6"/>
  <c r="K90" i="6"/>
  <c r="Z90" i="6"/>
  <c r="L90" i="6"/>
  <c r="W90" i="6"/>
  <c r="I90" i="6"/>
  <c r="V90" i="6"/>
  <c r="E90" i="6"/>
  <c r="O90" i="6"/>
  <c r="T90" i="6"/>
  <c r="S90" i="6"/>
  <c r="A90" i="6"/>
  <c r="Q90" i="6"/>
  <c r="P90" i="6"/>
  <c r="N90" i="6"/>
  <c r="AC90" i="6"/>
  <c r="H90" i="6"/>
  <c r="AB90" i="6"/>
  <c r="G90" i="6"/>
  <c r="AA90" i="6"/>
  <c r="D90" i="6"/>
  <c r="U90" i="6"/>
  <c r="B90" i="6"/>
  <c r="Y90" i="6"/>
  <c r="M90" i="6"/>
  <c r="J90" i="6"/>
  <c r="C90" i="6"/>
  <c r="G93" i="6"/>
  <c r="D93" i="6"/>
  <c r="F93" i="6"/>
  <c r="C93" i="6"/>
  <c r="A93" i="6"/>
  <c r="B93" i="6"/>
  <c r="E93" i="6"/>
  <c r="B121" i="6"/>
  <c r="G121" i="6"/>
  <c r="E121" i="6"/>
  <c r="C121" i="6"/>
  <c r="A121" i="6"/>
  <c r="F121" i="6"/>
  <c r="D121" i="6"/>
  <c r="U82" i="6"/>
  <c r="I82" i="6"/>
  <c r="AD82" i="6"/>
  <c r="Q82" i="6"/>
  <c r="D82" i="6"/>
  <c r="W82" i="6"/>
  <c r="H82" i="6"/>
  <c r="AC82" i="6"/>
  <c r="O82" i="6"/>
  <c r="T82" i="6"/>
  <c r="C82" i="6"/>
  <c r="S82" i="6"/>
  <c r="B82" i="6"/>
  <c r="P82" i="6"/>
  <c r="N82" i="6"/>
  <c r="AA82" i="6"/>
  <c r="K82" i="6"/>
  <c r="V82" i="6"/>
  <c r="E82" i="6"/>
  <c r="AB82" i="6"/>
  <c r="Z82" i="6"/>
  <c r="Y82" i="6"/>
  <c r="X82" i="6"/>
  <c r="R82" i="6"/>
  <c r="M82" i="6"/>
  <c r="L82" i="6"/>
  <c r="J82" i="6"/>
  <c r="G82" i="6"/>
  <c r="F82" i="6"/>
  <c r="A82" i="6"/>
  <c r="V88" i="6"/>
  <c r="J88" i="6"/>
  <c r="X88" i="6"/>
  <c r="Q88" i="6"/>
  <c r="D88" i="6"/>
  <c r="W88" i="6"/>
  <c r="H88" i="6"/>
  <c r="AD88" i="6"/>
  <c r="O88" i="6"/>
  <c r="AA88" i="6"/>
  <c r="I88" i="6"/>
  <c r="Z88" i="6"/>
  <c r="G88" i="6"/>
  <c r="Y88" i="6"/>
  <c r="F88" i="6"/>
  <c r="U88" i="6"/>
  <c r="E88" i="6"/>
  <c r="T88" i="6"/>
  <c r="C88" i="6"/>
  <c r="P88" i="6"/>
  <c r="N88" i="6"/>
  <c r="M88" i="6"/>
  <c r="AB88" i="6"/>
  <c r="K88" i="6"/>
  <c r="AC88" i="6"/>
  <c r="S88" i="6"/>
  <c r="R88" i="6"/>
  <c r="L88" i="6"/>
  <c r="B88" i="6"/>
  <c r="A88" i="6"/>
  <c r="E102" i="6"/>
  <c r="F102" i="6"/>
  <c r="B102" i="6"/>
  <c r="A102" i="6"/>
  <c r="G102" i="6"/>
  <c r="C102" i="6"/>
  <c r="D102" i="6"/>
  <c r="T142" i="6"/>
  <c r="H142" i="6"/>
  <c r="AB142" i="6"/>
  <c r="P142" i="6"/>
  <c r="D142" i="6"/>
  <c r="V142" i="6"/>
  <c r="G142" i="6"/>
  <c r="U142" i="6"/>
  <c r="F142" i="6"/>
  <c r="S142" i="6"/>
  <c r="E142" i="6"/>
  <c r="Q142" i="6"/>
  <c r="M142" i="6"/>
  <c r="AA142" i="6"/>
  <c r="J142" i="6"/>
  <c r="L142" i="6"/>
  <c r="K142" i="6"/>
  <c r="AD142" i="6"/>
  <c r="C142" i="6"/>
  <c r="AC142" i="6"/>
  <c r="B142" i="6"/>
  <c r="Y142" i="6"/>
  <c r="A142" i="6"/>
  <c r="X142" i="6"/>
  <c r="W142" i="6"/>
  <c r="R142" i="6"/>
  <c r="Z142" i="6"/>
  <c r="O142" i="6"/>
  <c r="N142" i="6"/>
  <c r="I142" i="6"/>
  <c r="A145" i="6"/>
  <c r="G92" i="6"/>
  <c r="D92" i="6"/>
  <c r="C92" i="6"/>
  <c r="B92" i="6"/>
  <c r="A92" i="6"/>
  <c r="E92" i="6"/>
  <c r="F92" i="6"/>
  <c r="C98" i="6"/>
  <c r="E98" i="6"/>
  <c r="G98" i="6"/>
  <c r="B98" i="6"/>
  <c r="F98" i="6"/>
  <c r="D98" i="6"/>
  <c r="A98" i="6"/>
  <c r="B103" i="6"/>
  <c r="C103" i="6"/>
  <c r="F103" i="6"/>
  <c r="D103" i="6"/>
  <c r="G103" i="6"/>
  <c r="E103" i="6"/>
  <c r="A103" i="6"/>
  <c r="F105" i="6"/>
  <c r="B105" i="6"/>
  <c r="E105" i="6"/>
  <c r="C105" i="6"/>
  <c r="D105" i="6"/>
  <c r="G105" i="6"/>
  <c r="A105" i="6"/>
  <c r="Z128" i="6"/>
  <c r="N128" i="6"/>
  <c r="B128" i="6"/>
  <c r="V128" i="6"/>
  <c r="J128" i="6"/>
  <c r="Y128" i="6"/>
  <c r="K128" i="6"/>
  <c r="W128" i="6"/>
  <c r="H128" i="6"/>
  <c r="T128" i="6"/>
  <c r="D128" i="6"/>
  <c r="Q128" i="6"/>
  <c r="A128" i="6"/>
  <c r="AD128" i="6"/>
  <c r="M128" i="6"/>
  <c r="R128" i="6"/>
  <c r="O128" i="6"/>
  <c r="L128" i="6"/>
  <c r="G128" i="6"/>
  <c r="C128" i="6"/>
  <c r="AB128" i="6"/>
  <c r="AA128" i="6"/>
  <c r="X128" i="6"/>
  <c r="U128" i="6"/>
  <c r="S128" i="6"/>
  <c r="I128" i="6"/>
  <c r="AC128" i="6"/>
  <c r="P128" i="6"/>
  <c r="F128" i="6"/>
  <c r="E128" i="6"/>
  <c r="D136" i="6"/>
  <c r="G136" i="6"/>
  <c r="C136" i="6"/>
  <c r="B136" i="6"/>
  <c r="A136" i="6"/>
  <c r="E136" i="6"/>
  <c r="F136" i="6"/>
  <c r="C107" i="6"/>
  <c r="D107" i="6"/>
  <c r="A107" i="6"/>
  <c r="B107" i="6"/>
  <c r="A115" i="6"/>
  <c r="G115" i="6"/>
  <c r="E115" i="6"/>
  <c r="D115" i="6"/>
  <c r="C115" i="6"/>
  <c r="B115" i="6"/>
  <c r="F115" i="6"/>
  <c r="W123" i="6"/>
  <c r="K123" i="6"/>
  <c r="S123" i="6"/>
  <c r="G123" i="6"/>
  <c r="U123" i="6"/>
  <c r="F123" i="6"/>
  <c r="R123" i="6"/>
  <c r="D123" i="6"/>
  <c r="Z123" i="6"/>
  <c r="I123" i="6"/>
  <c r="P123" i="6"/>
  <c r="A123" i="6"/>
  <c r="AC123" i="6"/>
  <c r="J123" i="6"/>
  <c r="AA123" i="6"/>
  <c r="E123" i="6"/>
  <c r="Y123" i="6"/>
  <c r="C123" i="6"/>
  <c r="V123" i="6"/>
  <c r="N123" i="6"/>
  <c r="M123" i="6"/>
  <c r="B123" i="6"/>
  <c r="AD123" i="6"/>
  <c r="AB123" i="6"/>
  <c r="T123" i="6"/>
  <c r="X123" i="6"/>
  <c r="Q123" i="6"/>
  <c r="O123" i="6"/>
  <c r="L123" i="6"/>
  <c r="H123" i="6"/>
  <c r="AD146" i="6"/>
  <c r="R146" i="6"/>
  <c r="F146" i="6"/>
  <c r="Z146" i="6"/>
  <c r="N146" i="6"/>
  <c r="B146" i="6"/>
  <c r="V146" i="6"/>
  <c r="H146" i="6"/>
  <c r="U146" i="6"/>
  <c r="G146" i="6"/>
  <c r="T146" i="6"/>
  <c r="E146" i="6"/>
  <c r="X146" i="6"/>
  <c r="C146" i="6"/>
  <c r="Q146" i="6"/>
  <c r="M146" i="6"/>
  <c r="S146" i="6"/>
  <c r="P146" i="6"/>
  <c r="L146" i="6"/>
  <c r="K146" i="6"/>
  <c r="I146" i="6"/>
  <c r="AC146" i="6"/>
  <c r="D146" i="6"/>
  <c r="AB146" i="6"/>
  <c r="AA146" i="6"/>
  <c r="A146" i="6"/>
  <c r="Y146" i="6"/>
  <c r="W146" i="6"/>
  <c r="O146" i="6"/>
  <c r="J146" i="6"/>
  <c r="X150" i="6"/>
  <c r="L150" i="6"/>
  <c r="A150" i="6"/>
  <c r="T150" i="6"/>
  <c r="H150" i="6"/>
  <c r="V150" i="6"/>
  <c r="G150" i="6"/>
  <c r="U150" i="6"/>
  <c r="F150" i="6"/>
  <c r="S150" i="6"/>
  <c r="E150" i="6"/>
  <c r="P150" i="6"/>
  <c r="AD150" i="6"/>
  <c r="M150" i="6"/>
  <c r="AA150" i="6"/>
  <c r="I150" i="6"/>
  <c r="Q150" i="6"/>
  <c r="O150" i="6"/>
  <c r="K150" i="6"/>
  <c r="J150" i="6"/>
  <c r="D150" i="6"/>
  <c r="AC150" i="6"/>
  <c r="C150" i="6"/>
  <c r="AB150" i="6"/>
  <c r="B150" i="6"/>
  <c r="Z150" i="6"/>
  <c r="Y150" i="6"/>
  <c r="R150" i="6"/>
  <c r="N150" i="6"/>
  <c r="W150" i="6"/>
  <c r="C91" i="6"/>
  <c r="B91" i="6"/>
  <c r="D91" i="6"/>
  <c r="A91" i="6"/>
  <c r="G91" i="6"/>
  <c r="E91" i="6"/>
  <c r="F91" i="6"/>
  <c r="E111" i="6"/>
  <c r="B111" i="6"/>
  <c r="D111" i="6"/>
  <c r="A111" i="6"/>
  <c r="F111" i="6"/>
  <c r="G111" i="6"/>
  <c r="C111" i="6"/>
  <c r="T124" i="6"/>
  <c r="H124" i="6"/>
  <c r="AB124" i="6"/>
  <c r="P124" i="6"/>
  <c r="D124" i="6"/>
  <c r="W124" i="6"/>
  <c r="I124" i="6"/>
  <c r="U124" i="6"/>
  <c r="F124" i="6"/>
  <c r="O124" i="6"/>
  <c r="Y124" i="6"/>
  <c r="G124" i="6"/>
  <c r="Z124" i="6"/>
  <c r="C124" i="6"/>
  <c r="V124" i="6"/>
  <c r="S124" i="6"/>
  <c r="A124" i="6"/>
  <c r="Q124" i="6"/>
  <c r="AC124" i="6"/>
  <c r="AA124" i="6"/>
  <c r="N124" i="6"/>
  <c r="M124" i="6"/>
  <c r="L124" i="6"/>
  <c r="K124" i="6"/>
  <c r="E124" i="6"/>
  <c r="AD124" i="6"/>
  <c r="X124" i="6"/>
  <c r="R124" i="6"/>
  <c r="J124" i="6"/>
  <c r="B124" i="6"/>
  <c r="H140" i="6"/>
  <c r="D140" i="6"/>
  <c r="B140" i="6"/>
  <c r="A140" i="6"/>
  <c r="G140" i="6"/>
  <c r="C140" i="6"/>
  <c r="I140" i="6"/>
  <c r="F140" i="6"/>
  <c r="E140" i="6"/>
  <c r="AD155" i="6"/>
  <c r="R155" i="6"/>
  <c r="F155" i="6"/>
  <c r="AB155" i="6"/>
  <c r="P155" i="6"/>
  <c r="D155" i="6"/>
  <c r="X155" i="6"/>
  <c r="L155" i="6"/>
  <c r="A155" i="6"/>
  <c r="T155" i="6"/>
  <c r="C155" i="6"/>
  <c r="O155" i="6"/>
  <c r="N155" i="6"/>
  <c r="AC155" i="6"/>
  <c r="M155" i="6"/>
  <c r="S155" i="6"/>
  <c r="K155" i="6"/>
  <c r="H155" i="6"/>
  <c r="Y155" i="6"/>
  <c r="B155" i="6"/>
  <c r="U155" i="6"/>
  <c r="Q155" i="6"/>
  <c r="I155" i="6"/>
  <c r="G155" i="6"/>
  <c r="E155" i="6"/>
  <c r="AA155" i="6"/>
  <c r="Z155" i="6"/>
  <c r="J155" i="6"/>
  <c r="W155" i="6"/>
  <c r="V155" i="6"/>
  <c r="D108" i="6"/>
  <c r="C108" i="6"/>
  <c r="F108" i="6"/>
  <c r="E108" i="6"/>
  <c r="G108" i="6"/>
  <c r="B108" i="6"/>
  <c r="A108" i="6"/>
  <c r="A109" i="6"/>
  <c r="B109" i="6"/>
  <c r="C109" i="6"/>
  <c r="D109" i="6"/>
  <c r="B122" i="6"/>
  <c r="A122" i="6"/>
  <c r="A149" i="6"/>
  <c r="E157" i="6"/>
  <c r="F157" i="6"/>
  <c r="D157" i="6"/>
  <c r="C157" i="6"/>
  <c r="B157" i="6"/>
  <c r="A157" i="6"/>
  <c r="G157" i="6"/>
  <c r="B153" i="6"/>
  <c r="G153" i="6"/>
  <c r="F153" i="6"/>
  <c r="E153" i="6"/>
  <c r="D153" i="6"/>
  <c r="A153" i="6"/>
  <c r="C153" i="6"/>
  <c r="AA147" i="6"/>
  <c r="O147" i="6"/>
  <c r="C147" i="6"/>
  <c r="W147" i="6"/>
  <c r="K147" i="6"/>
  <c r="Z147" i="6"/>
  <c r="L147" i="6"/>
  <c r="Y147" i="6"/>
  <c r="J147" i="6"/>
  <c r="X147" i="6"/>
  <c r="I147" i="6"/>
  <c r="R147" i="6"/>
  <c r="A147" i="6"/>
  <c r="N147" i="6"/>
  <c r="AC147" i="6"/>
  <c r="G147" i="6"/>
  <c r="V147" i="6"/>
  <c r="U147" i="6"/>
  <c r="S147" i="6"/>
  <c r="Q147" i="6"/>
  <c r="P147" i="6"/>
  <c r="M147" i="6"/>
  <c r="H147" i="6"/>
  <c r="F147" i="6"/>
  <c r="E147" i="6"/>
  <c r="AD147" i="6"/>
  <c r="AB147" i="6"/>
  <c r="T147" i="6"/>
  <c r="D147" i="6"/>
  <c r="B147" i="6"/>
  <c r="F117" i="6"/>
  <c r="B117" i="6"/>
  <c r="C117" i="6"/>
  <c r="E117" i="6"/>
  <c r="D117" i="6"/>
  <c r="A117" i="6"/>
  <c r="G117" i="6"/>
  <c r="AD119" i="6"/>
  <c r="R119" i="6"/>
  <c r="F119" i="6"/>
  <c r="Z119" i="6"/>
  <c r="N119" i="6"/>
  <c r="B119" i="6"/>
  <c r="Y119" i="6"/>
  <c r="K119" i="6"/>
  <c r="W119" i="6"/>
  <c r="I119" i="6"/>
  <c r="AB119" i="6"/>
  <c r="J119" i="6"/>
  <c r="S119" i="6"/>
  <c r="P119" i="6"/>
  <c r="M119" i="6"/>
  <c r="L119" i="6"/>
  <c r="AC119" i="6"/>
  <c r="G119" i="6"/>
  <c r="U119" i="6"/>
  <c r="T119" i="6"/>
  <c r="H119" i="6"/>
  <c r="C119" i="6"/>
  <c r="AA119" i="6"/>
  <c r="X119" i="6"/>
  <c r="V119" i="6"/>
  <c r="Q119" i="6"/>
  <c r="O119" i="6"/>
  <c r="E119" i="6"/>
  <c r="A119" i="6"/>
  <c r="D119" i="6"/>
  <c r="AD125" i="6"/>
  <c r="R125" i="6"/>
  <c r="F125" i="6"/>
  <c r="Z125" i="6"/>
  <c r="N125" i="6"/>
  <c r="B125" i="6"/>
  <c r="AA125" i="6"/>
  <c r="L125" i="6"/>
  <c r="X125" i="6"/>
  <c r="J125" i="6"/>
  <c r="AB125" i="6"/>
  <c r="I125" i="6"/>
  <c r="S125" i="6"/>
  <c r="W125" i="6"/>
  <c r="D125" i="6"/>
  <c r="U125" i="6"/>
  <c r="A125" i="6"/>
  <c r="T125" i="6"/>
  <c r="P125" i="6"/>
  <c r="M125" i="6"/>
  <c r="K125" i="6"/>
  <c r="E125" i="6"/>
  <c r="C125" i="6"/>
  <c r="AC125" i="6"/>
  <c r="V125" i="6"/>
  <c r="Y125" i="6"/>
  <c r="Q125" i="6"/>
  <c r="O125" i="6"/>
  <c r="H125" i="6"/>
  <c r="G125" i="6"/>
  <c r="U132" i="6"/>
  <c r="I132" i="6"/>
  <c r="AC132" i="6"/>
  <c r="Q132" i="6"/>
  <c r="E132" i="6"/>
  <c r="Y132" i="6"/>
  <c r="K132" i="6"/>
  <c r="W132" i="6"/>
  <c r="H132" i="6"/>
  <c r="AA132" i="6"/>
  <c r="J132" i="6"/>
  <c r="V132" i="6"/>
  <c r="D132" i="6"/>
  <c r="R132" i="6"/>
  <c r="S132" i="6"/>
  <c r="N132" i="6"/>
  <c r="L132" i="6"/>
  <c r="G132" i="6"/>
  <c r="AB132" i="6"/>
  <c r="C132" i="6"/>
  <c r="M132" i="6"/>
  <c r="F132" i="6"/>
  <c r="A132" i="6"/>
  <c r="AD132" i="6"/>
  <c r="Z132" i="6"/>
  <c r="X132" i="6"/>
  <c r="T132" i="6"/>
  <c r="P132" i="6"/>
  <c r="O132" i="6"/>
  <c r="B132" i="6"/>
  <c r="AB137" i="6"/>
  <c r="P137" i="6"/>
  <c r="D137" i="6"/>
  <c r="X137" i="6"/>
  <c r="L137" i="6"/>
  <c r="A137" i="6"/>
  <c r="V137" i="6"/>
  <c r="H137" i="6"/>
  <c r="T137" i="6"/>
  <c r="F137" i="6"/>
  <c r="AA137" i="6"/>
  <c r="J137" i="6"/>
  <c r="W137" i="6"/>
  <c r="E137" i="6"/>
  <c r="R137" i="6"/>
  <c r="AC137" i="6"/>
  <c r="C137" i="6"/>
  <c r="Y137" i="6"/>
  <c r="U137" i="6"/>
  <c r="Q137" i="6"/>
  <c r="O137" i="6"/>
  <c r="M137" i="6"/>
  <c r="N137" i="6"/>
  <c r="K137" i="6"/>
  <c r="G137" i="6"/>
  <c r="B137" i="6"/>
  <c r="AD137" i="6"/>
  <c r="S137" i="6"/>
  <c r="I137" i="6"/>
  <c r="Z137" i="6"/>
  <c r="E151" i="6"/>
  <c r="D151" i="6"/>
  <c r="G151" i="6"/>
  <c r="F151" i="6"/>
  <c r="C151" i="6"/>
  <c r="B151" i="6"/>
  <c r="A151" i="6"/>
  <c r="F154" i="6"/>
  <c r="H154" i="6"/>
  <c r="D154" i="6"/>
  <c r="C154" i="6"/>
  <c r="B154" i="6"/>
  <c r="I154" i="6"/>
  <c r="E154" i="6"/>
  <c r="A154" i="6"/>
  <c r="G154" i="6"/>
  <c r="A126" i="6"/>
  <c r="S133" i="6"/>
  <c r="G133" i="6"/>
  <c r="AA133" i="6"/>
  <c r="O133" i="6"/>
  <c r="C133" i="6"/>
  <c r="AC133" i="6"/>
  <c r="N133" i="6"/>
  <c r="A133" i="6"/>
  <c r="Z133" i="6"/>
  <c r="L133" i="6"/>
  <c r="V133" i="6"/>
  <c r="E133" i="6"/>
  <c r="R133" i="6"/>
  <c r="M133" i="6"/>
  <c r="X133" i="6"/>
  <c r="B133" i="6"/>
  <c r="U133" i="6"/>
  <c r="T133" i="6"/>
  <c r="P133" i="6"/>
  <c r="K133" i="6"/>
  <c r="I133" i="6"/>
  <c r="D133" i="6"/>
  <c r="AD133" i="6"/>
  <c r="AB133" i="6"/>
  <c r="Y133" i="6"/>
  <c r="W133" i="6"/>
  <c r="Q133" i="6"/>
  <c r="J133" i="6"/>
  <c r="H133" i="6"/>
  <c r="F133" i="6"/>
  <c r="B141" i="6"/>
  <c r="E141" i="6"/>
  <c r="H141" i="6"/>
  <c r="G141" i="6"/>
  <c r="D141" i="6"/>
  <c r="C141" i="6"/>
  <c r="A141" i="6"/>
  <c r="F141" i="6"/>
  <c r="I141" i="6"/>
  <c r="C94" i="6"/>
  <c r="G94" i="6"/>
  <c r="E94" i="6"/>
  <c r="F94" i="6"/>
  <c r="D94" i="6"/>
  <c r="B94" i="6"/>
  <c r="A94" i="6"/>
  <c r="C101" i="6"/>
  <c r="G101" i="6"/>
  <c r="D101" i="6"/>
  <c r="A101" i="6"/>
  <c r="B101" i="6"/>
  <c r="F101" i="6"/>
  <c r="E101" i="6"/>
  <c r="X112" i="6"/>
  <c r="L112" i="6"/>
  <c r="A112" i="6"/>
  <c r="T112" i="6"/>
  <c r="H112" i="6"/>
  <c r="Q112" i="6"/>
  <c r="C112" i="6"/>
  <c r="P112" i="6"/>
  <c r="Y112" i="6"/>
  <c r="I112" i="6"/>
  <c r="N112" i="6"/>
  <c r="AC112" i="6"/>
  <c r="K112" i="6"/>
  <c r="AB112" i="6"/>
  <c r="J112" i="6"/>
  <c r="Z112" i="6"/>
  <c r="F112" i="6"/>
  <c r="M112" i="6"/>
  <c r="G112" i="6"/>
  <c r="AD112" i="6"/>
  <c r="B112" i="6"/>
  <c r="V112" i="6"/>
  <c r="S112" i="6"/>
  <c r="AA112" i="6"/>
  <c r="W112" i="6"/>
  <c r="R112" i="6"/>
  <c r="O112" i="6"/>
  <c r="E112" i="6"/>
  <c r="D112" i="6"/>
  <c r="U112" i="6"/>
  <c r="U118" i="6"/>
  <c r="I118" i="6"/>
  <c r="AC118" i="6"/>
  <c r="Q118" i="6"/>
  <c r="E118" i="6"/>
  <c r="W118" i="6"/>
  <c r="H118" i="6"/>
  <c r="T118" i="6"/>
  <c r="F118" i="6"/>
  <c r="R118" i="6"/>
  <c r="AA118" i="6"/>
  <c r="K118" i="6"/>
  <c r="S118" i="6"/>
  <c r="O118" i="6"/>
  <c r="N118" i="6"/>
  <c r="L118" i="6"/>
  <c r="M118" i="6"/>
  <c r="J118" i="6"/>
  <c r="C118" i="6"/>
  <c r="Z118" i="6"/>
  <c r="X118" i="6"/>
  <c r="A118" i="6"/>
  <c r="AD118" i="6"/>
  <c r="AB118" i="6"/>
  <c r="V118" i="6"/>
  <c r="P118" i="6"/>
  <c r="G118" i="6"/>
  <c r="B118" i="6"/>
  <c r="Y118" i="6"/>
  <c r="D118" i="6"/>
  <c r="X131" i="6"/>
  <c r="L131" i="6"/>
  <c r="A131" i="6"/>
  <c r="T131" i="6"/>
  <c r="H131" i="6"/>
  <c r="V131" i="6"/>
  <c r="G131" i="6"/>
  <c r="S131" i="6"/>
  <c r="E131" i="6"/>
  <c r="Q131" i="6"/>
  <c r="AD131" i="6"/>
  <c r="N131" i="6"/>
  <c r="AA131" i="6"/>
  <c r="J131" i="6"/>
  <c r="M131" i="6"/>
  <c r="I131" i="6"/>
  <c r="AC131" i="6"/>
  <c r="F131" i="6"/>
  <c r="Z131" i="6"/>
  <c r="C131" i="6"/>
  <c r="Y131" i="6"/>
  <c r="W131" i="6"/>
  <c r="R131" i="6"/>
  <c r="P131" i="6"/>
  <c r="O131" i="6"/>
  <c r="K131" i="6"/>
  <c r="D131" i="6"/>
  <c r="AB131" i="6"/>
  <c r="U131" i="6"/>
  <c r="B131" i="6"/>
  <c r="F171" i="6"/>
  <c r="E171" i="6"/>
  <c r="A171" i="6"/>
  <c r="G171" i="6"/>
  <c r="D171" i="6"/>
  <c r="C171" i="6"/>
  <c r="B171" i="6"/>
  <c r="A160" i="6"/>
  <c r="I160" i="6"/>
  <c r="F160" i="6"/>
  <c r="B160" i="6"/>
  <c r="G160" i="6"/>
  <c r="E160" i="6"/>
  <c r="D160" i="6"/>
  <c r="C160" i="6"/>
  <c r="H160" i="6"/>
  <c r="D225" i="6"/>
  <c r="B225" i="6"/>
  <c r="A225" i="6"/>
  <c r="C225" i="6"/>
  <c r="A130" i="6"/>
  <c r="D134" i="6"/>
  <c r="A134" i="6"/>
  <c r="C134" i="6"/>
  <c r="E134" i="6"/>
  <c r="G134" i="6"/>
  <c r="F134" i="6"/>
  <c r="B134" i="6"/>
  <c r="F158" i="6"/>
  <c r="E158" i="6"/>
  <c r="B158" i="6"/>
  <c r="D158" i="6"/>
  <c r="C158" i="6"/>
  <c r="A158" i="6"/>
  <c r="G158" i="6"/>
  <c r="AD161" i="6"/>
  <c r="R161" i="6"/>
  <c r="F161" i="6"/>
  <c r="AB161" i="6"/>
  <c r="P161" i="6"/>
  <c r="D161" i="6"/>
  <c r="AA161" i="6"/>
  <c r="O161" i="6"/>
  <c r="C161" i="6"/>
  <c r="X161" i="6"/>
  <c r="L161" i="6"/>
  <c r="A161" i="6"/>
  <c r="T161" i="6"/>
  <c r="H161" i="6"/>
  <c r="N161" i="6"/>
  <c r="AC161" i="6"/>
  <c r="I161" i="6"/>
  <c r="Y161" i="6"/>
  <c r="E161" i="6"/>
  <c r="W161" i="6"/>
  <c r="B161" i="6"/>
  <c r="V161" i="6"/>
  <c r="U161" i="6"/>
  <c r="M161" i="6"/>
  <c r="K161" i="6"/>
  <c r="J161" i="6"/>
  <c r="G161" i="6"/>
  <c r="Z161" i="6"/>
  <c r="S161" i="6"/>
  <c r="Q161" i="6"/>
  <c r="X129" i="6"/>
  <c r="L129" i="6"/>
  <c r="A129" i="6"/>
  <c r="T129" i="6"/>
  <c r="H129" i="6"/>
  <c r="AC129" i="6"/>
  <c r="O129" i="6"/>
  <c r="AA129" i="6"/>
  <c r="M129" i="6"/>
  <c r="Q129" i="6"/>
  <c r="AD129" i="6"/>
  <c r="K129" i="6"/>
  <c r="Y129" i="6"/>
  <c r="G129" i="6"/>
  <c r="V129" i="6"/>
  <c r="B129" i="6"/>
  <c r="S129" i="6"/>
  <c r="R129" i="6"/>
  <c r="N129" i="6"/>
  <c r="Z129" i="6"/>
  <c r="W129" i="6"/>
  <c r="P129" i="6"/>
  <c r="J129" i="6"/>
  <c r="I129" i="6"/>
  <c r="F129" i="6"/>
  <c r="E129" i="6"/>
  <c r="C129" i="6"/>
  <c r="AB129" i="6"/>
  <c r="U129" i="6"/>
  <c r="D129" i="6"/>
  <c r="A135" i="6"/>
  <c r="G135" i="6"/>
  <c r="E135" i="6"/>
  <c r="C135" i="6"/>
  <c r="B135" i="6"/>
  <c r="F135" i="6"/>
  <c r="D135" i="6"/>
  <c r="W139" i="6"/>
  <c r="K139" i="6"/>
  <c r="S139" i="6"/>
  <c r="G139" i="6"/>
  <c r="AC139" i="6"/>
  <c r="O139" i="6"/>
  <c r="AA139" i="6"/>
  <c r="M139" i="6"/>
  <c r="N139" i="6"/>
  <c r="Z139" i="6"/>
  <c r="I139" i="6"/>
  <c r="V139" i="6"/>
  <c r="E139" i="6"/>
  <c r="H139" i="6"/>
  <c r="AB139" i="6"/>
  <c r="D139" i="6"/>
  <c r="Y139" i="6"/>
  <c r="C139" i="6"/>
  <c r="U139" i="6"/>
  <c r="A139" i="6"/>
  <c r="T139" i="6"/>
  <c r="Q139" i="6"/>
  <c r="AD139" i="6"/>
  <c r="X139" i="6"/>
  <c r="R139" i="6"/>
  <c r="P139" i="6"/>
  <c r="L139" i="6"/>
  <c r="J139" i="6"/>
  <c r="F139" i="6"/>
  <c r="B139" i="6"/>
  <c r="A144" i="6"/>
  <c r="G163" i="6"/>
  <c r="E163" i="6"/>
  <c r="D163" i="6"/>
  <c r="C163" i="6"/>
  <c r="B163" i="6"/>
  <c r="A163" i="6"/>
  <c r="F163" i="6"/>
  <c r="I166" i="6"/>
  <c r="H166" i="6"/>
  <c r="G166" i="6"/>
  <c r="F166" i="6"/>
  <c r="E166" i="6"/>
  <c r="A166" i="6"/>
  <c r="D166" i="6"/>
  <c r="C166" i="6"/>
  <c r="B166" i="6"/>
  <c r="D187" i="6"/>
  <c r="B187" i="6"/>
  <c r="G187" i="6"/>
  <c r="E187" i="6"/>
  <c r="F187" i="6"/>
  <c r="C187" i="6"/>
  <c r="A187" i="6"/>
  <c r="G194" i="6"/>
  <c r="F194" i="6"/>
  <c r="E194" i="6"/>
  <c r="C194" i="6"/>
  <c r="B194" i="6"/>
  <c r="A194" i="6"/>
  <c r="D194" i="6"/>
  <c r="G199" i="6"/>
  <c r="B199" i="6"/>
  <c r="A199" i="6"/>
  <c r="I199" i="6"/>
  <c r="H199" i="6"/>
  <c r="F199" i="6"/>
  <c r="E199" i="6"/>
  <c r="C199" i="6"/>
  <c r="D199" i="6"/>
  <c r="E201" i="6"/>
  <c r="B201" i="6"/>
  <c r="A201" i="6"/>
  <c r="G201" i="6"/>
  <c r="F201" i="6"/>
  <c r="C201" i="6"/>
  <c r="D201" i="6"/>
  <c r="F186" i="6"/>
  <c r="C186" i="6"/>
  <c r="B186" i="6"/>
  <c r="G186" i="6"/>
  <c r="E186" i="6"/>
  <c r="D186" i="6"/>
  <c r="A186" i="6"/>
  <c r="E184" i="6"/>
  <c r="C184" i="6"/>
  <c r="A184" i="6"/>
  <c r="H184" i="6"/>
  <c r="F184" i="6"/>
  <c r="I184" i="6"/>
  <c r="G184" i="6"/>
  <c r="D184" i="6"/>
  <c r="B184" i="6"/>
  <c r="W185" i="6"/>
  <c r="K185" i="6"/>
  <c r="U185" i="6"/>
  <c r="I185" i="6"/>
  <c r="AD185" i="6"/>
  <c r="R185" i="6"/>
  <c r="F185" i="6"/>
  <c r="AC185" i="6"/>
  <c r="Q185" i="6"/>
  <c r="E185" i="6"/>
  <c r="Z185" i="6"/>
  <c r="N185" i="6"/>
  <c r="B185" i="6"/>
  <c r="X185" i="6"/>
  <c r="L185" i="6"/>
  <c r="A185" i="6"/>
  <c r="P185" i="6"/>
  <c r="O185" i="6"/>
  <c r="M185" i="6"/>
  <c r="J185" i="6"/>
  <c r="H185" i="6"/>
  <c r="G185" i="6"/>
  <c r="AB185" i="6"/>
  <c r="D185" i="6"/>
  <c r="AA185" i="6"/>
  <c r="C185" i="6"/>
  <c r="Y185" i="6"/>
  <c r="V185" i="6"/>
  <c r="T185" i="6"/>
  <c r="S185" i="6"/>
  <c r="AC120" i="6"/>
  <c r="Q120" i="6"/>
  <c r="E120" i="6"/>
  <c r="Y120" i="6"/>
  <c r="M120" i="6"/>
  <c r="R120" i="6"/>
  <c r="C120" i="6"/>
  <c r="AD120" i="6"/>
  <c r="O120" i="6"/>
  <c r="A120" i="6"/>
  <c r="X120" i="6"/>
  <c r="H120" i="6"/>
  <c r="P120" i="6"/>
  <c r="U120" i="6"/>
  <c r="S120" i="6"/>
  <c r="N120" i="6"/>
  <c r="K120" i="6"/>
  <c r="I120" i="6"/>
  <c r="G120" i="6"/>
  <c r="AB120" i="6"/>
  <c r="B120" i="6"/>
  <c r="W120" i="6"/>
  <c r="T120" i="6"/>
  <c r="AA120" i="6"/>
  <c r="Z120" i="6"/>
  <c r="V120" i="6"/>
  <c r="L120" i="6"/>
  <c r="F120" i="6"/>
  <c r="D120" i="6"/>
  <c r="J120" i="6"/>
  <c r="AC127" i="6"/>
  <c r="Q127" i="6"/>
  <c r="E127" i="6"/>
  <c r="Y127" i="6"/>
  <c r="M127" i="6"/>
  <c r="U127" i="6"/>
  <c r="G127" i="6"/>
  <c r="S127" i="6"/>
  <c r="D127" i="6"/>
  <c r="AB127" i="6"/>
  <c r="K127" i="6"/>
  <c r="X127" i="6"/>
  <c r="H127" i="6"/>
  <c r="T127" i="6"/>
  <c r="B127" i="6"/>
  <c r="O127" i="6"/>
  <c r="L127" i="6"/>
  <c r="J127" i="6"/>
  <c r="AD127" i="6"/>
  <c r="F127" i="6"/>
  <c r="R127" i="6"/>
  <c r="P127" i="6"/>
  <c r="C127" i="6"/>
  <c r="A127" i="6"/>
  <c r="Z127" i="6"/>
  <c r="V127" i="6"/>
  <c r="N127" i="6"/>
  <c r="I127" i="6"/>
  <c r="W127" i="6"/>
  <c r="AA127" i="6"/>
  <c r="AC143" i="6"/>
  <c r="Q143" i="6"/>
  <c r="E143" i="6"/>
  <c r="Y143" i="6"/>
  <c r="M143" i="6"/>
  <c r="Z143" i="6"/>
  <c r="K143" i="6"/>
  <c r="X143" i="6"/>
  <c r="J143" i="6"/>
  <c r="W143" i="6"/>
  <c r="I143" i="6"/>
  <c r="N143" i="6"/>
  <c r="AB143" i="6"/>
  <c r="G143" i="6"/>
  <c r="U143" i="6"/>
  <c r="C143" i="6"/>
  <c r="P143" i="6"/>
  <c r="O143" i="6"/>
  <c r="H143" i="6"/>
  <c r="F143" i="6"/>
  <c r="AD143" i="6"/>
  <c r="B143" i="6"/>
  <c r="AA143" i="6"/>
  <c r="A143" i="6"/>
  <c r="V143" i="6"/>
  <c r="T143" i="6"/>
  <c r="S143" i="6"/>
  <c r="R143" i="6"/>
  <c r="L143" i="6"/>
  <c r="D143" i="6"/>
  <c r="G164" i="6"/>
  <c r="E164" i="6"/>
  <c r="D164" i="6"/>
  <c r="C164" i="6"/>
  <c r="F164" i="6"/>
  <c r="B164" i="6"/>
  <c r="A164" i="6"/>
  <c r="G183" i="6"/>
  <c r="D183" i="6"/>
  <c r="C183" i="6"/>
  <c r="A183" i="6"/>
  <c r="F183" i="6"/>
  <c r="E183" i="6"/>
  <c r="B183" i="6"/>
  <c r="D190" i="6"/>
  <c r="B190" i="6"/>
  <c r="A190" i="6"/>
  <c r="H190" i="6"/>
  <c r="G190" i="6"/>
  <c r="E190" i="6"/>
  <c r="I190" i="6"/>
  <c r="F190" i="6"/>
  <c r="C190" i="6"/>
  <c r="AA217" i="6"/>
  <c r="O217" i="6"/>
  <c r="C217" i="6"/>
  <c r="R217" i="6"/>
  <c r="E217" i="6"/>
  <c r="AC217" i="6"/>
  <c r="P217" i="6"/>
  <c r="B217" i="6"/>
  <c r="Z217" i="6"/>
  <c r="M217" i="6"/>
  <c r="A217" i="6"/>
  <c r="Y217" i="6"/>
  <c r="L217" i="6"/>
  <c r="X217" i="6"/>
  <c r="K217" i="6"/>
  <c r="W217" i="6"/>
  <c r="J217" i="6"/>
  <c r="V217" i="6"/>
  <c r="I217" i="6"/>
  <c r="U217" i="6"/>
  <c r="H217" i="6"/>
  <c r="T217" i="6"/>
  <c r="G217" i="6"/>
  <c r="S217" i="6"/>
  <c r="F217" i="6"/>
  <c r="AD217" i="6"/>
  <c r="AB217" i="6"/>
  <c r="Q217" i="6"/>
  <c r="N217" i="6"/>
  <c r="D217" i="6"/>
  <c r="F168" i="6"/>
  <c r="E168" i="6"/>
  <c r="D168" i="6"/>
  <c r="C168" i="6"/>
  <c r="B168" i="6"/>
  <c r="A168" i="6"/>
  <c r="G168" i="6"/>
  <c r="E174" i="6"/>
  <c r="D174" i="6"/>
  <c r="F174" i="6"/>
  <c r="C174" i="6"/>
  <c r="B174" i="6"/>
  <c r="A174" i="6"/>
  <c r="G174" i="6"/>
  <c r="B176" i="6"/>
  <c r="A176" i="6"/>
  <c r="C176" i="6"/>
  <c r="F176" i="6"/>
  <c r="E176" i="6"/>
  <c r="D176" i="6"/>
  <c r="G176" i="6"/>
  <c r="E177" i="6"/>
  <c r="D177" i="6"/>
  <c r="F177" i="6"/>
  <c r="C177" i="6"/>
  <c r="B177" i="6"/>
  <c r="A177" i="6"/>
  <c r="G177" i="6"/>
  <c r="U167" i="6"/>
  <c r="I167" i="6"/>
  <c r="T167" i="6"/>
  <c r="R167" i="6"/>
  <c r="E167" i="6"/>
  <c r="AD167" i="6"/>
  <c r="P167" i="6"/>
  <c r="C167" i="6"/>
  <c r="AC167" i="6"/>
  <c r="O167" i="6"/>
  <c r="B167" i="6"/>
  <c r="AB167" i="6"/>
  <c r="N167" i="6"/>
  <c r="AA167" i="6"/>
  <c r="M167" i="6"/>
  <c r="A167" i="6"/>
  <c r="Z167" i="6"/>
  <c r="L167" i="6"/>
  <c r="W167" i="6"/>
  <c r="H167" i="6"/>
  <c r="V167" i="6"/>
  <c r="G167" i="6"/>
  <c r="J167" i="6"/>
  <c r="F167" i="6"/>
  <c r="Y167" i="6"/>
  <c r="X167" i="6"/>
  <c r="S167" i="6"/>
  <c r="K167" i="6"/>
  <c r="Q167" i="6"/>
  <c r="D167" i="6"/>
  <c r="E181" i="6"/>
  <c r="C181" i="6"/>
  <c r="A181" i="6"/>
  <c r="F181" i="6"/>
  <c r="D181" i="6"/>
  <c r="B181" i="6"/>
  <c r="G181" i="6"/>
  <c r="D159" i="6"/>
  <c r="B159" i="6"/>
  <c r="F159" i="6"/>
  <c r="G159" i="6"/>
  <c r="E159" i="6"/>
  <c r="C159" i="6"/>
  <c r="A159" i="6"/>
  <c r="F189" i="6"/>
  <c r="D189" i="6"/>
  <c r="C189" i="6"/>
  <c r="B189" i="6"/>
  <c r="A189" i="6"/>
  <c r="G189" i="6"/>
  <c r="E189" i="6"/>
  <c r="A84" i="6"/>
  <c r="Y138" i="6"/>
  <c r="M138" i="6"/>
  <c r="U138" i="6"/>
  <c r="I138" i="6"/>
  <c r="Z138" i="6"/>
  <c r="K138" i="6"/>
  <c r="W138" i="6"/>
  <c r="H138" i="6"/>
  <c r="R138" i="6"/>
  <c r="B138" i="6"/>
  <c r="O138" i="6"/>
  <c r="AB138" i="6"/>
  <c r="J138" i="6"/>
  <c r="AA138" i="6"/>
  <c r="D138" i="6"/>
  <c r="V138" i="6"/>
  <c r="A138" i="6"/>
  <c r="T138" i="6"/>
  <c r="Q138" i="6"/>
  <c r="P138" i="6"/>
  <c r="L138" i="6"/>
  <c r="C138" i="6"/>
  <c r="AD138" i="6"/>
  <c r="AC138" i="6"/>
  <c r="X138" i="6"/>
  <c r="S138" i="6"/>
  <c r="N138" i="6"/>
  <c r="G138" i="6"/>
  <c r="F138" i="6"/>
  <c r="E138" i="6"/>
  <c r="Y148" i="6"/>
  <c r="M148" i="6"/>
  <c r="U148" i="6"/>
  <c r="I148" i="6"/>
  <c r="AD148" i="6"/>
  <c r="P148" i="6"/>
  <c r="B148" i="6"/>
  <c r="AC148" i="6"/>
  <c r="O148" i="6"/>
  <c r="A148" i="6"/>
  <c r="AB148" i="6"/>
  <c r="N148" i="6"/>
  <c r="Q148" i="6"/>
  <c r="J148" i="6"/>
  <c r="X148" i="6"/>
  <c r="F148" i="6"/>
  <c r="E148" i="6"/>
  <c r="AA148" i="6"/>
  <c r="D148" i="6"/>
  <c r="W148" i="6"/>
  <c r="V148" i="6"/>
  <c r="T148" i="6"/>
  <c r="S148" i="6"/>
  <c r="R148" i="6"/>
  <c r="L148" i="6"/>
  <c r="K148" i="6"/>
  <c r="Z148" i="6"/>
  <c r="H148" i="6"/>
  <c r="G148" i="6"/>
  <c r="C148" i="6"/>
  <c r="C156" i="6"/>
  <c r="G156" i="6"/>
  <c r="F156" i="6"/>
  <c r="E156" i="6"/>
  <c r="D156" i="6"/>
  <c r="A156" i="6"/>
  <c r="B156" i="6"/>
  <c r="C162" i="6"/>
  <c r="A162" i="6"/>
  <c r="E162" i="6"/>
  <c r="F162" i="6"/>
  <c r="D162" i="6"/>
  <c r="B162" i="6"/>
  <c r="G162" i="6"/>
  <c r="C165" i="6"/>
  <c r="A165" i="6"/>
  <c r="E165" i="6"/>
  <c r="G165" i="6"/>
  <c r="F165" i="6"/>
  <c r="D165" i="6"/>
  <c r="B165" i="6"/>
  <c r="C170" i="6"/>
  <c r="A170" i="6"/>
  <c r="G170" i="6"/>
  <c r="F170" i="6"/>
  <c r="E170" i="6"/>
  <c r="D170" i="6"/>
  <c r="B170" i="6"/>
  <c r="G180" i="6"/>
  <c r="D180" i="6"/>
  <c r="C180" i="6"/>
  <c r="E180" i="6"/>
  <c r="A180" i="6"/>
  <c r="B180" i="6"/>
  <c r="F180" i="6"/>
  <c r="X203" i="6"/>
  <c r="L203" i="6"/>
  <c r="A203" i="6"/>
  <c r="AB203" i="6"/>
  <c r="O203" i="6"/>
  <c r="B203" i="6"/>
  <c r="Z203" i="6"/>
  <c r="M203" i="6"/>
  <c r="W203" i="6"/>
  <c r="J203" i="6"/>
  <c r="V203" i="6"/>
  <c r="I203" i="6"/>
  <c r="U203" i="6"/>
  <c r="H203" i="6"/>
  <c r="T203" i="6"/>
  <c r="G203" i="6"/>
  <c r="S203" i="6"/>
  <c r="F203" i="6"/>
  <c r="R203" i="6"/>
  <c r="E203" i="6"/>
  <c r="AC203" i="6"/>
  <c r="P203" i="6"/>
  <c r="C203" i="6"/>
  <c r="K203" i="6"/>
  <c r="D203" i="6"/>
  <c r="AD203" i="6"/>
  <c r="AA203" i="6"/>
  <c r="Y203" i="6"/>
  <c r="Q203" i="6"/>
  <c r="N203" i="6"/>
  <c r="D219" i="6"/>
  <c r="B219" i="6"/>
  <c r="A219" i="6"/>
  <c r="G219" i="6"/>
  <c r="F219" i="6"/>
  <c r="E219" i="6"/>
  <c r="C219" i="6"/>
  <c r="X179" i="6"/>
  <c r="L179" i="6"/>
  <c r="A179" i="6"/>
  <c r="V179" i="6"/>
  <c r="J179" i="6"/>
  <c r="S179" i="6"/>
  <c r="G179" i="6"/>
  <c r="AD179" i="6"/>
  <c r="R179" i="6"/>
  <c r="F179" i="6"/>
  <c r="Y179" i="6"/>
  <c r="M179" i="6"/>
  <c r="AB179" i="6"/>
  <c r="H179" i="6"/>
  <c r="Z179" i="6"/>
  <c r="D179" i="6"/>
  <c r="W179" i="6"/>
  <c r="C179" i="6"/>
  <c r="U179" i="6"/>
  <c r="B179" i="6"/>
  <c r="T179" i="6"/>
  <c r="Q179" i="6"/>
  <c r="P179" i="6"/>
  <c r="O179" i="6"/>
  <c r="N179" i="6"/>
  <c r="K179" i="6"/>
  <c r="AC179" i="6"/>
  <c r="AA179" i="6"/>
  <c r="E179" i="6"/>
  <c r="I179" i="6"/>
  <c r="A188" i="6"/>
  <c r="G188" i="6"/>
  <c r="F188" i="6"/>
  <c r="D188" i="6"/>
  <c r="C188" i="6"/>
  <c r="B188" i="6"/>
  <c r="E188" i="6"/>
  <c r="Z202" i="6"/>
  <c r="N202" i="6"/>
  <c r="B202" i="6"/>
  <c r="AA202" i="6"/>
  <c r="M202" i="6"/>
  <c r="A202" i="6"/>
  <c r="X202" i="6"/>
  <c r="K202" i="6"/>
  <c r="V202" i="6"/>
  <c r="I202" i="6"/>
  <c r="U202" i="6"/>
  <c r="H202" i="6"/>
  <c r="T202" i="6"/>
  <c r="G202" i="6"/>
  <c r="S202" i="6"/>
  <c r="F202" i="6"/>
  <c r="R202" i="6"/>
  <c r="E202" i="6"/>
  <c r="AD202" i="6"/>
  <c r="Q202" i="6"/>
  <c r="D202" i="6"/>
  <c r="AB202" i="6"/>
  <c r="O202" i="6"/>
  <c r="L202" i="6"/>
  <c r="J202" i="6"/>
  <c r="C202" i="6"/>
  <c r="AC202" i="6"/>
  <c r="Y202" i="6"/>
  <c r="W202" i="6"/>
  <c r="P202" i="6"/>
  <c r="E213" i="6"/>
  <c r="A213" i="6"/>
  <c r="G213" i="6"/>
  <c r="F213" i="6"/>
  <c r="D213" i="6"/>
  <c r="C213" i="6"/>
  <c r="B213" i="6"/>
  <c r="G215" i="6"/>
  <c r="F215" i="6"/>
  <c r="E215" i="6"/>
  <c r="D215" i="6"/>
  <c r="C215" i="6"/>
  <c r="B215" i="6"/>
  <c r="A215" i="6"/>
  <c r="V191" i="6"/>
  <c r="J191" i="6"/>
  <c r="T191" i="6"/>
  <c r="H191" i="6"/>
  <c r="AD191" i="6"/>
  <c r="R191" i="6"/>
  <c r="F191" i="6"/>
  <c r="AC191" i="6"/>
  <c r="Q191" i="6"/>
  <c r="E191" i="6"/>
  <c r="AB191" i="6"/>
  <c r="P191" i="6"/>
  <c r="D191" i="6"/>
  <c r="Z191" i="6"/>
  <c r="N191" i="6"/>
  <c r="B191" i="6"/>
  <c r="Y191" i="6"/>
  <c r="M191" i="6"/>
  <c r="W191" i="6"/>
  <c r="K191" i="6"/>
  <c r="X191" i="6"/>
  <c r="U191" i="6"/>
  <c r="S191" i="6"/>
  <c r="O191" i="6"/>
  <c r="L191" i="6"/>
  <c r="I191" i="6"/>
  <c r="G191" i="6"/>
  <c r="C191" i="6"/>
  <c r="A191" i="6"/>
  <c r="AA191" i="6"/>
  <c r="A200" i="6"/>
  <c r="AA206" i="6"/>
  <c r="O206" i="6"/>
  <c r="C206" i="6"/>
  <c r="X206" i="6"/>
  <c r="K206" i="6"/>
  <c r="V206" i="6"/>
  <c r="I206" i="6"/>
  <c r="T206" i="6"/>
  <c r="G206" i="6"/>
  <c r="S206" i="6"/>
  <c r="F206" i="6"/>
  <c r="R206" i="6"/>
  <c r="E206" i="6"/>
  <c r="AD206" i="6"/>
  <c r="Q206" i="6"/>
  <c r="D206" i="6"/>
  <c r="AC206" i="6"/>
  <c r="P206" i="6"/>
  <c r="B206" i="6"/>
  <c r="AB206" i="6"/>
  <c r="N206" i="6"/>
  <c r="Y206" i="6"/>
  <c r="L206" i="6"/>
  <c r="H206" i="6"/>
  <c r="A206" i="6"/>
  <c r="Z206" i="6"/>
  <c r="W206" i="6"/>
  <c r="U206" i="6"/>
  <c r="M206" i="6"/>
  <c r="J206" i="6"/>
  <c r="U197" i="6"/>
  <c r="I197" i="6"/>
  <c r="S197" i="6"/>
  <c r="G197" i="6"/>
  <c r="AC197" i="6"/>
  <c r="Q197" i="6"/>
  <c r="E197" i="6"/>
  <c r="AB197" i="6"/>
  <c r="P197" i="6"/>
  <c r="D197" i="6"/>
  <c r="AA197" i="6"/>
  <c r="O197" i="6"/>
  <c r="C197" i="6"/>
  <c r="Z197" i="6"/>
  <c r="N197" i="6"/>
  <c r="B197" i="6"/>
  <c r="Y197" i="6"/>
  <c r="M197" i="6"/>
  <c r="X197" i="6"/>
  <c r="L197" i="6"/>
  <c r="A197" i="6"/>
  <c r="V197" i="6"/>
  <c r="J197" i="6"/>
  <c r="AD197" i="6"/>
  <c r="W197" i="6"/>
  <c r="T197" i="6"/>
  <c r="R197" i="6"/>
  <c r="K197" i="6"/>
  <c r="H197" i="6"/>
  <c r="F197" i="6"/>
  <c r="U208" i="6"/>
  <c r="I208" i="6"/>
  <c r="V208" i="6"/>
  <c r="H208" i="6"/>
  <c r="S208" i="6"/>
  <c r="F208" i="6"/>
  <c r="AD208" i="6"/>
  <c r="Q208" i="6"/>
  <c r="D208" i="6"/>
  <c r="AC208" i="6"/>
  <c r="P208" i="6"/>
  <c r="C208" i="6"/>
  <c r="AB208" i="6"/>
  <c r="O208" i="6"/>
  <c r="B208" i="6"/>
  <c r="AA208" i="6"/>
  <c r="N208" i="6"/>
  <c r="Z208" i="6"/>
  <c r="M208" i="6"/>
  <c r="A208" i="6"/>
  <c r="Y208" i="6"/>
  <c r="L208" i="6"/>
  <c r="X208" i="6"/>
  <c r="K208" i="6"/>
  <c r="W208" i="6"/>
  <c r="J208" i="6"/>
  <c r="T208" i="6"/>
  <c r="R208" i="6"/>
  <c r="G208" i="6"/>
  <c r="E208" i="6"/>
  <c r="G209" i="6"/>
  <c r="F209" i="6"/>
  <c r="D209" i="6"/>
  <c r="C209" i="6"/>
  <c r="B209" i="6"/>
  <c r="A209" i="6"/>
  <c r="E209" i="6"/>
  <c r="C233" i="6"/>
  <c r="B233" i="6"/>
  <c r="D233" i="6"/>
  <c r="A233" i="6"/>
  <c r="B169" i="6"/>
  <c r="F169" i="6"/>
  <c r="D169" i="6"/>
  <c r="C169" i="6"/>
  <c r="A169" i="6"/>
  <c r="E169" i="6"/>
  <c r="G169" i="6"/>
  <c r="G172" i="6"/>
  <c r="B172" i="6"/>
  <c r="H172" i="6"/>
  <c r="I172" i="6"/>
  <c r="F172" i="6"/>
  <c r="E172" i="6"/>
  <c r="D172" i="6"/>
  <c r="C172" i="6"/>
  <c r="A172" i="6"/>
  <c r="G192" i="6"/>
  <c r="E192" i="6"/>
  <c r="C192" i="6"/>
  <c r="B192" i="6"/>
  <c r="F192" i="6"/>
  <c r="D192" i="6"/>
  <c r="A192" i="6"/>
  <c r="G195" i="6"/>
  <c r="E195" i="6"/>
  <c r="C195" i="6"/>
  <c r="B195" i="6"/>
  <c r="F195" i="6"/>
  <c r="D195" i="6"/>
  <c r="A195" i="6"/>
  <c r="G216" i="6"/>
  <c r="E216" i="6"/>
  <c r="C216" i="6"/>
  <c r="B216" i="6"/>
  <c r="A216" i="6"/>
  <c r="F216" i="6"/>
  <c r="D216" i="6"/>
  <c r="D228" i="6"/>
  <c r="C228" i="6"/>
  <c r="B228" i="6"/>
  <c r="A228" i="6"/>
  <c r="F175" i="6"/>
  <c r="D175" i="6"/>
  <c r="A175" i="6"/>
  <c r="G175" i="6"/>
  <c r="E175" i="6"/>
  <c r="C175" i="6"/>
  <c r="B175" i="6"/>
  <c r="F178" i="6"/>
  <c r="D178" i="6"/>
  <c r="A178" i="6"/>
  <c r="G178" i="6"/>
  <c r="I178" i="6"/>
  <c r="E178" i="6"/>
  <c r="C178" i="6"/>
  <c r="B178" i="6"/>
  <c r="H178" i="6"/>
  <c r="F198" i="6"/>
  <c r="D198" i="6"/>
  <c r="B198" i="6"/>
  <c r="A198" i="6"/>
  <c r="G198" i="6"/>
  <c r="E198" i="6"/>
  <c r="C198" i="6"/>
  <c r="B227" i="6"/>
  <c r="A227" i="6"/>
  <c r="D229" i="6"/>
  <c r="C229" i="6"/>
  <c r="B229" i="6"/>
  <c r="A229" i="6"/>
  <c r="D230" i="6"/>
  <c r="C230" i="6"/>
  <c r="B230" i="6"/>
  <c r="A230" i="6"/>
  <c r="D231" i="6"/>
  <c r="C231" i="6"/>
  <c r="B231" i="6"/>
  <c r="A231" i="6"/>
  <c r="D232" i="6"/>
  <c r="C232" i="6"/>
  <c r="B232" i="6"/>
  <c r="A232" i="6"/>
  <c r="C210" i="6"/>
  <c r="F210" i="6"/>
  <c r="D210" i="6"/>
  <c r="A210" i="6"/>
  <c r="G210" i="6"/>
  <c r="B210" i="6"/>
  <c r="E210" i="6"/>
  <c r="A223" i="6"/>
  <c r="E223" i="6"/>
  <c r="C223" i="6"/>
  <c r="B223" i="6"/>
  <c r="G223" i="6"/>
  <c r="F223" i="6"/>
  <c r="D223" i="6"/>
  <c r="A236" i="6"/>
  <c r="C236" i="6"/>
  <c r="B236" i="6"/>
  <c r="D236" i="6"/>
  <c r="A226" i="6"/>
  <c r="C193" i="6"/>
  <c r="G193" i="6"/>
  <c r="F193" i="6"/>
  <c r="D193" i="6"/>
  <c r="E193" i="6"/>
  <c r="B193" i="6"/>
  <c r="A193" i="6"/>
  <c r="C196" i="6"/>
  <c r="I196" i="6"/>
  <c r="H196" i="6"/>
  <c r="G196" i="6"/>
  <c r="F196" i="6"/>
  <c r="D196" i="6"/>
  <c r="E196" i="6"/>
  <c r="B196" i="6"/>
  <c r="A196" i="6"/>
  <c r="W211" i="6"/>
  <c r="K211" i="6"/>
  <c r="AC211" i="6"/>
  <c r="P211" i="6"/>
  <c r="C211" i="6"/>
  <c r="AA211" i="6"/>
  <c r="N211" i="6"/>
  <c r="Y211" i="6"/>
  <c r="L211" i="6"/>
  <c r="X211" i="6"/>
  <c r="J211" i="6"/>
  <c r="V211" i="6"/>
  <c r="I211" i="6"/>
  <c r="U211" i="6"/>
  <c r="H211" i="6"/>
  <c r="T211" i="6"/>
  <c r="G211" i="6"/>
  <c r="S211" i="6"/>
  <c r="F211" i="6"/>
  <c r="R211" i="6"/>
  <c r="E211" i="6"/>
  <c r="AD211" i="6"/>
  <c r="Q211" i="6"/>
  <c r="D211" i="6"/>
  <c r="AB211" i="6"/>
  <c r="Z211" i="6"/>
  <c r="O211" i="6"/>
  <c r="M211" i="6"/>
  <c r="B211" i="6"/>
  <c r="A211" i="6"/>
  <c r="C212" i="6"/>
  <c r="G212" i="6"/>
  <c r="F212" i="6"/>
  <c r="E212" i="6"/>
  <c r="D212" i="6"/>
  <c r="B212" i="6"/>
  <c r="A212" i="6"/>
  <c r="Y173" i="6"/>
  <c r="M173" i="6"/>
  <c r="T173" i="6"/>
  <c r="H173" i="6"/>
  <c r="S173" i="6"/>
  <c r="G173" i="6"/>
  <c r="Z173" i="6"/>
  <c r="N173" i="6"/>
  <c r="B173" i="6"/>
  <c r="AD173" i="6"/>
  <c r="L173" i="6"/>
  <c r="AB173" i="6"/>
  <c r="J173" i="6"/>
  <c r="AA173" i="6"/>
  <c r="I173" i="6"/>
  <c r="X173" i="6"/>
  <c r="F173" i="6"/>
  <c r="W173" i="6"/>
  <c r="E173" i="6"/>
  <c r="V173" i="6"/>
  <c r="D173" i="6"/>
  <c r="U173" i="6"/>
  <c r="C173" i="6"/>
  <c r="R173" i="6"/>
  <c r="A173" i="6"/>
  <c r="Q173" i="6"/>
  <c r="P173" i="6"/>
  <c r="AC173" i="6"/>
  <c r="O173" i="6"/>
  <c r="K173" i="6"/>
  <c r="G182" i="6"/>
  <c r="D182" i="6"/>
  <c r="B182" i="6"/>
  <c r="F182" i="6"/>
  <c r="E182" i="6"/>
  <c r="C182" i="6"/>
  <c r="A182" i="6"/>
  <c r="U204" i="6"/>
  <c r="I204" i="6"/>
  <c r="AA204" i="6"/>
  <c r="N204" i="6"/>
  <c r="Y204" i="6"/>
  <c r="L204" i="6"/>
  <c r="W204" i="6"/>
  <c r="J204" i="6"/>
  <c r="V204" i="6"/>
  <c r="H204" i="6"/>
  <c r="T204" i="6"/>
  <c r="G204" i="6"/>
  <c r="S204" i="6"/>
  <c r="F204" i="6"/>
  <c r="R204" i="6"/>
  <c r="E204" i="6"/>
  <c r="AD204" i="6"/>
  <c r="Q204" i="6"/>
  <c r="D204" i="6"/>
  <c r="AB204" i="6"/>
  <c r="O204" i="6"/>
  <c r="B204" i="6"/>
  <c r="AC204" i="6"/>
  <c r="Z204" i="6"/>
  <c r="X204" i="6"/>
  <c r="P204" i="6"/>
  <c r="M204" i="6"/>
  <c r="K204" i="6"/>
  <c r="C204" i="6"/>
  <c r="A204" i="6"/>
  <c r="G205" i="6"/>
  <c r="F205" i="6"/>
  <c r="E205" i="6"/>
  <c r="D205" i="6"/>
  <c r="B205" i="6"/>
  <c r="C205" i="6"/>
  <c r="A205" i="6"/>
  <c r="S220" i="6"/>
  <c r="G220" i="6"/>
  <c r="AA220" i="6"/>
  <c r="N220" i="6"/>
  <c r="Y220" i="6"/>
  <c r="L220" i="6"/>
  <c r="X220" i="6"/>
  <c r="K220" i="6"/>
  <c r="W220" i="6"/>
  <c r="J220" i="6"/>
  <c r="V220" i="6"/>
  <c r="I220" i="6"/>
  <c r="U220" i="6"/>
  <c r="H220" i="6"/>
  <c r="T220" i="6"/>
  <c r="F220" i="6"/>
  <c r="R220" i="6"/>
  <c r="E220" i="6"/>
  <c r="AD220" i="6"/>
  <c r="Q220" i="6"/>
  <c r="D220" i="6"/>
  <c r="AC220" i="6"/>
  <c r="P220" i="6"/>
  <c r="C220" i="6"/>
  <c r="AB220" i="6"/>
  <c r="O220" i="6"/>
  <c r="B220" i="6"/>
  <c r="Z220" i="6"/>
  <c r="M220" i="6"/>
  <c r="A220" i="6"/>
  <c r="F221" i="6"/>
  <c r="E221" i="6"/>
  <c r="G221" i="6"/>
  <c r="D221" i="6"/>
  <c r="C221" i="6"/>
  <c r="B221" i="6"/>
  <c r="A221" i="6"/>
  <c r="T224" i="6"/>
  <c r="H224" i="6"/>
  <c r="S224" i="6"/>
  <c r="G224" i="6"/>
  <c r="AC224" i="6"/>
  <c r="O224" i="6"/>
  <c r="AA224" i="6"/>
  <c r="M224" i="6"/>
  <c r="Z224" i="6"/>
  <c r="L224" i="6"/>
  <c r="Y224" i="6"/>
  <c r="K224" i="6"/>
  <c r="X224" i="6"/>
  <c r="J224" i="6"/>
  <c r="W224" i="6"/>
  <c r="I224" i="6"/>
  <c r="V224" i="6"/>
  <c r="F224" i="6"/>
  <c r="U224" i="6"/>
  <c r="E224" i="6"/>
  <c r="R224" i="6"/>
  <c r="D224" i="6"/>
  <c r="Q224" i="6"/>
  <c r="C224" i="6"/>
  <c r="AD224" i="6"/>
  <c r="P224" i="6"/>
  <c r="B224" i="6"/>
  <c r="AB224" i="6"/>
  <c r="N224" i="6"/>
  <c r="A224" i="6"/>
  <c r="D237" i="6"/>
  <c r="B237" i="6"/>
  <c r="C237" i="6"/>
  <c r="A237" i="6"/>
  <c r="A238" i="6"/>
  <c r="B238" i="6"/>
  <c r="G207" i="6"/>
  <c r="F207" i="6"/>
  <c r="E207" i="6"/>
  <c r="D207" i="6"/>
  <c r="C207" i="6"/>
  <c r="A207" i="6"/>
  <c r="B207" i="6"/>
  <c r="Y214" i="6"/>
  <c r="M214" i="6"/>
  <c r="W214" i="6"/>
  <c r="J214" i="6"/>
  <c r="U214" i="6"/>
  <c r="H214" i="6"/>
  <c r="S214" i="6"/>
  <c r="F214" i="6"/>
  <c r="R214" i="6"/>
  <c r="E214" i="6"/>
  <c r="AD214" i="6"/>
  <c r="Q214" i="6"/>
  <c r="D214" i="6"/>
  <c r="AC214" i="6"/>
  <c r="P214" i="6"/>
  <c r="C214" i="6"/>
  <c r="AB214" i="6"/>
  <c r="O214" i="6"/>
  <c r="B214" i="6"/>
  <c r="AA214" i="6"/>
  <c r="N214" i="6"/>
  <c r="A214" i="6"/>
  <c r="Z214" i="6"/>
  <c r="L214" i="6"/>
  <c r="X214" i="6"/>
  <c r="K214" i="6"/>
  <c r="V214" i="6"/>
  <c r="T214" i="6"/>
  <c r="I214" i="6"/>
  <c r="G214" i="6"/>
  <c r="F218" i="6"/>
  <c r="D218" i="6"/>
  <c r="B218" i="6"/>
  <c r="A218" i="6"/>
  <c r="G218" i="6"/>
  <c r="E218" i="6"/>
  <c r="C218" i="6"/>
  <c r="Z222" i="6"/>
  <c r="N222" i="6"/>
  <c r="B222" i="6"/>
  <c r="Y222" i="6"/>
  <c r="M222" i="6"/>
  <c r="AC222" i="6"/>
  <c r="O222" i="6"/>
  <c r="AA222" i="6"/>
  <c r="K222" i="6"/>
  <c r="X222" i="6"/>
  <c r="J222" i="6"/>
  <c r="W222" i="6"/>
  <c r="I222" i="6"/>
  <c r="V222" i="6"/>
  <c r="H222" i="6"/>
  <c r="U222" i="6"/>
  <c r="G222" i="6"/>
  <c r="T222" i="6"/>
  <c r="F222" i="6"/>
  <c r="S222" i="6"/>
  <c r="E222" i="6"/>
  <c r="R222" i="6"/>
  <c r="D222" i="6"/>
  <c r="Q222" i="6"/>
  <c r="C222" i="6"/>
  <c r="AD222" i="6"/>
  <c r="P222" i="6"/>
  <c r="A222" i="6"/>
  <c r="L222" i="6"/>
  <c r="AB222" i="6"/>
  <c r="B234" i="6"/>
  <c r="D234" i="6"/>
  <c r="C234" i="6"/>
  <c r="A234" i="6"/>
  <c r="A235" i="6"/>
  <c r="D235" i="6"/>
  <c r="C235" i="6"/>
  <c r="B235" i="6"/>
  <c r="BK11" i="4"/>
  <c r="BH11" i="4"/>
  <c r="BG11" i="4"/>
  <c r="BC11" i="4"/>
  <c r="BA11" i="4" s="1"/>
  <c r="BE11" i="4"/>
  <c r="BD11" i="4"/>
  <c r="BB11" i="4" s="1"/>
  <c r="BJ11" i="4"/>
  <c r="BI11" i="4"/>
  <c r="BF11" i="4"/>
  <c r="AE11" i="4"/>
  <c r="BD40" i="4"/>
  <c r="BB40" i="4" s="1"/>
  <c r="BC40" i="4"/>
  <c r="BA40" i="4" s="1"/>
  <c r="BK40" i="4"/>
  <c r="BJ40" i="4"/>
  <c r="AE40" i="4"/>
  <c r="BI40" i="4"/>
  <c r="BH40" i="4"/>
  <c r="BF40" i="4"/>
  <c r="BE40" i="4"/>
  <c r="BG40" i="4"/>
  <c r="BC69" i="4"/>
  <c r="BA69" i="4" s="1"/>
  <c r="BK69" i="4"/>
  <c r="BJ69" i="4"/>
  <c r="AE69" i="4"/>
  <c r="BI69" i="4"/>
  <c r="BH69" i="4"/>
  <c r="BG69" i="4"/>
  <c r="BF69" i="4"/>
  <c r="BE69" i="4"/>
  <c r="BD69" i="4"/>
  <c r="BB69" i="4" s="1"/>
  <c r="BJ99" i="4"/>
  <c r="AE99" i="4"/>
  <c r="BG99" i="4"/>
  <c r="BF99" i="4"/>
  <c r="BE99" i="4"/>
  <c r="BD99" i="4"/>
  <c r="BB99" i="4" s="1"/>
  <c r="BC99" i="4"/>
  <c r="BA99" i="4" s="1"/>
  <c r="BK99" i="4"/>
  <c r="BI99" i="4"/>
  <c r="BH99" i="4"/>
  <c r="BJ126" i="4"/>
  <c r="AE126" i="4"/>
  <c r="BG126" i="4"/>
  <c r="BD126" i="4"/>
  <c r="BB126" i="4" s="1"/>
  <c r="BC126" i="4"/>
  <c r="BA126" i="4" s="1"/>
  <c r="BK126" i="4"/>
  <c r="BI126" i="4"/>
  <c r="BH126" i="4"/>
  <c r="BF126" i="4"/>
  <c r="BE126" i="4"/>
  <c r="BI155" i="4"/>
  <c r="BF155" i="4"/>
  <c r="BC155" i="4"/>
  <c r="BA155" i="4" s="1"/>
  <c r="BK155" i="4"/>
  <c r="BJ155" i="4"/>
  <c r="AE155" i="4"/>
  <c r="BH155" i="4"/>
  <c r="BG155" i="4"/>
  <c r="BE155" i="4"/>
  <c r="BD155" i="4"/>
  <c r="BB155" i="4" s="1"/>
  <c r="BH184" i="4"/>
  <c r="BG184" i="4"/>
  <c r="BE184" i="4"/>
  <c r="BK184" i="4"/>
  <c r="BJ184" i="4"/>
  <c r="AE184" i="4"/>
  <c r="BI184" i="4"/>
  <c r="BF184" i="4"/>
  <c r="BD184" i="4"/>
  <c r="BB184" i="4" s="1"/>
  <c r="BC184" i="4"/>
  <c r="BA184" i="4" s="1"/>
  <c r="BK213" i="4"/>
  <c r="BG213" i="4"/>
  <c r="BF213" i="4"/>
  <c r="BE213" i="4"/>
  <c r="BD213" i="4"/>
  <c r="BB213" i="4" s="1"/>
  <c r="BC213" i="4"/>
  <c r="BA213" i="4" s="1"/>
  <c r="BJ213" i="4"/>
  <c r="AE213" i="4"/>
  <c r="BI213" i="4"/>
  <c r="BH213" i="4"/>
  <c r="BK246" i="4"/>
  <c r="BH246" i="4"/>
  <c r="BG246" i="4"/>
  <c r="BD246" i="4"/>
  <c r="BB246" i="4" s="1"/>
  <c r="BC246" i="4"/>
  <c r="BA246" i="4" s="1"/>
  <c r="AE246" i="4"/>
  <c r="BJ246" i="4"/>
  <c r="BI246" i="4"/>
  <c r="BF246" i="4"/>
  <c r="BE246" i="4"/>
  <c r="BK282" i="4"/>
  <c r="BJ282" i="4"/>
  <c r="AE282" i="4"/>
  <c r="BH282" i="4"/>
  <c r="BG282" i="4"/>
  <c r="BF282" i="4"/>
  <c r="BE282" i="4"/>
  <c r="BD282" i="4"/>
  <c r="BB282" i="4" s="1"/>
  <c r="BC282" i="4"/>
  <c r="BA282" i="4" s="1"/>
  <c r="BI282" i="4"/>
  <c r="BC318" i="4"/>
  <c r="BA318" i="4" s="1"/>
  <c r="BI318" i="4"/>
  <c r="BH318" i="4"/>
  <c r="BE318" i="4"/>
  <c r="BD318" i="4"/>
  <c r="BB318" i="4" s="1"/>
  <c r="BF318" i="4"/>
  <c r="AE318" i="4"/>
  <c r="BK318" i="4"/>
  <c r="BJ318" i="4"/>
  <c r="BG318" i="4"/>
  <c r="BC354" i="4"/>
  <c r="BA354" i="4" s="1"/>
  <c r="BI354" i="4"/>
  <c r="BH354" i="4"/>
  <c r="BE354" i="4"/>
  <c r="BD354" i="4"/>
  <c r="BB354" i="4" s="1"/>
  <c r="AE354" i="4"/>
  <c r="BK354" i="4"/>
  <c r="BJ354" i="4"/>
  <c r="BG354" i="4"/>
  <c r="BF354" i="4"/>
  <c r="BJ400" i="4"/>
  <c r="AE400" i="4"/>
  <c r="BG400" i="4"/>
  <c r="BF400" i="4"/>
  <c r="BE400" i="4"/>
  <c r="BC400" i="4"/>
  <c r="BA400" i="4" s="1"/>
  <c r="BK400" i="4"/>
  <c r="BI400" i="4"/>
  <c r="BH400" i="4"/>
  <c r="BD400" i="4"/>
  <c r="BB400" i="4" s="1"/>
  <c r="BF448" i="4"/>
  <c r="BC448" i="4"/>
  <c r="BA448" i="4" s="1"/>
  <c r="BK448" i="4"/>
  <c r="BG448" i="4"/>
  <c r="AE448" i="4"/>
  <c r="BJ448" i="4"/>
  <c r="BI448" i="4"/>
  <c r="BH448" i="4"/>
  <c r="BE448" i="4"/>
  <c r="BD448" i="4"/>
  <c r="BB448" i="4" s="1"/>
  <c r="BH496" i="4"/>
  <c r="BI496" i="4"/>
  <c r="BK496" i="4"/>
  <c r="BJ496" i="4"/>
  <c r="BG496" i="4"/>
  <c r="BF496" i="4"/>
  <c r="BE496" i="4"/>
  <c r="BD496" i="4"/>
  <c r="BB496" i="4" s="1"/>
  <c r="BC496" i="4"/>
  <c r="BA496" i="4" s="1"/>
  <c r="AE496" i="4"/>
  <c r="BH544" i="4"/>
  <c r="BE544" i="4"/>
  <c r="BD544" i="4"/>
  <c r="BB544" i="4" s="1"/>
  <c r="BJ544" i="4"/>
  <c r="BI544" i="4"/>
  <c r="BK544" i="4"/>
  <c r="AE544" i="4"/>
  <c r="BG544" i="4"/>
  <c r="BF544" i="4"/>
  <c r="BC544" i="4"/>
  <c r="BA544" i="4" s="1"/>
  <c r="BC592" i="4"/>
  <c r="BA592" i="4" s="1"/>
  <c r="BH592" i="4"/>
  <c r="BD592" i="4"/>
  <c r="BB592" i="4" s="1"/>
  <c r="BK592" i="4"/>
  <c r="BJ592" i="4"/>
  <c r="BF592" i="4"/>
  <c r="BI592" i="4"/>
  <c r="AE592" i="4"/>
  <c r="BG592" i="4"/>
  <c r="BE592" i="4"/>
  <c r="BK15" i="4"/>
  <c r="BH15" i="4"/>
  <c r="BE15" i="4"/>
  <c r="BD15" i="4"/>
  <c r="BB15" i="4" s="1"/>
  <c r="BJ15" i="4"/>
  <c r="BI15" i="4"/>
  <c r="BC15" i="4"/>
  <c r="BA15" i="4" s="1"/>
  <c r="AE15" i="4"/>
  <c r="BG15" i="4"/>
  <c r="BF15" i="4"/>
  <c r="BF42" i="4"/>
  <c r="BE42" i="4"/>
  <c r="BD42" i="4"/>
  <c r="BB42" i="4" s="1"/>
  <c r="BC42" i="4"/>
  <c r="BA42" i="4" s="1"/>
  <c r="BK42" i="4"/>
  <c r="BJ42" i="4"/>
  <c r="AE42" i="4"/>
  <c r="BH42" i="4"/>
  <c r="BG42" i="4"/>
  <c r="BI42" i="4"/>
  <c r="BE71" i="4"/>
  <c r="BD71" i="4"/>
  <c r="BB71" i="4" s="1"/>
  <c r="BC71" i="4"/>
  <c r="BA71" i="4" s="1"/>
  <c r="BK71" i="4"/>
  <c r="BJ71" i="4"/>
  <c r="AE71" i="4"/>
  <c r="BI71" i="4"/>
  <c r="BH71" i="4"/>
  <c r="BG71" i="4"/>
  <c r="BF71" i="4"/>
  <c r="BH100" i="4"/>
  <c r="BE100" i="4"/>
  <c r="BI100" i="4"/>
  <c r="BJ100" i="4"/>
  <c r="BG100" i="4"/>
  <c r="BF100" i="4"/>
  <c r="BD100" i="4"/>
  <c r="BB100" i="4" s="1"/>
  <c r="BC100" i="4"/>
  <c r="BA100" i="4" s="1"/>
  <c r="AE100" i="4"/>
  <c r="BK100" i="4"/>
  <c r="BG129" i="4"/>
  <c r="BD129" i="4"/>
  <c r="BB129" i="4" s="1"/>
  <c r="BI129" i="4"/>
  <c r="BH129" i="4"/>
  <c r="BK129" i="4"/>
  <c r="BJ129" i="4"/>
  <c r="BF129" i="4"/>
  <c r="BE129" i="4"/>
  <c r="BC129" i="4"/>
  <c r="BA129" i="4" s="1"/>
  <c r="AE129" i="4"/>
  <c r="BJ159" i="4"/>
  <c r="AE159" i="4"/>
  <c r="BG159" i="4"/>
  <c r="BF159" i="4"/>
  <c r="BC159" i="4"/>
  <c r="BA159" i="4" s="1"/>
  <c r="BE159" i="4"/>
  <c r="BD159" i="4"/>
  <c r="BB159" i="4" s="1"/>
  <c r="BK159" i="4"/>
  <c r="BI159" i="4"/>
  <c r="BH159" i="4"/>
  <c r="BJ186" i="4"/>
  <c r="AE186" i="4"/>
  <c r="BI186" i="4"/>
  <c r="BG186" i="4"/>
  <c r="BD186" i="4"/>
  <c r="BB186" i="4" s="1"/>
  <c r="BC186" i="4"/>
  <c r="BA186" i="4" s="1"/>
  <c r="BK186" i="4"/>
  <c r="BH186" i="4"/>
  <c r="BF186" i="4"/>
  <c r="BE186" i="4"/>
  <c r="BG215" i="4"/>
  <c r="BF215" i="4"/>
  <c r="BC215" i="4"/>
  <c r="BA215" i="4" s="1"/>
  <c r="AE215" i="4"/>
  <c r="BK215" i="4"/>
  <c r="BJ215" i="4"/>
  <c r="BI215" i="4"/>
  <c r="BH215" i="4"/>
  <c r="BE215" i="4"/>
  <c r="BD215" i="4"/>
  <c r="BB215" i="4" s="1"/>
  <c r="BJ251" i="4"/>
  <c r="AE251" i="4"/>
  <c r="BG251" i="4"/>
  <c r="BF251" i="4"/>
  <c r="BE251" i="4"/>
  <c r="BC251" i="4"/>
  <c r="BA251" i="4" s="1"/>
  <c r="BK251" i="4"/>
  <c r="BI251" i="4"/>
  <c r="BH251" i="4"/>
  <c r="BD251" i="4"/>
  <c r="BB251" i="4" s="1"/>
  <c r="BK287" i="4"/>
  <c r="BJ287" i="4"/>
  <c r="AE287" i="4"/>
  <c r="BI287" i="4"/>
  <c r="BH287" i="4"/>
  <c r="BG287" i="4"/>
  <c r="BF287" i="4"/>
  <c r="BE287" i="4"/>
  <c r="BD287" i="4"/>
  <c r="BB287" i="4" s="1"/>
  <c r="BC287" i="4"/>
  <c r="BA287" i="4" s="1"/>
  <c r="BK323" i="4"/>
  <c r="BH323" i="4"/>
  <c r="BG323" i="4"/>
  <c r="BD323" i="4"/>
  <c r="BB323" i="4" s="1"/>
  <c r="BC323" i="4"/>
  <c r="BA323" i="4" s="1"/>
  <c r="AE323" i="4"/>
  <c r="BJ323" i="4"/>
  <c r="BI323" i="4"/>
  <c r="BF323" i="4"/>
  <c r="BE323" i="4"/>
  <c r="BK359" i="4"/>
  <c r="BH359" i="4"/>
  <c r="BG359" i="4"/>
  <c r="BD359" i="4"/>
  <c r="BB359" i="4" s="1"/>
  <c r="BC359" i="4"/>
  <c r="BA359" i="4" s="1"/>
  <c r="BJ359" i="4"/>
  <c r="BI359" i="4"/>
  <c r="BF359" i="4"/>
  <c r="BE359" i="4"/>
  <c r="AE359" i="4"/>
  <c r="BK407" i="4"/>
  <c r="BH407" i="4"/>
  <c r="BG407" i="4"/>
  <c r="BF407" i="4"/>
  <c r="BE407" i="4"/>
  <c r="BD407" i="4"/>
  <c r="BB407" i="4" s="1"/>
  <c r="BC407" i="4"/>
  <c r="BA407" i="4" s="1"/>
  <c r="BJ407" i="4"/>
  <c r="BI407" i="4"/>
  <c r="AE407" i="4"/>
  <c r="BG455" i="4"/>
  <c r="BD455" i="4"/>
  <c r="BB455" i="4" s="1"/>
  <c r="BC455" i="4"/>
  <c r="BA455" i="4" s="1"/>
  <c r="BH455" i="4"/>
  <c r="AE455" i="4"/>
  <c r="BK455" i="4"/>
  <c r="BJ455" i="4"/>
  <c r="BI455" i="4"/>
  <c r="BF455" i="4"/>
  <c r="BE455" i="4"/>
  <c r="BI503" i="4"/>
  <c r="BC503" i="4"/>
  <c r="BA503" i="4" s="1"/>
  <c r="BJ503" i="4"/>
  <c r="AE503" i="4"/>
  <c r="BK503" i="4"/>
  <c r="BH503" i="4"/>
  <c r="BG503" i="4"/>
  <c r="BF503" i="4"/>
  <c r="BE503" i="4"/>
  <c r="BD503" i="4"/>
  <c r="BB503" i="4" s="1"/>
  <c r="BI551" i="4"/>
  <c r="BF551" i="4"/>
  <c r="BE551" i="4"/>
  <c r="AE551" i="4"/>
  <c r="BG551" i="4"/>
  <c r="BD551" i="4"/>
  <c r="BB551" i="4" s="1"/>
  <c r="BK551" i="4"/>
  <c r="BJ551" i="4"/>
  <c r="BH551" i="4"/>
  <c r="BC551" i="4"/>
  <c r="BA551" i="4" s="1"/>
  <c r="BD599" i="4"/>
  <c r="BB599" i="4" s="1"/>
  <c r="BI599" i="4"/>
  <c r="BH599" i="4"/>
  <c r="BG599" i="4"/>
  <c r="BC599" i="4"/>
  <c r="BA599" i="4" s="1"/>
  <c r="BF599" i="4"/>
  <c r="BE599" i="4"/>
  <c r="BJ599" i="4"/>
  <c r="BK599" i="4"/>
  <c r="AE599" i="4"/>
  <c r="BF16" i="4"/>
  <c r="BC16" i="4"/>
  <c r="BA16" i="4" s="1"/>
  <c r="BK16" i="4"/>
  <c r="BH16" i="4"/>
  <c r="BG16" i="4"/>
  <c r="BE16" i="4"/>
  <c r="BD16" i="4"/>
  <c r="BB16" i="4" s="1"/>
  <c r="AE16" i="4"/>
  <c r="BJ16" i="4"/>
  <c r="BI16" i="4"/>
  <c r="BC45" i="4"/>
  <c r="BA45" i="4" s="1"/>
  <c r="BK45" i="4"/>
  <c r="BJ45" i="4"/>
  <c r="AE45" i="4"/>
  <c r="BI45" i="4"/>
  <c r="BH45" i="4"/>
  <c r="BG45" i="4"/>
  <c r="BE45" i="4"/>
  <c r="BD45" i="4"/>
  <c r="BB45" i="4" s="1"/>
  <c r="BF45" i="4"/>
  <c r="BI75" i="4"/>
  <c r="BH75" i="4"/>
  <c r="BG75" i="4"/>
  <c r="BF75" i="4"/>
  <c r="BE75" i="4"/>
  <c r="BD75" i="4"/>
  <c r="BB75" i="4" s="1"/>
  <c r="BC75" i="4"/>
  <c r="BA75" i="4" s="1"/>
  <c r="BK75" i="4"/>
  <c r="BJ75" i="4"/>
  <c r="AE75" i="4"/>
  <c r="BJ102" i="4"/>
  <c r="AE102" i="4"/>
  <c r="BG102" i="4"/>
  <c r="BD102" i="4"/>
  <c r="BB102" i="4" s="1"/>
  <c r="BC102" i="4"/>
  <c r="BA102" i="4" s="1"/>
  <c r="BK102" i="4"/>
  <c r="BI102" i="4"/>
  <c r="BH102" i="4"/>
  <c r="BF102" i="4"/>
  <c r="BE102" i="4"/>
  <c r="BI131" i="4"/>
  <c r="BF131" i="4"/>
  <c r="BC131" i="4"/>
  <c r="BA131" i="4" s="1"/>
  <c r="BK131" i="4"/>
  <c r="BJ131" i="4"/>
  <c r="AE131" i="4"/>
  <c r="BH131" i="4"/>
  <c r="BG131" i="4"/>
  <c r="BE131" i="4"/>
  <c r="BD131" i="4"/>
  <c r="BB131" i="4" s="1"/>
  <c r="BH160" i="4"/>
  <c r="BE160" i="4"/>
  <c r="BJ160" i="4"/>
  <c r="AE160" i="4"/>
  <c r="BI160" i="4"/>
  <c r="BK160" i="4"/>
  <c r="BG160" i="4"/>
  <c r="BF160" i="4"/>
  <c r="BD160" i="4"/>
  <c r="BB160" i="4" s="1"/>
  <c r="BC160" i="4"/>
  <c r="BA160" i="4" s="1"/>
  <c r="BG189" i="4"/>
  <c r="BF189" i="4"/>
  <c r="BD189" i="4"/>
  <c r="BB189" i="4" s="1"/>
  <c r="BK189" i="4"/>
  <c r="BJ189" i="4"/>
  <c r="AE189" i="4"/>
  <c r="BI189" i="4"/>
  <c r="BH189" i="4"/>
  <c r="BE189" i="4"/>
  <c r="BC189" i="4"/>
  <c r="BA189" i="4" s="1"/>
  <c r="BE219" i="4"/>
  <c r="BK219" i="4"/>
  <c r="BJ219" i="4"/>
  <c r="AE219" i="4"/>
  <c r="BG219" i="4"/>
  <c r="BF219" i="4"/>
  <c r="BH219" i="4"/>
  <c r="BD219" i="4"/>
  <c r="BB219" i="4" s="1"/>
  <c r="BC219" i="4"/>
  <c r="BA219" i="4" s="1"/>
  <c r="BI219" i="4"/>
  <c r="BE255" i="4"/>
  <c r="BD255" i="4"/>
  <c r="BB255" i="4" s="1"/>
  <c r="BK255" i="4"/>
  <c r="BJ255" i="4"/>
  <c r="AE255" i="4"/>
  <c r="BI255" i="4"/>
  <c r="BG255" i="4"/>
  <c r="BF255" i="4"/>
  <c r="BH255" i="4"/>
  <c r="BC255" i="4"/>
  <c r="BA255" i="4" s="1"/>
  <c r="BE291" i="4"/>
  <c r="BD291" i="4"/>
  <c r="BB291" i="4" s="1"/>
  <c r="BC291" i="4"/>
  <c r="BA291" i="4" s="1"/>
  <c r="BK291" i="4"/>
  <c r="BJ291" i="4"/>
  <c r="AE291" i="4"/>
  <c r="BI291" i="4"/>
  <c r="BH291" i="4"/>
  <c r="BG291" i="4"/>
  <c r="BF291" i="4"/>
  <c r="BF327" i="4"/>
  <c r="BC327" i="4"/>
  <c r="BA327" i="4" s="1"/>
  <c r="BK327" i="4"/>
  <c r="BH327" i="4"/>
  <c r="BG327" i="4"/>
  <c r="BJ327" i="4"/>
  <c r="BI327" i="4"/>
  <c r="BE327" i="4"/>
  <c r="BD327" i="4"/>
  <c r="BB327" i="4" s="1"/>
  <c r="AE327" i="4"/>
  <c r="BF363" i="4"/>
  <c r="BC363" i="4"/>
  <c r="BA363" i="4" s="1"/>
  <c r="BK363" i="4"/>
  <c r="BH363" i="4"/>
  <c r="BG363" i="4"/>
  <c r="BJ363" i="4"/>
  <c r="BI363" i="4"/>
  <c r="BE363" i="4"/>
  <c r="BD363" i="4"/>
  <c r="BB363" i="4" s="1"/>
  <c r="AE363" i="4"/>
  <c r="BK411" i="4"/>
  <c r="BD411" i="4"/>
  <c r="BB411" i="4" s="1"/>
  <c r="BJ411" i="4"/>
  <c r="BG411" i="4"/>
  <c r="BC411" i="4"/>
  <c r="BA411" i="4" s="1"/>
  <c r="AE411" i="4"/>
  <c r="BI411" i="4"/>
  <c r="BH411" i="4"/>
  <c r="BF411" i="4"/>
  <c r="BE411" i="4"/>
  <c r="BK459" i="4"/>
  <c r="BH459" i="4"/>
  <c r="BG459" i="4"/>
  <c r="BE459" i="4"/>
  <c r="BD459" i="4"/>
  <c r="BB459" i="4" s="1"/>
  <c r="AE459" i="4"/>
  <c r="BJ459" i="4"/>
  <c r="BI459" i="4"/>
  <c r="BF459" i="4"/>
  <c r="BC459" i="4"/>
  <c r="BA459" i="4" s="1"/>
  <c r="BG507" i="4"/>
  <c r="BF507" i="4"/>
  <c r="BJ507" i="4"/>
  <c r="BI507" i="4"/>
  <c r="BH507" i="4"/>
  <c r="BE507" i="4"/>
  <c r="BD507" i="4"/>
  <c r="BB507" i="4" s="1"/>
  <c r="BC507" i="4"/>
  <c r="BA507" i="4" s="1"/>
  <c r="AE507" i="4"/>
  <c r="BK507" i="4"/>
  <c r="BJ555" i="4"/>
  <c r="AE555" i="4"/>
  <c r="BI555" i="4"/>
  <c r="BF555" i="4"/>
  <c r="BE555" i="4"/>
  <c r="BD555" i="4"/>
  <c r="BB555" i="4" s="1"/>
  <c r="BH555" i="4"/>
  <c r="BG555" i="4"/>
  <c r="BC555" i="4"/>
  <c r="BA555" i="4" s="1"/>
  <c r="BK555" i="4"/>
  <c r="BK18" i="4"/>
  <c r="BH18" i="4"/>
  <c r="BG18" i="4"/>
  <c r="BD18" i="4"/>
  <c r="BB18" i="4" s="1"/>
  <c r="BC18" i="4"/>
  <c r="BA18" i="4" s="1"/>
  <c r="BJ18" i="4"/>
  <c r="BE18" i="4"/>
  <c r="AE18" i="4"/>
  <c r="BF18" i="4"/>
  <c r="BI18" i="4"/>
  <c r="BE47" i="4"/>
  <c r="BD47" i="4"/>
  <c r="BB47" i="4" s="1"/>
  <c r="BC47" i="4"/>
  <c r="BA47" i="4" s="1"/>
  <c r="BK47" i="4"/>
  <c r="BJ47" i="4"/>
  <c r="AE47" i="4"/>
  <c r="BI47" i="4"/>
  <c r="BG47" i="4"/>
  <c r="BF47" i="4"/>
  <c r="BH47" i="4"/>
  <c r="BD76" i="4"/>
  <c r="BB76" i="4" s="1"/>
  <c r="BC76" i="4"/>
  <c r="BA76" i="4" s="1"/>
  <c r="BK76" i="4"/>
  <c r="BJ76" i="4"/>
  <c r="AE76" i="4"/>
  <c r="BI76" i="4"/>
  <c r="BH76" i="4"/>
  <c r="BG76" i="4"/>
  <c r="BF76" i="4"/>
  <c r="BE76" i="4"/>
  <c r="BG105" i="4"/>
  <c r="BD105" i="4"/>
  <c r="BB105" i="4" s="1"/>
  <c r="BI105" i="4"/>
  <c r="BH105" i="4"/>
  <c r="BE105" i="4"/>
  <c r="BC105" i="4"/>
  <c r="BA105" i="4" s="1"/>
  <c r="AE105" i="4"/>
  <c r="BK105" i="4"/>
  <c r="BJ105" i="4"/>
  <c r="BF105" i="4"/>
  <c r="BJ135" i="4"/>
  <c r="AE135" i="4"/>
  <c r="BG135" i="4"/>
  <c r="BF135" i="4"/>
  <c r="BC135" i="4"/>
  <c r="BA135" i="4" s="1"/>
  <c r="BK135" i="4"/>
  <c r="BI135" i="4"/>
  <c r="BH135" i="4"/>
  <c r="BE135" i="4"/>
  <c r="BD135" i="4"/>
  <c r="BB135" i="4" s="1"/>
  <c r="BJ162" i="4"/>
  <c r="AE162" i="4"/>
  <c r="BG162" i="4"/>
  <c r="BD162" i="4"/>
  <c r="BB162" i="4" s="1"/>
  <c r="BC162" i="4"/>
  <c r="BA162" i="4" s="1"/>
  <c r="BK162" i="4"/>
  <c r="BI162" i="4"/>
  <c r="BH162" i="4"/>
  <c r="BF162" i="4"/>
  <c r="BE162" i="4"/>
  <c r="BI191" i="4"/>
  <c r="BH191" i="4"/>
  <c r="BG191" i="4"/>
  <c r="BF191" i="4"/>
  <c r="BC191" i="4"/>
  <c r="BA191" i="4" s="1"/>
  <c r="BK191" i="4"/>
  <c r="BJ191" i="4"/>
  <c r="AE191" i="4"/>
  <c r="BE191" i="4"/>
  <c r="BD191" i="4"/>
  <c r="BB191" i="4" s="1"/>
  <c r="BI220" i="4"/>
  <c r="BF220" i="4"/>
  <c r="BE220" i="4"/>
  <c r="BK220" i="4"/>
  <c r="BJ220" i="4"/>
  <c r="BH220" i="4"/>
  <c r="BG220" i="4"/>
  <c r="BD220" i="4"/>
  <c r="BB220" i="4" s="1"/>
  <c r="BC220" i="4"/>
  <c r="BA220" i="4" s="1"/>
  <c r="AE220" i="4"/>
  <c r="BK256" i="4"/>
  <c r="BI256" i="4"/>
  <c r="BF256" i="4"/>
  <c r="BE256" i="4"/>
  <c r="BD256" i="4"/>
  <c r="BB256" i="4" s="1"/>
  <c r="BJ256" i="4"/>
  <c r="BH256" i="4"/>
  <c r="BG256" i="4"/>
  <c r="BC256" i="4"/>
  <c r="BA256" i="4" s="1"/>
  <c r="AE256" i="4"/>
  <c r="BK292" i="4"/>
  <c r="BJ292" i="4"/>
  <c r="AE292" i="4"/>
  <c r="BI292" i="4"/>
  <c r="BH292" i="4"/>
  <c r="BG292" i="4"/>
  <c r="BF292" i="4"/>
  <c r="BE292" i="4"/>
  <c r="BD292" i="4"/>
  <c r="BB292" i="4" s="1"/>
  <c r="BC292" i="4"/>
  <c r="BA292" i="4" s="1"/>
  <c r="BJ328" i="4"/>
  <c r="AE328" i="4"/>
  <c r="BG328" i="4"/>
  <c r="BF328" i="4"/>
  <c r="BC328" i="4"/>
  <c r="BA328" i="4" s="1"/>
  <c r="BK328" i="4"/>
  <c r="BI328" i="4"/>
  <c r="BH328" i="4"/>
  <c r="BE328" i="4"/>
  <c r="BD328" i="4"/>
  <c r="BB328" i="4" s="1"/>
  <c r="BJ364" i="4"/>
  <c r="AE364" i="4"/>
  <c r="BG364" i="4"/>
  <c r="BF364" i="4"/>
  <c r="BC364" i="4"/>
  <c r="BA364" i="4" s="1"/>
  <c r="BK364" i="4"/>
  <c r="BI364" i="4"/>
  <c r="BH364" i="4"/>
  <c r="BE364" i="4"/>
  <c r="BD364" i="4"/>
  <c r="BB364" i="4" s="1"/>
  <c r="BF412" i="4"/>
  <c r="BK412" i="4"/>
  <c r="BG412" i="4"/>
  <c r="BE412" i="4"/>
  <c r="BC412" i="4"/>
  <c r="BA412" i="4" s="1"/>
  <c r="AE412" i="4"/>
  <c r="BJ412" i="4"/>
  <c r="BI412" i="4"/>
  <c r="BH412" i="4"/>
  <c r="BD412" i="4"/>
  <c r="BB412" i="4" s="1"/>
  <c r="BF460" i="4"/>
  <c r="BC460" i="4"/>
  <c r="BA460" i="4" s="1"/>
  <c r="BK460" i="4"/>
  <c r="BH460" i="4"/>
  <c r="BG460" i="4"/>
  <c r="BE460" i="4"/>
  <c r="BD460" i="4"/>
  <c r="BB460" i="4" s="1"/>
  <c r="AE460" i="4"/>
  <c r="BJ460" i="4"/>
  <c r="BI460" i="4"/>
  <c r="BH508" i="4"/>
  <c r="BI508" i="4"/>
  <c r="BK508" i="4"/>
  <c r="BJ508" i="4"/>
  <c r="BG508" i="4"/>
  <c r="BF508" i="4"/>
  <c r="BE508" i="4"/>
  <c r="BD508" i="4"/>
  <c r="BB508" i="4" s="1"/>
  <c r="BC508" i="4"/>
  <c r="BA508" i="4" s="1"/>
  <c r="AE508" i="4"/>
  <c r="BK556" i="4"/>
  <c r="BH556" i="4"/>
  <c r="BE556" i="4"/>
  <c r="BD556" i="4"/>
  <c r="BB556" i="4" s="1"/>
  <c r="AE556" i="4"/>
  <c r="BG556" i="4"/>
  <c r="BF556" i="4"/>
  <c r="BJ556" i="4"/>
  <c r="BI556" i="4"/>
  <c r="BC556" i="4"/>
  <c r="BA556" i="4" s="1"/>
  <c r="BC21" i="4"/>
  <c r="BA21" i="4" s="1"/>
  <c r="BI21" i="4"/>
  <c r="BH21" i="4"/>
  <c r="BE21" i="4"/>
  <c r="BD21" i="4"/>
  <c r="BB21" i="4" s="1"/>
  <c r="AE21" i="4"/>
  <c r="BJ21" i="4"/>
  <c r="BG21" i="4"/>
  <c r="BF21" i="4"/>
  <c r="BK21" i="4"/>
  <c r="BI51" i="4"/>
  <c r="BH51" i="4"/>
  <c r="BG51" i="4"/>
  <c r="BF51" i="4"/>
  <c r="BE51" i="4"/>
  <c r="BD51" i="4"/>
  <c r="BB51" i="4" s="1"/>
  <c r="BC51" i="4"/>
  <c r="BA51" i="4" s="1"/>
  <c r="BK51" i="4"/>
  <c r="BJ51" i="4"/>
  <c r="AE51" i="4"/>
  <c r="BF78" i="4"/>
  <c r="BE78" i="4"/>
  <c r="BD78" i="4"/>
  <c r="BB78" i="4" s="1"/>
  <c r="BC78" i="4"/>
  <c r="BA78" i="4" s="1"/>
  <c r="BK78" i="4"/>
  <c r="BJ78" i="4"/>
  <c r="AE78" i="4"/>
  <c r="BI78" i="4"/>
  <c r="BH78" i="4"/>
  <c r="BG78" i="4"/>
  <c r="BI107" i="4"/>
  <c r="BF107" i="4"/>
  <c r="BC107" i="4"/>
  <c r="BA107" i="4" s="1"/>
  <c r="BK107" i="4"/>
  <c r="BJ107" i="4"/>
  <c r="AE107" i="4"/>
  <c r="BH107" i="4"/>
  <c r="BG107" i="4"/>
  <c r="BE107" i="4"/>
  <c r="BD107" i="4"/>
  <c r="BB107" i="4" s="1"/>
  <c r="BH136" i="4"/>
  <c r="BE136" i="4"/>
  <c r="BJ136" i="4"/>
  <c r="AE136" i="4"/>
  <c r="BI136" i="4"/>
  <c r="BK136" i="4"/>
  <c r="BG136" i="4"/>
  <c r="BF136" i="4"/>
  <c r="BD136" i="4"/>
  <c r="BB136" i="4" s="1"/>
  <c r="BC136" i="4"/>
  <c r="BA136" i="4" s="1"/>
  <c r="BG165" i="4"/>
  <c r="BD165" i="4"/>
  <c r="BB165" i="4" s="1"/>
  <c r="BI165" i="4"/>
  <c r="BH165" i="4"/>
  <c r="BK165" i="4"/>
  <c r="BJ165" i="4"/>
  <c r="BF165" i="4"/>
  <c r="BE165" i="4"/>
  <c r="BC165" i="4"/>
  <c r="BA165" i="4" s="1"/>
  <c r="AE165" i="4"/>
  <c r="BK195" i="4"/>
  <c r="BJ195" i="4"/>
  <c r="AE195" i="4"/>
  <c r="BG195" i="4"/>
  <c r="BF195" i="4"/>
  <c r="BE195" i="4"/>
  <c r="BD195" i="4"/>
  <c r="BB195" i="4" s="1"/>
  <c r="BC195" i="4"/>
  <c r="BA195" i="4" s="1"/>
  <c r="BI195" i="4"/>
  <c r="BH195" i="4"/>
  <c r="BK222" i="4"/>
  <c r="BH222" i="4"/>
  <c r="BG222" i="4"/>
  <c r="BD222" i="4"/>
  <c r="BB222" i="4" s="1"/>
  <c r="BC222" i="4"/>
  <c r="BA222" i="4" s="1"/>
  <c r="AE222" i="4"/>
  <c r="BJ222" i="4"/>
  <c r="BI222" i="4"/>
  <c r="BF222" i="4"/>
  <c r="BE222" i="4"/>
  <c r="BK258" i="4"/>
  <c r="BH258" i="4"/>
  <c r="BG258" i="4"/>
  <c r="BF258" i="4"/>
  <c r="BD258" i="4"/>
  <c r="BB258" i="4" s="1"/>
  <c r="BC258" i="4"/>
  <c r="BA258" i="4" s="1"/>
  <c r="BJ258" i="4"/>
  <c r="BI258" i="4"/>
  <c r="BE258" i="4"/>
  <c r="AE258" i="4"/>
  <c r="BK294" i="4"/>
  <c r="BJ294" i="4"/>
  <c r="AE294" i="4"/>
  <c r="BI294" i="4"/>
  <c r="BH294" i="4"/>
  <c r="BG294" i="4"/>
  <c r="BF294" i="4"/>
  <c r="BE294" i="4"/>
  <c r="BD294" i="4"/>
  <c r="BB294" i="4" s="1"/>
  <c r="BC294" i="4"/>
  <c r="BA294" i="4" s="1"/>
  <c r="BC330" i="4"/>
  <c r="BA330" i="4" s="1"/>
  <c r="BI330" i="4"/>
  <c r="BH330" i="4"/>
  <c r="BE330" i="4"/>
  <c r="BD330" i="4"/>
  <c r="BB330" i="4" s="1"/>
  <c r="BK330" i="4"/>
  <c r="BJ330" i="4"/>
  <c r="BG330" i="4"/>
  <c r="BF330" i="4"/>
  <c r="AE330" i="4"/>
  <c r="BK371" i="4"/>
  <c r="BH371" i="4"/>
  <c r="BG371" i="4"/>
  <c r="BD371" i="4"/>
  <c r="BB371" i="4" s="1"/>
  <c r="BC371" i="4"/>
  <c r="BA371" i="4" s="1"/>
  <c r="AE371" i="4"/>
  <c r="BJ371" i="4"/>
  <c r="BI371" i="4"/>
  <c r="BF371" i="4"/>
  <c r="BE371" i="4"/>
  <c r="BG419" i="4"/>
  <c r="BH419" i="4"/>
  <c r="BC419" i="4"/>
  <c r="BA419" i="4" s="1"/>
  <c r="AE419" i="4"/>
  <c r="BK419" i="4"/>
  <c r="BJ419" i="4"/>
  <c r="BI419" i="4"/>
  <c r="BF419" i="4"/>
  <c r="BE419" i="4"/>
  <c r="BD419" i="4"/>
  <c r="BB419" i="4" s="1"/>
  <c r="BI467" i="4"/>
  <c r="BK467" i="4"/>
  <c r="BJ467" i="4"/>
  <c r="BG467" i="4"/>
  <c r="BF467" i="4"/>
  <c r="BD467" i="4"/>
  <c r="BB467" i="4" s="1"/>
  <c r="BC467" i="4"/>
  <c r="BA467" i="4" s="1"/>
  <c r="AE467" i="4"/>
  <c r="BH467" i="4"/>
  <c r="BE467" i="4"/>
  <c r="BI515" i="4"/>
  <c r="BC515" i="4"/>
  <c r="BA515" i="4" s="1"/>
  <c r="BJ515" i="4"/>
  <c r="AE515" i="4"/>
  <c r="BK515" i="4"/>
  <c r="BH515" i="4"/>
  <c r="BG515" i="4"/>
  <c r="BF515" i="4"/>
  <c r="BE515" i="4"/>
  <c r="BD515" i="4"/>
  <c r="BB515" i="4" s="1"/>
  <c r="BI563" i="4"/>
  <c r="BF563" i="4"/>
  <c r="BE563" i="4"/>
  <c r="BK563" i="4"/>
  <c r="BJ563" i="4"/>
  <c r="BH563" i="4"/>
  <c r="BG563" i="4"/>
  <c r="BD563" i="4"/>
  <c r="BB563" i="4" s="1"/>
  <c r="BC563" i="4"/>
  <c r="BA563" i="4" s="1"/>
  <c r="AE563" i="4"/>
  <c r="BE23" i="4"/>
  <c r="BK23" i="4"/>
  <c r="BJ23" i="4"/>
  <c r="AE23" i="4"/>
  <c r="BG23" i="4"/>
  <c r="BF23" i="4"/>
  <c r="BH23" i="4"/>
  <c r="BD23" i="4"/>
  <c r="BB23" i="4" s="1"/>
  <c r="BC23" i="4"/>
  <c r="BA23" i="4" s="1"/>
  <c r="BI23" i="4"/>
  <c r="BD52" i="4"/>
  <c r="BB52" i="4" s="1"/>
  <c r="BC52" i="4"/>
  <c r="BA52" i="4" s="1"/>
  <c r="BK52" i="4"/>
  <c r="BJ52" i="4"/>
  <c r="AE52" i="4"/>
  <c r="BI52" i="4"/>
  <c r="BH52" i="4"/>
  <c r="BG52" i="4"/>
  <c r="BF52" i="4"/>
  <c r="BE52" i="4"/>
  <c r="BC81" i="4"/>
  <c r="BA81" i="4" s="1"/>
  <c r="BK81" i="4"/>
  <c r="BJ81" i="4"/>
  <c r="AE81" i="4"/>
  <c r="BI81" i="4"/>
  <c r="BH81" i="4"/>
  <c r="BG81" i="4"/>
  <c r="BF81" i="4"/>
  <c r="BE81" i="4"/>
  <c r="BD81" i="4"/>
  <c r="BB81" i="4" s="1"/>
  <c r="BJ111" i="4"/>
  <c r="AE111" i="4"/>
  <c r="BG111" i="4"/>
  <c r="BF111" i="4"/>
  <c r="BC111" i="4"/>
  <c r="BA111" i="4" s="1"/>
  <c r="BE111" i="4"/>
  <c r="BD111" i="4"/>
  <c r="BB111" i="4" s="1"/>
  <c r="BK111" i="4"/>
  <c r="BI111" i="4"/>
  <c r="BH111" i="4"/>
  <c r="BJ138" i="4"/>
  <c r="AE138" i="4"/>
  <c r="BG138" i="4"/>
  <c r="BD138" i="4"/>
  <c r="BB138" i="4" s="1"/>
  <c r="BC138" i="4"/>
  <c r="BA138" i="4" s="1"/>
  <c r="BK138" i="4"/>
  <c r="BH138" i="4"/>
  <c r="BF138" i="4"/>
  <c r="BE138" i="4"/>
  <c r="BI138" i="4"/>
  <c r="BI167" i="4"/>
  <c r="BF167" i="4"/>
  <c r="BC167" i="4"/>
  <c r="BA167" i="4" s="1"/>
  <c r="BK167" i="4"/>
  <c r="BJ167" i="4"/>
  <c r="AE167" i="4"/>
  <c r="BH167" i="4"/>
  <c r="BG167" i="4"/>
  <c r="BE167" i="4"/>
  <c r="BD167" i="4"/>
  <c r="BB167" i="4" s="1"/>
  <c r="BH196" i="4"/>
  <c r="BG196" i="4"/>
  <c r="BF196" i="4"/>
  <c r="BE196" i="4"/>
  <c r="BK196" i="4"/>
  <c r="BJ196" i="4"/>
  <c r="AE196" i="4"/>
  <c r="BI196" i="4"/>
  <c r="BD196" i="4"/>
  <c r="BB196" i="4" s="1"/>
  <c r="BC196" i="4"/>
  <c r="BA196" i="4" s="1"/>
  <c r="BJ227" i="4"/>
  <c r="AE227" i="4"/>
  <c r="BG227" i="4"/>
  <c r="BF227" i="4"/>
  <c r="BC227" i="4"/>
  <c r="BA227" i="4" s="1"/>
  <c r="BK227" i="4"/>
  <c r="BI227" i="4"/>
  <c r="BH227" i="4"/>
  <c r="BE227" i="4"/>
  <c r="BD227" i="4"/>
  <c r="BB227" i="4" s="1"/>
  <c r="BJ263" i="4"/>
  <c r="AE263" i="4"/>
  <c r="BG263" i="4"/>
  <c r="BF263" i="4"/>
  <c r="BE263" i="4"/>
  <c r="BC263" i="4"/>
  <c r="BA263" i="4" s="1"/>
  <c r="BK263" i="4"/>
  <c r="BI263" i="4"/>
  <c r="BH263" i="4"/>
  <c r="BD263" i="4"/>
  <c r="BB263" i="4" s="1"/>
  <c r="BK299" i="4"/>
  <c r="BJ299" i="4"/>
  <c r="AE299" i="4"/>
  <c r="BI299" i="4"/>
  <c r="BH299" i="4"/>
  <c r="BG299" i="4"/>
  <c r="BF299" i="4"/>
  <c r="BE299" i="4"/>
  <c r="BD299" i="4"/>
  <c r="BB299" i="4" s="1"/>
  <c r="BC299" i="4"/>
  <c r="BA299" i="4" s="1"/>
  <c r="BK335" i="4"/>
  <c r="BH335" i="4"/>
  <c r="BG335" i="4"/>
  <c r="BD335" i="4"/>
  <c r="BB335" i="4" s="1"/>
  <c r="BC335" i="4"/>
  <c r="BA335" i="4" s="1"/>
  <c r="BF335" i="4"/>
  <c r="BE335" i="4"/>
  <c r="AE335" i="4"/>
  <c r="BJ335" i="4"/>
  <c r="BI335" i="4"/>
  <c r="BF375" i="4"/>
  <c r="BC375" i="4"/>
  <c r="BA375" i="4" s="1"/>
  <c r="BK375" i="4"/>
  <c r="BH375" i="4"/>
  <c r="BG375" i="4"/>
  <c r="BJ375" i="4"/>
  <c r="BI375" i="4"/>
  <c r="BE375" i="4"/>
  <c r="BD375" i="4"/>
  <c r="BB375" i="4" s="1"/>
  <c r="AE375" i="4"/>
  <c r="BK423" i="4"/>
  <c r="BE423" i="4"/>
  <c r="BD423" i="4"/>
  <c r="BB423" i="4" s="1"/>
  <c r="BJ423" i="4"/>
  <c r="BI423" i="4"/>
  <c r="BH423" i="4"/>
  <c r="BG423" i="4"/>
  <c r="BF423" i="4"/>
  <c r="BC423" i="4"/>
  <c r="BA423" i="4" s="1"/>
  <c r="AE423" i="4"/>
  <c r="BF471" i="4"/>
  <c r="AE471" i="4"/>
  <c r="BK471" i="4"/>
  <c r="BI471" i="4"/>
  <c r="BH471" i="4"/>
  <c r="BE471" i="4"/>
  <c r="BD471" i="4"/>
  <c r="BB471" i="4" s="1"/>
  <c r="BC471" i="4"/>
  <c r="BA471" i="4" s="1"/>
  <c r="BJ471" i="4"/>
  <c r="BG471" i="4"/>
  <c r="BG519" i="4"/>
  <c r="BF519" i="4"/>
  <c r="BH519" i="4"/>
  <c r="BE519" i="4"/>
  <c r="BD519" i="4"/>
  <c r="BB519" i="4" s="1"/>
  <c r="BC519" i="4"/>
  <c r="BA519" i="4" s="1"/>
  <c r="AE519" i="4"/>
  <c r="BK519" i="4"/>
  <c r="BJ519" i="4"/>
  <c r="BI519" i="4"/>
  <c r="BD567" i="4"/>
  <c r="BB567" i="4" s="1"/>
  <c r="BJ567" i="4"/>
  <c r="AE567" i="4"/>
  <c r="BI567" i="4"/>
  <c r="BF567" i="4"/>
  <c r="BH567" i="4"/>
  <c r="BG567" i="4"/>
  <c r="BK567" i="4"/>
  <c r="BE567" i="4"/>
  <c r="BC567" i="4"/>
  <c r="BA567" i="4" s="1"/>
  <c r="BI27" i="4"/>
  <c r="BF27" i="4"/>
  <c r="BC27" i="4"/>
  <c r="BA27" i="4" s="1"/>
  <c r="BK27" i="4"/>
  <c r="BJ27" i="4"/>
  <c r="AE27" i="4"/>
  <c r="BD27" i="4"/>
  <c r="BB27" i="4" s="1"/>
  <c r="BH27" i="4"/>
  <c r="BG27" i="4"/>
  <c r="BE27" i="4"/>
  <c r="BF54" i="4"/>
  <c r="BE54" i="4"/>
  <c r="BD54" i="4"/>
  <c r="BB54" i="4" s="1"/>
  <c r="BC54" i="4"/>
  <c r="BA54" i="4" s="1"/>
  <c r="BK54" i="4"/>
  <c r="BJ54" i="4"/>
  <c r="AE54" i="4"/>
  <c r="BI54" i="4"/>
  <c r="BH54" i="4"/>
  <c r="BG54" i="4"/>
  <c r="BE83" i="4"/>
  <c r="BD83" i="4"/>
  <c r="BB83" i="4" s="1"/>
  <c r="BC83" i="4"/>
  <c r="BA83" i="4" s="1"/>
  <c r="BK83" i="4"/>
  <c r="BJ83" i="4"/>
  <c r="AE83" i="4"/>
  <c r="BI83" i="4"/>
  <c r="BH83" i="4"/>
  <c r="BG83" i="4"/>
  <c r="BF83" i="4"/>
  <c r="BH112" i="4"/>
  <c r="BE112" i="4"/>
  <c r="BJ112" i="4"/>
  <c r="AE112" i="4"/>
  <c r="BI112" i="4"/>
  <c r="BK112" i="4"/>
  <c r="BG112" i="4"/>
  <c r="BF112" i="4"/>
  <c r="BD112" i="4"/>
  <c r="BB112" i="4" s="1"/>
  <c r="BC112" i="4"/>
  <c r="BA112" i="4" s="1"/>
  <c r="BG141" i="4"/>
  <c r="BD141" i="4"/>
  <c r="BB141" i="4" s="1"/>
  <c r="BI141" i="4"/>
  <c r="BH141" i="4"/>
  <c r="AE141" i="4"/>
  <c r="BK141" i="4"/>
  <c r="BJ141" i="4"/>
  <c r="BF141" i="4"/>
  <c r="BE141" i="4"/>
  <c r="BC141" i="4"/>
  <c r="BA141" i="4" s="1"/>
  <c r="BJ171" i="4"/>
  <c r="AE171" i="4"/>
  <c r="BG171" i="4"/>
  <c r="BF171" i="4"/>
  <c r="BC171" i="4"/>
  <c r="BA171" i="4" s="1"/>
  <c r="BK171" i="4"/>
  <c r="BI171" i="4"/>
  <c r="BH171" i="4"/>
  <c r="BE171" i="4"/>
  <c r="BD171" i="4"/>
  <c r="BB171" i="4" s="1"/>
  <c r="BJ198" i="4"/>
  <c r="AE198" i="4"/>
  <c r="BI198" i="4"/>
  <c r="BH198" i="4"/>
  <c r="BG198" i="4"/>
  <c r="BD198" i="4"/>
  <c r="BB198" i="4" s="1"/>
  <c r="BC198" i="4"/>
  <c r="BA198" i="4" s="1"/>
  <c r="BK198" i="4"/>
  <c r="BF198" i="4"/>
  <c r="BE198" i="4"/>
  <c r="BE231" i="4"/>
  <c r="BK231" i="4"/>
  <c r="BJ231" i="4"/>
  <c r="AE231" i="4"/>
  <c r="BG231" i="4"/>
  <c r="BF231" i="4"/>
  <c r="BI231" i="4"/>
  <c r="BH231" i="4"/>
  <c r="BD231" i="4"/>
  <c r="BB231" i="4" s="1"/>
  <c r="BC231" i="4"/>
  <c r="BA231" i="4" s="1"/>
  <c r="BE267" i="4"/>
  <c r="BD267" i="4"/>
  <c r="BB267" i="4" s="1"/>
  <c r="BK267" i="4"/>
  <c r="BJ267" i="4"/>
  <c r="AE267" i="4"/>
  <c r="BI267" i="4"/>
  <c r="BG267" i="4"/>
  <c r="BF267" i="4"/>
  <c r="BC267" i="4"/>
  <c r="BA267" i="4" s="1"/>
  <c r="BH267" i="4"/>
  <c r="BK303" i="4"/>
  <c r="BE303" i="4"/>
  <c r="BD303" i="4"/>
  <c r="BB303" i="4" s="1"/>
  <c r="BC303" i="4"/>
  <c r="BA303" i="4" s="1"/>
  <c r="BJ303" i="4"/>
  <c r="AE303" i="4"/>
  <c r="BI303" i="4"/>
  <c r="BH303" i="4"/>
  <c r="BG303" i="4"/>
  <c r="BF303" i="4"/>
  <c r="BF339" i="4"/>
  <c r="BC339" i="4"/>
  <c r="BA339" i="4" s="1"/>
  <c r="BK339" i="4"/>
  <c r="BH339" i="4"/>
  <c r="BG339" i="4"/>
  <c r="AE339" i="4"/>
  <c r="BJ339" i="4"/>
  <c r="BI339" i="4"/>
  <c r="BE339" i="4"/>
  <c r="BD339" i="4"/>
  <c r="BB339" i="4" s="1"/>
  <c r="BJ376" i="4"/>
  <c r="AE376" i="4"/>
  <c r="BG376" i="4"/>
  <c r="BF376" i="4"/>
  <c r="BC376" i="4"/>
  <c r="BA376" i="4" s="1"/>
  <c r="BK376" i="4"/>
  <c r="BI376" i="4"/>
  <c r="BH376" i="4"/>
  <c r="BE376" i="4"/>
  <c r="BD376" i="4"/>
  <c r="BB376" i="4" s="1"/>
  <c r="BF424" i="4"/>
  <c r="BK424" i="4"/>
  <c r="BG424" i="4"/>
  <c r="AE424" i="4"/>
  <c r="BH424" i="4"/>
  <c r="BE424" i="4"/>
  <c r="BD424" i="4"/>
  <c r="BB424" i="4" s="1"/>
  <c r="BC424" i="4"/>
  <c r="BA424" i="4" s="1"/>
  <c r="BJ424" i="4"/>
  <c r="BI424" i="4"/>
  <c r="BH472" i="4"/>
  <c r="BJ472" i="4"/>
  <c r="BI472" i="4"/>
  <c r="BF472" i="4"/>
  <c r="BE472" i="4"/>
  <c r="BC472" i="4"/>
  <c r="BA472" i="4" s="1"/>
  <c r="AE472" i="4"/>
  <c r="BK472" i="4"/>
  <c r="BG472" i="4"/>
  <c r="BD472" i="4"/>
  <c r="BB472" i="4" s="1"/>
  <c r="BH520" i="4"/>
  <c r="BI520" i="4"/>
  <c r="BG520" i="4"/>
  <c r="BF520" i="4"/>
  <c r="BE520" i="4"/>
  <c r="BD520" i="4"/>
  <c r="BB520" i="4" s="1"/>
  <c r="BC520" i="4"/>
  <c r="BA520" i="4" s="1"/>
  <c r="AE520" i="4"/>
  <c r="BK520" i="4"/>
  <c r="BJ520" i="4"/>
  <c r="BK568" i="4"/>
  <c r="BH568" i="4"/>
  <c r="BE568" i="4"/>
  <c r="BD568" i="4"/>
  <c r="BB568" i="4" s="1"/>
  <c r="BJ568" i="4"/>
  <c r="BI568" i="4"/>
  <c r="BG568" i="4"/>
  <c r="BF568" i="4"/>
  <c r="BC568" i="4"/>
  <c r="BA568" i="4" s="1"/>
  <c r="AE568" i="4"/>
  <c r="BD28" i="4"/>
  <c r="BB28" i="4" s="1"/>
  <c r="BJ28" i="4"/>
  <c r="AE28" i="4"/>
  <c r="BI28" i="4"/>
  <c r="BF28" i="4"/>
  <c r="BE28" i="4"/>
  <c r="BK28" i="4"/>
  <c r="BH28" i="4"/>
  <c r="BG28" i="4"/>
  <c r="BC28" i="4"/>
  <c r="BA28" i="4" s="1"/>
  <c r="BC57" i="4"/>
  <c r="BA57" i="4" s="1"/>
  <c r="BK57" i="4"/>
  <c r="BJ57" i="4"/>
  <c r="AE57" i="4"/>
  <c r="BI57" i="4"/>
  <c r="BH57" i="4"/>
  <c r="BG57" i="4"/>
  <c r="BF57" i="4"/>
  <c r="BE57" i="4"/>
  <c r="BD57" i="4"/>
  <c r="BB57" i="4" s="1"/>
  <c r="BI87" i="4"/>
  <c r="BH87" i="4"/>
  <c r="BG87" i="4"/>
  <c r="BF87" i="4"/>
  <c r="BE87" i="4"/>
  <c r="BD87" i="4"/>
  <c r="BB87" i="4" s="1"/>
  <c r="BC87" i="4"/>
  <c r="BA87" i="4" s="1"/>
  <c r="BK87" i="4"/>
  <c r="BJ87" i="4"/>
  <c r="AE87" i="4"/>
  <c r="BJ114" i="4"/>
  <c r="AE114" i="4"/>
  <c r="BG114" i="4"/>
  <c r="BD114" i="4"/>
  <c r="BB114" i="4" s="1"/>
  <c r="BC114" i="4"/>
  <c r="BA114" i="4" s="1"/>
  <c r="BK114" i="4"/>
  <c r="BI114" i="4"/>
  <c r="BH114" i="4"/>
  <c r="BF114" i="4"/>
  <c r="BE114" i="4"/>
  <c r="BI143" i="4"/>
  <c r="BF143" i="4"/>
  <c r="BC143" i="4"/>
  <c r="BA143" i="4" s="1"/>
  <c r="BK143" i="4"/>
  <c r="BJ143" i="4"/>
  <c r="AE143" i="4"/>
  <c r="BG143" i="4"/>
  <c r="BE143" i="4"/>
  <c r="BD143" i="4"/>
  <c r="BB143" i="4" s="1"/>
  <c r="BH143" i="4"/>
  <c r="BH172" i="4"/>
  <c r="BE172" i="4"/>
  <c r="BJ172" i="4"/>
  <c r="AE172" i="4"/>
  <c r="BI172" i="4"/>
  <c r="BK172" i="4"/>
  <c r="BG172" i="4"/>
  <c r="BF172" i="4"/>
  <c r="BD172" i="4"/>
  <c r="BB172" i="4" s="1"/>
  <c r="BC172" i="4"/>
  <c r="BA172" i="4" s="1"/>
  <c r="BG201" i="4"/>
  <c r="BF201" i="4"/>
  <c r="BE201" i="4"/>
  <c r="BD201" i="4"/>
  <c r="BB201" i="4" s="1"/>
  <c r="BK201" i="4"/>
  <c r="BJ201" i="4"/>
  <c r="AE201" i="4"/>
  <c r="BI201" i="4"/>
  <c r="BH201" i="4"/>
  <c r="BC201" i="4"/>
  <c r="BA201" i="4" s="1"/>
  <c r="BI232" i="4"/>
  <c r="BF232" i="4"/>
  <c r="BE232" i="4"/>
  <c r="BK232" i="4"/>
  <c r="BJ232" i="4"/>
  <c r="BH232" i="4"/>
  <c r="BG232" i="4"/>
  <c r="BD232" i="4"/>
  <c r="BB232" i="4" s="1"/>
  <c r="BC232" i="4"/>
  <c r="BA232" i="4" s="1"/>
  <c r="AE232" i="4"/>
  <c r="BK268" i="4"/>
  <c r="BI268" i="4"/>
  <c r="BF268" i="4"/>
  <c r="BE268" i="4"/>
  <c r="BD268" i="4"/>
  <c r="BB268" i="4" s="1"/>
  <c r="BJ268" i="4"/>
  <c r="BH268" i="4"/>
  <c r="BG268" i="4"/>
  <c r="BC268" i="4"/>
  <c r="BA268" i="4" s="1"/>
  <c r="AE268" i="4"/>
  <c r="BF304" i="4"/>
  <c r="AE304" i="4"/>
  <c r="BK304" i="4"/>
  <c r="BJ304" i="4"/>
  <c r="BI304" i="4"/>
  <c r="BH304" i="4"/>
  <c r="BG304" i="4"/>
  <c r="BE304" i="4"/>
  <c r="BD304" i="4"/>
  <c r="BB304" i="4" s="1"/>
  <c r="BC304" i="4"/>
  <c r="BA304" i="4" s="1"/>
  <c r="BJ340" i="4"/>
  <c r="AE340" i="4"/>
  <c r="BG340" i="4"/>
  <c r="BF340" i="4"/>
  <c r="BC340" i="4"/>
  <c r="BA340" i="4" s="1"/>
  <c r="BD340" i="4"/>
  <c r="BB340" i="4" s="1"/>
  <c r="BK340" i="4"/>
  <c r="BI340" i="4"/>
  <c r="BH340" i="4"/>
  <c r="BE340" i="4"/>
  <c r="BK383" i="4"/>
  <c r="BH383" i="4"/>
  <c r="BG383" i="4"/>
  <c r="BD383" i="4"/>
  <c r="BB383" i="4" s="1"/>
  <c r="BC383" i="4"/>
  <c r="BA383" i="4" s="1"/>
  <c r="BI383" i="4"/>
  <c r="BF383" i="4"/>
  <c r="BE383" i="4"/>
  <c r="AE383" i="4"/>
  <c r="BJ383" i="4"/>
  <c r="BG431" i="4"/>
  <c r="BH431" i="4"/>
  <c r="AE431" i="4"/>
  <c r="BJ431" i="4"/>
  <c r="BI431" i="4"/>
  <c r="BF431" i="4"/>
  <c r="BE431" i="4"/>
  <c r="BD431" i="4"/>
  <c r="BB431" i="4" s="1"/>
  <c r="BC431" i="4"/>
  <c r="BA431" i="4" s="1"/>
  <c r="BK431" i="4"/>
  <c r="BI479" i="4"/>
  <c r="BD479" i="4"/>
  <c r="BB479" i="4" s="1"/>
  <c r="BC479" i="4"/>
  <c r="BA479" i="4" s="1"/>
  <c r="BK479" i="4"/>
  <c r="BJ479" i="4"/>
  <c r="BH479" i="4"/>
  <c r="BG479" i="4"/>
  <c r="BF479" i="4"/>
  <c r="BE479" i="4"/>
  <c r="AE479" i="4"/>
  <c r="BE527" i="4"/>
  <c r="BH527" i="4"/>
  <c r="BG527" i="4"/>
  <c r="BK527" i="4"/>
  <c r="BJ527" i="4"/>
  <c r="BI527" i="4"/>
  <c r="BF527" i="4"/>
  <c r="BD527" i="4"/>
  <c r="BB527" i="4" s="1"/>
  <c r="BC527" i="4"/>
  <c r="BA527" i="4" s="1"/>
  <c r="AE527" i="4"/>
  <c r="BI575" i="4"/>
  <c r="BD575" i="4"/>
  <c r="BB575" i="4" s="1"/>
  <c r="BK575" i="4"/>
  <c r="AE575" i="4"/>
  <c r="BJ575" i="4"/>
  <c r="BF575" i="4"/>
  <c r="BH575" i="4"/>
  <c r="BG575" i="4"/>
  <c r="BE575" i="4"/>
  <c r="BC575" i="4"/>
  <c r="BA575" i="4" s="1"/>
  <c r="BF30" i="4"/>
  <c r="BC30" i="4"/>
  <c r="BA30" i="4" s="1"/>
  <c r="BK30" i="4"/>
  <c r="BH30" i="4"/>
  <c r="BG30" i="4"/>
  <c r="BJ30" i="4"/>
  <c r="BI30" i="4"/>
  <c r="BD30" i="4"/>
  <c r="BB30" i="4" s="1"/>
  <c r="AE30" i="4"/>
  <c r="BE30" i="4"/>
  <c r="BE59" i="4"/>
  <c r="BD59" i="4"/>
  <c r="BB59" i="4" s="1"/>
  <c r="BC59" i="4"/>
  <c r="BA59" i="4" s="1"/>
  <c r="BK59" i="4"/>
  <c r="BJ59" i="4"/>
  <c r="AE59" i="4"/>
  <c r="BI59" i="4"/>
  <c r="BH59" i="4"/>
  <c r="BG59" i="4"/>
  <c r="BF59" i="4"/>
  <c r="BD88" i="4"/>
  <c r="BB88" i="4" s="1"/>
  <c r="BC88" i="4"/>
  <c r="BA88" i="4" s="1"/>
  <c r="BK88" i="4"/>
  <c r="BJ88" i="4"/>
  <c r="AE88" i="4"/>
  <c r="BI88" i="4"/>
  <c r="BH88" i="4"/>
  <c r="BG88" i="4"/>
  <c r="BF88" i="4"/>
  <c r="BE88" i="4"/>
  <c r="BG117" i="4"/>
  <c r="BD117" i="4"/>
  <c r="BB117" i="4" s="1"/>
  <c r="BI117" i="4"/>
  <c r="BH117" i="4"/>
  <c r="BK117" i="4"/>
  <c r="BJ117" i="4"/>
  <c r="BF117" i="4"/>
  <c r="BE117" i="4"/>
  <c r="BC117" i="4"/>
  <c r="BA117" i="4" s="1"/>
  <c r="AE117" i="4"/>
  <c r="BJ147" i="4"/>
  <c r="AE147" i="4"/>
  <c r="BG147" i="4"/>
  <c r="BF147" i="4"/>
  <c r="BC147" i="4"/>
  <c r="BA147" i="4" s="1"/>
  <c r="BK147" i="4"/>
  <c r="BI147" i="4"/>
  <c r="BH147" i="4"/>
  <c r="BE147" i="4"/>
  <c r="BD147" i="4"/>
  <c r="BB147" i="4" s="1"/>
  <c r="BJ174" i="4"/>
  <c r="AE174" i="4"/>
  <c r="BG174" i="4"/>
  <c r="BD174" i="4"/>
  <c r="BB174" i="4" s="1"/>
  <c r="BC174" i="4"/>
  <c r="BA174" i="4" s="1"/>
  <c r="BK174" i="4"/>
  <c r="BI174" i="4"/>
  <c r="BH174" i="4"/>
  <c r="BF174" i="4"/>
  <c r="BE174" i="4"/>
  <c r="BI203" i="4"/>
  <c r="BH203" i="4"/>
  <c r="BG203" i="4"/>
  <c r="BF203" i="4"/>
  <c r="BC203" i="4"/>
  <c r="BA203" i="4" s="1"/>
  <c r="BK203" i="4"/>
  <c r="BJ203" i="4"/>
  <c r="AE203" i="4"/>
  <c r="BE203" i="4"/>
  <c r="BD203" i="4"/>
  <c r="BB203" i="4" s="1"/>
  <c r="BK234" i="4"/>
  <c r="BH234" i="4"/>
  <c r="BG234" i="4"/>
  <c r="BD234" i="4"/>
  <c r="BB234" i="4" s="1"/>
  <c r="BC234" i="4"/>
  <c r="BA234" i="4" s="1"/>
  <c r="BE234" i="4"/>
  <c r="AE234" i="4"/>
  <c r="BJ234" i="4"/>
  <c r="BI234" i="4"/>
  <c r="BF234" i="4"/>
  <c r="BK270" i="4"/>
  <c r="BH270" i="4"/>
  <c r="BG270" i="4"/>
  <c r="BF270" i="4"/>
  <c r="BD270" i="4"/>
  <c r="BB270" i="4" s="1"/>
  <c r="BC270" i="4"/>
  <c r="BA270" i="4" s="1"/>
  <c r="BJ270" i="4"/>
  <c r="BI270" i="4"/>
  <c r="BE270" i="4"/>
  <c r="AE270" i="4"/>
  <c r="BC306" i="4"/>
  <c r="BA306" i="4" s="1"/>
  <c r="BH306" i="4"/>
  <c r="BK306" i="4"/>
  <c r="BJ306" i="4"/>
  <c r="BI306" i="4"/>
  <c r="BG306" i="4"/>
  <c r="BF306" i="4"/>
  <c r="BE306" i="4"/>
  <c r="BD306" i="4"/>
  <c r="BB306" i="4" s="1"/>
  <c r="AE306" i="4"/>
  <c r="BC342" i="4"/>
  <c r="BA342" i="4" s="1"/>
  <c r="BI342" i="4"/>
  <c r="BH342" i="4"/>
  <c r="BE342" i="4"/>
  <c r="BD342" i="4"/>
  <c r="BB342" i="4" s="1"/>
  <c r="BK342" i="4"/>
  <c r="BJ342" i="4"/>
  <c r="BG342" i="4"/>
  <c r="BF342" i="4"/>
  <c r="AE342" i="4"/>
  <c r="BF387" i="4"/>
  <c r="BC387" i="4"/>
  <c r="BA387" i="4" s="1"/>
  <c r="BK387" i="4"/>
  <c r="BH387" i="4"/>
  <c r="BG387" i="4"/>
  <c r="AE387" i="4"/>
  <c r="BJ387" i="4"/>
  <c r="BI387" i="4"/>
  <c r="BE387" i="4"/>
  <c r="BD387" i="4"/>
  <c r="BB387" i="4" s="1"/>
  <c r="BK435" i="4"/>
  <c r="BE435" i="4"/>
  <c r="BD435" i="4"/>
  <c r="BB435" i="4" s="1"/>
  <c r="AE435" i="4"/>
  <c r="BJ435" i="4"/>
  <c r="BI435" i="4"/>
  <c r="BH435" i="4"/>
  <c r="BG435" i="4"/>
  <c r="BF435" i="4"/>
  <c r="BC435" i="4"/>
  <c r="BA435" i="4" s="1"/>
  <c r="BF483" i="4"/>
  <c r="BE483" i="4"/>
  <c r="BD483" i="4"/>
  <c r="BB483" i="4" s="1"/>
  <c r="AE483" i="4"/>
  <c r="BK483" i="4"/>
  <c r="BJ483" i="4"/>
  <c r="BI483" i="4"/>
  <c r="BH483" i="4"/>
  <c r="BG483" i="4"/>
  <c r="BC483" i="4"/>
  <c r="BA483" i="4" s="1"/>
  <c r="BI531" i="4"/>
  <c r="BK531" i="4"/>
  <c r="AE531" i="4"/>
  <c r="BD531" i="4"/>
  <c r="BB531" i="4" s="1"/>
  <c r="BC531" i="4"/>
  <c r="BA531" i="4" s="1"/>
  <c r="BJ531" i="4"/>
  <c r="BH531" i="4"/>
  <c r="BG531" i="4"/>
  <c r="BF531" i="4"/>
  <c r="BE531" i="4"/>
  <c r="BJ579" i="4"/>
  <c r="BG579" i="4"/>
  <c r="BF579" i="4"/>
  <c r="BC579" i="4"/>
  <c r="BA579" i="4" s="1"/>
  <c r="AE579" i="4"/>
  <c r="BI579" i="4"/>
  <c r="BH579" i="4"/>
  <c r="BE579" i="4"/>
  <c r="BK579" i="4"/>
  <c r="BD579" i="4"/>
  <c r="BB579" i="4" s="1"/>
  <c r="BC33" i="4"/>
  <c r="BA33" i="4" s="1"/>
  <c r="BI33" i="4"/>
  <c r="BH33" i="4"/>
  <c r="BG33" i="4"/>
  <c r="BE33" i="4"/>
  <c r="BD33" i="4"/>
  <c r="BB33" i="4" s="1"/>
  <c r="BK33" i="4"/>
  <c r="BJ33" i="4"/>
  <c r="BF33" i="4"/>
  <c r="AE33" i="4"/>
  <c r="BI63" i="4"/>
  <c r="BH63" i="4"/>
  <c r="BG63" i="4"/>
  <c r="BF63" i="4"/>
  <c r="BE63" i="4"/>
  <c r="BD63" i="4"/>
  <c r="BB63" i="4" s="1"/>
  <c r="BC63" i="4"/>
  <c r="BA63" i="4" s="1"/>
  <c r="BK63" i="4"/>
  <c r="BJ63" i="4"/>
  <c r="AE63" i="4"/>
  <c r="BJ90" i="4"/>
  <c r="AE90" i="4"/>
  <c r="BC90" i="4"/>
  <c r="BA90" i="4" s="1"/>
  <c r="BI90" i="4"/>
  <c r="BH90" i="4"/>
  <c r="BG90" i="4"/>
  <c r="BF90" i="4"/>
  <c r="BE90" i="4"/>
  <c r="BD90" i="4"/>
  <c r="BB90" i="4" s="1"/>
  <c r="BK90" i="4"/>
  <c r="BI119" i="4"/>
  <c r="BF119" i="4"/>
  <c r="BC119" i="4"/>
  <c r="BA119" i="4" s="1"/>
  <c r="BK119" i="4"/>
  <c r="BJ119" i="4"/>
  <c r="AE119" i="4"/>
  <c r="BH119" i="4"/>
  <c r="BG119" i="4"/>
  <c r="BE119" i="4"/>
  <c r="BD119" i="4"/>
  <c r="BB119" i="4" s="1"/>
  <c r="BH148" i="4"/>
  <c r="BE148" i="4"/>
  <c r="BJ148" i="4"/>
  <c r="AE148" i="4"/>
  <c r="BI148" i="4"/>
  <c r="BF148" i="4"/>
  <c r="BD148" i="4"/>
  <c r="BB148" i="4" s="1"/>
  <c r="BC148" i="4"/>
  <c r="BA148" i="4" s="1"/>
  <c r="BK148" i="4"/>
  <c r="BG148" i="4"/>
  <c r="BG177" i="4"/>
  <c r="BF177" i="4"/>
  <c r="BD177" i="4"/>
  <c r="BB177" i="4" s="1"/>
  <c r="BK177" i="4"/>
  <c r="BI177" i="4"/>
  <c r="BH177" i="4"/>
  <c r="BJ177" i="4"/>
  <c r="BE177" i="4"/>
  <c r="BC177" i="4"/>
  <c r="BA177" i="4" s="1"/>
  <c r="AE177" i="4"/>
  <c r="BK207" i="4"/>
  <c r="BJ207" i="4"/>
  <c r="AE207" i="4"/>
  <c r="BI207" i="4"/>
  <c r="BG207" i="4"/>
  <c r="BF207" i="4"/>
  <c r="BE207" i="4"/>
  <c r="BD207" i="4"/>
  <c r="BB207" i="4" s="1"/>
  <c r="BC207" i="4"/>
  <c r="BA207" i="4" s="1"/>
  <c r="BH207" i="4"/>
  <c r="BJ239" i="4"/>
  <c r="AE239" i="4"/>
  <c r="BG239" i="4"/>
  <c r="BF239" i="4"/>
  <c r="BC239" i="4"/>
  <c r="BA239" i="4" s="1"/>
  <c r="BK239" i="4"/>
  <c r="BI239" i="4"/>
  <c r="BH239" i="4"/>
  <c r="BE239" i="4"/>
  <c r="BD239" i="4"/>
  <c r="BB239" i="4" s="1"/>
  <c r="BK275" i="4"/>
  <c r="BJ275" i="4"/>
  <c r="AE275" i="4"/>
  <c r="BG275" i="4"/>
  <c r="BF275" i="4"/>
  <c r="BE275" i="4"/>
  <c r="BD275" i="4"/>
  <c r="BB275" i="4" s="1"/>
  <c r="BC275" i="4"/>
  <c r="BA275" i="4" s="1"/>
  <c r="BH275" i="4"/>
  <c r="BI275" i="4"/>
  <c r="BH311" i="4"/>
  <c r="BG311" i="4"/>
  <c r="BC311" i="4"/>
  <c r="BA311" i="4" s="1"/>
  <c r="AE311" i="4"/>
  <c r="BK311" i="4"/>
  <c r="BJ311" i="4"/>
  <c r="BI311" i="4"/>
  <c r="BF311" i="4"/>
  <c r="BE311" i="4"/>
  <c r="BD311" i="4"/>
  <c r="BB311" i="4" s="1"/>
  <c r="BK347" i="4"/>
  <c r="BH347" i="4"/>
  <c r="BG347" i="4"/>
  <c r="BD347" i="4"/>
  <c r="BB347" i="4" s="1"/>
  <c r="BC347" i="4"/>
  <c r="BA347" i="4" s="1"/>
  <c r="BJ347" i="4"/>
  <c r="BI347" i="4"/>
  <c r="BF347" i="4"/>
  <c r="BE347" i="4"/>
  <c r="AE347" i="4"/>
  <c r="BJ388" i="4"/>
  <c r="AE388" i="4"/>
  <c r="BG388" i="4"/>
  <c r="BF388" i="4"/>
  <c r="BC388" i="4"/>
  <c r="BA388" i="4" s="1"/>
  <c r="BE388" i="4"/>
  <c r="BD388" i="4"/>
  <c r="BB388" i="4" s="1"/>
  <c r="BK388" i="4"/>
  <c r="BI388" i="4"/>
  <c r="BH388" i="4"/>
  <c r="BF436" i="4"/>
  <c r="BC436" i="4"/>
  <c r="BA436" i="4" s="1"/>
  <c r="BK436" i="4"/>
  <c r="BG436" i="4"/>
  <c r="AE436" i="4"/>
  <c r="BJ436" i="4"/>
  <c r="BI436" i="4"/>
  <c r="BH436" i="4"/>
  <c r="BE436" i="4"/>
  <c r="BD436" i="4"/>
  <c r="BB436" i="4" s="1"/>
  <c r="BH484" i="4"/>
  <c r="BC484" i="4"/>
  <c r="BA484" i="4" s="1"/>
  <c r="AE484" i="4"/>
  <c r="BJ484" i="4"/>
  <c r="BI484" i="4"/>
  <c r="BG484" i="4"/>
  <c r="BF484" i="4"/>
  <c r="BE484" i="4"/>
  <c r="BD484" i="4"/>
  <c r="BB484" i="4" s="1"/>
  <c r="BK484" i="4"/>
  <c r="BD532" i="4"/>
  <c r="BB532" i="4" s="1"/>
  <c r="BG532" i="4"/>
  <c r="BH532" i="4"/>
  <c r="AE532" i="4"/>
  <c r="BK532" i="4"/>
  <c r="BJ532" i="4"/>
  <c r="BI532" i="4"/>
  <c r="BF532" i="4"/>
  <c r="BE532" i="4"/>
  <c r="BC532" i="4"/>
  <c r="BA532" i="4" s="1"/>
  <c r="BC580" i="4"/>
  <c r="BA580" i="4" s="1"/>
  <c r="BH580" i="4"/>
  <c r="BK580" i="4"/>
  <c r="BG580" i="4"/>
  <c r="BD580" i="4"/>
  <c r="BB580" i="4" s="1"/>
  <c r="BJ580" i="4"/>
  <c r="BE580" i="4"/>
  <c r="AE580" i="4"/>
  <c r="BI580" i="4"/>
  <c r="BF580" i="4"/>
  <c r="BG596" i="4"/>
  <c r="BF596" i="4"/>
  <c r="BC596" i="4"/>
  <c r="BA596" i="4" s="1"/>
  <c r="AE596" i="4"/>
  <c r="BI596" i="4"/>
  <c r="BJ596" i="4"/>
  <c r="BH596" i="4"/>
  <c r="BE596" i="4"/>
  <c r="BK596" i="4"/>
  <c r="BD596" i="4"/>
  <c r="BB596" i="4" s="1"/>
  <c r="BE35" i="4"/>
  <c r="BK35" i="4"/>
  <c r="BJ35" i="4"/>
  <c r="AE35" i="4"/>
  <c r="BI35" i="4"/>
  <c r="BG35" i="4"/>
  <c r="BF35" i="4"/>
  <c r="BH35" i="4"/>
  <c r="BD35" i="4"/>
  <c r="BB35" i="4" s="1"/>
  <c r="BC35" i="4"/>
  <c r="BA35" i="4" s="1"/>
  <c r="BD64" i="4"/>
  <c r="BB64" i="4" s="1"/>
  <c r="BC64" i="4"/>
  <c r="BA64" i="4" s="1"/>
  <c r="BK64" i="4"/>
  <c r="BJ64" i="4"/>
  <c r="AE64" i="4"/>
  <c r="BI64" i="4"/>
  <c r="BH64" i="4"/>
  <c r="BG64" i="4"/>
  <c r="BF64" i="4"/>
  <c r="BE64" i="4"/>
  <c r="BG93" i="4"/>
  <c r="AE93" i="4"/>
  <c r="BK93" i="4"/>
  <c r="BJ93" i="4"/>
  <c r="BI93" i="4"/>
  <c r="BH93" i="4"/>
  <c r="BF93" i="4"/>
  <c r="BE93" i="4"/>
  <c r="BD93" i="4"/>
  <c r="BB93" i="4" s="1"/>
  <c r="BC93" i="4"/>
  <c r="BA93" i="4" s="1"/>
  <c r="BJ123" i="4"/>
  <c r="AE123" i="4"/>
  <c r="BG123" i="4"/>
  <c r="BF123" i="4"/>
  <c r="BC123" i="4"/>
  <c r="BA123" i="4" s="1"/>
  <c r="BK123" i="4"/>
  <c r="BI123" i="4"/>
  <c r="BH123" i="4"/>
  <c r="BE123" i="4"/>
  <c r="BD123" i="4"/>
  <c r="BB123" i="4" s="1"/>
  <c r="BJ150" i="4"/>
  <c r="AE150" i="4"/>
  <c r="BG150" i="4"/>
  <c r="BD150" i="4"/>
  <c r="BB150" i="4" s="1"/>
  <c r="BC150" i="4"/>
  <c r="BA150" i="4" s="1"/>
  <c r="BK150" i="4"/>
  <c r="BI150" i="4"/>
  <c r="BH150" i="4"/>
  <c r="BF150" i="4"/>
  <c r="BE150" i="4"/>
  <c r="BI179" i="4"/>
  <c r="BH179" i="4"/>
  <c r="BF179" i="4"/>
  <c r="BC179" i="4"/>
  <c r="BA179" i="4" s="1"/>
  <c r="BK179" i="4"/>
  <c r="BJ179" i="4"/>
  <c r="AE179" i="4"/>
  <c r="BG179" i="4"/>
  <c r="BE179" i="4"/>
  <c r="BD179" i="4"/>
  <c r="BB179" i="4" s="1"/>
  <c r="BH208" i="4"/>
  <c r="BG208" i="4"/>
  <c r="BF208" i="4"/>
  <c r="BE208" i="4"/>
  <c r="BD208" i="4"/>
  <c r="BB208" i="4" s="1"/>
  <c r="BK208" i="4"/>
  <c r="BJ208" i="4"/>
  <c r="AE208" i="4"/>
  <c r="BI208" i="4"/>
  <c r="BC208" i="4"/>
  <c r="BA208" i="4" s="1"/>
  <c r="BE243" i="4"/>
  <c r="BD243" i="4"/>
  <c r="BB243" i="4" s="1"/>
  <c r="BK243" i="4"/>
  <c r="BJ243" i="4"/>
  <c r="AE243" i="4"/>
  <c r="BG243" i="4"/>
  <c r="BF243" i="4"/>
  <c r="BC243" i="4"/>
  <c r="BA243" i="4" s="1"/>
  <c r="BI243" i="4"/>
  <c r="BH243" i="4"/>
  <c r="BE279" i="4"/>
  <c r="BD279" i="4"/>
  <c r="BB279" i="4" s="1"/>
  <c r="BC279" i="4"/>
  <c r="BA279" i="4" s="1"/>
  <c r="BK279" i="4"/>
  <c r="BJ279" i="4"/>
  <c r="AE279" i="4"/>
  <c r="BI279" i="4"/>
  <c r="BH279" i="4"/>
  <c r="BG279" i="4"/>
  <c r="BF279" i="4"/>
  <c r="BF315" i="4"/>
  <c r="BK315" i="4"/>
  <c r="BG315" i="4"/>
  <c r="AE315" i="4"/>
  <c r="BJ315" i="4"/>
  <c r="BI315" i="4"/>
  <c r="BH315" i="4"/>
  <c r="BE315" i="4"/>
  <c r="BD315" i="4"/>
  <c r="BB315" i="4" s="1"/>
  <c r="BC315" i="4"/>
  <c r="BA315" i="4" s="1"/>
  <c r="BF351" i="4"/>
  <c r="BC351" i="4"/>
  <c r="BA351" i="4" s="1"/>
  <c r="BK351" i="4"/>
  <c r="BH351" i="4"/>
  <c r="BG351" i="4"/>
  <c r="BD351" i="4"/>
  <c r="BB351" i="4" s="1"/>
  <c r="AE351" i="4"/>
  <c r="BJ351" i="4"/>
  <c r="BI351" i="4"/>
  <c r="BE351" i="4"/>
  <c r="BK395" i="4"/>
  <c r="BH395" i="4"/>
  <c r="BG395" i="4"/>
  <c r="BD395" i="4"/>
  <c r="BB395" i="4" s="1"/>
  <c r="BC395" i="4"/>
  <c r="BA395" i="4" s="1"/>
  <c r="BJ395" i="4"/>
  <c r="BI395" i="4"/>
  <c r="BF395" i="4"/>
  <c r="BE395" i="4"/>
  <c r="AE395" i="4"/>
  <c r="BG443" i="4"/>
  <c r="BD443" i="4"/>
  <c r="BB443" i="4" s="1"/>
  <c r="BH443" i="4"/>
  <c r="BK443" i="4"/>
  <c r="BJ443" i="4"/>
  <c r="BI443" i="4"/>
  <c r="BF443" i="4"/>
  <c r="BE443" i="4"/>
  <c r="BC443" i="4"/>
  <c r="BA443" i="4" s="1"/>
  <c r="AE443" i="4"/>
  <c r="BI491" i="4"/>
  <c r="BC491" i="4"/>
  <c r="BA491" i="4" s="1"/>
  <c r="BJ491" i="4"/>
  <c r="AE491" i="4"/>
  <c r="BH491" i="4"/>
  <c r="BG491" i="4"/>
  <c r="BF491" i="4"/>
  <c r="BE491" i="4"/>
  <c r="BD491" i="4"/>
  <c r="BB491" i="4" s="1"/>
  <c r="BK491" i="4"/>
  <c r="BE539" i="4"/>
  <c r="BD539" i="4"/>
  <c r="BB539" i="4" s="1"/>
  <c r="BK539" i="4"/>
  <c r="AE539" i="4"/>
  <c r="BJ539" i="4"/>
  <c r="BF539" i="4"/>
  <c r="BI539" i="4"/>
  <c r="BH539" i="4"/>
  <c r="BG539" i="4"/>
  <c r="BC539" i="4"/>
  <c r="BA539" i="4" s="1"/>
  <c r="BD587" i="4"/>
  <c r="BB587" i="4" s="1"/>
  <c r="BI587" i="4"/>
  <c r="BE587" i="4"/>
  <c r="AE587" i="4"/>
  <c r="BK587" i="4"/>
  <c r="BG587" i="4"/>
  <c r="BJ587" i="4"/>
  <c r="BC587" i="4"/>
  <c r="BA587" i="4" s="1"/>
  <c r="BH587" i="4"/>
  <c r="BF587" i="4"/>
  <c r="BE9" i="4"/>
  <c r="BK9" i="4"/>
  <c r="BJ9" i="4"/>
  <c r="AE9" i="4"/>
  <c r="BF9" i="4"/>
  <c r="BG9" i="4"/>
  <c r="BD9" i="4"/>
  <c r="BB9" i="4" s="1"/>
  <c r="BI9" i="4"/>
  <c r="BH9" i="4"/>
  <c r="BC9" i="4"/>
  <c r="BA9" i="4" s="1"/>
  <c r="BI39" i="4"/>
  <c r="BG39" i="4"/>
  <c r="BF39" i="4"/>
  <c r="BC39" i="4"/>
  <c r="BA39" i="4" s="1"/>
  <c r="BK39" i="4"/>
  <c r="BJ39" i="4"/>
  <c r="AE39" i="4"/>
  <c r="BH39" i="4"/>
  <c r="BE39" i="4"/>
  <c r="BD39" i="4"/>
  <c r="BB39" i="4" s="1"/>
  <c r="BF66" i="4"/>
  <c r="BE66" i="4"/>
  <c r="BD66" i="4"/>
  <c r="BB66" i="4" s="1"/>
  <c r="BC66" i="4"/>
  <c r="BA66" i="4" s="1"/>
  <c r="BK66" i="4"/>
  <c r="BJ66" i="4"/>
  <c r="AE66" i="4"/>
  <c r="BI66" i="4"/>
  <c r="BH66" i="4"/>
  <c r="BG66" i="4"/>
  <c r="BI95" i="4"/>
  <c r="BJ95" i="4"/>
  <c r="BH95" i="4"/>
  <c r="BG95" i="4"/>
  <c r="BF95" i="4"/>
  <c r="BE95" i="4"/>
  <c r="BD95" i="4"/>
  <c r="BB95" i="4" s="1"/>
  <c r="BC95" i="4"/>
  <c r="BA95" i="4" s="1"/>
  <c r="AE95" i="4"/>
  <c r="BK95" i="4"/>
  <c r="BH124" i="4"/>
  <c r="BE124" i="4"/>
  <c r="BJ124" i="4"/>
  <c r="AE124" i="4"/>
  <c r="BI124" i="4"/>
  <c r="BK124" i="4"/>
  <c r="BG124" i="4"/>
  <c r="BF124" i="4"/>
  <c r="BD124" i="4"/>
  <c r="BB124" i="4" s="1"/>
  <c r="BC124" i="4"/>
  <c r="BA124" i="4" s="1"/>
  <c r="BG153" i="4"/>
  <c r="BD153" i="4"/>
  <c r="BB153" i="4" s="1"/>
  <c r="BI153" i="4"/>
  <c r="BH153" i="4"/>
  <c r="BE153" i="4"/>
  <c r="BC153" i="4"/>
  <c r="BA153" i="4" s="1"/>
  <c r="AE153" i="4"/>
  <c r="BK153" i="4"/>
  <c r="BJ153" i="4"/>
  <c r="BF153" i="4"/>
  <c r="BJ183" i="4"/>
  <c r="AE183" i="4"/>
  <c r="BG183" i="4"/>
  <c r="BF183" i="4"/>
  <c r="BE183" i="4"/>
  <c r="BD183" i="4"/>
  <c r="BB183" i="4" s="1"/>
  <c r="BC183" i="4"/>
  <c r="BA183" i="4" s="1"/>
  <c r="BI183" i="4"/>
  <c r="BH183" i="4"/>
  <c r="BK183" i="4"/>
  <c r="BJ210" i="4"/>
  <c r="AE210" i="4"/>
  <c r="BI210" i="4"/>
  <c r="BH210" i="4"/>
  <c r="BG210" i="4"/>
  <c r="BF210" i="4"/>
  <c r="BD210" i="4"/>
  <c r="BB210" i="4" s="1"/>
  <c r="BC210" i="4"/>
  <c r="BA210" i="4" s="1"/>
  <c r="BK210" i="4"/>
  <c r="BE210" i="4"/>
  <c r="BK244" i="4"/>
  <c r="BI244" i="4"/>
  <c r="BF244" i="4"/>
  <c r="BE244" i="4"/>
  <c r="BJ244" i="4"/>
  <c r="BH244" i="4"/>
  <c r="BG244" i="4"/>
  <c r="BD244" i="4"/>
  <c r="BB244" i="4" s="1"/>
  <c r="BC244" i="4"/>
  <c r="BA244" i="4" s="1"/>
  <c r="AE244" i="4"/>
  <c r="BK280" i="4"/>
  <c r="BJ280" i="4"/>
  <c r="AE280" i="4"/>
  <c r="BI280" i="4"/>
  <c r="BH280" i="4"/>
  <c r="BF280" i="4"/>
  <c r="BE280" i="4"/>
  <c r="BD280" i="4"/>
  <c r="BB280" i="4" s="1"/>
  <c r="BC280" i="4"/>
  <c r="BA280" i="4" s="1"/>
  <c r="BG280" i="4"/>
  <c r="BJ316" i="4"/>
  <c r="AE316" i="4"/>
  <c r="BG316" i="4"/>
  <c r="BF316" i="4"/>
  <c r="BK316" i="4"/>
  <c r="BI316" i="4"/>
  <c r="BH316" i="4"/>
  <c r="BE316" i="4"/>
  <c r="BD316" i="4"/>
  <c r="BB316" i="4" s="1"/>
  <c r="BC316" i="4"/>
  <c r="BA316" i="4" s="1"/>
  <c r="BJ352" i="4"/>
  <c r="AE352" i="4"/>
  <c r="BG352" i="4"/>
  <c r="BF352" i="4"/>
  <c r="BC352" i="4"/>
  <c r="BA352" i="4" s="1"/>
  <c r="BI352" i="4"/>
  <c r="BH352" i="4"/>
  <c r="BE352" i="4"/>
  <c r="BD352" i="4"/>
  <c r="BB352" i="4" s="1"/>
  <c r="BK352" i="4"/>
  <c r="BF399" i="4"/>
  <c r="BC399" i="4"/>
  <c r="BA399" i="4" s="1"/>
  <c r="BK399" i="4"/>
  <c r="BJ399" i="4"/>
  <c r="AE399" i="4"/>
  <c r="BH399" i="4"/>
  <c r="BG399" i="4"/>
  <c r="BI399" i="4"/>
  <c r="BE399" i="4"/>
  <c r="BD399" i="4"/>
  <c r="BB399" i="4" s="1"/>
  <c r="BK447" i="4"/>
  <c r="BH447" i="4"/>
  <c r="BE447" i="4"/>
  <c r="BD447" i="4"/>
  <c r="BB447" i="4" s="1"/>
  <c r="AE447" i="4"/>
  <c r="BJ447" i="4"/>
  <c r="BI447" i="4"/>
  <c r="BG447" i="4"/>
  <c r="BF447" i="4"/>
  <c r="BC447" i="4"/>
  <c r="BA447" i="4" s="1"/>
  <c r="BG495" i="4"/>
  <c r="BF495" i="4"/>
  <c r="BK495" i="4"/>
  <c r="BJ495" i="4"/>
  <c r="BI495" i="4"/>
  <c r="BH495" i="4"/>
  <c r="BE495" i="4"/>
  <c r="BD495" i="4"/>
  <c r="BB495" i="4" s="1"/>
  <c r="BC495" i="4"/>
  <c r="BA495" i="4" s="1"/>
  <c r="AE495" i="4"/>
  <c r="BJ543" i="4"/>
  <c r="AE543" i="4"/>
  <c r="BI543" i="4"/>
  <c r="BK543" i="4"/>
  <c r="BH543" i="4"/>
  <c r="BC543" i="4"/>
  <c r="BA543" i="4" s="1"/>
  <c r="BG543" i="4"/>
  <c r="BF543" i="4"/>
  <c r="BE543" i="4"/>
  <c r="BD543" i="4"/>
  <c r="BB543" i="4" s="1"/>
  <c r="BH591" i="4"/>
  <c r="BF591" i="4"/>
  <c r="BC591" i="4"/>
  <c r="BA591" i="4" s="1"/>
  <c r="AE591" i="4"/>
  <c r="BI591" i="4"/>
  <c r="BG591" i="4"/>
  <c r="BE591" i="4"/>
  <c r="BD591" i="4"/>
  <c r="BB591" i="4" s="1"/>
  <c r="BJ591" i="4"/>
  <c r="BK591" i="4"/>
  <c r="AQ225" i="4"/>
  <c r="AQ237" i="4"/>
  <c r="AQ249" i="4"/>
  <c r="AQ261" i="4"/>
  <c r="AQ273" i="4"/>
  <c r="AQ285" i="4"/>
  <c r="AQ297" i="4"/>
  <c r="AQ309" i="4"/>
  <c r="AQ321" i="4"/>
  <c r="AQ333" i="4"/>
  <c r="AQ345" i="4"/>
  <c r="AQ357" i="4"/>
  <c r="AQ369" i="4"/>
  <c r="AQ381" i="4"/>
  <c r="AQ393" i="4"/>
  <c r="AQ405" i="4"/>
  <c r="AQ417" i="4"/>
  <c r="AQ429" i="4"/>
  <c r="AQ441" i="4"/>
  <c r="AQ453" i="4"/>
  <c r="AQ465" i="4"/>
  <c r="AQ477" i="4"/>
  <c r="AQ489" i="4"/>
  <c r="AQ501" i="4"/>
  <c r="AQ513" i="4"/>
  <c r="AQ525" i="4"/>
  <c r="AQ537" i="4"/>
  <c r="AQ549" i="4"/>
  <c r="AQ561" i="4"/>
  <c r="AQ573" i="4"/>
  <c r="AQ585" i="4"/>
  <c r="AQ597" i="4"/>
  <c r="AN17" i="4"/>
  <c r="AN29" i="4"/>
  <c r="AN41" i="4"/>
  <c r="AN53" i="4"/>
  <c r="AN65" i="4"/>
  <c r="AN77" i="4"/>
  <c r="AN89" i="4"/>
  <c r="AN101" i="4"/>
  <c r="AN113" i="4"/>
  <c r="AN125" i="4"/>
  <c r="AN137" i="4"/>
  <c r="AN149" i="4"/>
  <c r="AN161" i="4"/>
  <c r="AN173" i="4"/>
  <c r="AN185" i="4"/>
  <c r="AN197" i="4"/>
  <c r="AN209" i="4"/>
  <c r="AN221" i="4"/>
  <c r="AN233" i="4"/>
  <c r="AN245" i="4"/>
  <c r="AN257" i="4"/>
  <c r="AN269" i="4"/>
  <c r="AN281" i="4"/>
  <c r="AN293" i="4"/>
  <c r="AN305" i="4"/>
  <c r="AN317" i="4"/>
  <c r="AN329" i="4"/>
  <c r="AN341" i="4"/>
  <c r="AN353" i="4"/>
  <c r="AN365" i="4"/>
  <c r="AN377" i="4"/>
  <c r="AN389" i="4"/>
  <c r="AN401" i="4"/>
  <c r="AN413" i="4"/>
  <c r="AN425" i="4"/>
  <c r="AN437" i="4"/>
  <c r="AN449" i="4"/>
  <c r="AN461" i="4"/>
  <c r="AN473" i="4"/>
  <c r="AN485" i="4"/>
  <c r="AN497" i="4"/>
  <c r="AN509" i="4"/>
  <c r="AN521" i="4"/>
  <c r="AN533" i="4"/>
  <c r="AN545" i="4"/>
  <c r="AN557" i="4"/>
  <c r="AN569" i="4"/>
  <c r="AN581" i="4"/>
  <c r="AN593" i="4"/>
  <c r="AQ10" i="4"/>
  <c r="AQ22" i="4"/>
  <c r="AQ34" i="4"/>
  <c r="AQ46" i="4"/>
  <c r="AQ58" i="4"/>
  <c r="AQ70" i="4"/>
  <c r="AQ82" i="4"/>
  <c r="AQ94" i="4"/>
  <c r="AQ106" i="4"/>
  <c r="AQ118" i="4"/>
  <c r="AQ130" i="4"/>
  <c r="AQ142" i="4"/>
  <c r="AQ154" i="4"/>
  <c r="AQ166" i="4"/>
  <c r="AQ178" i="4"/>
  <c r="AQ190" i="4"/>
  <c r="AQ202" i="4"/>
  <c r="AQ214" i="4"/>
  <c r="AQ226" i="4"/>
  <c r="AQ238" i="4"/>
  <c r="AQ250" i="4"/>
  <c r="AQ262" i="4"/>
  <c r="AQ274" i="4"/>
  <c r="AQ286" i="4"/>
  <c r="AQ298" i="4"/>
  <c r="AQ310" i="4"/>
  <c r="AQ322" i="4"/>
  <c r="AQ334" i="4"/>
  <c r="AQ346" i="4"/>
  <c r="AQ358" i="4"/>
  <c r="AQ370" i="4"/>
  <c r="AQ382" i="4"/>
  <c r="AQ394" i="4"/>
  <c r="AQ406" i="4"/>
  <c r="AQ418" i="4"/>
  <c r="AQ430" i="4"/>
  <c r="AQ442" i="4"/>
  <c r="AQ454" i="4"/>
  <c r="AQ466" i="4"/>
  <c r="AQ478" i="4"/>
  <c r="AQ490" i="4"/>
  <c r="AQ502" i="4"/>
  <c r="AQ514" i="4"/>
  <c r="AQ526" i="4"/>
  <c r="AQ538" i="4"/>
  <c r="AQ550" i="4"/>
  <c r="AQ562" i="4"/>
  <c r="AQ574" i="4"/>
  <c r="AQ586" i="4"/>
  <c r="AQ598" i="4"/>
  <c r="AN547" i="4"/>
  <c r="AN559" i="4"/>
  <c r="AN571" i="4"/>
  <c r="AN583" i="4"/>
  <c r="AN595" i="4"/>
  <c r="AQ12" i="4"/>
  <c r="AQ24" i="4"/>
  <c r="AQ36" i="4"/>
  <c r="AQ48" i="4"/>
  <c r="AQ60" i="4"/>
  <c r="AQ72" i="4"/>
  <c r="AQ84" i="4"/>
  <c r="AQ96" i="4"/>
  <c r="AQ108" i="4"/>
  <c r="AQ120" i="4"/>
  <c r="AQ132" i="4"/>
  <c r="AQ144" i="4"/>
  <c r="AQ156" i="4"/>
  <c r="AQ168" i="4"/>
  <c r="AQ180" i="4"/>
  <c r="AQ192" i="4"/>
  <c r="AQ204" i="4"/>
  <c r="AQ216" i="4"/>
  <c r="AQ228" i="4"/>
  <c r="AQ240" i="4"/>
  <c r="AQ252" i="4"/>
  <c r="AQ264" i="4"/>
  <c r="AQ276" i="4"/>
  <c r="AQ288" i="4"/>
  <c r="AQ300" i="4"/>
  <c r="AQ312" i="4"/>
  <c r="AQ324" i="4"/>
  <c r="AQ336" i="4"/>
  <c r="AQ348" i="4"/>
  <c r="AQ360" i="4"/>
  <c r="AQ372" i="4"/>
  <c r="AQ384" i="4"/>
  <c r="AQ396" i="4"/>
  <c r="AQ408" i="4"/>
  <c r="AQ420" i="4"/>
  <c r="AQ432" i="4"/>
  <c r="AQ444" i="4"/>
  <c r="AQ456" i="4"/>
  <c r="AQ468" i="4"/>
  <c r="AQ480" i="4"/>
  <c r="AQ492" i="4"/>
  <c r="AQ504" i="4"/>
  <c r="AQ516" i="4"/>
  <c r="AQ528" i="4"/>
  <c r="AQ540" i="4"/>
  <c r="AQ552" i="4"/>
  <c r="AQ564" i="4"/>
  <c r="AQ576" i="4"/>
  <c r="AQ588" i="4"/>
  <c r="AQ600" i="4"/>
  <c r="AN20" i="4"/>
  <c r="AN32" i="4"/>
  <c r="AN44" i="4"/>
  <c r="AN56" i="4"/>
  <c r="AN68" i="4"/>
  <c r="AN80" i="4"/>
  <c r="AN92" i="4"/>
  <c r="AN104" i="4"/>
  <c r="AN116" i="4"/>
  <c r="AN128" i="4"/>
  <c r="AN140" i="4"/>
  <c r="AN152" i="4"/>
  <c r="AN164" i="4"/>
  <c r="AN176" i="4"/>
  <c r="AN188" i="4"/>
  <c r="AN200" i="4"/>
  <c r="AN212" i="4"/>
  <c r="AN224" i="4"/>
  <c r="AN236" i="4"/>
  <c r="AN248" i="4"/>
  <c r="AN260" i="4"/>
  <c r="AN272" i="4"/>
  <c r="AN284" i="4"/>
  <c r="AN296" i="4"/>
  <c r="AN308" i="4"/>
  <c r="AN320" i="4"/>
  <c r="AN332" i="4"/>
  <c r="AN344" i="4"/>
  <c r="AN356" i="4"/>
  <c r="AN368" i="4"/>
  <c r="AN380" i="4"/>
  <c r="AN392" i="4"/>
  <c r="AN404" i="4"/>
  <c r="AN416" i="4"/>
  <c r="AN428" i="4"/>
  <c r="AN440" i="4"/>
  <c r="AN452" i="4"/>
  <c r="AN464" i="4"/>
  <c r="AN476" i="4"/>
  <c r="AN488" i="4"/>
  <c r="AN500" i="4"/>
  <c r="AN512" i="4"/>
  <c r="AN524" i="4"/>
  <c r="AN536" i="4"/>
  <c r="AN548" i="4"/>
  <c r="AN560" i="4"/>
  <c r="AN572" i="4"/>
  <c r="AN584" i="4"/>
  <c r="AN596" i="4"/>
  <c r="AQ13" i="4"/>
  <c r="AQ25" i="4"/>
  <c r="AQ37" i="4"/>
  <c r="AQ49" i="4"/>
  <c r="AQ61" i="4"/>
  <c r="AQ73" i="4"/>
  <c r="AQ85" i="4"/>
  <c r="AQ97" i="4"/>
  <c r="AQ109" i="4"/>
  <c r="AQ121" i="4"/>
  <c r="AQ133" i="4"/>
  <c r="AQ145" i="4"/>
  <c r="AQ157" i="4"/>
  <c r="AQ169" i="4"/>
  <c r="AQ181" i="4"/>
  <c r="AQ193" i="4"/>
  <c r="AQ205" i="4"/>
  <c r="AQ217" i="4"/>
  <c r="AQ229" i="4"/>
  <c r="AQ241" i="4"/>
  <c r="AQ253" i="4"/>
  <c r="AQ265" i="4"/>
  <c r="AQ277" i="4"/>
  <c r="AQ289" i="4"/>
  <c r="AQ301" i="4"/>
  <c r="AQ313" i="4"/>
  <c r="AQ325" i="4"/>
  <c r="AQ337" i="4"/>
  <c r="AQ349" i="4"/>
  <c r="AQ361" i="4"/>
  <c r="AQ373" i="4"/>
  <c r="AQ385" i="4"/>
  <c r="AQ397" i="4"/>
  <c r="AQ409" i="4"/>
  <c r="AQ421" i="4"/>
  <c r="AQ433" i="4"/>
  <c r="AQ445" i="4"/>
  <c r="AQ457" i="4"/>
  <c r="AQ469" i="4"/>
  <c r="AQ481" i="4"/>
  <c r="AQ493" i="4"/>
  <c r="AQ505" i="4"/>
  <c r="AQ517" i="4"/>
  <c r="AQ529" i="4"/>
  <c r="AQ541" i="4"/>
  <c r="AQ553" i="4"/>
  <c r="AQ565" i="4"/>
  <c r="AQ577" i="4"/>
  <c r="AQ589" i="4"/>
  <c r="AQ601" i="4"/>
  <c r="AN9" i="4"/>
  <c r="AN21" i="4"/>
  <c r="AN33" i="4"/>
  <c r="AN45" i="4"/>
  <c r="AN57" i="4"/>
  <c r="AN69" i="4"/>
  <c r="AN81" i="4"/>
  <c r="AN93" i="4"/>
  <c r="AN105" i="4"/>
  <c r="AN117" i="4"/>
  <c r="AN129" i="4"/>
  <c r="AN141" i="4"/>
  <c r="AN153" i="4"/>
  <c r="AN165" i="4"/>
  <c r="AN177" i="4"/>
  <c r="AN189" i="4"/>
  <c r="AN201" i="4"/>
  <c r="AN213" i="4"/>
  <c r="AN225" i="4"/>
  <c r="AN237" i="4"/>
  <c r="AN249" i="4"/>
  <c r="AN261" i="4"/>
  <c r="AN273" i="4"/>
  <c r="AN285" i="4"/>
  <c r="AN297" i="4"/>
  <c r="AN309" i="4"/>
  <c r="AN321" i="4"/>
  <c r="AN333" i="4"/>
  <c r="AN345" i="4"/>
  <c r="AN357" i="4"/>
  <c r="AN369" i="4"/>
  <c r="AN381" i="4"/>
  <c r="AN393" i="4"/>
  <c r="AN405" i="4"/>
  <c r="AN417" i="4"/>
  <c r="AN429" i="4"/>
  <c r="AN441" i="4"/>
  <c r="AN453" i="4"/>
  <c r="AN465" i="4"/>
  <c r="AN477" i="4"/>
  <c r="AN489" i="4"/>
  <c r="AN501" i="4"/>
  <c r="AN513" i="4"/>
  <c r="AN525" i="4"/>
  <c r="AN537" i="4"/>
  <c r="AN549" i="4"/>
  <c r="AN561" i="4"/>
  <c r="AN573" i="4"/>
  <c r="AN585" i="4"/>
  <c r="AN597" i="4"/>
  <c r="AQ14" i="4"/>
  <c r="AQ26" i="4"/>
  <c r="AQ38" i="4"/>
  <c r="AQ50" i="4"/>
  <c r="AQ62" i="4"/>
  <c r="AQ74" i="4"/>
  <c r="AQ86" i="4"/>
  <c r="AQ98" i="4"/>
  <c r="AQ110" i="4"/>
  <c r="AQ122" i="4"/>
  <c r="AQ134" i="4"/>
  <c r="AQ146" i="4"/>
  <c r="AQ158" i="4"/>
  <c r="AQ170" i="4"/>
  <c r="AQ182" i="4"/>
  <c r="AQ194" i="4"/>
  <c r="AQ206" i="4"/>
  <c r="AQ218" i="4"/>
  <c r="AQ230" i="4"/>
  <c r="AQ242" i="4"/>
  <c r="AQ254" i="4"/>
  <c r="AQ266" i="4"/>
  <c r="AQ278" i="4"/>
  <c r="AQ290" i="4"/>
  <c r="AQ302" i="4"/>
  <c r="AQ314" i="4"/>
  <c r="AQ326" i="4"/>
  <c r="AQ338" i="4"/>
  <c r="AQ350" i="4"/>
  <c r="AQ362" i="4"/>
  <c r="AQ374" i="4"/>
  <c r="AQ386" i="4"/>
  <c r="AQ398" i="4"/>
  <c r="AQ410" i="4"/>
  <c r="AQ422" i="4"/>
  <c r="AQ434" i="4"/>
  <c r="AQ446" i="4"/>
  <c r="AQ458" i="4"/>
  <c r="AQ470" i="4"/>
  <c r="AQ482" i="4"/>
  <c r="AQ494" i="4"/>
  <c r="AQ506" i="4"/>
  <c r="AQ518" i="4"/>
  <c r="AQ530" i="4"/>
  <c r="AQ542" i="4"/>
  <c r="AQ554" i="4"/>
  <c r="AQ566" i="4"/>
  <c r="AQ578" i="4"/>
  <c r="AQ590" i="4"/>
  <c r="AN12" i="4"/>
  <c r="AN24" i="4"/>
  <c r="AN36" i="4"/>
  <c r="AN48" i="4"/>
  <c r="AN60" i="4"/>
  <c r="AN72" i="4"/>
  <c r="AN84" i="4"/>
  <c r="AN96" i="4"/>
  <c r="AN108" i="4"/>
  <c r="AN120" i="4"/>
  <c r="AN132" i="4"/>
  <c r="AN144" i="4"/>
  <c r="AN156" i="4"/>
  <c r="AN168" i="4"/>
  <c r="AN180" i="4"/>
  <c r="AN192" i="4"/>
  <c r="AN204" i="4"/>
  <c r="AN216" i="4"/>
  <c r="AN228" i="4"/>
  <c r="AN240" i="4"/>
  <c r="AN252" i="4"/>
  <c r="AN264" i="4"/>
  <c r="AN276" i="4"/>
  <c r="AN288" i="4"/>
  <c r="AN300" i="4"/>
  <c r="AN312" i="4"/>
  <c r="AN324" i="4"/>
  <c r="AN336" i="4"/>
  <c r="AN348" i="4"/>
  <c r="AN360" i="4"/>
  <c r="AN372" i="4"/>
  <c r="AN384" i="4"/>
  <c r="AN396" i="4"/>
  <c r="AN408" i="4"/>
  <c r="AN420" i="4"/>
  <c r="AN432" i="4"/>
  <c r="AN444" i="4"/>
  <c r="AN456" i="4"/>
  <c r="AN468" i="4"/>
  <c r="AN480" i="4"/>
  <c r="AN492" i="4"/>
  <c r="AN504" i="4"/>
  <c r="AN516" i="4"/>
  <c r="AN528" i="4"/>
  <c r="AN540" i="4"/>
  <c r="AN552" i="4"/>
  <c r="AN564" i="4"/>
  <c r="AN576" i="4"/>
  <c r="AN588" i="4"/>
  <c r="AN600" i="4"/>
  <c r="AQ17" i="4"/>
  <c r="AQ29" i="4"/>
  <c r="AQ41" i="4"/>
  <c r="AQ53" i="4"/>
  <c r="AQ65" i="4"/>
  <c r="AQ77" i="4"/>
  <c r="AQ89" i="4"/>
  <c r="AQ101" i="4"/>
  <c r="AQ113" i="4"/>
  <c r="AQ125" i="4"/>
  <c r="AQ137" i="4"/>
  <c r="AQ149" i="4"/>
  <c r="AQ161" i="4"/>
  <c r="AQ173" i="4"/>
  <c r="AQ185" i="4"/>
  <c r="AQ197" i="4"/>
  <c r="AQ209" i="4"/>
  <c r="AQ221" i="4"/>
  <c r="AQ233" i="4"/>
  <c r="AQ245" i="4"/>
  <c r="AQ257" i="4"/>
  <c r="AQ269" i="4"/>
  <c r="AQ281" i="4"/>
  <c r="AQ293" i="4"/>
  <c r="AQ305" i="4"/>
  <c r="AQ317" i="4"/>
  <c r="AQ329" i="4"/>
  <c r="AQ341" i="4"/>
  <c r="AQ353" i="4"/>
  <c r="AQ365" i="4"/>
  <c r="AQ377" i="4"/>
  <c r="AQ389" i="4"/>
  <c r="AQ401" i="4"/>
  <c r="AQ413" i="4"/>
  <c r="AQ425" i="4"/>
  <c r="AQ437" i="4"/>
  <c r="AQ449" i="4"/>
  <c r="AQ461" i="4"/>
  <c r="AQ473" i="4"/>
  <c r="AQ485" i="4"/>
  <c r="AQ497" i="4"/>
  <c r="AQ509" i="4"/>
  <c r="AQ521" i="4"/>
  <c r="AQ533" i="4"/>
  <c r="AQ545" i="4"/>
  <c r="AQ557" i="4"/>
  <c r="AQ569" i="4"/>
  <c r="AQ581" i="4"/>
  <c r="AQ593" i="4"/>
  <c r="AQ366" i="4"/>
  <c r="AQ378" i="4"/>
  <c r="AQ390" i="4"/>
  <c r="AQ402" i="4"/>
  <c r="AQ414" i="4"/>
  <c r="AQ426" i="4"/>
  <c r="AQ438" i="4"/>
  <c r="AQ450" i="4"/>
  <c r="AQ462" i="4"/>
  <c r="AQ474" i="4"/>
  <c r="AQ486" i="4"/>
  <c r="AQ498" i="4"/>
  <c r="AQ510" i="4"/>
  <c r="AQ522" i="4"/>
  <c r="AQ534" i="4"/>
  <c r="AQ546" i="4"/>
  <c r="AQ558" i="4"/>
  <c r="AQ570" i="4"/>
  <c r="AQ582" i="4"/>
  <c r="AQ594" i="4"/>
  <c r="AN578" i="4"/>
  <c r="AQ8" i="4"/>
  <c r="AQ19" i="4"/>
  <c r="AQ31" i="4"/>
  <c r="AQ43" i="4"/>
  <c r="AQ55" i="4"/>
  <c r="AQ67" i="4"/>
  <c r="AQ79" i="4"/>
  <c r="AQ91" i="4"/>
  <c r="AQ103" i="4"/>
  <c r="AQ115" i="4"/>
  <c r="AQ127" i="4"/>
  <c r="AQ139" i="4"/>
  <c r="AQ151" i="4"/>
  <c r="AQ163" i="4"/>
  <c r="AQ175" i="4"/>
  <c r="AQ187" i="4"/>
  <c r="AQ199" i="4"/>
  <c r="AQ211" i="4"/>
  <c r="AQ223" i="4"/>
  <c r="AQ235" i="4"/>
  <c r="AQ247" i="4"/>
  <c r="AQ259" i="4"/>
  <c r="AQ271" i="4"/>
  <c r="AQ283" i="4"/>
  <c r="AQ295" i="4"/>
  <c r="AQ307" i="4"/>
  <c r="AQ319" i="4"/>
  <c r="AQ331" i="4"/>
  <c r="AQ343" i="4"/>
  <c r="AQ355" i="4"/>
  <c r="AQ367" i="4"/>
  <c r="AQ379" i="4"/>
  <c r="AQ391" i="4"/>
  <c r="AQ403" i="4"/>
  <c r="AQ415" i="4"/>
  <c r="AQ427" i="4"/>
  <c r="AQ439" i="4"/>
  <c r="AQ451" i="4"/>
  <c r="AQ463" i="4"/>
  <c r="AQ475" i="4"/>
  <c r="AQ487" i="4"/>
  <c r="AQ499" i="4"/>
  <c r="AQ511" i="4"/>
  <c r="AQ523" i="4"/>
  <c r="AQ535" i="4"/>
  <c r="AQ547" i="4"/>
  <c r="AQ559" i="4"/>
  <c r="AQ571" i="4"/>
  <c r="AQ583" i="4"/>
  <c r="AQ595" i="4"/>
  <c r="AQ20" i="4"/>
  <c r="AQ32" i="4"/>
  <c r="AQ44" i="4"/>
  <c r="AQ56" i="4"/>
  <c r="AQ68" i="4"/>
  <c r="AQ80" i="4"/>
  <c r="AQ92" i="4"/>
  <c r="AQ104" i="4"/>
  <c r="AQ116" i="4"/>
  <c r="AQ128" i="4"/>
  <c r="AQ140" i="4"/>
  <c r="AQ152" i="4"/>
  <c r="AQ164" i="4"/>
  <c r="AQ176" i="4"/>
  <c r="AQ188" i="4"/>
  <c r="AQ200" i="4"/>
  <c r="AQ212" i="4"/>
  <c r="AQ224" i="4"/>
  <c r="AQ236" i="4"/>
  <c r="AQ248" i="4"/>
  <c r="AQ260" i="4"/>
  <c r="AQ272" i="4"/>
  <c r="AQ284" i="4"/>
  <c r="AQ296" i="4"/>
  <c r="AQ308" i="4"/>
  <c r="AQ320" i="4"/>
  <c r="AQ332" i="4"/>
  <c r="AQ344" i="4"/>
  <c r="AQ356" i="4"/>
  <c r="AQ368" i="4"/>
  <c r="AQ380" i="4"/>
  <c r="AQ392" i="4"/>
  <c r="AQ404" i="4"/>
  <c r="AQ416" i="4"/>
  <c r="AQ428" i="4"/>
  <c r="AQ440" i="4"/>
  <c r="AQ452" i="4"/>
  <c r="AQ464" i="4"/>
  <c r="AQ476" i="4"/>
  <c r="AQ488" i="4"/>
  <c r="AQ500" i="4"/>
  <c r="AQ512" i="4"/>
  <c r="AQ524" i="4"/>
  <c r="AQ536" i="4"/>
  <c r="AQ548" i="4"/>
  <c r="AQ560" i="4"/>
  <c r="AQ572" i="4"/>
  <c r="AQ584" i="4"/>
  <c r="AW9" i="4"/>
  <c r="AW21" i="4"/>
  <c r="AW33" i="4"/>
  <c r="AW45" i="4"/>
  <c r="AW57" i="4"/>
  <c r="AW69" i="4"/>
  <c r="AW81" i="4"/>
  <c r="AW93" i="4"/>
  <c r="AW105" i="4"/>
  <c r="AW117" i="4"/>
  <c r="AW129" i="4"/>
  <c r="AW141" i="4"/>
  <c r="AW153" i="4"/>
  <c r="AW165" i="4"/>
  <c r="AW177" i="4"/>
  <c r="AW189" i="4"/>
  <c r="AW201" i="4"/>
  <c r="AW213" i="4"/>
  <c r="AW225" i="4"/>
  <c r="AW237" i="4"/>
  <c r="AW249" i="4"/>
  <c r="AW261" i="4"/>
  <c r="AW273" i="4"/>
  <c r="AW285" i="4"/>
  <c r="AW297" i="4"/>
  <c r="AW309" i="4"/>
  <c r="AW321" i="4"/>
  <c r="AW333" i="4"/>
  <c r="AW345" i="4"/>
  <c r="AW357" i="4"/>
  <c r="AW369" i="4"/>
  <c r="AW381" i="4"/>
  <c r="AW393" i="4"/>
  <c r="AW405" i="4"/>
  <c r="AW417" i="4"/>
  <c r="AW429" i="4"/>
  <c r="AW441" i="4"/>
  <c r="AW453" i="4"/>
  <c r="AW465" i="4"/>
  <c r="AW477" i="4"/>
  <c r="AW489" i="4"/>
  <c r="AW501" i="4"/>
  <c r="AW514" i="4"/>
  <c r="AW528" i="4"/>
  <c r="AW543" i="4"/>
  <c r="AW557" i="4"/>
  <c r="AW573" i="4"/>
  <c r="AW588" i="4"/>
  <c r="AW10" i="4"/>
  <c r="AW22" i="4"/>
  <c r="AW34" i="4"/>
  <c r="AW46" i="4"/>
  <c r="AW58" i="4"/>
  <c r="AW70" i="4"/>
  <c r="AW82" i="4"/>
  <c r="AW94" i="4"/>
  <c r="AW106" i="4"/>
  <c r="AW118" i="4"/>
  <c r="AW130" i="4"/>
  <c r="AW142" i="4"/>
  <c r="AW154" i="4"/>
  <c r="AW166" i="4"/>
  <c r="AW178" i="4"/>
  <c r="AW190" i="4"/>
  <c r="AW202" i="4"/>
  <c r="AW214" i="4"/>
  <c r="AW226" i="4"/>
  <c r="AW238" i="4"/>
  <c r="AW250" i="4"/>
  <c r="AW262" i="4"/>
  <c r="AW274" i="4"/>
  <c r="AW286" i="4"/>
  <c r="AW298" i="4"/>
  <c r="AW310" i="4"/>
  <c r="AW322" i="4"/>
  <c r="AW334" i="4"/>
  <c r="AW346" i="4"/>
  <c r="AW358" i="4"/>
  <c r="AW370" i="4"/>
  <c r="AW382" i="4"/>
  <c r="AW394" i="4"/>
  <c r="AW406" i="4"/>
  <c r="AW418" i="4"/>
  <c r="AW430" i="4"/>
  <c r="AW442" i="4"/>
  <c r="AW454" i="4"/>
  <c r="AW466" i="4"/>
  <c r="AW478" i="4"/>
  <c r="AW490" i="4"/>
  <c r="AW502" i="4"/>
  <c r="AW515" i="4"/>
  <c r="AW529" i="4"/>
  <c r="AW544" i="4"/>
  <c r="AW558" i="4"/>
  <c r="AW574" i="4"/>
  <c r="AW589" i="4"/>
  <c r="AW545" i="4"/>
  <c r="AW560" i="4"/>
  <c r="AW575" i="4"/>
  <c r="AW591" i="4"/>
  <c r="AW13" i="4"/>
  <c r="AW25" i="4"/>
  <c r="AW37" i="4"/>
  <c r="AW49" i="4"/>
  <c r="AW61" i="4"/>
  <c r="AW73" i="4"/>
  <c r="AW85" i="4"/>
  <c r="AW97" i="4"/>
  <c r="AW109" i="4"/>
  <c r="AW121" i="4"/>
  <c r="AW133" i="4"/>
  <c r="AW145" i="4"/>
  <c r="AW157" i="4"/>
  <c r="AW169" i="4"/>
  <c r="AW181" i="4"/>
  <c r="AW193" i="4"/>
  <c r="AW205" i="4"/>
  <c r="AW217" i="4"/>
  <c r="AW229" i="4"/>
  <c r="AW241" i="4"/>
  <c r="AW253" i="4"/>
  <c r="AW265" i="4"/>
  <c r="AW277" i="4"/>
  <c r="AW289" i="4"/>
  <c r="AW301" i="4"/>
  <c r="AW313" i="4"/>
  <c r="AW325" i="4"/>
  <c r="AW337" i="4"/>
  <c r="AW349" i="4"/>
  <c r="AW361" i="4"/>
  <c r="AW373" i="4"/>
  <c r="AW385" i="4"/>
  <c r="AW397" i="4"/>
  <c r="AW409" i="4"/>
  <c r="AW421" i="4"/>
  <c r="AW433" i="4"/>
  <c r="AW445" i="4"/>
  <c r="AW457" i="4"/>
  <c r="AW469" i="4"/>
  <c r="AW481" i="4"/>
  <c r="AW493" i="4"/>
  <c r="AW505" i="4"/>
  <c r="AW519" i="4"/>
  <c r="AW533" i="4"/>
  <c r="AW548" i="4"/>
  <c r="AW562" i="4"/>
  <c r="AW577" i="4"/>
  <c r="AW593" i="4"/>
  <c r="AW14" i="4"/>
  <c r="AW26" i="4"/>
  <c r="AW38" i="4"/>
  <c r="AW50" i="4"/>
  <c r="AW62" i="4"/>
  <c r="AW74" i="4"/>
  <c r="AW86" i="4"/>
  <c r="AW98" i="4"/>
  <c r="AW110" i="4"/>
  <c r="AW122" i="4"/>
  <c r="AW134" i="4"/>
  <c r="AW146" i="4"/>
  <c r="AW158" i="4"/>
  <c r="AW170" i="4"/>
  <c r="AW182" i="4"/>
  <c r="AW194" i="4"/>
  <c r="AW206" i="4"/>
  <c r="AW218" i="4"/>
  <c r="AW230" i="4"/>
  <c r="AW242" i="4"/>
  <c r="AW254" i="4"/>
  <c r="AW266" i="4"/>
  <c r="AW278" i="4"/>
  <c r="AW290" i="4"/>
  <c r="AW302" i="4"/>
  <c r="AW314" i="4"/>
  <c r="AW326" i="4"/>
  <c r="AW338" i="4"/>
  <c r="AW350" i="4"/>
  <c r="AW362" i="4"/>
  <c r="AW374" i="4"/>
  <c r="AW386" i="4"/>
  <c r="AW398" i="4"/>
  <c r="AW410" i="4"/>
  <c r="AW422" i="4"/>
  <c r="AW434" i="4"/>
  <c r="AW446" i="4"/>
  <c r="AW458" i="4"/>
  <c r="AW470" i="4"/>
  <c r="AW482" i="4"/>
  <c r="AW494" i="4"/>
  <c r="AW506" i="4"/>
  <c r="AW520" i="4"/>
  <c r="AW534" i="4"/>
  <c r="AW549" i="4"/>
  <c r="AW563" i="4"/>
  <c r="AW579" i="4"/>
  <c r="AW596" i="4"/>
  <c r="AW17" i="4"/>
  <c r="AW29" i="4"/>
  <c r="AW41" i="4"/>
  <c r="AW53" i="4"/>
  <c r="AW65" i="4"/>
  <c r="AW77" i="4"/>
  <c r="AW89" i="4"/>
  <c r="AW101" i="4"/>
  <c r="AW113" i="4"/>
  <c r="AW125" i="4"/>
  <c r="AW137" i="4"/>
  <c r="AW149" i="4"/>
  <c r="AW161" i="4"/>
  <c r="AW173" i="4"/>
  <c r="AW185" i="4"/>
  <c r="AW197" i="4"/>
  <c r="AW209" i="4"/>
  <c r="AW221" i="4"/>
  <c r="AW233" i="4"/>
  <c r="AW245" i="4"/>
  <c r="AW257" i="4"/>
  <c r="AW269" i="4"/>
  <c r="AW281" i="4"/>
  <c r="AW293" i="4"/>
  <c r="AW305" i="4"/>
  <c r="AW317" i="4"/>
  <c r="AW329" i="4"/>
  <c r="AW341" i="4"/>
  <c r="AW353" i="4"/>
  <c r="AW365" i="4"/>
  <c r="AW377" i="4"/>
  <c r="AW389" i="4"/>
  <c r="AW401" i="4"/>
  <c r="AW413" i="4"/>
  <c r="AW425" i="4"/>
  <c r="AW437" i="4"/>
  <c r="AW449" i="4"/>
  <c r="AW461" i="4"/>
  <c r="AW473" i="4"/>
  <c r="AW485" i="4"/>
  <c r="AW497" i="4"/>
  <c r="AW509" i="4"/>
  <c r="AW524" i="4"/>
  <c r="AW538" i="4"/>
  <c r="AW552" i="4"/>
  <c r="AW567" i="4"/>
  <c r="AW584" i="4"/>
  <c r="AW599" i="4"/>
  <c r="AW569" i="4"/>
  <c r="AW586" i="4"/>
  <c r="AW595" i="4"/>
  <c r="AW583" i="4"/>
  <c r="AW571" i="4"/>
  <c r="AW559" i="4"/>
  <c r="AW547" i="4"/>
  <c r="AW535" i="4"/>
  <c r="AW523" i="4"/>
  <c r="AW511" i="4"/>
  <c r="AW594" i="4"/>
  <c r="AW582" i="4"/>
  <c r="AW570" i="4"/>
  <c r="AW590" i="4"/>
  <c r="AW578" i="4"/>
  <c r="AW566" i="4"/>
  <c r="AW554" i="4"/>
  <c r="AW542" i="4"/>
  <c r="AW530" i="4"/>
  <c r="AW518" i="4"/>
  <c r="AW20" i="4"/>
  <c r="AW32" i="4"/>
  <c r="AW44" i="4"/>
  <c r="AW56" i="4"/>
  <c r="AW68" i="4"/>
  <c r="AW80" i="4"/>
  <c r="AW92" i="4"/>
  <c r="AW104" i="4"/>
  <c r="AW116" i="4"/>
  <c r="AW128" i="4"/>
  <c r="AW140" i="4"/>
  <c r="AW152" i="4"/>
  <c r="AW164" i="4"/>
  <c r="AW176" i="4"/>
  <c r="AW188" i="4"/>
  <c r="AW200" i="4"/>
  <c r="AW212" i="4"/>
  <c r="AW224" i="4"/>
  <c r="AW236" i="4"/>
  <c r="AW248" i="4"/>
  <c r="AW260" i="4"/>
  <c r="AW272" i="4"/>
  <c r="AW284" i="4"/>
  <c r="AW296" i="4"/>
  <c r="AW308" i="4"/>
  <c r="AW320" i="4"/>
  <c r="AW332" i="4"/>
  <c r="AW344" i="4"/>
  <c r="AW356" i="4"/>
  <c r="AW368" i="4"/>
  <c r="AW380" i="4"/>
  <c r="AW392" i="4"/>
  <c r="AW404" i="4"/>
  <c r="AW416" i="4"/>
  <c r="AW428" i="4"/>
  <c r="AW440" i="4"/>
  <c r="AW452" i="4"/>
  <c r="AW464" i="4"/>
  <c r="AW476" i="4"/>
  <c r="AW488" i="4"/>
  <c r="AW500" i="4"/>
  <c r="AW513" i="4"/>
  <c r="AW527" i="4"/>
  <c r="AW541" i="4"/>
  <c r="AW556" i="4"/>
  <c r="AW572" i="4"/>
  <c r="AW587" i="4"/>
  <c r="BF4" i="5"/>
  <c r="BF11" i="5"/>
  <c r="BE18" i="5"/>
  <c r="BF10" i="5"/>
  <c r="BE10" i="5"/>
  <c r="BF7" i="5"/>
  <c r="BE7" i="5"/>
  <c r="BF73" i="5"/>
  <c r="BE73" i="5"/>
  <c r="BF82" i="5"/>
  <c r="BE82" i="5"/>
  <c r="BF95" i="5"/>
  <c r="BF119" i="5"/>
  <c r="BE119" i="5"/>
  <c r="BF131" i="5"/>
  <c r="BE131" i="5"/>
  <c r="BF143" i="5"/>
  <c r="BE143" i="5"/>
  <c r="BF79" i="5"/>
  <c r="BE79" i="5"/>
  <c r="BF88" i="5"/>
  <c r="BE88" i="5"/>
  <c r="BF121" i="5"/>
  <c r="BE121" i="5"/>
  <c r="BF133" i="5"/>
  <c r="BE133" i="5"/>
  <c r="BF145" i="5"/>
  <c r="BE145" i="5"/>
  <c r="BF85" i="5"/>
  <c r="BE85" i="5"/>
  <c r="BF94" i="5"/>
  <c r="BE94" i="5"/>
  <c r="BF106" i="5"/>
  <c r="BE106" i="5"/>
  <c r="BF161" i="5"/>
  <c r="BE161" i="5"/>
  <c r="BE33" i="5"/>
  <c r="BF91" i="5"/>
  <c r="BE91" i="5"/>
  <c r="BF100" i="5"/>
  <c r="BE100" i="5"/>
  <c r="BF24" i="5"/>
  <c r="BE34" i="5"/>
  <c r="BF38" i="5"/>
  <c r="BF97" i="5"/>
  <c r="BE97" i="5"/>
  <c r="BF52" i="5"/>
  <c r="BE52" i="5"/>
  <c r="BF103" i="5"/>
  <c r="BE103" i="5"/>
  <c r="BF149" i="5"/>
  <c r="BE149" i="5"/>
  <c r="BF113" i="5"/>
  <c r="BE113" i="5"/>
  <c r="BF125" i="5"/>
  <c r="BE125" i="5"/>
  <c r="BF137" i="5"/>
  <c r="BE137" i="5"/>
  <c r="BF151" i="5"/>
  <c r="BE151" i="5"/>
  <c r="BF115" i="5"/>
  <c r="BE115" i="5"/>
  <c r="BF127" i="5"/>
  <c r="BE127" i="5"/>
  <c r="BF139" i="5"/>
  <c r="BE139" i="5"/>
  <c r="AG8" i="5"/>
  <c r="BF36" i="5"/>
  <c r="BF40" i="5"/>
  <c r="BE55" i="5"/>
  <c r="BF58" i="5"/>
  <c r="BE58" i="5"/>
  <c r="BF68" i="5"/>
  <c r="BF122" i="5"/>
  <c r="BF134" i="5"/>
  <c r="BF64" i="5"/>
  <c r="BE64" i="5"/>
  <c r="BF107" i="5"/>
  <c r="BE107" i="5"/>
  <c r="BF23" i="5"/>
  <c r="BE47" i="5"/>
  <c r="BF61" i="5"/>
  <c r="BE61" i="5"/>
  <c r="BF70" i="5"/>
  <c r="BE70" i="5"/>
  <c r="BF80" i="5"/>
  <c r="BE89" i="5"/>
  <c r="BF155" i="5"/>
  <c r="BE155" i="5"/>
  <c r="BF67" i="5"/>
  <c r="BE67" i="5"/>
  <c r="BF76" i="5"/>
  <c r="BE76" i="5"/>
  <c r="BF86" i="5"/>
  <c r="BF157" i="5"/>
  <c r="BE157" i="5"/>
  <c r="BF353" i="5"/>
  <c r="BE353" i="5"/>
  <c r="BF281" i="5"/>
  <c r="BE281" i="5"/>
  <c r="BE301" i="5"/>
  <c r="BE337" i="5"/>
  <c r="BF365" i="5"/>
  <c r="BE365" i="5"/>
  <c r="BE427" i="5"/>
  <c r="BF297" i="5"/>
  <c r="BE297" i="5"/>
  <c r="BF307" i="5"/>
  <c r="BE307" i="5"/>
  <c r="BF333" i="5"/>
  <c r="BE333" i="5"/>
  <c r="BE163" i="5"/>
  <c r="BE184" i="5"/>
  <c r="BE220" i="5"/>
  <c r="BE277" i="5"/>
  <c r="BF317" i="5"/>
  <c r="BE317" i="5"/>
  <c r="BE330" i="5"/>
  <c r="BE379" i="5"/>
  <c r="BE168" i="5"/>
  <c r="BE173" i="5"/>
  <c r="BF189" i="5"/>
  <c r="BE194" i="5"/>
  <c r="BE199" i="5"/>
  <c r="BE204" i="5"/>
  <c r="BE209" i="5"/>
  <c r="BF225" i="5"/>
  <c r="BE230" i="5"/>
  <c r="BE235" i="5"/>
  <c r="BE252" i="5"/>
  <c r="BF256" i="5"/>
  <c r="BE270" i="5"/>
  <c r="BF273" i="5"/>
  <c r="BE273" i="5"/>
  <c r="BE300" i="5"/>
  <c r="BE336" i="5"/>
  <c r="BE373" i="5"/>
  <c r="BE399" i="5"/>
  <c r="BF402" i="5"/>
  <c r="BF429" i="5"/>
  <c r="BE429" i="5"/>
  <c r="BF345" i="5"/>
  <c r="BE345" i="5"/>
  <c r="BF293" i="5"/>
  <c r="BE293" i="5"/>
  <c r="BF309" i="5"/>
  <c r="BE309" i="5"/>
  <c r="BF319" i="5"/>
  <c r="BE319" i="5"/>
  <c r="BF357" i="5"/>
  <c r="BE357" i="5"/>
  <c r="BE426" i="5"/>
  <c r="BF426" i="5"/>
  <c r="BE172" i="5"/>
  <c r="BE208" i="5"/>
  <c r="BE306" i="5"/>
  <c r="BF329" i="5"/>
  <c r="BE329" i="5"/>
  <c r="BE342" i="5"/>
  <c r="BE360" i="5"/>
  <c r="BF369" i="5"/>
  <c r="BE369" i="5"/>
  <c r="BE381" i="5"/>
  <c r="BF384" i="5"/>
  <c r="BE9" i="6"/>
  <c r="BF177" i="5"/>
  <c r="BE182" i="5"/>
  <c r="BE187" i="5"/>
  <c r="BE192" i="5"/>
  <c r="BE197" i="5"/>
  <c r="BF213" i="5"/>
  <c r="BE218" i="5"/>
  <c r="BE223" i="5"/>
  <c r="BE228" i="5"/>
  <c r="BE233" i="5"/>
  <c r="BE238" i="5"/>
  <c r="BE243" i="5"/>
  <c r="BE247" i="5"/>
  <c r="BF251" i="5"/>
  <c r="BE255" i="5"/>
  <c r="BF269" i="5"/>
  <c r="BE269" i="5"/>
  <c r="BE289" i="5"/>
  <c r="BE312" i="5"/>
  <c r="BE354" i="5"/>
  <c r="BE372" i="5"/>
  <c r="BF285" i="5"/>
  <c r="BE285" i="5"/>
  <c r="BF171" i="5"/>
  <c r="BE176" i="5"/>
  <c r="BE181" i="5"/>
  <c r="BE186" i="5"/>
  <c r="BE191" i="5"/>
  <c r="BF207" i="5"/>
  <c r="BE212" i="5"/>
  <c r="BE217" i="5"/>
  <c r="BE222" i="5"/>
  <c r="BE227" i="5"/>
  <c r="BE265" i="5"/>
  <c r="BF295" i="5"/>
  <c r="BF321" i="5"/>
  <c r="BE321" i="5"/>
  <c r="BF331" i="5"/>
  <c r="BE331" i="5"/>
  <c r="BE401" i="5"/>
  <c r="BE409" i="5"/>
  <c r="BF237" i="5"/>
  <c r="BE237" i="5"/>
  <c r="BF246" i="5"/>
  <c r="BF261" i="5"/>
  <c r="BE261" i="5"/>
  <c r="BF305" i="5"/>
  <c r="BE305" i="5"/>
  <c r="BF341" i="5"/>
  <c r="BE341" i="5"/>
  <c r="BE420" i="5"/>
  <c r="BF420" i="5"/>
  <c r="BF432" i="5"/>
  <c r="BE432" i="5"/>
  <c r="BF450" i="5"/>
  <c r="BE450" i="5"/>
  <c r="BE343" i="5"/>
  <c r="BE355" i="5"/>
  <c r="BE367" i="5"/>
  <c r="BE375" i="5"/>
  <c r="BE393" i="5"/>
  <c r="BE411" i="5"/>
  <c r="BE435" i="5"/>
  <c r="BF438" i="5"/>
  <c r="BE438" i="5"/>
  <c r="BF444" i="5"/>
  <c r="BE444" i="5"/>
  <c r="BF18" i="6"/>
  <c r="BE18" i="6"/>
  <c r="BF17" i="6"/>
  <c r="BE17" i="6"/>
  <c r="BE46" i="6"/>
  <c r="BF98" i="6"/>
  <c r="BE98" i="6"/>
  <c r="BE63" i="6"/>
  <c r="BE73" i="6"/>
  <c r="BF78" i="6"/>
  <c r="BE78" i="6"/>
  <c r="BE29" i="6"/>
  <c r="BE43" i="6"/>
  <c r="BE64" i="6"/>
  <c r="BF66" i="6"/>
  <c r="BE66" i="6"/>
  <c r="BE31" i="6"/>
  <c r="BF56" i="6"/>
  <c r="BE56" i="6"/>
  <c r="BE27" i="6"/>
  <c r="BE28" i="6"/>
  <c r="BE32" i="6"/>
  <c r="BE33" i="6"/>
  <c r="BE36" i="6"/>
  <c r="BE37" i="6"/>
  <c r="BE42" i="6"/>
  <c r="BE45" i="6"/>
  <c r="BE14" i="6"/>
  <c r="BF79" i="6"/>
  <c r="BE79" i="6"/>
  <c r="BF104" i="6"/>
  <c r="BE103" i="6"/>
  <c r="BF103" i="6"/>
  <c r="BE119" i="6"/>
  <c r="BF119" i="6"/>
  <c r="BF101" i="6"/>
  <c r="BE101" i="6"/>
  <c r="BE106" i="6"/>
  <c r="BF106" i="6"/>
  <c r="BE108" i="6"/>
  <c r="BF108" i="6"/>
  <c r="BE128" i="6"/>
  <c r="BF128" i="6"/>
  <c r="BF87" i="6"/>
  <c r="BF91" i="6"/>
  <c r="BE91" i="6"/>
  <c r="BE105" i="6"/>
  <c r="BF126" i="6"/>
  <c r="BE126" i="6"/>
  <c r="BE90" i="6"/>
  <c r="BF90" i="6"/>
  <c r="BE99" i="6"/>
  <c r="BF99" i="6"/>
  <c r="BE124" i="6"/>
  <c r="BF124" i="6"/>
  <c r="BF136" i="6"/>
  <c r="BE136" i="6"/>
  <c r="BE149" i="6"/>
  <c r="BF149" i="6"/>
  <c r="BF94" i="6"/>
  <c r="BE94" i="6"/>
  <c r="BF125" i="6"/>
  <c r="BE125" i="6"/>
  <c r="BE134" i="6"/>
  <c r="BF134" i="6"/>
  <c r="BF138" i="6"/>
  <c r="BE138" i="6"/>
  <c r="BF139" i="6"/>
  <c r="BE141" i="6"/>
  <c r="BE143" i="6"/>
  <c r="BF143" i="6"/>
  <c r="BF172" i="6"/>
  <c r="BE172" i="6"/>
  <c r="BF140" i="6"/>
  <c r="BF171" i="6"/>
  <c r="BE190" i="6"/>
  <c r="BF190" i="6"/>
  <c r="BE173" i="6"/>
  <c r="BF173" i="6"/>
  <c r="BE176" i="6"/>
  <c r="BF176" i="6"/>
  <c r="BF189" i="6"/>
  <c r="BE189" i="6"/>
  <c r="BF214" i="6"/>
  <c r="BE214" i="6"/>
  <c r="BE168" i="6"/>
  <c r="BE174" i="6"/>
  <c r="BE177" i="6"/>
  <c r="BE181" i="6"/>
  <c r="BF191" i="6"/>
  <c r="BE191" i="6"/>
  <c r="BE199" i="6"/>
  <c r="BF199" i="6"/>
  <c r="BF194" i="6"/>
  <c r="BE194" i="6"/>
  <c r="BE205" i="6"/>
  <c r="BF205" i="6"/>
  <c r="BF186" i="6"/>
  <c r="BE186" i="6"/>
  <c r="BE196" i="6"/>
  <c r="BE232" i="6"/>
  <c r="BF233" i="6"/>
  <c r="BF207" i="6"/>
  <c r="BF208" i="6"/>
  <c r="BE215" i="6"/>
  <c r="BE227" i="6"/>
  <c r="BF232" i="6"/>
  <c r="BF236" i="6"/>
  <c r="BE236" i="6"/>
  <c r="BE197" i="6"/>
  <c r="BE226" i="6"/>
  <c r="BE228" i="6"/>
  <c r="BE229" i="6"/>
  <c r="BE230" i="6"/>
  <c r="BE231" i="6"/>
  <c r="BE209" i="6"/>
  <c r="BE217" i="6"/>
  <c r="BF226" i="6"/>
  <c r="BF228" i="6"/>
  <c r="BF229" i="6"/>
  <c r="BF230" i="6"/>
  <c r="BF231" i="6"/>
  <c r="BE216" i="6"/>
  <c r="BE218" i="6"/>
  <c r="BF222" i="6"/>
  <c r="BE225" i="6"/>
  <c r="BF235" i="6"/>
  <c r="BE192" i="6"/>
  <c r="BE195" i="6"/>
  <c r="BF210" i="6"/>
  <c r="BE211" i="6"/>
  <c r="BF218" i="6"/>
  <c r="BE222" i="6"/>
  <c r="BE235" i="6"/>
  <c r="BF238" i="6"/>
  <c r="BE238" i="6"/>
  <c r="BF195" i="6"/>
  <c r="BE198" i="6"/>
  <c r="BE200" i="6"/>
  <c r="BE210" i="6"/>
  <c r="BF211" i="6"/>
  <c r="BE224" i="6"/>
  <c r="C90" i="15"/>
  <c r="C78" i="15"/>
  <c r="C66" i="15"/>
  <c r="C54" i="15"/>
  <c r="C42" i="15"/>
  <c r="C30" i="15"/>
  <c r="C18" i="15"/>
  <c r="C6" i="15"/>
  <c r="C101" i="15"/>
  <c r="C89" i="15"/>
  <c r="C77" i="15"/>
  <c r="C65" i="15"/>
  <c r="C53" i="15"/>
  <c r="C41" i="15"/>
  <c r="C29" i="15"/>
  <c r="C17" i="15"/>
  <c r="C5" i="15"/>
  <c r="C100" i="15"/>
  <c r="C88" i="15"/>
  <c r="C76" i="15"/>
  <c r="C64" i="15"/>
  <c r="C52" i="15"/>
  <c r="C40" i="15"/>
  <c r="C28" i="15"/>
  <c r="C16" i="15"/>
  <c r="C4" i="15"/>
  <c r="C99" i="15"/>
  <c r="C87" i="15"/>
  <c r="C75" i="15"/>
  <c r="C63" i="15"/>
  <c r="C51" i="15"/>
  <c r="C39" i="15"/>
  <c r="C27" i="15"/>
  <c r="C15" i="15"/>
  <c r="C3" i="15"/>
  <c r="C98" i="15"/>
  <c r="C86" i="15"/>
  <c r="C74" i="15"/>
  <c r="C62" i="15"/>
  <c r="C50" i="15"/>
  <c r="C38" i="15"/>
  <c r="C26" i="15"/>
  <c r="C14" i="15"/>
  <c r="C97" i="15"/>
  <c r="C85" i="15"/>
  <c r="C73" i="15"/>
  <c r="C61" i="15"/>
  <c r="C49" i="15"/>
  <c r="C37" i="15"/>
  <c r="C25" i="15"/>
  <c r="C13" i="15"/>
  <c r="C2" i="15"/>
  <c r="C96" i="15"/>
  <c r="C84" i="15"/>
  <c r="C72" i="15"/>
  <c r="C60" i="15"/>
  <c r="C48" i="15"/>
  <c r="C36" i="15"/>
  <c r="C24" i="15"/>
  <c r="C12" i="15"/>
  <c r="C95" i="15"/>
  <c r="C83" i="15"/>
  <c r="C71" i="15"/>
  <c r="C59" i="15"/>
  <c r="C47" i="15"/>
  <c r="C35" i="15"/>
  <c r="C23" i="15"/>
  <c r="C11" i="15"/>
  <c r="C94" i="15"/>
  <c r="C82" i="15"/>
  <c r="C70" i="15"/>
  <c r="C58" i="15"/>
  <c r="C46" i="15"/>
  <c r="C34" i="15"/>
  <c r="C22" i="15"/>
  <c r="C10" i="15"/>
  <c r="C93" i="15"/>
  <c r="C81" i="15"/>
  <c r="C69" i="15"/>
  <c r="C57" i="15"/>
  <c r="C45" i="15"/>
  <c r="C33" i="15"/>
  <c r="C21" i="15"/>
  <c r="C9" i="15"/>
  <c r="C92" i="15"/>
  <c r="C80" i="15"/>
  <c r="C68" i="15"/>
  <c r="C56" i="15"/>
  <c r="C44" i="15"/>
  <c r="C32" i="15"/>
  <c r="C20" i="15"/>
  <c r="C8" i="15"/>
  <c r="C91" i="15"/>
  <c r="C79" i="15"/>
  <c r="C67" i="15"/>
  <c r="C55" i="15"/>
  <c r="C43" i="15"/>
  <c r="C31" i="15"/>
  <c r="C19" i="15"/>
  <c r="C7" i="15"/>
  <c r="BF203" i="6"/>
  <c r="BF206" i="6"/>
  <c r="BF221" i="6"/>
  <c r="BF234" i="6"/>
  <c r="D2" i="15" a="1"/>
  <c r="B2" i="15" a="1"/>
  <c r="E2" i="15" a="1"/>
  <c r="E92" i="15" l="1"/>
  <c r="E80" i="15"/>
  <c r="E68" i="15"/>
  <c r="E56" i="15"/>
  <c r="E44" i="15"/>
  <c r="E32" i="15"/>
  <c r="E20" i="15"/>
  <c r="E8" i="15"/>
  <c r="E91" i="15"/>
  <c r="E79" i="15"/>
  <c r="E67" i="15"/>
  <c r="E55" i="15"/>
  <c r="E43" i="15"/>
  <c r="E31" i="15"/>
  <c r="E19" i="15"/>
  <c r="E7" i="15"/>
  <c r="E90" i="15"/>
  <c r="E78" i="15"/>
  <c r="E66" i="15"/>
  <c r="E54" i="15"/>
  <c r="E42" i="15"/>
  <c r="E30" i="15"/>
  <c r="E18" i="15"/>
  <c r="E6" i="15"/>
  <c r="E101" i="15"/>
  <c r="E89" i="15"/>
  <c r="E77" i="15"/>
  <c r="E65" i="15"/>
  <c r="E53" i="15"/>
  <c r="E41" i="15"/>
  <c r="E29" i="15"/>
  <c r="E17" i="15"/>
  <c r="E5" i="15"/>
  <c r="E100" i="15"/>
  <c r="E88" i="15"/>
  <c r="E76" i="15"/>
  <c r="E64" i="15"/>
  <c r="E52" i="15"/>
  <c r="E40" i="15"/>
  <c r="E28" i="15"/>
  <c r="E16" i="15"/>
  <c r="E4" i="15"/>
  <c r="E99" i="15"/>
  <c r="E87" i="15"/>
  <c r="E75" i="15"/>
  <c r="E63" i="15"/>
  <c r="E51" i="15"/>
  <c r="E39" i="15"/>
  <c r="E27" i="15"/>
  <c r="E15" i="15"/>
  <c r="E3" i="15"/>
  <c r="E98" i="15"/>
  <c r="E86" i="15"/>
  <c r="E74" i="15"/>
  <c r="E62" i="15"/>
  <c r="E50" i="15"/>
  <c r="E38" i="15"/>
  <c r="E26" i="15"/>
  <c r="E14" i="15"/>
  <c r="E97" i="15"/>
  <c r="E85" i="15"/>
  <c r="E73" i="15"/>
  <c r="E61" i="15"/>
  <c r="E49" i="15"/>
  <c r="E37" i="15"/>
  <c r="E25" i="15"/>
  <c r="E13" i="15"/>
  <c r="E2" i="15"/>
  <c r="E96" i="15"/>
  <c r="E84" i="15"/>
  <c r="E72" i="15"/>
  <c r="E60" i="15"/>
  <c r="E48" i="15"/>
  <c r="E36" i="15"/>
  <c r="E24" i="15"/>
  <c r="E12" i="15"/>
  <c r="E95" i="15"/>
  <c r="E83" i="15"/>
  <c r="E71" i="15"/>
  <c r="E59" i="15"/>
  <c r="E47" i="15"/>
  <c r="E35" i="15"/>
  <c r="E23" i="15"/>
  <c r="E11" i="15"/>
  <c r="E94" i="15"/>
  <c r="E82" i="15"/>
  <c r="E70" i="15"/>
  <c r="E58" i="15"/>
  <c r="E46" i="15"/>
  <c r="E34" i="15"/>
  <c r="E22" i="15"/>
  <c r="E10" i="15"/>
  <c r="E93" i="15"/>
  <c r="E81" i="15"/>
  <c r="E69" i="15"/>
  <c r="E57" i="15"/>
  <c r="E45" i="15"/>
  <c r="E33" i="15"/>
  <c r="E21" i="15"/>
  <c r="E9" i="15"/>
  <c r="BG584" i="4"/>
  <c r="BJ584" i="4"/>
  <c r="BF584" i="4"/>
  <c r="BE584" i="4"/>
  <c r="AE584" i="4"/>
  <c r="BK584" i="4"/>
  <c r="BI584" i="4"/>
  <c r="BH584" i="4"/>
  <c r="BD584" i="4"/>
  <c r="BB584" i="4" s="1"/>
  <c r="BC584" i="4"/>
  <c r="BA584" i="4" s="1"/>
  <c r="BJ440" i="4"/>
  <c r="AE440" i="4"/>
  <c r="BG440" i="4"/>
  <c r="BD440" i="4"/>
  <c r="BB440" i="4" s="1"/>
  <c r="BC440" i="4"/>
  <c r="BA440" i="4" s="1"/>
  <c r="BK440" i="4"/>
  <c r="BE440" i="4"/>
  <c r="BI440" i="4"/>
  <c r="BH440" i="4"/>
  <c r="BF440" i="4"/>
  <c r="BD296" i="4"/>
  <c r="BB296" i="4" s="1"/>
  <c r="BC296" i="4"/>
  <c r="BA296" i="4" s="1"/>
  <c r="BK296" i="4"/>
  <c r="BJ296" i="4"/>
  <c r="AE296" i="4"/>
  <c r="BI296" i="4"/>
  <c r="BH296" i="4"/>
  <c r="BG296" i="4"/>
  <c r="BF296" i="4"/>
  <c r="BE296" i="4"/>
  <c r="BI152" i="4"/>
  <c r="BF152" i="4"/>
  <c r="BE152" i="4"/>
  <c r="AE152" i="4"/>
  <c r="BK152" i="4"/>
  <c r="BJ152" i="4"/>
  <c r="BH152" i="4"/>
  <c r="BG152" i="4"/>
  <c r="BD152" i="4"/>
  <c r="BB152" i="4" s="1"/>
  <c r="BC152" i="4"/>
  <c r="BA152" i="4" s="1"/>
  <c r="BE595" i="4"/>
  <c r="BJ595" i="4"/>
  <c r="BG595" i="4"/>
  <c r="BC595" i="4"/>
  <c r="BA595" i="4" s="1"/>
  <c r="AE595" i="4"/>
  <c r="BH595" i="4"/>
  <c r="BF595" i="4"/>
  <c r="BD595" i="4"/>
  <c r="BB595" i="4" s="1"/>
  <c r="BI595" i="4"/>
  <c r="BK595" i="4"/>
  <c r="BC451" i="4"/>
  <c r="BA451" i="4" s="1"/>
  <c r="BK451" i="4"/>
  <c r="BI451" i="4"/>
  <c r="BH451" i="4"/>
  <c r="BD451" i="4"/>
  <c r="BB451" i="4" s="1"/>
  <c r="BF451" i="4"/>
  <c r="BE451" i="4"/>
  <c r="AE451" i="4"/>
  <c r="BJ451" i="4"/>
  <c r="BG451" i="4"/>
  <c r="BJ307" i="4"/>
  <c r="AE307" i="4"/>
  <c r="BC307" i="4"/>
  <c r="BA307" i="4" s="1"/>
  <c r="BH307" i="4"/>
  <c r="BG307" i="4"/>
  <c r="BF307" i="4"/>
  <c r="BE307" i="4"/>
  <c r="BD307" i="4"/>
  <c r="BB307" i="4" s="1"/>
  <c r="BK307" i="4"/>
  <c r="BI307" i="4"/>
  <c r="BE163" i="4"/>
  <c r="BK163" i="4"/>
  <c r="BJ163" i="4"/>
  <c r="AE163" i="4"/>
  <c r="BG163" i="4"/>
  <c r="BF163" i="4"/>
  <c r="BI163" i="4"/>
  <c r="BH163" i="4"/>
  <c r="BD163" i="4"/>
  <c r="BB163" i="4" s="1"/>
  <c r="BC163" i="4"/>
  <c r="BA163" i="4" s="1"/>
  <c r="BI19" i="4"/>
  <c r="BF19" i="4"/>
  <c r="BC19" i="4"/>
  <c r="BA19" i="4" s="1"/>
  <c r="BK19" i="4"/>
  <c r="BJ19" i="4"/>
  <c r="AE19" i="4"/>
  <c r="BH19" i="4"/>
  <c r="BG19" i="4"/>
  <c r="BD19" i="4"/>
  <c r="BB19" i="4" s="1"/>
  <c r="BE19" i="4"/>
  <c r="BJ486" i="4"/>
  <c r="AE486" i="4"/>
  <c r="BC486" i="4"/>
  <c r="BA486" i="4" s="1"/>
  <c r="BK486" i="4"/>
  <c r="BH486" i="4"/>
  <c r="BG486" i="4"/>
  <c r="BE486" i="4"/>
  <c r="BD486" i="4"/>
  <c r="BB486" i="4" s="1"/>
  <c r="BI486" i="4"/>
  <c r="BF486" i="4"/>
  <c r="BJ581" i="4"/>
  <c r="AE581" i="4"/>
  <c r="BC581" i="4"/>
  <c r="BA581" i="4" s="1"/>
  <c r="BH581" i="4"/>
  <c r="BE581" i="4"/>
  <c r="BK581" i="4"/>
  <c r="BI581" i="4"/>
  <c r="BG581" i="4"/>
  <c r="BF581" i="4"/>
  <c r="BD581" i="4"/>
  <c r="BB581" i="4" s="1"/>
  <c r="BJ437" i="4"/>
  <c r="AE437" i="4"/>
  <c r="BG437" i="4"/>
  <c r="BF437" i="4"/>
  <c r="BK437" i="4"/>
  <c r="BI437" i="4"/>
  <c r="BH437" i="4"/>
  <c r="BE437" i="4"/>
  <c r="BD437" i="4"/>
  <c r="BB437" i="4" s="1"/>
  <c r="BC437" i="4"/>
  <c r="BA437" i="4" s="1"/>
  <c r="BG293" i="4"/>
  <c r="BF293" i="4"/>
  <c r="BE293" i="4"/>
  <c r="BD293" i="4"/>
  <c r="BB293" i="4" s="1"/>
  <c r="BC293" i="4"/>
  <c r="BA293" i="4" s="1"/>
  <c r="BK293" i="4"/>
  <c r="BJ293" i="4"/>
  <c r="AE293" i="4"/>
  <c r="BI293" i="4"/>
  <c r="BH293" i="4"/>
  <c r="BC149" i="4"/>
  <c r="BA149" i="4" s="1"/>
  <c r="BI149" i="4"/>
  <c r="BH149" i="4"/>
  <c r="BE149" i="4"/>
  <c r="BD149" i="4"/>
  <c r="BB149" i="4" s="1"/>
  <c r="BK149" i="4"/>
  <c r="BJ149" i="4"/>
  <c r="BG149" i="4"/>
  <c r="BF149" i="4"/>
  <c r="AE149" i="4"/>
  <c r="BF470" i="4"/>
  <c r="BK470" i="4"/>
  <c r="AE470" i="4"/>
  <c r="BJ470" i="4"/>
  <c r="BH470" i="4"/>
  <c r="BG470" i="4"/>
  <c r="BE470" i="4"/>
  <c r="BC470" i="4"/>
  <c r="BA470" i="4" s="1"/>
  <c r="BD470" i="4"/>
  <c r="BB470" i="4" s="1"/>
  <c r="BI470" i="4"/>
  <c r="BK326" i="4"/>
  <c r="BH326" i="4"/>
  <c r="BE326" i="4"/>
  <c r="BD326" i="4"/>
  <c r="BB326" i="4" s="1"/>
  <c r="BJ326" i="4"/>
  <c r="BI326" i="4"/>
  <c r="BG326" i="4"/>
  <c r="BF326" i="4"/>
  <c r="BC326" i="4"/>
  <c r="BA326" i="4" s="1"/>
  <c r="AE326" i="4"/>
  <c r="BF182" i="4"/>
  <c r="BE182" i="4"/>
  <c r="BC182" i="4"/>
  <c r="BA182" i="4" s="1"/>
  <c r="BK182" i="4"/>
  <c r="BJ182" i="4"/>
  <c r="AE182" i="4"/>
  <c r="BH182" i="4"/>
  <c r="BG182" i="4"/>
  <c r="BI182" i="4"/>
  <c r="BD182" i="4"/>
  <c r="BB182" i="4" s="1"/>
  <c r="BK38" i="4"/>
  <c r="BH38" i="4"/>
  <c r="BG38" i="4"/>
  <c r="BF38" i="4"/>
  <c r="BD38" i="4"/>
  <c r="BB38" i="4" s="1"/>
  <c r="BC38" i="4"/>
  <c r="BA38" i="4" s="1"/>
  <c r="BJ38" i="4"/>
  <c r="BI38" i="4"/>
  <c r="BE38" i="4"/>
  <c r="AE38" i="4"/>
  <c r="BK517" i="4"/>
  <c r="BE517" i="4"/>
  <c r="BD517" i="4"/>
  <c r="BB517" i="4" s="1"/>
  <c r="BJ517" i="4"/>
  <c r="BI517" i="4"/>
  <c r="BH517" i="4"/>
  <c r="BG517" i="4"/>
  <c r="BF517" i="4"/>
  <c r="BC517" i="4"/>
  <c r="BA517" i="4" s="1"/>
  <c r="AE517" i="4"/>
  <c r="BD373" i="4"/>
  <c r="BB373" i="4" s="1"/>
  <c r="BJ373" i="4"/>
  <c r="AE373" i="4"/>
  <c r="BI373" i="4"/>
  <c r="BF373" i="4"/>
  <c r="BE373" i="4"/>
  <c r="BK373" i="4"/>
  <c r="BH373" i="4"/>
  <c r="BG373" i="4"/>
  <c r="BC373" i="4"/>
  <c r="BA373" i="4" s="1"/>
  <c r="BC229" i="4"/>
  <c r="BA229" i="4" s="1"/>
  <c r="BI229" i="4"/>
  <c r="BH229" i="4"/>
  <c r="BE229" i="4"/>
  <c r="BD229" i="4"/>
  <c r="BB229" i="4" s="1"/>
  <c r="BJ229" i="4"/>
  <c r="BG229" i="4"/>
  <c r="BF229" i="4"/>
  <c r="AE229" i="4"/>
  <c r="BK229" i="4"/>
  <c r="BG85" i="4"/>
  <c r="BF85" i="4"/>
  <c r="BE85" i="4"/>
  <c r="BD85" i="4"/>
  <c r="BB85" i="4" s="1"/>
  <c r="BC85" i="4"/>
  <c r="BA85" i="4" s="1"/>
  <c r="BK85" i="4"/>
  <c r="BJ85" i="4"/>
  <c r="AE85" i="4"/>
  <c r="BI85" i="4"/>
  <c r="BH85" i="4"/>
  <c r="BD552" i="4"/>
  <c r="BB552" i="4" s="1"/>
  <c r="BI552" i="4"/>
  <c r="AE552" i="4"/>
  <c r="BG552" i="4"/>
  <c r="BF552" i="4"/>
  <c r="BJ552" i="4"/>
  <c r="BH552" i="4"/>
  <c r="BE552" i="4"/>
  <c r="BC552" i="4"/>
  <c r="BA552" i="4" s="1"/>
  <c r="BK552" i="4"/>
  <c r="BI408" i="4"/>
  <c r="BF408" i="4"/>
  <c r="BC408" i="4"/>
  <c r="BA408" i="4" s="1"/>
  <c r="BK408" i="4"/>
  <c r="BJ408" i="4"/>
  <c r="AE408" i="4"/>
  <c r="BH408" i="4"/>
  <c r="BG408" i="4"/>
  <c r="BE408" i="4"/>
  <c r="BD408" i="4"/>
  <c r="BB408" i="4" s="1"/>
  <c r="BH264" i="4"/>
  <c r="BG264" i="4"/>
  <c r="BE264" i="4"/>
  <c r="BJ264" i="4"/>
  <c r="AE264" i="4"/>
  <c r="BI264" i="4"/>
  <c r="BC264" i="4"/>
  <c r="BA264" i="4" s="1"/>
  <c r="BK264" i="4"/>
  <c r="BF264" i="4"/>
  <c r="BD264" i="4"/>
  <c r="BB264" i="4" s="1"/>
  <c r="BD120" i="4"/>
  <c r="BB120" i="4" s="1"/>
  <c r="BJ120" i="4"/>
  <c r="AE120" i="4"/>
  <c r="BI120" i="4"/>
  <c r="BF120" i="4"/>
  <c r="BE120" i="4"/>
  <c r="BK120" i="4"/>
  <c r="BH120" i="4"/>
  <c r="BG120" i="4"/>
  <c r="BC120" i="4"/>
  <c r="BA120" i="4" s="1"/>
  <c r="BH490" i="4"/>
  <c r="BG490" i="4"/>
  <c r="AE490" i="4"/>
  <c r="BJ490" i="4"/>
  <c r="BI490" i="4"/>
  <c r="BF490" i="4"/>
  <c r="BE490" i="4"/>
  <c r="BD490" i="4"/>
  <c r="BB490" i="4" s="1"/>
  <c r="BC490" i="4"/>
  <c r="BA490" i="4" s="1"/>
  <c r="BK490" i="4"/>
  <c r="BG346" i="4"/>
  <c r="BD346" i="4"/>
  <c r="BB346" i="4" s="1"/>
  <c r="BI346" i="4"/>
  <c r="BH346" i="4"/>
  <c r="BJ346" i="4"/>
  <c r="BF346" i="4"/>
  <c r="BE346" i="4"/>
  <c r="BC346" i="4"/>
  <c r="BA346" i="4" s="1"/>
  <c r="AE346" i="4"/>
  <c r="BK346" i="4"/>
  <c r="BK202" i="4"/>
  <c r="BH202" i="4"/>
  <c r="BG202" i="4"/>
  <c r="BF202" i="4"/>
  <c r="BE202" i="4"/>
  <c r="BD202" i="4"/>
  <c r="BB202" i="4" s="1"/>
  <c r="BC202" i="4"/>
  <c r="BA202" i="4" s="1"/>
  <c r="BJ202" i="4"/>
  <c r="BI202" i="4"/>
  <c r="AE202" i="4"/>
  <c r="BJ58" i="4"/>
  <c r="AE58" i="4"/>
  <c r="BI58" i="4"/>
  <c r="BH58" i="4"/>
  <c r="BG58" i="4"/>
  <c r="BF58" i="4"/>
  <c r="BE58" i="4"/>
  <c r="BD58" i="4"/>
  <c r="BB58" i="4" s="1"/>
  <c r="BC58" i="4"/>
  <c r="BA58" i="4" s="1"/>
  <c r="BK58" i="4"/>
  <c r="BC525" i="4"/>
  <c r="BA525" i="4" s="1"/>
  <c r="BI525" i="4"/>
  <c r="BJ525" i="4"/>
  <c r="BK525" i="4"/>
  <c r="BH525" i="4"/>
  <c r="BG525" i="4"/>
  <c r="BF525" i="4"/>
  <c r="BE525" i="4"/>
  <c r="BD525" i="4"/>
  <c r="BB525" i="4" s="1"/>
  <c r="AE525" i="4"/>
  <c r="BI381" i="4"/>
  <c r="BF381" i="4"/>
  <c r="BE381" i="4"/>
  <c r="AE381" i="4"/>
  <c r="BK381" i="4"/>
  <c r="BJ381" i="4"/>
  <c r="BH381" i="4"/>
  <c r="BG381" i="4"/>
  <c r="BD381" i="4"/>
  <c r="BB381" i="4" s="1"/>
  <c r="BC381" i="4"/>
  <c r="BA381" i="4" s="1"/>
  <c r="BK237" i="4"/>
  <c r="BH237" i="4"/>
  <c r="BE237" i="4"/>
  <c r="BD237" i="4"/>
  <c r="BB237" i="4" s="1"/>
  <c r="AE237" i="4"/>
  <c r="BJ237" i="4"/>
  <c r="BI237" i="4"/>
  <c r="BG237" i="4"/>
  <c r="BF237" i="4"/>
  <c r="BC237" i="4"/>
  <c r="BA237" i="4" s="1"/>
  <c r="B95" i="15"/>
  <c r="B83" i="15"/>
  <c r="B71" i="15"/>
  <c r="B59" i="15"/>
  <c r="B47" i="15"/>
  <c r="B35" i="15"/>
  <c r="B23" i="15"/>
  <c r="B11" i="15"/>
  <c r="B94" i="15"/>
  <c r="B82" i="15"/>
  <c r="B70" i="15"/>
  <c r="B58" i="15"/>
  <c r="B46" i="15"/>
  <c r="B34" i="15"/>
  <c r="B22" i="15"/>
  <c r="B10" i="15"/>
  <c r="B93" i="15"/>
  <c r="B81" i="15"/>
  <c r="B69" i="15"/>
  <c r="B57" i="15"/>
  <c r="B45" i="15"/>
  <c r="B33" i="15"/>
  <c r="B21" i="15"/>
  <c r="B9" i="15"/>
  <c r="B92" i="15"/>
  <c r="B80" i="15"/>
  <c r="B68" i="15"/>
  <c r="B56" i="15"/>
  <c r="B44" i="15"/>
  <c r="B32" i="15"/>
  <c r="B20" i="15"/>
  <c r="B8" i="15"/>
  <c r="B91" i="15"/>
  <c r="B79" i="15"/>
  <c r="B67" i="15"/>
  <c r="B55" i="15"/>
  <c r="B43" i="15"/>
  <c r="B31" i="15"/>
  <c r="B19" i="15"/>
  <c r="B7" i="15"/>
  <c r="B90" i="15"/>
  <c r="B78" i="15"/>
  <c r="B66" i="15"/>
  <c r="B54" i="15"/>
  <c r="B42" i="15"/>
  <c r="B30" i="15"/>
  <c r="B18" i="15"/>
  <c r="B6" i="15"/>
  <c r="B101" i="15"/>
  <c r="B89" i="15"/>
  <c r="B77" i="15"/>
  <c r="B65" i="15"/>
  <c r="B53" i="15"/>
  <c r="B41" i="15"/>
  <c r="B29" i="15"/>
  <c r="B17" i="15"/>
  <c r="B5" i="15"/>
  <c r="B100" i="15"/>
  <c r="B88" i="15"/>
  <c r="B76" i="15"/>
  <c r="B64" i="15"/>
  <c r="B52" i="15"/>
  <c r="B40" i="15"/>
  <c r="B28" i="15"/>
  <c r="B16" i="15"/>
  <c r="B4" i="15"/>
  <c r="B99" i="15"/>
  <c r="B87" i="15"/>
  <c r="B75" i="15"/>
  <c r="B63" i="15"/>
  <c r="B51" i="15"/>
  <c r="B39" i="15"/>
  <c r="B27" i="15"/>
  <c r="B15" i="15"/>
  <c r="B3" i="15"/>
  <c r="B98" i="15"/>
  <c r="B86" i="15"/>
  <c r="B74" i="15"/>
  <c r="B62" i="15"/>
  <c r="B50" i="15"/>
  <c r="B38" i="15"/>
  <c r="B26" i="15"/>
  <c r="B14" i="15"/>
  <c r="B97" i="15"/>
  <c r="B85" i="15"/>
  <c r="B73" i="15"/>
  <c r="B61" i="15"/>
  <c r="B49" i="15"/>
  <c r="B37" i="15"/>
  <c r="B25" i="15"/>
  <c r="B13" i="15"/>
  <c r="B2" i="15"/>
  <c r="B96" i="15"/>
  <c r="B84" i="15"/>
  <c r="B72" i="15"/>
  <c r="B60" i="15"/>
  <c r="B48" i="15"/>
  <c r="B36" i="15"/>
  <c r="B24" i="15"/>
  <c r="B12" i="15"/>
  <c r="BD572" i="4"/>
  <c r="BB572" i="4" s="1"/>
  <c r="BJ572" i="4"/>
  <c r="BI572" i="4"/>
  <c r="BF572" i="4"/>
  <c r="BK572" i="4"/>
  <c r="BH572" i="4"/>
  <c r="AE572" i="4"/>
  <c r="BC572" i="4"/>
  <c r="BA572" i="4" s="1"/>
  <c r="BG572" i="4"/>
  <c r="BE572" i="4"/>
  <c r="BJ428" i="4"/>
  <c r="AE428" i="4"/>
  <c r="BD428" i="4"/>
  <c r="BB428" i="4" s="1"/>
  <c r="BC428" i="4"/>
  <c r="BA428" i="4" s="1"/>
  <c r="BK428" i="4"/>
  <c r="BH428" i="4"/>
  <c r="BG428" i="4"/>
  <c r="BF428" i="4"/>
  <c r="BE428" i="4"/>
  <c r="BI428" i="4"/>
  <c r="BD284" i="4"/>
  <c r="BB284" i="4" s="1"/>
  <c r="BC284" i="4"/>
  <c r="BA284" i="4" s="1"/>
  <c r="BJ284" i="4"/>
  <c r="AE284" i="4"/>
  <c r="BI284" i="4"/>
  <c r="BH284" i="4"/>
  <c r="BG284" i="4"/>
  <c r="BF284" i="4"/>
  <c r="BE284" i="4"/>
  <c r="BK284" i="4"/>
  <c r="BI140" i="4"/>
  <c r="BF140" i="4"/>
  <c r="BE140" i="4"/>
  <c r="BK140" i="4"/>
  <c r="BJ140" i="4"/>
  <c r="BH140" i="4"/>
  <c r="BG140" i="4"/>
  <c r="BD140" i="4"/>
  <c r="BB140" i="4" s="1"/>
  <c r="BC140" i="4"/>
  <c r="BA140" i="4" s="1"/>
  <c r="AE140" i="4"/>
  <c r="BE583" i="4"/>
  <c r="BC583" i="4"/>
  <c r="BA583" i="4" s="1"/>
  <c r="BJ583" i="4"/>
  <c r="BI583" i="4"/>
  <c r="BF583" i="4"/>
  <c r="BG583" i="4"/>
  <c r="BD583" i="4"/>
  <c r="BB583" i="4" s="1"/>
  <c r="AE583" i="4"/>
  <c r="BK583" i="4"/>
  <c r="BH583" i="4"/>
  <c r="BC439" i="4"/>
  <c r="BA439" i="4" s="1"/>
  <c r="BI439" i="4"/>
  <c r="BH439" i="4"/>
  <c r="BD439" i="4"/>
  <c r="BB439" i="4" s="1"/>
  <c r="BE439" i="4"/>
  <c r="AE439" i="4"/>
  <c r="BK439" i="4"/>
  <c r="BJ439" i="4"/>
  <c r="BG439" i="4"/>
  <c r="BF439" i="4"/>
  <c r="BI295" i="4"/>
  <c r="BH295" i="4"/>
  <c r="BG295" i="4"/>
  <c r="BF295" i="4"/>
  <c r="BE295" i="4"/>
  <c r="BD295" i="4"/>
  <c r="BB295" i="4" s="1"/>
  <c r="BC295" i="4"/>
  <c r="BA295" i="4" s="1"/>
  <c r="BK295" i="4"/>
  <c r="BJ295" i="4"/>
  <c r="AE295" i="4"/>
  <c r="BE151" i="4"/>
  <c r="BK151" i="4"/>
  <c r="BJ151" i="4"/>
  <c r="AE151" i="4"/>
  <c r="BG151" i="4"/>
  <c r="BF151" i="4"/>
  <c r="BI151" i="4"/>
  <c r="BH151" i="4"/>
  <c r="BD151" i="4"/>
  <c r="BB151" i="4" s="1"/>
  <c r="BC151" i="4"/>
  <c r="BA151" i="4" s="1"/>
  <c r="BJ8" i="4"/>
  <c r="BD8" i="4"/>
  <c r="BB8" i="4" s="1"/>
  <c r="BC8" i="4"/>
  <c r="BA8" i="4" s="1"/>
  <c r="BK8" i="4"/>
  <c r="BG8" i="4"/>
  <c r="BF8" i="4"/>
  <c r="AU8" i="4" a="1"/>
  <c r="BE8" i="4"/>
  <c r="AT8" i="4" a="1"/>
  <c r="BI8" i="4"/>
  <c r="BH8" i="4"/>
  <c r="AS8" i="4" a="1"/>
  <c r="AE8" i="4"/>
  <c r="AR8" i="4" a="1"/>
  <c r="BJ474" i="4"/>
  <c r="AE474" i="4"/>
  <c r="BC474" i="4"/>
  <c r="BA474" i="4" s="1"/>
  <c r="BE474" i="4"/>
  <c r="BD474" i="4"/>
  <c r="BB474" i="4" s="1"/>
  <c r="BK474" i="4"/>
  <c r="BI474" i="4"/>
  <c r="BG474" i="4"/>
  <c r="BF474" i="4"/>
  <c r="BH474" i="4"/>
  <c r="BF569" i="4"/>
  <c r="BC569" i="4"/>
  <c r="BA569" i="4" s="1"/>
  <c r="BK569" i="4"/>
  <c r="BH569" i="4"/>
  <c r="BJ569" i="4"/>
  <c r="BI569" i="4"/>
  <c r="BG569" i="4"/>
  <c r="BE569" i="4"/>
  <c r="BD569" i="4"/>
  <c r="BB569" i="4" s="1"/>
  <c r="AE569" i="4"/>
  <c r="BG425" i="4"/>
  <c r="BF425" i="4"/>
  <c r="AE425" i="4"/>
  <c r="BK425" i="4"/>
  <c r="BH425" i="4"/>
  <c r="BE425" i="4"/>
  <c r="BD425" i="4"/>
  <c r="BB425" i="4" s="1"/>
  <c r="BC425" i="4"/>
  <c r="BA425" i="4" s="1"/>
  <c r="BJ425" i="4"/>
  <c r="BI425" i="4"/>
  <c r="BG281" i="4"/>
  <c r="BF281" i="4"/>
  <c r="BE281" i="4"/>
  <c r="BD281" i="4"/>
  <c r="BB281" i="4" s="1"/>
  <c r="BC281" i="4"/>
  <c r="BA281" i="4" s="1"/>
  <c r="BK281" i="4"/>
  <c r="BJ281" i="4"/>
  <c r="AE281" i="4"/>
  <c r="BI281" i="4"/>
  <c r="BH281" i="4"/>
  <c r="BC137" i="4"/>
  <c r="BA137" i="4" s="1"/>
  <c r="BI137" i="4"/>
  <c r="BH137" i="4"/>
  <c r="BE137" i="4"/>
  <c r="BD137" i="4"/>
  <c r="BB137" i="4" s="1"/>
  <c r="BG137" i="4"/>
  <c r="BF137" i="4"/>
  <c r="AE137" i="4"/>
  <c r="BK137" i="4"/>
  <c r="BJ137" i="4"/>
  <c r="BD458" i="4"/>
  <c r="BB458" i="4" s="1"/>
  <c r="BJ458" i="4"/>
  <c r="AE458" i="4"/>
  <c r="BI458" i="4"/>
  <c r="BF458" i="4"/>
  <c r="BE458" i="4"/>
  <c r="BK458" i="4"/>
  <c r="BH458" i="4"/>
  <c r="BG458" i="4"/>
  <c r="BC458" i="4"/>
  <c r="BA458" i="4" s="1"/>
  <c r="BK314" i="4"/>
  <c r="BE314" i="4"/>
  <c r="BD314" i="4"/>
  <c r="BB314" i="4" s="1"/>
  <c r="AE314" i="4"/>
  <c r="BJ314" i="4"/>
  <c r="BI314" i="4"/>
  <c r="BH314" i="4"/>
  <c r="BG314" i="4"/>
  <c r="BF314" i="4"/>
  <c r="BC314" i="4"/>
  <c r="BA314" i="4" s="1"/>
  <c r="BF170" i="4"/>
  <c r="BC170" i="4"/>
  <c r="BA170" i="4" s="1"/>
  <c r="BK170" i="4"/>
  <c r="BH170" i="4"/>
  <c r="BG170" i="4"/>
  <c r="BE170" i="4"/>
  <c r="BD170" i="4"/>
  <c r="BB170" i="4" s="1"/>
  <c r="AE170" i="4"/>
  <c r="BJ170" i="4"/>
  <c r="BI170" i="4"/>
  <c r="BK26" i="4"/>
  <c r="BH26" i="4"/>
  <c r="BG26" i="4"/>
  <c r="BD26" i="4"/>
  <c r="BB26" i="4" s="1"/>
  <c r="BC26" i="4"/>
  <c r="BA26" i="4" s="1"/>
  <c r="AE26" i="4"/>
  <c r="BJ26" i="4"/>
  <c r="BI26" i="4"/>
  <c r="BE26" i="4"/>
  <c r="BF26" i="4"/>
  <c r="BK505" i="4"/>
  <c r="BE505" i="4"/>
  <c r="BD505" i="4"/>
  <c r="BB505" i="4" s="1"/>
  <c r="AE505" i="4"/>
  <c r="BJ505" i="4"/>
  <c r="BI505" i="4"/>
  <c r="BH505" i="4"/>
  <c r="BG505" i="4"/>
  <c r="BF505" i="4"/>
  <c r="BC505" i="4"/>
  <c r="BA505" i="4" s="1"/>
  <c r="BD361" i="4"/>
  <c r="BB361" i="4" s="1"/>
  <c r="BJ361" i="4"/>
  <c r="AE361" i="4"/>
  <c r="BI361" i="4"/>
  <c r="BF361" i="4"/>
  <c r="BE361" i="4"/>
  <c r="BG361" i="4"/>
  <c r="BC361" i="4"/>
  <c r="BA361" i="4" s="1"/>
  <c r="BK361" i="4"/>
  <c r="BH361" i="4"/>
  <c r="BC217" i="4"/>
  <c r="BA217" i="4" s="1"/>
  <c r="BI217" i="4"/>
  <c r="BH217" i="4"/>
  <c r="BD217" i="4"/>
  <c r="BB217" i="4" s="1"/>
  <c r="BE217" i="4"/>
  <c r="AE217" i="4"/>
  <c r="BK217" i="4"/>
  <c r="BJ217" i="4"/>
  <c r="BG217" i="4"/>
  <c r="BF217" i="4"/>
  <c r="BG73" i="4"/>
  <c r="BF73" i="4"/>
  <c r="BE73" i="4"/>
  <c r="BD73" i="4"/>
  <c r="BB73" i="4" s="1"/>
  <c r="BC73" i="4"/>
  <c r="BA73" i="4" s="1"/>
  <c r="BK73" i="4"/>
  <c r="BJ73" i="4"/>
  <c r="AE73" i="4"/>
  <c r="BI73" i="4"/>
  <c r="BH73" i="4"/>
  <c r="BD540" i="4"/>
  <c r="BB540" i="4" s="1"/>
  <c r="BH540" i="4"/>
  <c r="BG540" i="4"/>
  <c r="BC540" i="4"/>
  <c r="BA540" i="4" s="1"/>
  <c r="AE540" i="4"/>
  <c r="BK540" i="4"/>
  <c r="BJ540" i="4"/>
  <c r="BI540" i="4"/>
  <c r="BF540" i="4"/>
  <c r="BE540" i="4"/>
  <c r="BI396" i="4"/>
  <c r="BF396" i="4"/>
  <c r="BC396" i="4"/>
  <c r="BA396" i="4" s="1"/>
  <c r="BK396" i="4"/>
  <c r="BJ396" i="4"/>
  <c r="AE396" i="4"/>
  <c r="BH396" i="4"/>
  <c r="BG396" i="4"/>
  <c r="BE396" i="4"/>
  <c r="BD396" i="4"/>
  <c r="BB396" i="4" s="1"/>
  <c r="BH252" i="4"/>
  <c r="BG252" i="4"/>
  <c r="BE252" i="4"/>
  <c r="BJ252" i="4"/>
  <c r="AE252" i="4"/>
  <c r="BI252" i="4"/>
  <c r="BK252" i="4"/>
  <c r="BF252" i="4"/>
  <c r="BD252" i="4"/>
  <c r="BB252" i="4" s="1"/>
  <c r="BC252" i="4"/>
  <c r="BA252" i="4" s="1"/>
  <c r="BD108" i="4"/>
  <c r="BB108" i="4" s="1"/>
  <c r="BJ108" i="4"/>
  <c r="AE108" i="4"/>
  <c r="BI108" i="4"/>
  <c r="BF108" i="4"/>
  <c r="BE108" i="4"/>
  <c r="BK108" i="4"/>
  <c r="BH108" i="4"/>
  <c r="BG108" i="4"/>
  <c r="BC108" i="4"/>
  <c r="BA108" i="4" s="1"/>
  <c r="BG478" i="4"/>
  <c r="BF478" i="4"/>
  <c r="BE478" i="4"/>
  <c r="BC478" i="4"/>
  <c r="BA478" i="4" s="1"/>
  <c r="AE478" i="4"/>
  <c r="BK478" i="4"/>
  <c r="BJ478" i="4"/>
  <c r="BI478" i="4"/>
  <c r="BH478" i="4"/>
  <c r="BD478" i="4"/>
  <c r="BB478" i="4" s="1"/>
  <c r="BG334" i="4"/>
  <c r="BD334" i="4"/>
  <c r="BB334" i="4" s="1"/>
  <c r="BI334" i="4"/>
  <c r="BH334" i="4"/>
  <c r="BC334" i="4"/>
  <c r="BA334" i="4" s="1"/>
  <c r="AE334" i="4"/>
  <c r="BK334" i="4"/>
  <c r="BJ334" i="4"/>
  <c r="BF334" i="4"/>
  <c r="BE334" i="4"/>
  <c r="BK190" i="4"/>
  <c r="BH190" i="4"/>
  <c r="BG190" i="4"/>
  <c r="BF190" i="4"/>
  <c r="BE190" i="4"/>
  <c r="BD190" i="4"/>
  <c r="BB190" i="4" s="1"/>
  <c r="BC190" i="4"/>
  <c r="BA190" i="4" s="1"/>
  <c r="BJ190" i="4"/>
  <c r="BI190" i="4"/>
  <c r="AE190" i="4"/>
  <c r="BJ46" i="4"/>
  <c r="AE46" i="4"/>
  <c r="BI46" i="4"/>
  <c r="BH46" i="4"/>
  <c r="BG46" i="4"/>
  <c r="BF46" i="4"/>
  <c r="BE46" i="4"/>
  <c r="BD46" i="4"/>
  <c r="BB46" i="4" s="1"/>
  <c r="BC46" i="4"/>
  <c r="BA46" i="4" s="1"/>
  <c r="BK46" i="4"/>
  <c r="BG513" i="4"/>
  <c r="BH513" i="4"/>
  <c r="BK513" i="4"/>
  <c r="BJ513" i="4"/>
  <c r="BI513" i="4"/>
  <c r="BF513" i="4"/>
  <c r="BE513" i="4"/>
  <c r="BD513" i="4"/>
  <c r="BB513" i="4" s="1"/>
  <c r="BC513" i="4"/>
  <c r="BA513" i="4" s="1"/>
  <c r="AE513" i="4"/>
  <c r="BI369" i="4"/>
  <c r="BF369" i="4"/>
  <c r="BE369" i="4"/>
  <c r="BK369" i="4"/>
  <c r="BJ369" i="4"/>
  <c r="BH369" i="4"/>
  <c r="BG369" i="4"/>
  <c r="BD369" i="4"/>
  <c r="BB369" i="4" s="1"/>
  <c r="BC369" i="4"/>
  <c r="BA369" i="4" s="1"/>
  <c r="AE369" i="4"/>
  <c r="BK225" i="4"/>
  <c r="BH225" i="4"/>
  <c r="BE225" i="4"/>
  <c r="BD225" i="4"/>
  <c r="BB225" i="4" s="1"/>
  <c r="BJ225" i="4"/>
  <c r="BI225" i="4"/>
  <c r="BG225" i="4"/>
  <c r="BF225" i="4"/>
  <c r="BC225" i="4"/>
  <c r="BA225" i="4" s="1"/>
  <c r="AE225" i="4"/>
  <c r="BC560" i="4"/>
  <c r="BA560" i="4" s="1"/>
  <c r="BI560" i="4"/>
  <c r="BH560" i="4"/>
  <c r="BE560" i="4"/>
  <c r="BF560" i="4"/>
  <c r="BD560" i="4"/>
  <c r="BB560" i="4" s="1"/>
  <c r="BG560" i="4"/>
  <c r="AE560" i="4"/>
  <c r="BK560" i="4"/>
  <c r="BJ560" i="4"/>
  <c r="BJ416" i="4"/>
  <c r="AE416" i="4"/>
  <c r="BD416" i="4"/>
  <c r="BB416" i="4" s="1"/>
  <c r="BC416" i="4"/>
  <c r="BA416" i="4" s="1"/>
  <c r="BK416" i="4"/>
  <c r="BI416" i="4"/>
  <c r="BH416" i="4"/>
  <c r="BG416" i="4"/>
  <c r="BF416" i="4"/>
  <c r="BE416" i="4"/>
  <c r="BD272" i="4"/>
  <c r="BB272" i="4" s="1"/>
  <c r="BC272" i="4"/>
  <c r="BA272" i="4" s="1"/>
  <c r="BJ272" i="4"/>
  <c r="AE272" i="4"/>
  <c r="BI272" i="4"/>
  <c r="BH272" i="4"/>
  <c r="BG272" i="4"/>
  <c r="BF272" i="4"/>
  <c r="BE272" i="4"/>
  <c r="BK272" i="4"/>
  <c r="BI128" i="4"/>
  <c r="BF128" i="4"/>
  <c r="BE128" i="4"/>
  <c r="BK128" i="4"/>
  <c r="BJ128" i="4"/>
  <c r="BH128" i="4"/>
  <c r="BG128" i="4"/>
  <c r="BD128" i="4"/>
  <c r="BB128" i="4" s="1"/>
  <c r="BC128" i="4"/>
  <c r="BA128" i="4" s="1"/>
  <c r="AE128" i="4"/>
  <c r="BH571" i="4"/>
  <c r="BE571" i="4"/>
  <c r="BJ571" i="4"/>
  <c r="AE571" i="4"/>
  <c r="BF571" i="4"/>
  <c r="BD571" i="4"/>
  <c r="BB571" i="4" s="1"/>
  <c r="BG571" i="4"/>
  <c r="BK571" i="4"/>
  <c r="BI571" i="4"/>
  <c r="BC571" i="4"/>
  <c r="BA571" i="4" s="1"/>
  <c r="BC427" i="4"/>
  <c r="BA427" i="4" s="1"/>
  <c r="BI427" i="4"/>
  <c r="BH427" i="4"/>
  <c r="BD427" i="4"/>
  <c r="BB427" i="4" s="1"/>
  <c r="AE427" i="4"/>
  <c r="BJ427" i="4"/>
  <c r="BG427" i="4"/>
  <c r="BF427" i="4"/>
  <c r="BE427" i="4"/>
  <c r="BK427" i="4"/>
  <c r="BI283" i="4"/>
  <c r="BH283" i="4"/>
  <c r="BG283" i="4"/>
  <c r="BF283" i="4"/>
  <c r="BE283" i="4"/>
  <c r="BC283" i="4"/>
  <c r="BA283" i="4" s="1"/>
  <c r="BK283" i="4"/>
  <c r="BJ283" i="4"/>
  <c r="AE283" i="4"/>
  <c r="BD283" i="4"/>
  <c r="BB283" i="4" s="1"/>
  <c r="BE139" i="4"/>
  <c r="BK139" i="4"/>
  <c r="BJ139" i="4"/>
  <c r="AE139" i="4"/>
  <c r="BG139" i="4"/>
  <c r="BF139" i="4"/>
  <c r="BI139" i="4"/>
  <c r="BH139" i="4"/>
  <c r="BD139" i="4"/>
  <c r="BB139" i="4" s="1"/>
  <c r="BC139" i="4"/>
  <c r="BA139" i="4" s="1"/>
  <c r="BH462" i="4"/>
  <c r="BG462" i="4"/>
  <c r="BE462" i="4"/>
  <c r="BD462" i="4"/>
  <c r="BB462" i="4" s="1"/>
  <c r="BJ462" i="4"/>
  <c r="AE462" i="4"/>
  <c r="BI462" i="4"/>
  <c r="BK462" i="4"/>
  <c r="BF462" i="4"/>
  <c r="BC462" i="4"/>
  <c r="BA462" i="4" s="1"/>
  <c r="BF557" i="4"/>
  <c r="BC557" i="4"/>
  <c r="BA557" i="4" s="1"/>
  <c r="BK557" i="4"/>
  <c r="BH557" i="4"/>
  <c r="AE557" i="4"/>
  <c r="BG557" i="4"/>
  <c r="BE557" i="4"/>
  <c r="BJ557" i="4"/>
  <c r="BI557" i="4"/>
  <c r="BD557" i="4"/>
  <c r="BB557" i="4" s="1"/>
  <c r="BF413" i="4"/>
  <c r="BD413" i="4"/>
  <c r="BB413" i="4" s="1"/>
  <c r="BC413" i="4"/>
  <c r="BA413" i="4" s="1"/>
  <c r="BK413" i="4"/>
  <c r="BJ413" i="4"/>
  <c r="BI413" i="4"/>
  <c r="BH413" i="4"/>
  <c r="BG413" i="4"/>
  <c r="BE413" i="4"/>
  <c r="AE413" i="4"/>
  <c r="BG269" i="4"/>
  <c r="BF269" i="4"/>
  <c r="BD269" i="4"/>
  <c r="BB269" i="4" s="1"/>
  <c r="BK269" i="4"/>
  <c r="BI269" i="4"/>
  <c r="BH269" i="4"/>
  <c r="AE269" i="4"/>
  <c r="BJ269" i="4"/>
  <c r="BE269" i="4"/>
  <c r="BC269" i="4"/>
  <c r="BA269" i="4" s="1"/>
  <c r="BC125" i="4"/>
  <c r="BA125" i="4" s="1"/>
  <c r="BI125" i="4"/>
  <c r="BH125" i="4"/>
  <c r="BE125" i="4"/>
  <c r="BD125" i="4"/>
  <c r="BB125" i="4" s="1"/>
  <c r="AE125" i="4"/>
  <c r="BK125" i="4"/>
  <c r="BJ125" i="4"/>
  <c r="BG125" i="4"/>
  <c r="BF125" i="4"/>
  <c r="BF590" i="4"/>
  <c r="BI590" i="4"/>
  <c r="BE590" i="4"/>
  <c r="BK590" i="4"/>
  <c r="BC590" i="4"/>
  <c r="BA590" i="4" s="1"/>
  <c r="AE590" i="4"/>
  <c r="BJ590" i="4"/>
  <c r="BD590" i="4"/>
  <c r="BB590" i="4" s="1"/>
  <c r="BH590" i="4"/>
  <c r="BG590" i="4"/>
  <c r="BD446" i="4"/>
  <c r="BB446" i="4" s="1"/>
  <c r="BJ446" i="4"/>
  <c r="AE446" i="4"/>
  <c r="BI446" i="4"/>
  <c r="BE446" i="4"/>
  <c r="BK446" i="4"/>
  <c r="BH446" i="4"/>
  <c r="BG446" i="4"/>
  <c r="BF446" i="4"/>
  <c r="BC446" i="4"/>
  <c r="BA446" i="4" s="1"/>
  <c r="BJ302" i="4"/>
  <c r="AE302" i="4"/>
  <c r="BI302" i="4"/>
  <c r="BH302" i="4"/>
  <c r="BG302" i="4"/>
  <c r="BF302" i="4"/>
  <c r="BE302" i="4"/>
  <c r="BD302" i="4"/>
  <c r="BB302" i="4" s="1"/>
  <c r="BC302" i="4"/>
  <c r="BA302" i="4" s="1"/>
  <c r="BK302" i="4"/>
  <c r="BF158" i="4"/>
  <c r="BC158" i="4"/>
  <c r="BA158" i="4" s="1"/>
  <c r="BK158" i="4"/>
  <c r="BH158" i="4"/>
  <c r="BG158" i="4"/>
  <c r="AE158" i="4"/>
  <c r="BJ158" i="4"/>
  <c r="BI158" i="4"/>
  <c r="BE158" i="4"/>
  <c r="BD158" i="4"/>
  <c r="BB158" i="4" s="1"/>
  <c r="BG14" i="4"/>
  <c r="BD14" i="4"/>
  <c r="BB14" i="4" s="1"/>
  <c r="BI14" i="4"/>
  <c r="BH14" i="4"/>
  <c r="BK14" i="4"/>
  <c r="BE14" i="4"/>
  <c r="BC14" i="4"/>
  <c r="BA14" i="4" s="1"/>
  <c r="AE14" i="4"/>
  <c r="BJ14" i="4"/>
  <c r="BF14" i="4"/>
  <c r="BK493" i="4"/>
  <c r="BE493" i="4"/>
  <c r="BD493" i="4"/>
  <c r="BB493" i="4" s="1"/>
  <c r="AE493" i="4"/>
  <c r="BJ493" i="4"/>
  <c r="BI493" i="4"/>
  <c r="BH493" i="4"/>
  <c r="BG493" i="4"/>
  <c r="BF493" i="4"/>
  <c r="BC493" i="4"/>
  <c r="BA493" i="4" s="1"/>
  <c r="BD349" i="4"/>
  <c r="BB349" i="4" s="1"/>
  <c r="BJ349" i="4"/>
  <c r="AE349" i="4"/>
  <c r="BI349" i="4"/>
  <c r="BF349" i="4"/>
  <c r="BE349" i="4"/>
  <c r="BK349" i="4"/>
  <c r="BH349" i="4"/>
  <c r="BG349" i="4"/>
  <c r="BC349" i="4"/>
  <c r="BA349" i="4" s="1"/>
  <c r="BK205" i="4"/>
  <c r="BJ205" i="4"/>
  <c r="AE205" i="4"/>
  <c r="BI205" i="4"/>
  <c r="BH205" i="4"/>
  <c r="BG205" i="4"/>
  <c r="BE205" i="4"/>
  <c r="BD205" i="4"/>
  <c r="BB205" i="4" s="1"/>
  <c r="BC205" i="4"/>
  <c r="BA205" i="4" s="1"/>
  <c r="BF205" i="4"/>
  <c r="BG61" i="4"/>
  <c r="BF61" i="4"/>
  <c r="BE61" i="4"/>
  <c r="BD61" i="4"/>
  <c r="BB61" i="4" s="1"/>
  <c r="BC61" i="4"/>
  <c r="BA61" i="4" s="1"/>
  <c r="BK61" i="4"/>
  <c r="BJ61" i="4"/>
  <c r="AE61" i="4"/>
  <c r="BI61" i="4"/>
  <c r="BH61" i="4"/>
  <c r="BJ528" i="4"/>
  <c r="BD528" i="4"/>
  <c r="BB528" i="4" s="1"/>
  <c r="BC528" i="4"/>
  <c r="BA528" i="4" s="1"/>
  <c r="BK528" i="4"/>
  <c r="AE528" i="4"/>
  <c r="BI528" i="4"/>
  <c r="BH528" i="4"/>
  <c r="BG528" i="4"/>
  <c r="BF528" i="4"/>
  <c r="BE528" i="4"/>
  <c r="BI384" i="4"/>
  <c r="BF384" i="4"/>
  <c r="BC384" i="4"/>
  <c r="BA384" i="4" s="1"/>
  <c r="BK384" i="4"/>
  <c r="BJ384" i="4"/>
  <c r="AE384" i="4"/>
  <c r="BH384" i="4"/>
  <c r="BG384" i="4"/>
  <c r="BE384" i="4"/>
  <c r="BD384" i="4"/>
  <c r="BB384" i="4" s="1"/>
  <c r="BH240" i="4"/>
  <c r="BG240" i="4"/>
  <c r="BE240" i="4"/>
  <c r="BJ240" i="4"/>
  <c r="AE240" i="4"/>
  <c r="BI240" i="4"/>
  <c r="BK240" i="4"/>
  <c r="BF240" i="4"/>
  <c r="BD240" i="4"/>
  <c r="BB240" i="4" s="1"/>
  <c r="BC240" i="4"/>
  <c r="BA240" i="4" s="1"/>
  <c r="BD96" i="4"/>
  <c r="BB96" i="4" s="1"/>
  <c r="BJ96" i="4"/>
  <c r="AE96" i="4"/>
  <c r="BI96" i="4"/>
  <c r="BE96" i="4"/>
  <c r="BK96" i="4"/>
  <c r="BH96" i="4"/>
  <c r="BG96" i="4"/>
  <c r="BF96" i="4"/>
  <c r="BC96" i="4"/>
  <c r="BA96" i="4" s="1"/>
  <c r="BG466" i="4"/>
  <c r="BJ466" i="4"/>
  <c r="BI466" i="4"/>
  <c r="BF466" i="4"/>
  <c r="BE466" i="4"/>
  <c r="BD466" i="4"/>
  <c r="BB466" i="4" s="1"/>
  <c r="AE466" i="4"/>
  <c r="BK466" i="4"/>
  <c r="BH466" i="4"/>
  <c r="BC466" i="4"/>
  <c r="BA466" i="4" s="1"/>
  <c r="BG322" i="4"/>
  <c r="BD322" i="4"/>
  <c r="BB322" i="4" s="1"/>
  <c r="BI322" i="4"/>
  <c r="BH322" i="4"/>
  <c r="AE322" i="4"/>
  <c r="BK322" i="4"/>
  <c r="BJ322" i="4"/>
  <c r="BF322" i="4"/>
  <c r="BE322" i="4"/>
  <c r="BC322" i="4"/>
  <c r="BA322" i="4" s="1"/>
  <c r="BK178" i="4"/>
  <c r="BH178" i="4"/>
  <c r="BG178" i="4"/>
  <c r="BF178" i="4"/>
  <c r="BD178" i="4"/>
  <c r="BB178" i="4" s="1"/>
  <c r="BC178" i="4"/>
  <c r="BA178" i="4" s="1"/>
  <c r="BE178" i="4"/>
  <c r="AE178" i="4"/>
  <c r="BJ178" i="4"/>
  <c r="BI178" i="4"/>
  <c r="BJ34" i="4"/>
  <c r="AE34" i="4"/>
  <c r="BG34" i="4"/>
  <c r="BD34" i="4"/>
  <c r="BB34" i="4" s="1"/>
  <c r="BC34" i="4"/>
  <c r="BA34" i="4" s="1"/>
  <c r="BK34" i="4"/>
  <c r="BI34" i="4"/>
  <c r="BH34" i="4"/>
  <c r="BE34" i="4"/>
  <c r="BF34" i="4"/>
  <c r="BG501" i="4"/>
  <c r="BH501" i="4"/>
  <c r="BK501" i="4"/>
  <c r="BJ501" i="4"/>
  <c r="BI501" i="4"/>
  <c r="BF501" i="4"/>
  <c r="BE501" i="4"/>
  <c r="BD501" i="4"/>
  <c r="BB501" i="4" s="1"/>
  <c r="BC501" i="4"/>
  <c r="BA501" i="4" s="1"/>
  <c r="AE501" i="4"/>
  <c r="BI357" i="4"/>
  <c r="BF357" i="4"/>
  <c r="BE357" i="4"/>
  <c r="BJ357" i="4"/>
  <c r="BH357" i="4"/>
  <c r="BG357" i="4"/>
  <c r="BD357" i="4"/>
  <c r="BB357" i="4" s="1"/>
  <c r="BC357" i="4"/>
  <c r="BA357" i="4" s="1"/>
  <c r="AE357" i="4"/>
  <c r="BK357" i="4"/>
  <c r="BI548" i="4"/>
  <c r="BH548" i="4"/>
  <c r="BJ548" i="4"/>
  <c r="BG548" i="4"/>
  <c r="BC548" i="4"/>
  <c r="BA548" i="4" s="1"/>
  <c r="BE548" i="4"/>
  <c r="BD548" i="4"/>
  <c r="BB548" i="4" s="1"/>
  <c r="AE548" i="4"/>
  <c r="BK548" i="4"/>
  <c r="BF548" i="4"/>
  <c r="BE404" i="4"/>
  <c r="BK404" i="4"/>
  <c r="BJ404" i="4"/>
  <c r="AE404" i="4"/>
  <c r="BI404" i="4"/>
  <c r="BH404" i="4"/>
  <c r="BG404" i="4"/>
  <c r="BF404" i="4"/>
  <c r="BD404" i="4"/>
  <c r="BB404" i="4" s="1"/>
  <c r="BC404" i="4"/>
  <c r="BA404" i="4" s="1"/>
  <c r="BD260" i="4"/>
  <c r="BB260" i="4" s="1"/>
  <c r="BC260" i="4"/>
  <c r="BA260" i="4" s="1"/>
  <c r="BJ260" i="4"/>
  <c r="AE260" i="4"/>
  <c r="BI260" i="4"/>
  <c r="BH260" i="4"/>
  <c r="BF260" i="4"/>
  <c r="BE260" i="4"/>
  <c r="BK260" i="4"/>
  <c r="BG260" i="4"/>
  <c r="BI116" i="4"/>
  <c r="BF116" i="4"/>
  <c r="BE116" i="4"/>
  <c r="BG116" i="4"/>
  <c r="BD116" i="4"/>
  <c r="BB116" i="4" s="1"/>
  <c r="BC116" i="4"/>
  <c r="BA116" i="4" s="1"/>
  <c r="AE116" i="4"/>
  <c r="BK116" i="4"/>
  <c r="BJ116" i="4"/>
  <c r="BH116" i="4"/>
  <c r="BH559" i="4"/>
  <c r="BE559" i="4"/>
  <c r="BJ559" i="4"/>
  <c r="AE559" i="4"/>
  <c r="BC559" i="4"/>
  <c r="BA559" i="4" s="1"/>
  <c r="BK559" i="4"/>
  <c r="BD559" i="4"/>
  <c r="BB559" i="4" s="1"/>
  <c r="BI559" i="4"/>
  <c r="BG559" i="4"/>
  <c r="BF559" i="4"/>
  <c r="BC415" i="4"/>
  <c r="BA415" i="4" s="1"/>
  <c r="BI415" i="4"/>
  <c r="BH415" i="4"/>
  <c r="BD415" i="4"/>
  <c r="BB415" i="4" s="1"/>
  <c r="BK415" i="4"/>
  <c r="BJ415" i="4"/>
  <c r="BG415" i="4"/>
  <c r="BF415" i="4"/>
  <c r="BE415" i="4"/>
  <c r="AE415" i="4"/>
  <c r="BI271" i="4"/>
  <c r="BH271" i="4"/>
  <c r="BG271" i="4"/>
  <c r="BF271" i="4"/>
  <c r="BC271" i="4"/>
  <c r="BA271" i="4" s="1"/>
  <c r="BK271" i="4"/>
  <c r="BJ271" i="4"/>
  <c r="AE271" i="4"/>
  <c r="BE271" i="4"/>
  <c r="BD271" i="4"/>
  <c r="BB271" i="4" s="1"/>
  <c r="BE127" i="4"/>
  <c r="BK127" i="4"/>
  <c r="BJ127" i="4"/>
  <c r="AE127" i="4"/>
  <c r="BG127" i="4"/>
  <c r="BF127" i="4"/>
  <c r="BD127" i="4"/>
  <c r="BB127" i="4" s="1"/>
  <c r="BC127" i="4"/>
  <c r="BA127" i="4" s="1"/>
  <c r="BI127" i="4"/>
  <c r="BH127" i="4"/>
  <c r="BE594" i="4"/>
  <c r="BJ594" i="4"/>
  <c r="AE594" i="4"/>
  <c r="BI594" i="4"/>
  <c r="BF594" i="4"/>
  <c r="BD594" i="4"/>
  <c r="BB594" i="4" s="1"/>
  <c r="BK594" i="4"/>
  <c r="BH594" i="4"/>
  <c r="BG594" i="4"/>
  <c r="BC594" i="4"/>
  <c r="BA594" i="4" s="1"/>
  <c r="BH450" i="4"/>
  <c r="BE450" i="4"/>
  <c r="BI450" i="4"/>
  <c r="BC450" i="4"/>
  <c r="BA450" i="4" s="1"/>
  <c r="AE450" i="4"/>
  <c r="BK450" i="4"/>
  <c r="BJ450" i="4"/>
  <c r="BG450" i="4"/>
  <c r="BF450" i="4"/>
  <c r="BD450" i="4"/>
  <c r="BB450" i="4" s="1"/>
  <c r="BC545" i="4"/>
  <c r="BA545" i="4" s="1"/>
  <c r="BK545" i="4"/>
  <c r="BF545" i="4"/>
  <c r="BE545" i="4"/>
  <c r="AE545" i="4"/>
  <c r="BG545" i="4"/>
  <c r="BH545" i="4"/>
  <c r="BD545" i="4"/>
  <c r="BB545" i="4" s="1"/>
  <c r="BJ545" i="4"/>
  <c r="BI545" i="4"/>
  <c r="BH401" i="4"/>
  <c r="BE401" i="4"/>
  <c r="BJ401" i="4"/>
  <c r="AE401" i="4"/>
  <c r="BI401" i="4"/>
  <c r="BG401" i="4"/>
  <c r="BF401" i="4"/>
  <c r="BD401" i="4"/>
  <c r="BB401" i="4" s="1"/>
  <c r="BC401" i="4"/>
  <c r="BA401" i="4" s="1"/>
  <c r="BK401" i="4"/>
  <c r="BG257" i="4"/>
  <c r="BF257" i="4"/>
  <c r="BD257" i="4"/>
  <c r="BB257" i="4" s="1"/>
  <c r="BK257" i="4"/>
  <c r="BI257" i="4"/>
  <c r="BH257" i="4"/>
  <c r="BE257" i="4"/>
  <c r="BC257" i="4"/>
  <c r="BA257" i="4" s="1"/>
  <c r="AE257" i="4"/>
  <c r="BJ257" i="4"/>
  <c r="BC113" i="4"/>
  <c r="BA113" i="4" s="1"/>
  <c r="BI113" i="4"/>
  <c r="BH113" i="4"/>
  <c r="BE113" i="4"/>
  <c r="BD113" i="4"/>
  <c r="BB113" i="4" s="1"/>
  <c r="BK113" i="4"/>
  <c r="BJ113" i="4"/>
  <c r="BG113" i="4"/>
  <c r="BF113" i="4"/>
  <c r="AE113" i="4"/>
  <c r="BF578" i="4"/>
  <c r="BD578" i="4"/>
  <c r="BB578" i="4" s="1"/>
  <c r="BK578" i="4"/>
  <c r="AE578" i="4"/>
  <c r="BJ578" i="4"/>
  <c r="BG578" i="4"/>
  <c r="BC578" i="4"/>
  <c r="BA578" i="4" s="1"/>
  <c r="BI578" i="4"/>
  <c r="BH578" i="4"/>
  <c r="BE578" i="4"/>
  <c r="BD434" i="4"/>
  <c r="BB434" i="4" s="1"/>
  <c r="BJ434" i="4"/>
  <c r="AE434" i="4"/>
  <c r="BI434" i="4"/>
  <c r="BE434" i="4"/>
  <c r="BK434" i="4"/>
  <c r="BH434" i="4"/>
  <c r="BG434" i="4"/>
  <c r="BF434" i="4"/>
  <c r="BC434" i="4"/>
  <c r="BA434" i="4" s="1"/>
  <c r="BJ290" i="4"/>
  <c r="AE290" i="4"/>
  <c r="BI290" i="4"/>
  <c r="BH290" i="4"/>
  <c r="BG290" i="4"/>
  <c r="BF290" i="4"/>
  <c r="BE290" i="4"/>
  <c r="BD290" i="4"/>
  <c r="BB290" i="4" s="1"/>
  <c r="BC290" i="4"/>
  <c r="BA290" i="4" s="1"/>
  <c r="BK290" i="4"/>
  <c r="BF146" i="4"/>
  <c r="BC146" i="4"/>
  <c r="BA146" i="4" s="1"/>
  <c r="BK146" i="4"/>
  <c r="BH146" i="4"/>
  <c r="BG146" i="4"/>
  <c r="AE146" i="4"/>
  <c r="BJ146" i="4"/>
  <c r="BI146" i="4"/>
  <c r="BE146" i="4"/>
  <c r="BD146" i="4"/>
  <c r="BB146" i="4" s="1"/>
  <c r="BK481" i="4"/>
  <c r="BD481" i="4"/>
  <c r="BB481" i="4" s="1"/>
  <c r="AE481" i="4"/>
  <c r="BJ481" i="4"/>
  <c r="BH481" i="4"/>
  <c r="BG481" i="4"/>
  <c r="BE481" i="4"/>
  <c r="BC481" i="4"/>
  <c r="BA481" i="4" s="1"/>
  <c r="BI481" i="4"/>
  <c r="BF481" i="4"/>
  <c r="BD337" i="4"/>
  <c r="BB337" i="4" s="1"/>
  <c r="BJ337" i="4"/>
  <c r="AE337" i="4"/>
  <c r="BI337" i="4"/>
  <c r="BF337" i="4"/>
  <c r="BE337" i="4"/>
  <c r="BK337" i="4"/>
  <c r="BH337" i="4"/>
  <c r="BG337" i="4"/>
  <c r="BC337" i="4"/>
  <c r="BA337" i="4" s="1"/>
  <c r="BK193" i="4"/>
  <c r="BJ193" i="4"/>
  <c r="AE193" i="4"/>
  <c r="BI193" i="4"/>
  <c r="BH193" i="4"/>
  <c r="BE193" i="4"/>
  <c r="BD193" i="4"/>
  <c r="BB193" i="4" s="1"/>
  <c r="BC193" i="4"/>
  <c r="BA193" i="4" s="1"/>
  <c r="BG193" i="4"/>
  <c r="BF193" i="4"/>
  <c r="BG49" i="4"/>
  <c r="BF49" i="4"/>
  <c r="BE49" i="4"/>
  <c r="BD49" i="4"/>
  <c r="BB49" i="4" s="1"/>
  <c r="BC49" i="4"/>
  <c r="BA49" i="4" s="1"/>
  <c r="BK49" i="4"/>
  <c r="BI49" i="4"/>
  <c r="BH49" i="4"/>
  <c r="BJ49" i="4"/>
  <c r="AE49" i="4"/>
  <c r="BD516" i="4"/>
  <c r="BB516" i="4" s="1"/>
  <c r="BJ516" i="4"/>
  <c r="AE516" i="4"/>
  <c r="BI516" i="4"/>
  <c r="BE516" i="4"/>
  <c r="BK516" i="4"/>
  <c r="BH516" i="4"/>
  <c r="BG516" i="4"/>
  <c r="BF516" i="4"/>
  <c r="BC516" i="4"/>
  <c r="BA516" i="4" s="1"/>
  <c r="BI372" i="4"/>
  <c r="BF372" i="4"/>
  <c r="BC372" i="4"/>
  <c r="BA372" i="4" s="1"/>
  <c r="BK372" i="4"/>
  <c r="BJ372" i="4"/>
  <c r="AE372" i="4"/>
  <c r="BE372" i="4"/>
  <c r="BD372" i="4"/>
  <c r="BB372" i="4" s="1"/>
  <c r="BH372" i="4"/>
  <c r="BG372" i="4"/>
  <c r="BH228" i="4"/>
  <c r="BE228" i="4"/>
  <c r="BJ228" i="4"/>
  <c r="AE228" i="4"/>
  <c r="BI228" i="4"/>
  <c r="BC228" i="4"/>
  <c r="BA228" i="4" s="1"/>
  <c r="BK228" i="4"/>
  <c r="BG228" i="4"/>
  <c r="BF228" i="4"/>
  <c r="BD228" i="4"/>
  <c r="BB228" i="4" s="1"/>
  <c r="BK84" i="4"/>
  <c r="BJ84" i="4"/>
  <c r="AE84" i="4"/>
  <c r="BI84" i="4"/>
  <c r="BH84" i="4"/>
  <c r="BG84" i="4"/>
  <c r="BF84" i="4"/>
  <c r="BE84" i="4"/>
  <c r="BD84" i="4"/>
  <c r="BB84" i="4" s="1"/>
  <c r="BC84" i="4"/>
  <c r="BA84" i="4" s="1"/>
  <c r="BI598" i="4"/>
  <c r="BF598" i="4"/>
  <c r="AE598" i="4"/>
  <c r="BJ598" i="4"/>
  <c r="BH598" i="4"/>
  <c r="BD598" i="4"/>
  <c r="BB598" i="4" s="1"/>
  <c r="BK598" i="4"/>
  <c r="BG598" i="4"/>
  <c r="BE598" i="4"/>
  <c r="BC598" i="4"/>
  <c r="BA598" i="4" s="1"/>
  <c r="BI454" i="4"/>
  <c r="BH454" i="4"/>
  <c r="BF454" i="4"/>
  <c r="BE454" i="4"/>
  <c r="AE454" i="4"/>
  <c r="BK454" i="4"/>
  <c r="BJ454" i="4"/>
  <c r="BG454" i="4"/>
  <c r="BD454" i="4"/>
  <c r="BB454" i="4" s="1"/>
  <c r="BC454" i="4"/>
  <c r="BA454" i="4" s="1"/>
  <c r="BG310" i="4"/>
  <c r="BH310" i="4"/>
  <c r="AE310" i="4"/>
  <c r="BK310" i="4"/>
  <c r="BJ310" i="4"/>
  <c r="BI310" i="4"/>
  <c r="BF310" i="4"/>
  <c r="BE310" i="4"/>
  <c r="BD310" i="4"/>
  <c r="BB310" i="4" s="1"/>
  <c r="BC310" i="4"/>
  <c r="BA310" i="4" s="1"/>
  <c r="BK166" i="4"/>
  <c r="BH166" i="4"/>
  <c r="BG166" i="4"/>
  <c r="BD166" i="4"/>
  <c r="BB166" i="4" s="1"/>
  <c r="BC166" i="4"/>
  <c r="BA166" i="4" s="1"/>
  <c r="BJ166" i="4"/>
  <c r="BI166" i="4"/>
  <c r="BF166" i="4"/>
  <c r="BE166" i="4"/>
  <c r="AE166" i="4"/>
  <c r="BJ22" i="4"/>
  <c r="AE22" i="4"/>
  <c r="BG22" i="4"/>
  <c r="BD22" i="4"/>
  <c r="BB22" i="4" s="1"/>
  <c r="BC22" i="4"/>
  <c r="BA22" i="4" s="1"/>
  <c r="BK22" i="4"/>
  <c r="BE22" i="4"/>
  <c r="BI22" i="4"/>
  <c r="BH22" i="4"/>
  <c r="BF22" i="4"/>
  <c r="BG489" i="4"/>
  <c r="BD489" i="4"/>
  <c r="BB489" i="4" s="1"/>
  <c r="BC489" i="4"/>
  <c r="BA489" i="4" s="1"/>
  <c r="AE489" i="4"/>
  <c r="BK489" i="4"/>
  <c r="BJ489" i="4"/>
  <c r="BI489" i="4"/>
  <c r="BH489" i="4"/>
  <c r="BF489" i="4"/>
  <c r="BE489" i="4"/>
  <c r="BI345" i="4"/>
  <c r="BF345" i="4"/>
  <c r="BE345" i="4"/>
  <c r="BD345" i="4"/>
  <c r="BB345" i="4" s="1"/>
  <c r="BC345" i="4"/>
  <c r="BA345" i="4" s="1"/>
  <c r="AE345" i="4"/>
  <c r="BK345" i="4"/>
  <c r="BJ345" i="4"/>
  <c r="BH345" i="4"/>
  <c r="BG345" i="4"/>
  <c r="D97" i="15"/>
  <c r="D85" i="15"/>
  <c r="D73" i="15"/>
  <c r="D61" i="15"/>
  <c r="D49" i="15"/>
  <c r="D37" i="15"/>
  <c r="D25" i="15"/>
  <c r="D13" i="15"/>
  <c r="D2" i="15"/>
  <c r="D96" i="15"/>
  <c r="D84" i="15"/>
  <c r="D72" i="15"/>
  <c r="D60" i="15"/>
  <c r="D48" i="15"/>
  <c r="D36" i="15"/>
  <c r="D24" i="15"/>
  <c r="D12" i="15"/>
  <c r="D95" i="15"/>
  <c r="D83" i="15"/>
  <c r="D71" i="15"/>
  <c r="D59" i="15"/>
  <c r="D47" i="15"/>
  <c r="D35" i="15"/>
  <c r="D23" i="15"/>
  <c r="D11" i="15"/>
  <c r="D94" i="15"/>
  <c r="D82" i="15"/>
  <c r="D70" i="15"/>
  <c r="D58" i="15"/>
  <c r="D46" i="15"/>
  <c r="D34" i="15"/>
  <c r="D22" i="15"/>
  <c r="D10" i="15"/>
  <c r="D93" i="15"/>
  <c r="D81" i="15"/>
  <c r="D69" i="15"/>
  <c r="D57" i="15"/>
  <c r="D45" i="15"/>
  <c r="D33" i="15"/>
  <c r="D21" i="15"/>
  <c r="D9" i="15"/>
  <c r="D92" i="15"/>
  <c r="D80" i="15"/>
  <c r="D68" i="15"/>
  <c r="D56" i="15"/>
  <c r="D44" i="15"/>
  <c r="D32" i="15"/>
  <c r="D20" i="15"/>
  <c r="D8" i="15"/>
  <c r="D91" i="15"/>
  <c r="D79" i="15"/>
  <c r="D67" i="15"/>
  <c r="D55" i="15"/>
  <c r="D43" i="15"/>
  <c r="D31" i="15"/>
  <c r="D19" i="15"/>
  <c r="D7" i="15"/>
  <c r="D90" i="15"/>
  <c r="D78" i="15"/>
  <c r="D66" i="15"/>
  <c r="D54" i="15"/>
  <c r="D42" i="15"/>
  <c r="D30" i="15"/>
  <c r="D18" i="15"/>
  <c r="D6" i="15"/>
  <c r="D101" i="15"/>
  <c r="D89" i="15"/>
  <c r="D77" i="15"/>
  <c r="D65" i="15"/>
  <c r="D53" i="15"/>
  <c r="D41" i="15"/>
  <c r="D29" i="15"/>
  <c r="D17" i="15"/>
  <c r="D5" i="15"/>
  <c r="D100" i="15"/>
  <c r="D88" i="15"/>
  <c r="D76" i="15"/>
  <c r="D64" i="15"/>
  <c r="D52" i="15"/>
  <c r="D40" i="15"/>
  <c r="D28" i="15"/>
  <c r="D16" i="15"/>
  <c r="D4" i="15"/>
  <c r="D99" i="15"/>
  <c r="D87" i="15"/>
  <c r="D75" i="15"/>
  <c r="D63" i="15"/>
  <c r="D51" i="15"/>
  <c r="D39" i="15"/>
  <c r="D27" i="15"/>
  <c r="D15" i="15"/>
  <c r="D3" i="15"/>
  <c r="D98" i="15"/>
  <c r="D86" i="15"/>
  <c r="D74" i="15"/>
  <c r="D62" i="15"/>
  <c r="D50" i="15"/>
  <c r="D38" i="15"/>
  <c r="D26" i="15"/>
  <c r="D14" i="15"/>
  <c r="BH536" i="4"/>
  <c r="BC536" i="4"/>
  <c r="BA536" i="4" s="1"/>
  <c r="BJ536" i="4"/>
  <c r="BI536" i="4"/>
  <c r="BD536" i="4"/>
  <c r="BB536" i="4" s="1"/>
  <c r="AE536" i="4"/>
  <c r="BK536" i="4"/>
  <c r="BG536" i="4"/>
  <c r="BF536" i="4"/>
  <c r="BE536" i="4"/>
  <c r="BE392" i="4"/>
  <c r="BK392" i="4"/>
  <c r="BJ392" i="4"/>
  <c r="AE392" i="4"/>
  <c r="BG392" i="4"/>
  <c r="BF392" i="4"/>
  <c r="BI392" i="4"/>
  <c r="BH392" i="4"/>
  <c r="BD392" i="4"/>
  <c r="BB392" i="4" s="1"/>
  <c r="BC392" i="4"/>
  <c r="BA392" i="4" s="1"/>
  <c r="BD248" i="4"/>
  <c r="BB248" i="4" s="1"/>
  <c r="BC248" i="4"/>
  <c r="BA248" i="4" s="1"/>
  <c r="BJ248" i="4"/>
  <c r="AE248" i="4"/>
  <c r="BI248" i="4"/>
  <c r="BH248" i="4"/>
  <c r="BF248" i="4"/>
  <c r="BE248" i="4"/>
  <c r="BK248" i="4"/>
  <c r="BG248" i="4"/>
  <c r="BI104" i="4"/>
  <c r="BF104" i="4"/>
  <c r="BE104" i="4"/>
  <c r="AE104" i="4"/>
  <c r="BK104" i="4"/>
  <c r="BJ104" i="4"/>
  <c r="BH104" i="4"/>
  <c r="BG104" i="4"/>
  <c r="BD104" i="4"/>
  <c r="BB104" i="4" s="1"/>
  <c r="BC104" i="4"/>
  <c r="BA104" i="4" s="1"/>
  <c r="BE547" i="4"/>
  <c r="BC547" i="4"/>
  <c r="BA547" i="4" s="1"/>
  <c r="BJ547" i="4"/>
  <c r="BI547" i="4"/>
  <c r="BD547" i="4"/>
  <c r="BB547" i="4" s="1"/>
  <c r="BK547" i="4"/>
  <c r="BH547" i="4"/>
  <c r="BG547" i="4"/>
  <c r="BF547" i="4"/>
  <c r="AE547" i="4"/>
  <c r="BJ403" i="4"/>
  <c r="AE403" i="4"/>
  <c r="BG403" i="4"/>
  <c r="BD403" i="4"/>
  <c r="BB403" i="4" s="1"/>
  <c r="BC403" i="4"/>
  <c r="BA403" i="4" s="1"/>
  <c r="BK403" i="4"/>
  <c r="BI403" i="4"/>
  <c r="BH403" i="4"/>
  <c r="BF403" i="4"/>
  <c r="BE403" i="4"/>
  <c r="BI259" i="4"/>
  <c r="BH259" i="4"/>
  <c r="BF259" i="4"/>
  <c r="BC259" i="4"/>
  <c r="BA259" i="4" s="1"/>
  <c r="BK259" i="4"/>
  <c r="BJ259" i="4"/>
  <c r="AE259" i="4"/>
  <c r="BG259" i="4"/>
  <c r="BE259" i="4"/>
  <c r="BD259" i="4"/>
  <c r="BB259" i="4" s="1"/>
  <c r="BE115" i="4"/>
  <c r="BK115" i="4"/>
  <c r="BJ115" i="4"/>
  <c r="AE115" i="4"/>
  <c r="BG115" i="4"/>
  <c r="BF115" i="4"/>
  <c r="BI115" i="4"/>
  <c r="BH115" i="4"/>
  <c r="BD115" i="4"/>
  <c r="BB115" i="4" s="1"/>
  <c r="BC115" i="4"/>
  <c r="BA115" i="4" s="1"/>
  <c r="BE582" i="4"/>
  <c r="BJ582" i="4"/>
  <c r="AE582" i="4"/>
  <c r="BF582" i="4"/>
  <c r="BH582" i="4"/>
  <c r="BK582" i="4"/>
  <c r="BC582" i="4"/>
  <c r="BA582" i="4" s="1"/>
  <c r="BD582" i="4"/>
  <c r="BB582" i="4" s="1"/>
  <c r="BI582" i="4"/>
  <c r="BG582" i="4"/>
  <c r="BH438" i="4"/>
  <c r="BE438" i="4"/>
  <c r="BI438" i="4"/>
  <c r="AE438" i="4"/>
  <c r="BK438" i="4"/>
  <c r="BJ438" i="4"/>
  <c r="BG438" i="4"/>
  <c r="BF438" i="4"/>
  <c r="BD438" i="4"/>
  <c r="BB438" i="4" s="1"/>
  <c r="BC438" i="4"/>
  <c r="BA438" i="4" s="1"/>
  <c r="BK533" i="4"/>
  <c r="BH533" i="4"/>
  <c r="BG533" i="4"/>
  <c r="BC533" i="4"/>
  <c r="BA533" i="4" s="1"/>
  <c r="AE533" i="4"/>
  <c r="BJ533" i="4"/>
  <c r="BI533" i="4"/>
  <c r="BF533" i="4"/>
  <c r="BE533" i="4"/>
  <c r="BD533" i="4"/>
  <c r="BB533" i="4" s="1"/>
  <c r="BH389" i="4"/>
  <c r="BE389" i="4"/>
  <c r="BJ389" i="4"/>
  <c r="AE389" i="4"/>
  <c r="BI389" i="4"/>
  <c r="BK389" i="4"/>
  <c r="BG389" i="4"/>
  <c r="BF389" i="4"/>
  <c r="BD389" i="4"/>
  <c r="BB389" i="4" s="1"/>
  <c r="BC389" i="4"/>
  <c r="BA389" i="4" s="1"/>
  <c r="BG245" i="4"/>
  <c r="BF245" i="4"/>
  <c r="BD245" i="4"/>
  <c r="BB245" i="4" s="1"/>
  <c r="BI245" i="4"/>
  <c r="BH245" i="4"/>
  <c r="BK245" i="4"/>
  <c r="BJ245" i="4"/>
  <c r="BE245" i="4"/>
  <c r="BC245" i="4"/>
  <c r="BA245" i="4" s="1"/>
  <c r="AE245" i="4"/>
  <c r="BC101" i="4"/>
  <c r="BA101" i="4" s="1"/>
  <c r="BI101" i="4"/>
  <c r="BH101" i="4"/>
  <c r="BD101" i="4"/>
  <c r="BB101" i="4" s="1"/>
  <c r="BK101" i="4"/>
  <c r="BJ101" i="4"/>
  <c r="BG101" i="4"/>
  <c r="BF101" i="4"/>
  <c r="BE101" i="4"/>
  <c r="AE101" i="4"/>
  <c r="BI566" i="4"/>
  <c r="BF566" i="4"/>
  <c r="BC566" i="4"/>
  <c r="BA566" i="4" s="1"/>
  <c r="BK566" i="4"/>
  <c r="BE566" i="4"/>
  <c r="BD566" i="4"/>
  <c r="BB566" i="4" s="1"/>
  <c r="AE566" i="4"/>
  <c r="BJ566" i="4"/>
  <c r="BH566" i="4"/>
  <c r="BG566" i="4"/>
  <c r="BD422" i="4"/>
  <c r="BB422" i="4" s="1"/>
  <c r="BJ422" i="4"/>
  <c r="AE422" i="4"/>
  <c r="BI422" i="4"/>
  <c r="BE422" i="4"/>
  <c r="BC422" i="4"/>
  <c r="BA422" i="4" s="1"/>
  <c r="BK422" i="4"/>
  <c r="BH422" i="4"/>
  <c r="BG422" i="4"/>
  <c r="BF422" i="4"/>
  <c r="BJ278" i="4"/>
  <c r="AE278" i="4"/>
  <c r="BI278" i="4"/>
  <c r="BH278" i="4"/>
  <c r="BG278" i="4"/>
  <c r="BF278" i="4"/>
  <c r="BD278" i="4"/>
  <c r="BB278" i="4" s="1"/>
  <c r="BC278" i="4"/>
  <c r="BA278" i="4" s="1"/>
  <c r="BK278" i="4"/>
  <c r="BE278" i="4"/>
  <c r="BF134" i="4"/>
  <c r="BC134" i="4"/>
  <c r="BA134" i="4" s="1"/>
  <c r="BK134" i="4"/>
  <c r="BH134" i="4"/>
  <c r="BG134" i="4"/>
  <c r="BJ134" i="4"/>
  <c r="BI134" i="4"/>
  <c r="BE134" i="4"/>
  <c r="BD134" i="4"/>
  <c r="BB134" i="4" s="1"/>
  <c r="AE134" i="4"/>
  <c r="BK469" i="4"/>
  <c r="BD469" i="4"/>
  <c r="BB469" i="4" s="1"/>
  <c r="BE469" i="4"/>
  <c r="BC469" i="4"/>
  <c r="BA469" i="4" s="1"/>
  <c r="AE469" i="4"/>
  <c r="BJ469" i="4"/>
  <c r="BI469" i="4"/>
  <c r="BG469" i="4"/>
  <c r="BF469" i="4"/>
  <c r="BH469" i="4"/>
  <c r="BD325" i="4"/>
  <c r="BB325" i="4" s="1"/>
  <c r="BJ325" i="4"/>
  <c r="AE325" i="4"/>
  <c r="BI325" i="4"/>
  <c r="BF325" i="4"/>
  <c r="BE325" i="4"/>
  <c r="BK325" i="4"/>
  <c r="BH325" i="4"/>
  <c r="BG325" i="4"/>
  <c r="BC325" i="4"/>
  <c r="BA325" i="4" s="1"/>
  <c r="BK181" i="4"/>
  <c r="BJ181" i="4"/>
  <c r="AE181" i="4"/>
  <c r="BH181" i="4"/>
  <c r="BE181" i="4"/>
  <c r="BD181" i="4"/>
  <c r="BB181" i="4" s="1"/>
  <c r="BC181" i="4"/>
  <c r="BA181" i="4" s="1"/>
  <c r="BI181" i="4"/>
  <c r="BG181" i="4"/>
  <c r="BF181" i="4"/>
  <c r="BG37" i="4"/>
  <c r="BD37" i="4"/>
  <c r="BB37" i="4" s="1"/>
  <c r="BK37" i="4"/>
  <c r="BI37" i="4"/>
  <c r="BH37" i="4"/>
  <c r="BJ37" i="4"/>
  <c r="BF37" i="4"/>
  <c r="BE37" i="4"/>
  <c r="AE37" i="4"/>
  <c r="BC37" i="4"/>
  <c r="BA37" i="4" s="1"/>
  <c r="BD504" i="4"/>
  <c r="BB504" i="4" s="1"/>
  <c r="BJ504" i="4"/>
  <c r="AE504" i="4"/>
  <c r="BI504" i="4"/>
  <c r="BE504" i="4"/>
  <c r="BK504" i="4"/>
  <c r="BH504" i="4"/>
  <c r="BG504" i="4"/>
  <c r="BF504" i="4"/>
  <c r="BC504" i="4"/>
  <c r="BA504" i="4" s="1"/>
  <c r="BI360" i="4"/>
  <c r="BF360" i="4"/>
  <c r="BC360" i="4"/>
  <c r="BA360" i="4" s="1"/>
  <c r="BK360" i="4"/>
  <c r="BJ360" i="4"/>
  <c r="AE360" i="4"/>
  <c r="BH360" i="4"/>
  <c r="BG360" i="4"/>
  <c r="BE360" i="4"/>
  <c r="BD360" i="4"/>
  <c r="BB360" i="4" s="1"/>
  <c r="BH216" i="4"/>
  <c r="BI216" i="4"/>
  <c r="BD216" i="4"/>
  <c r="BB216" i="4" s="1"/>
  <c r="BC216" i="4"/>
  <c r="BA216" i="4" s="1"/>
  <c r="AE216" i="4"/>
  <c r="BK216" i="4"/>
  <c r="BJ216" i="4"/>
  <c r="BG216" i="4"/>
  <c r="BF216" i="4"/>
  <c r="BE216" i="4"/>
  <c r="BK72" i="4"/>
  <c r="BJ72" i="4"/>
  <c r="AE72" i="4"/>
  <c r="BI72" i="4"/>
  <c r="BH72" i="4"/>
  <c r="BG72" i="4"/>
  <c r="BF72" i="4"/>
  <c r="BE72" i="4"/>
  <c r="BD72" i="4"/>
  <c r="BB72" i="4" s="1"/>
  <c r="BC72" i="4"/>
  <c r="BA72" i="4" s="1"/>
  <c r="BI586" i="4"/>
  <c r="BG586" i="4"/>
  <c r="BD586" i="4"/>
  <c r="BB586" i="4" s="1"/>
  <c r="BJ586" i="4"/>
  <c r="BF586" i="4"/>
  <c r="BE586" i="4"/>
  <c r="BC586" i="4"/>
  <c r="BA586" i="4" s="1"/>
  <c r="AE586" i="4"/>
  <c r="BH586" i="4"/>
  <c r="BK586" i="4"/>
  <c r="BI442" i="4"/>
  <c r="BF442" i="4"/>
  <c r="BE442" i="4"/>
  <c r="BJ442" i="4"/>
  <c r="BH442" i="4"/>
  <c r="BG442" i="4"/>
  <c r="BD442" i="4"/>
  <c r="BB442" i="4" s="1"/>
  <c r="BC442" i="4"/>
  <c r="BA442" i="4" s="1"/>
  <c r="AE442" i="4"/>
  <c r="BK442" i="4"/>
  <c r="BF298" i="4"/>
  <c r="BE298" i="4"/>
  <c r="BD298" i="4"/>
  <c r="BB298" i="4" s="1"/>
  <c r="BC298" i="4"/>
  <c r="BA298" i="4" s="1"/>
  <c r="BK298" i="4"/>
  <c r="BJ298" i="4"/>
  <c r="AE298" i="4"/>
  <c r="BI298" i="4"/>
  <c r="BH298" i="4"/>
  <c r="BG298" i="4"/>
  <c r="BK154" i="4"/>
  <c r="BH154" i="4"/>
  <c r="BG154" i="4"/>
  <c r="BD154" i="4"/>
  <c r="BB154" i="4" s="1"/>
  <c r="BC154" i="4"/>
  <c r="BA154" i="4" s="1"/>
  <c r="BI154" i="4"/>
  <c r="BF154" i="4"/>
  <c r="BE154" i="4"/>
  <c r="AE154" i="4"/>
  <c r="BJ154" i="4"/>
  <c r="BF10" i="4"/>
  <c r="BE10" i="4"/>
  <c r="AE10" i="4"/>
  <c r="BK10" i="4"/>
  <c r="BH10" i="4"/>
  <c r="BG10" i="4"/>
  <c r="BC10" i="4"/>
  <c r="BA10" i="4" s="1"/>
  <c r="BJ10" i="4"/>
  <c r="BI10" i="4"/>
  <c r="BD10" i="4"/>
  <c r="BB10" i="4" s="1"/>
  <c r="AP3" i="4"/>
  <c r="BG477" i="4"/>
  <c r="BJ477" i="4"/>
  <c r="BI477" i="4"/>
  <c r="BF477" i="4"/>
  <c r="BE477" i="4"/>
  <c r="BC477" i="4"/>
  <c r="BA477" i="4" s="1"/>
  <c r="AE477" i="4"/>
  <c r="BK477" i="4"/>
  <c r="BD477" i="4"/>
  <c r="BB477" i="4" s="1"/>
  <c r="BH477" i="4"/>
  <c r="BI333" i="4"/>
  <c r="BF333" i="4"/>
  <c r="BE333" i="4"/>
  <c r="AE333" i="4"/>
  <c r="BK333" i="4"/>
  <c r="BJ333" i="4"/>
  <c r="BH333" i="4"/>
  <c r="BG333" i="4"/>
  <c r="BD333" i="4"/>
  <c r="BB333" i="4" s="1"/>
  <c r="BC333" i="4"/>
  <c r="BA333" i="4" s="1"/>
  <c r="BH524" i="4"/>
  <c r="BF524" i="4"/>
  <c r="BE524" i="4"/>
  <c r="BJ524" i="4"/>
  <c r="BI524" i="4"/>
  <c r="BG524" i="4"/>
  <c r="BD524" i="4"/>
  <c r="BB524" i="4" s="1"/>
  <c r="BC524" i="4"/>
  <c r="BA524" i="4" s="1"/>
  <c r="AE524" i="4"/>
  <c r="BK524" i="4"/>
  <c r="BE380" i="4"/>
  <c r="BK380" i="4"/>
  <c r="BJ380" i="4"/>
  <c r="AE380" i="4"/>
  <c r="BG380" i="4"/>
  <c r="BF380" i="4"/>
  <c r="BI380" i="4"/>
  <c r="BH380" i="4"/>
  <c r="BD380" i="4"/>
  <c r="BB380" i="4" s="1"/>
  <c r="BC380" i="4"/>
  <c r="BA380" i="4" s="1"/>
  <c r="BD236" i="4"/>
  <c r="BB236" i="4" s="1"/>
  <c r="BJ236" i="4"/>
  <c r="AE236" i="4"/>
  <c r="BI236" i="4"/>
  <c r="BF236" i="4"/>
  <c r="BE236" i="4"/>
  <c r="BK236" i="4"/>
  <c r="BH236" i="4"/>
  <c r="BG236" i="4"/>
  <c r="BC236" i="4"/>
  <c r="BA236" i="4" s="1"/>
  <c r="BE92" i="4"/>
  <c r="BD92" i="4"/>
  <c r="BB92" i="4" s="1"/>
  <c r="BC92" i="4"/>
  <c r="BA92" i="4" s="1"/>
  <c r="AE92" i="4"/>
  <c r="BK92" i="4"/>
  <c r="BJ92" i="4"/>
  <c r="BI92" i="4"/>
  <c r="BH92" i="4"/>
  <c r="BG92" i="4"/>
  <c r="BF92" i="4"/>
  <c r="BG535" i="4"/>
  <c r="BH535" i="4"/>
  <c r="AE535" i="4"/>
  <c r="BK535" i="4"/>
  <c r="BJ535" i="4"/>
  <c r="BI535" i="4"/>
  <c r="BF535" i="4"/>
  <c r="BE535" i="4"/>
  <c r="BD535" i="4"/>
  <c r="BB535" i="4" s="1"/>
  <c r="BC535" i="4"/>
  <c r="BA535" i="4" s="1"/>
  <c r="BJ391" i="4"/>
  <c r="AE391" i="4"/>
  <c r="BG391" i="4"/>
  <c r="BD391" i="4"/>
  <c r="BB391" i="4" s="1"/>
  <c r="BC391" i="4"/>
  <c r="BA391" i="4" s="1"/>
  <c r="BK391" i="4"/>
  <c r="BI391" i="4"/>
  <c r="BH391" i="4"/>
  <c r="BF391" i="4"/>
  <c r="BE391" i="4"/>
  <c r="BI247" i="4"/>
  <c r="BH247" i="4"/>
  <c r="BF247" i="4"/>
  <c r="BC247" i="4"/>
  <c r="BA247" i="4" s="1"/>
  <c r="BK247" i="4"/>
  <c r="BJ247" i="4"/>
  <c r="AE247" i="4"/>
  <c r="BG247" i="4"/>
  <c r="BE247" i="4"/>
  <c r="BD247" i="4"/>
  <c r="BB247" i="4" s="1"/>
  <c r="BE103" i="4"/>
  <c r="BK103" i="4"/>
  <c r="BJ103" i="4"/>
  <c r="AE103" i="4"/>
  <c r="BG103" i="4"/>
  <c r="BF103" i="4"/>
  <c r="BI103" i="4"/>
  <c r="BH103" i="4"/>
  <c r="BD103" i="4"/>
  <c r="BB103" i="4" s="1"/>
  <c r="BC103" i="4"/>
  <c r="BA103" i="4" s="1"/>
  <c r="BJ570" i="4"/>
  <c r="AE570" i="4"/>
  <c r="BG570" i="4"/>
  <c r="BF570" i="4"/>
  <c r="BC570" i="4"/>
  <c r="BA570" i="4" s="1"/>
  <c r="BK570" i="4"/>
  <c r="BI570" i="4"/>
  <c r="BD570" i="4"/>
  <c r="BB570" i="4" s="1"/>
  <c r="BE570" i="4"/>
  <c r="BH570" i="4"/>
  <c r="BH426" i="4"/>
  <c r="BI426" i="4"/>
  <c r="AE426" i="4"/>
  <c r="BG426" i="4"/>
  <c r="BF426" i="4"/>
  <c r="BE426" i="4"/>
  <c r="BD426" i="4"/>
  <c r="BB426" i="4" s="1"/>
  <c r="BC426" i="4"/>
  <c r="BA426" i="4" s="1"/>
  <c r="BK426" i="4"/>
  <c r="BJ426" i="4"/>
  <c r="BC521" i="4"/>
  <c r="BA521" i="4" s="1"/>
  <c r="BI521" i="4"/>
  <c r="BH521" i="4"/>
  <c r="BD521" i="4"/>
  <c r="BB521" i="4" s="1"/>
  <c r="BJ521" i="4"/>
  <c r="BG521" i="4"/>
  <c r="BF521" i="4"/>
  <c r="BE521" i="4"/>
  <c r="AE521" i="4"/>
  <c r="BK521" i="4"/>
  <c r="BH377" i="4"/>
  <c r="BE377" i="4"/>
  <c r="BJ377" i="4"/>
  <c r="AE377" i="4"/>
  <c r="BI377" i="4"/>
  <c r="BD377" i="4"/>
  <c r="BB377" i="4" s="1"/>
  <c r="BC377" i="4"/>
  <c r="BA377" i="4" s="1"/>
  <c r="BK377" i="4"/>
  <c r="BG377" i="4"/>
  <c r="BF377" i="4"/>
  <c r="BG233" i="4"/>
  <c r="BD233" i="4"/>
  <c r="BB233" i="4" s="1"/>
  <c r="BI233" i="4"/>
  <c r="BH233" i="4"/>
  <c r="AE233" i="4"/>
  <c r="BK233" i="4"/>
  <c r="BJ233" i="4"/>
  <c r="BF233" i="4"/>
  <c r="BE233" i="4"/>
  <c r="BC233" i="4"/>
  <c r="BA233" i="4" s="1"/>
  <c r="BH89" i="4"/>
  <c r="BK89" i="4"/>
  <c r="AE89" i="4"/>
  <c r="BJ89" i="4"/>
  <c r="BI89" i="4"/>
  <c r="BG89" i="4"/>
  <c r="BF89" i="4"/>
  <c r="BE89" i="4"/>
  <c r="BD89" i="4"/>
  <c r="BB89" i="4" s="1"/>
  <c r="BC89" i="4"/>
  <c r="BA89" i="4" s="1"/>
  <c r="BF554" i="4"/>
  <c r="BC554" i="4"/>
  <c r="BA554" i="4" s="1"/>
  <c r="BK554" i="4"/>
  <c r="BE554" i="4"/>
  <c r="BD554" i="4"/>
  <c r="BB554" i="4" s="1"/>
  <c r="AE554" i="4"/>
  <c r="BJ554" i="4"/>
  <c r="BI554" i="4"/>
  <c r="BH554" i="4"/>
  <c r="BG554" i="4"/>
  <c r="BI410" i="4"/>
  <c r="BK410" i="4"/>
  <c r="AE410" i="4"/>
  <c r="BG410" i="4"/>
  <c r="BF410" i="4"/>
  <c r="BE410" i="4"/>
  <c r="BD410" i="4"/>
  <c r="BB410" i="4" s="1"/>
  <c r="BC410" i="4"/>
  <c r="BA410" i="4" s="1"/>
  <c r="BJ410" i="4"/>
  <c r="BH410" i="4"/>
  <c r="BJ266" i="4"/>
  <c r="AE266" i="4"/>
  <c r="BI266" i="4"/>
  <c r="BG266" i="4"/>
  <c r="BD266" i="4"/>
  <c r="BB266" i="4" s="1"/>
  <c r="BC266" i="4"/>
  <c r="BA266" i="4" s="1"/>
  <c r="BK266" i="4"/>
  <c r="BH266" i="4"/>
  <c r="BF266" i="4"/>
  <c r="BE266" i="4"/>
  <c r="BF122" i="4"/>
  <c r="BC122" i="4"/>
  <c r="BA122" i="4" s="1"/>
  <c r="BK122" i="4"/>
  <c r="BH122" i="4"/>
  <c r="BG122" i="4"/>
  <c r="BE122" i="4"/>
  <c r="BD122" i="4"/>
  <c r="BB122" i="4" s="1"/>
  <c r="AE122" i="4"/>
  <c r="BJ122" i="4"/>
  <c r="BI122" i="4"/>
  <c r="BF601" i="4"/>
  <c r="BC601" i="4"/>
  <c r="BA601" i="4" s="1"/>
  <c r="BK601" i="4"/>
  <c r="BH601" i="4"/>
  <c r="BD601" i="4"/>
  <c r="BB601" i="4" s="1"/>
  <c r="AE601" i="4"/>
  <c r="BJ601" i="4"/>
  <c r="BI601" i="4"/>
  <c r="BG601" i="4"/>
  <c r="BE601" i="4"/>
  <c r="BI457" i="4"/>
  <c r="BF457" i="4"/>
  <c r="BE457" i="4"/>
  <c r="BC457" i="4"/>
  <c r="BA457" i="4" s="1"/>
  <c r="BK457" i="4"/>
  <c r="BJ457" i="4"/>
  <c r="AE457" i="4"/>
  <c r="BH457" i="4"/>
  <c r="BG457" i="4"/>
  <c r="BD457" i="4"/>
  <c r="BB457" i="4" s="1"/>
  <c r="BD313" i="4"/>
  <c r="BB313" i="4" s="1"/>
  <c r="BJ313" i="4"/>
  <c r="AE313" i="4"/>
  <c r="BI313" i="4"/>
  <c r="BE313" i="4"/>
  <c r="BK313" i="4"/>
  <c r="BH313" i="4"/>
  <c r="BG313" i="4"/>
  <c r="BF313" i="4"/>
  <c r="BC313" i="4"/>
  <c r="BA313" i="4" s="1"/>
  <c r="BK169" i="4"/>
  <c r="BH169" i="4"/>
  <c r="BE169" i="4"/>
  <c r="BD169" i="4"/>
  <c r="BB169" i="4" s="1"/>
  <c r="BF169" i="4"/>
  <c r="BC169" i="4"/>
  <c r="BA169" i="4" s="1"/>
  <c r="AE169" i="4"/>
  <c r="BJ169" i="4"/>
  <c r="BI169" i="4"/>
  <c r="BG169" i="4"/>
  <c r="BG25" i="4"/>
  <c r="BD25" i="4"/>
  <c r="BB25" i="4" s="1"/>
  <c r="BI25" i="4"/>
  <c r="BH25" i="4"/>
  <c r="BF25" i="4"/>
  <c r="BE25" i="4"/>
  <c r="AE25" i="4"/>
  <c r="BK25" i="4"/>
  <c r="BJ25" i="4"/>
  <c r="BC25" i="4"/>
  <c r="BA25" i="4" s="1"/>
  <c r="BD492" i="4"/>
  <c r="BB492" i="4" s="1"/>
  <c r="BJ492" i="4"/>
  <c r="AE492" i="4"/>
  <c r="BI492" i="4"/>
  <c r="BE492" i="4"/>
  <c r="BK492" i="4"/>
  <c r="BH492" i="4"/>
  <c r="BG492" i="4"/>
  <c r="BF492" i="4"/>
  <c r="BC492" i="4"/>
  <c r="BA492" i="4" s="1"/>
  <c r="BI348" i="4"/>
  <c r="BF348" i="4"/>
  <c r="BC348" i="4"/>
  <c r="BA348" i="4" s="1"/>
  <c r="BK348" i="4"/>
  <c r="BJ348" i="4"/>
  <c r="AE348" i="4"/>
  <c r="BH348" i="4"/>
  <c r="BG348" i="4"/>
  <c r="BE348" i="4"/>
  <c r="BD348" i="4"/>
  <c r="BB348" i="4" s="1"/>
  <c r="BD204" i="4"/>
  <c r="BB204" i="4" s="1"/>
  <c r="BC204" i="4"/>
  <c r="BA204" i="4" s="1"/>
  <c r="BJ204" i="4"/>
  <c r="AE204" i="4"/>
  <c r="BI204" i="4"/>
  <c r="BH204" i="4"/>
  <c r="BG204" i="4"/>
  <c r="BF204" i="4"/>
  <c r="BE204" i="4"/>
  <c r="BK204" i="4"/>
  <c r="BK60" i="4"/>
  <c r="BJ60" i="4"/>
  <c r="AE60" i="4"/>
  <c r="BI60" i="4"/>
  <c r="BH60" i="4"/>
  <c r="BG60" i="4"/>
  <c r="BF60" i="4"/>
  <c r="BE60" i="4"/>
  <c r="BD60" i="4"/>
  <c r="BB60" i="4" s="1"/>
  <c r="BC60" i="4"/>
  <c r="BA60" i="4" s="1"/>
  <c r="BH574" i="4"/>
  <c r="BE574" i="4"/>
  <c r="BJ574" i="4"/>
  <c r="BF574" i="4"/>
  <c r="BD574" i="4"/>
  <c r="BB574" i="4" s="1"/>
  <c r="BC574" i="4"/>
  <c r="BA574" i="4" s="1"/>
  <c r="BK574" i="4"/>
  <c r="BI574" i="4"/>
  <c r="BG574" i="4"/>
  <c r="AE574" i="4"/>
  <c r="BF430" i="4"/>
  <c r="BE430" i="4"/>
  <c r="AE430" i="4"/>
  <c r="BJ430" i="4"/>
  <c r="BI430" i="4"/>
  <c r="BH430" i="4"/>
  <c r="BG430" i="4"/>
  <c r="BD430" i="4"/>
  <c r="BB430" i="4" s="1"/>
  <c r="BC430" i="4"/>
  <c r="BA430" i="4" s="1"/>
  <c r="BK430" i="4"/>
  <c r="BF286" i="4"/>
  <c r="BE286" i="4"/>
  <c r="BD286" i="4"/>
  <c r="BB286" i="4" s="1"/>
  <c r="BC286" i="4"/>
  <c r="BA286" i="4" s="1"/>
  <c r="BK286" i="4"/>
  <c r="BJ286" i="4"/>
  <c r="AE286" i="4"/>
  <c r="BI286" i="4"/>
  <c r="BH286" i="4"/>
  <c r="BG286" i="4"/>
  <c r="BK142" i="4"/>
  <c r="BH142" i="4"/>
  <c r="BG142" i="4"/>
  <c r="BD142" i="4"/>
  <c r="BB142" i="4" s="1"/>
  <c r="BC142" i="4"/>
  <c r="BA142" i="4" s="1"/>
  <c r="AE142" i="4"/>
  <c r="BJ142" i="4"/>
  <c r="BI142" i="4"/>
  <c r="BF142" i="4"/>
  <c r="BE142" i="4"/>
  <c r="BE465" i="4"/>
  <c r="BD465" i="4"/>
  <c r="BB465" i="4" s="1"/>
  <c r="BK465" i="4"/>
  <c r="BJ465" i="4"/>
  <c r="AE465" i="4"/>
  <c r="BI465" i="4"/>
  <c r="BG465" i="4"/>
  <c r="BF465" i="4"/>
  <c r="BH465" i="4"/>
  <c r="BC465" i="4"/>
  <c r="BA465" i="4" s="1"/>
  <c r="BI321" i="4"/>
  <c r="BF321" i="4"/>
  <c r="BE321" i="4"/>
  <c r="BK321" i="4"/>
  <c r="BJ321" i="4"/>
  <c r="BH321" i="4"/>
  <c r="BG321" i="4"/>
  <c r="BD321" i="4"/>
  <c r="BB321" i="4" s="1"/>
  <c r="BC321" i="4"/>
  <c r="BA321" i="4" s="1"/>
  <c r="AE321" i="4"/>
  <c r="BF512" i="4"/>
  <c r="BE512" i="4"/>
  <c r="BK512" i="4"/>
  <c r="BJ512" i="4"/>
  <c r="BI512" i="4"/>
  <c r="BH512" i="4"/>
  <c r="BG512" i="4"/>
  <c r="BD512" i="4"/>
  <c r="BB512" i="4" s="1"/>
  <c r="BC512" i="4"/>
  <c r="BA512" i="4" s="1"/>
  <c r="AE512" i="4"/>
  <c r="BE368" i="4"/>
  <c r="BK368" i="4"/>
  <c r="BJ368" i="4"/>
  <c r="AE368" i="4"/>
  <c r="BG368" i="4"/>
  <c r="BF368" i="4"/>
  <c r="BI368" i="4"/>
  <c r="BH368" i="4"/>
  <c r="BD368" i="4"/>
  <c r="BB368" i="4" s="1"/>
  <c r="BC368" i="4"/>
  <c r="BA368" i="4" s="1"/>
  <c r="BD224" i="4"/>
  <c r="BB224" i="4" s="1"/>
  <c r="BJ224" i="4"/>
  <c r="AE224" i="4"/>
  <c r="BI224" i="4"/>
  <c r="BF224" i="4"/>
  <c r="BE224" i="4"/>
  <c r="BK224" i="4"/>
  <c r="BH224" i="4"/>
  <c r="BG224" i="4"/>
  <c r="BC224" i="4"/>
  <c r="BA224" i="4" s="1"/>
  <c r="BH80" i="4"/>
  <c r="BG80" i="4"/>
  <c r="BF80" i="4"/>
  <c r="BE80" i="4"/>
  <c r="BD80" i="4"/>
  <c r="BB80" i="4" s="1"/>
  <c r="BC80" i="4"/>
  <c r="BA80" i="4" s="1"/>
  <c r="BK80" i="4"/>
  <c r="BJ80" i="4"/>
  <c r="AE80" i="4"/>
  <c r="BI80" i="4"/>
  <c r="BE523" i="4"/>
  <c r="BK523" i="4"/>
  <c r="BJ523" i="4"/>
  <c r="AE523" i="4"/>
  <c r="BF523" i="4"/>
  <c r="BH523" i="4"/>
  <c r="BG523" i="4"/>
  <c r="BD523" i="4"/>
  <c r="BB523" i="4" s="1"/>
  <c r="BC523" i="4"/>
  <c r="BA523" i="4" s="1"/>
  <c r="BI523" i="4"/>
  <c r="BJ379" i="4"/>
  <c r="AE379" i="4"/>
  <c r="BG379" i="4"/>
  <c r="BD379" i="4"/>
  <c r="BB379" i="4" s="1"/>
  <c r="BC379" i="4"/>
  <c r="BA379" i="4" s="1"/>
  <c r="BK379" i="4"/>
  <c r="BI379" i="4"/>
  <c r="BH379" i="4"/>
  <c r="BF379" i="4"/>
  <c r="BE379" i="4"/>
  <c r="BI235" i="4"/>
  <c r="BF235" i="4"/>
  <c r="BC235" i="4"/>
  <c r="BA235" i="4" s="1"/>
  <c r="BK235" i="4"/>
  <c r="BJ235" i="4"/>
  <c r="AE235" i="4"/>
  <c r="BH235" i="4"/>
  <c r="BG235" i="4"/>
  <c r="BE235" i="4"/>
  <c r="BD235" i="4"/>
  <c r="BB235" i="4" s="1"/>
  <c r="BE91" i="4"/>
  <c r="BJ91" i="4"/>
  <c r="AE91" i="4"/>
  <c r="BG91" i="4"/>
  <c r="BF91" i="4"/>
  <c r="BD91" i="4"/>
  <c r="BB91" i="4" s="1"/>
  <c r="BC91" i="4"/>
  <c r="BA91" i="4" s="1"/>
  <c r="BK91" i="4"/>
  <c r="BI91" i="4"/>
  <c r="BH91" i="4"/>
  <c r="BJ558" i="4"/>
  <c r="AE558" i="4"/>
  <c r="BG558" i="4"/>
  <c r="BF558" i="4"/>
  <c r="BC558" i="4"/>
  <c r="BA558" i="4" s="1"/>
  <c r="BI558" i="4"/>
  <c r="BH558" i="4"/>
  <c r="BE558" i="4"/>
  <c r="BD558" i="4"/>
  <c r="BB558" i="4" s="1"/>
  <c r="BK558" i="4"/>
  <c r="BH414" i="4"/>
  <c r="BI414" i="4"/>
  <c r="BC414" i="4"/>
  <c r="BA414" i="4" s="1"/>
  <c r="BK414" i="4"/>
  <c r="BJ414" i="4"/>
  <c r="BG414" i="4"/>
  <c r="BF414" i="4"/>
  <c r="BE414" i="4"/>
  <c r="BD414" i="4"/>
  <c r="BB414" i="4" s="1"/>
  <c r="AE414" i="4"/>
  <c r="BC509" i="4"/>
  <c r="BA509" i="4" s="1"/>
  <c r="BI509" i="4"/>
  <c r="BH509" i="4"/>
  <c r="BD509" i="4"/>
  <c r="BB509" i="4" s="1"/>
  <c r="BK509" i="4"/>
  <c r="BJ509" i="4"/>
  <c r="BG509" i="4"/>
  <c r="BF509" i="4"/>
  <c r="BE509" i="4"/>
  <c r="AE509" i="4"/>
  <c r="BH365" i="4"/>
  <c r="BE365" i="4"/>
  <c r="BJ365" i="4"/>
  <c r="AE365" i="4"/>
  <c r="BI365" i="4"/>
  <c r="BK365" i="4"/>
  <c r="BG365" i="4"/>
  <c r="BF365" i="4"/>
  <c r="BD365" i="4"/>
  <c r="BB365" i="4" s="1"/>
  <c r="BC365" i="4"/>
  <c r="BA365" i="4" s="1"/>
  <c r="BG221" i="4"/>
  <c r="BD221" i="4"/>
  <c r="BB221" i="4" s="1"/>
  <c r="BI221" i="4"/>
  <c r="BH221" i="4"/>
  <c r="BK221" i="4"/>
  <c r="BJ221" i="4"/>
  <c r="BF221" i="4"/>
  <c r="BE221" i="4"/>
  <c r="BC221" i="4"/>
  <c r="BA221" i="4" s="1"/>
  <c r="AE221" i="4"/>
  <c r="BK77" i="4"/>
  <c r="BJ77" i="4"/>
  <c r="AE77" i="4"/>
  <c r="BI77" i="4"/>
  <c r="BH77" i="4"/>
  <c r="BG77" i="4"/>
  <c r="BF77" i="4"/>
  <c r="BE77" i="4"/>
  <c r="BD77" i="4"/>
  <c r="BB77" i="4" s="1"/>
  <c r="BC77" i="4"/>
  <c r="BA77" i="4" s="1"/>
  <c r="BF542" i="4"/>
  <c r="BC542" i="4"/>
  <c r="BA542" i="4" s="1"/>
  <c r="BK542" i="4"/>
  <c r="BJ542" i="4"/>
  <c r="BD542" i="4"/>
  <c r="BB542" i="4" s="1"/>
  <c r="BI542" i="4"/>
  <c r="BH542" i="4"/>
  <c r="BG542" i="4"/>
  <c r="BE542" i="4"/>
  <c r="AE542" i="4"/>
  <c r="BK398" i="4"/>
  <c r="BH398" i="4"/>
  <c r="BE398" i="4"/>
  <c r="BD398" i="4"/>
  <c r="BB398" i="4" s="1"/>
  <c r="BC398" i="4"/>
  <c r="BA398" i="4" s="1"/>
  <c r="BJ398" i="4"/>
  <c r="BI398" i="4"/>
  <c r="BG398" i="4"/>
  <c r="BF398" i="4"/>
  <c r="AE398" i="4"/>
  <c r="BJ254" i="4"/>
  <c r="AE254" i="4"/>
  <c r="BI254" i="4"/>
  <c r="BG254" i="4"/>
  <c r="BD254" i="4"/>
  <c r="BB254" i="4" s="1"/>
  <c r="BC254" i="4"/>
  <c r="BA254" i="4" s="1"/>
  <c r="BK254" i="4"/>
  <c r="BH254" i="4"/>
  <c r="BF254" i="4"/>
  <c r="BE254" i="4"/>
  <c r="BF110" i="4"/>
  <c r="BC110" i="4"/>
  <c r="BA110" i="4" s="1"/>
  <c r="BK110" i="4"/>
  <c r="BH110" i="4"/>
  <c r="BG110" i="4"/>
  <c r="AE110" i="4"/>
  <c r="BJ110" i="4"/>
  <c r="BI110" i="4"/>
  <c r="BE110" i="4"/>
  <c r="BD110" i="4"/>
  <c r="BB110" i="4" s="1"/>
  <c r="BF589" i="4"/>
  <c r="BK589" i="4"/>
  <c r="AE589" i="4"/>
  <c r="BH589" i="4"/>
  <c r="BD589" i="4"/>
  <c r="BB589" i="4" s="1"/>
  <c r="BC589" i="4"/>
  <c r="BA589" i="4" s="1"/>
  <c r="BI589" i="4"/>
  <c r="BG589" i="4"/>
  <c r="BE589" i="4"/>
  <c r="BJ589" i="4"/>
  <c r="BI445" i="4"/>
  <c r="BF445" i="4"/>
  <c r="BC445" i="4"/>
  <c r="BA445" i="4" s="1"/>
  <c r="BJ445" i="4"/>
  <c r="AE445" i="4"/>
  <c r="BK445" i="4"/>
  <c r="BH445" i="4"/>
  <c r="BG445" i="4"/>
  <c r="BE445" i="4"/>
  <c r="BD445" i="4"/>
  <c r="BB445" i="4" s="1"/>
  <c r="BC301" i="4"/>
  <c r="BA301" i="4" s="1"/>
  <c r="BK301" i="4"/>
  <c r="BJ301" i="4"/>
  <c r="AE301" i="4"/>
  <c r="BI301" i="4"/>
  <c r="BH301" i="4"/>
  <c r="BG301" i="4"/>
  <c r="BF301" i="4"/>
  <c r="BE301" i="4"/>
  <c r="BD301" i="4"/>
  <c r="BB301" i="4" s="1"/>
  <c r="BK157" i="4"/>
  <c r="BH157" i="4"/>
  <c r="BE157" i="4"/>
  <c r="BD157" i="4"/>
  <c r="BB157" i="4" s="1"/>
  <c r="AE157" i="4"/>
  <c r="BJ157" i="4"/>
  <c r="BI157" i="4"/>
  <c r="BG157" i="4"/>
  <c r="BF157" i="4"/>
  <c r="BC157" i="4"/>
  <c r="BA157" i="4" s="1"/>
  <c r="BC13" i="4"/>
  <c r="BA13" i="4" s="1"/>
  <c r="BI13" i="4"/>
  <c r="BH13" i="4"/>
  <c r="BE13" i="4"/>
  <c r="BD13" i="4"/>
  <c r="BB13" i="4" s="1"/>
  <c r="BJ13" i="4"/>
  <c r="AE13" i="4"/>
  <c r="BK13" i="4"/>
  <c r="BG13" i="4"/>
  <c r="BF13" i="4"/>
  <c r="BD480" i="4"/>
  <c r="BB480" i="4" s="1"/>
  <c r="BI480" i="4"/>
  <c r="AE480" i="4"/>
  <c r="BK480" i="4"/>
  <c r="BH480" i="4"/>
  <c r="BG480" i="4"/>
  <c r="BF480" i="4"/>
  <c r="BE480" i="4"/>
  <c r="BC480" i="4"/>
  <c r="BA480" i="4" s="1"/>
  <c r="BJ480" i="4"/>
  <c r="BI336" i="4"/>
  <c r="BF336" i="4"/>
  <c r="BC336" i="4"/>
  <c r="BA336" i="4" s="1"/>
  <c r="BK336" i="4"/>
  <c r="BJ336" i="4"/>
  <c r="AE336" i="4"/>
  <c r="BH336" i="4"/>
  <c r="BG336" i="4"/>
  <c r="BE336" i="4"/>
  <c r="BD336" i="4"/>
  <c r="BB336" i="4" s="1"/>
  <c r="BD192" i="4"/>
  <c r="BB192" i="4" s="1"/>
  <c r="BC192" i="4"/>
  <c r="BA192" i="4" s="1"/>
  <c r="BJ192" i="4"/>
  <c r="AE192" i="4"/>
  <c r="BI192" i="4"/>
  <c r="BH192" i="4"/>
  <c r="BG192" i="4"/>
  <c r="BF192" i="4"/>
  <c r="BE192" i="4"/>
  <c r="BK192" i="4"/>
  <c r="BK48" i="4"/>
  <c r="BJ48" i="4"/>
  <c r="AE48" i="4"/>
  <c r="BI48" i="4"/>
  <c r="BH48" i="4"/>
  <c r="BG48" i="4"/>
  <c r="BF48" i="4"/>
  <c r="BE48" i="4"/>
  <c r="BD48" i="4"/>
  <c r="BB48" i="4" s="1"/>
  <c r="BC48" i="4"/>
  <c r="BA48" i="4" s="1"/>
  <c r="BE562" i="4"/>
  <c r="BK562" i="4"/>
  <c r="BJ562" i="4"/>
  <c r="AE562" i="4"/>
  <c r="BG562" i="4"/>
  <c r="BH562" i="4"/>
  <c r="BF562" i="4"/>
  <c r="BI562" i="4"/>
  <c r="BD562" i="4"/>
  <c r="BB562" i="4" s="1"/>
  <c r="BC562" i="4"/>
  <c r="BA562" i="4" s="1"/>
  <c r="BF418" i="4"/>
  <c r="BE418" i="4"/>
  <c r="BC418" i="4"/>
  <c r="BA418" i="4" s="1"/>
  <c r="AE418" i="4"/>
  <c r="BK418" i="4"/>
  <c r="BJ418" i="4"/>
  <c r="BI418" i="4"/>
  <c r="BH418" i="4"/>
  <c r="BG418" i="4"/>
  <c r="BD418" i="4"/>
  <c r="BB418" i="4" s="1"/>
  <c r="BF274" i="4"/>
  <c r="BE274" i="4"/>
  <c r="BD274" i="4"/>
  <c r="BB274" i="4" s="1"/>
  <c r="BC274" i="4"/>
  <c r="BA274" i="4" s="1"/>
  <c r="BK274" i="4"/>
  <c r="BJ274" i="4"/>
  <c r="AE274" i="4"/>
  <c r="BI274" i="4"/>
  <c r="BH274" i="4"/>
  <c r="BG274" i="4"/>
  <c r="BK130" i="4"/>
  <c r="BH130" i="4"/>
  <c r="BG130" i="4"/>
  <c r="BD130" i="4"/>
  <c r="BB130" i="4" s="1"/>
  <c r="BC130" i="4"/>
  <c r="BA130" i="4" s="1"/>
  <c r="AE130" i="4"/>
  <c r="BJ130" i="4"/>
  <c r="BI130" i="4"/>
  <c r="BF130" i="4"/>
  <c r="BE130" i="4"/>
  <c r="BK597" i="4"/>
  <c r="BG597" i="4"/>
  <c r="BC597" i="4"/>
  <c r="BA597" i="4" s="1"/>
  <c r="BJ597" i="4"/>
  <c r="BI597" i="4"/>
  <c r="BE597" i="4"/>
  <c r="BH597" i="4"/>
  <c r="AE597" i="4"/>
  <c r="BF597" i="4"/>
  <c r="BD597" i="4"/>
  <c r="BB597" i="4" s="1"/>
  <c r="BE453" i="4"/>
  <c r="BK453" i="4"/>
  <c r="BJ453" i="4"/>
  <c r="AE453" i="4"/>
  <c r="BF453" i="4"/>
  <c r="BI453" i="4"/>
  <c r="BH453" i="4"/>
  <c r="BG453" i="4"/>
  <c r="BD453" i="4"/>
  <c r="BB453" i="4" s="1"/>
  <c r="BC453" i="4"/>
  <c r="BA453" i="4" s="1"/>
  <c r="BE309" i="4"/>
  <c r="BC309" i="4"/>
  <c r="BA309" i="4" s="1"/>
  <c r="AE309" i="4"/>
  <c r="BK309" i="4"/>
  <c r="BJ309" i="4"/>
  <c r="BI309" i="4"/>
  <c r="BH309" i="4"/>
  <c r="BG309" i="4"/>
  <c r="BF309" i="4"/>
  <c r="BD309" i="4"/>
  <c r="BB309" i="4" s="1"/>
  <c r="BF500" i="4"/>
  <c r="BE500" i="4"/>
  <c r="BK500" i="4"/>
  <c r="BJ500" i="4"/>
  <c r="BI500" i="4"/>
  <c r="BH500" i="4"/>
  <c r="BG500" i="4"/>
  <c r="BD500" i="4"/>
  <c r="BB500" i="4" s="1"/>
  <c r="BC500" i="4"/>
  <c r="BA500" i="4" s="1"/>
  <c r="AE500" i="4"/>
  <c r="BE356" i="4"/>
  <c r="BK356" i="4"/>
  <c r="BJ356" i="4"/>
  <c r="AE356" i="4"/>
  <c r="BG356" i="4"/>
  <c r="BF356" i="4"/>
  <c r="BC356" i="4"/>
  <c r="BA356" i="4" s="1"/>
  <c r="BI356" i="4"/>
  <c r="BH356" i="4"/>
  <c r="BD356" i="4"/>
  <c r="BB356" i="4" s="1"/>
  <c r="BK212" i="4"/>
  <c r="BJ212" i="4"/>
  <c r="AE212" i="4"/>
  <c r="BI212" i="4"/>
  <c r="BH212" i="4"/>
  <c r="BF212" i="4"/>
  <c r="BE212" i="4"/>
  <c r="BD212" i="4"/>
  <c r="BB212" i="4" s="1"/>
  <c r="BC212" i="4"/>
  <c r="BA212" i="4" s="1"/>
  <c r="BG212" i="4"/>
  <c r="BH68" i="4"/>
  <c r="BG68" i="4"/>
  <c r="BF68" i="4"/>
  <c r="BE68" i="4"/>
  <c r="BD68" i="4"/>
  <c r="BB68" i="4" s="1"/>
  <c r="BC68" i="4"/>
  <c r="BA68" i="4" s="1"/>
  <c r="BK68" i="4"/>
  <c r="BJ68" i="4"/>
  <c r="AE68" i="4"/>
  <c r="BI68" i="4"/>
  <c r="BE511" i="4"/>
  <c r="BK511" i="4"/>
  <c r="BJ511" i="4"/>
  <c r="AE511" i="4"/>
  <c r="BF511" i="4"/>
  <c r="BI511" i="4"/>
  <c r="BH511" i="4"/>
  <c r="BG511" i="4"/>
  <c r="BD511" i="4"/>
  <c r="BB511" i="4" s="1"/>
  <c r="BC511" i="4"/>
  <c r="BA511" i="4" s="1"/>
  <c r="BJ367" i="4"/>
  <c r="AE367" i="4"/>
  <c r="BG367" i="4"/>
  <c r="BD367" i="4"/>
  <c r="BB367" i="4" s="1"/>
  <c r="BC367" i="4"/>
  <c r="BA367" i="4" s="1"/>
  <c r="BK367" i="4"/>
  <c r="BF367" i="4"/>
  <c r="BE367" i="4"/>
  <c r="BI367" i="4"/>
  <c r="BH367" i="4"/>
  <c r="BI223" i="4"/>
  <c r="BF223" i="4"/>
  <c r="BC223" i="4"/>
  <c r="BA223" i="4" s="1"/>
  <c r="BK223" i="4"/>
  <c r="BJ223" i="4"/>
  <c r="AE223" i="4"/>
  <c r="BD223" i="4"/>
  <c r="BB223" i="4" s="1"/>
  <c r="BH223" i="4"/>
  <c r="BG223" i="4"/>
  <c r="BE223" i="4"/>
  <c r="BK79" i="4"/>
  <c r="BJ79" i="4"/>
  <c r="AE79" i="4"/>
  <c r="BI79" i="4"/>
  <c r="BH79" i="4"/>
  <c r="BG79" i="4"/>
  <c r="BF79" i="4"/>
  <c r="BE79" i="4"/>
  <c r="BD79" i="4"/>
  <c r="BB79" i="4" s="1"/>
  <c r="BC79" i="4"/>
  <c r="BA79" i="4" s="1"/>
  <c r="BJ546" i="4"/>
  <c r="AE546" i="4"/>
  <c r="BG546" i="4"/>
  <c r="BF546" i="4"/>
  <c r="BC546" i="4"/>
  <c r="BA546" i="4" s="1"/>
  <c r="BK546" i="4"/>
  <c r="BD546" i="4"/>
  <c r="BB546" i="4" s="1"/>
  <c r="BI546" i="4"/>
  <c r="BH546" i="4"/>
  <c r="BE546" i="4"/>
  <c r="BC402" i="4"/>
  <c r="BA402" i="4" s="1"/>
  <c r="BI402" i="4"/>
  <c r="BH402" i="4"/>
  <c r="BG402" i="4"/>
  <c r="BF402" i="4"/>
  <c r="BE402" i="4"/>
  <c r="BD402" i="4"/>
  <c r="BB402" i="4" s="1"/>
  <c r="BK402" i="4"/>
  <c r="BJ402" i="4"/>
  <c r="AE402" i="4"/>
  <c r="BC497" i="4"/>
  <c r="BA497" i="4" s="1"/>
  <c r="BI497" i="4"/>
  <c r="BH497" i="4"/>
  <c r="BD497" i="4"/>
  <c r="BB497" i="4" s="1"/>
  <c r="AE497" i="4"/>
  <c r="BK497" i="4"/>
  <c r="BJ497" i="4"/>
  <c r="BG497" i="4"/>
  <c r="BF497" i="4"/>
  <c r="BE497" i="4"/>
  <c r="BH353" i="4"/>
  <c r="BE353" i="4"/>
  <c r="BJ353" i="4"/>
  <c r="AE353" i="4"/>
  <c r="BI353" i="4"/>
  <c r="BK353" i="4"/>
  <c r="BG353" i="4"/>
  <c r="BF353" i="4"/>
  <c r="BD353" i="4"/>
  <c r="BB353" i="4" s="1"/>
  <c r="BC353" i="4"/>
  <c r="BA353" i="4" s="1"/>
  <c r="BC209" i="4"/>
  <c r="BA209" i="4" s="1"/>
  <c r="BK209" i="4"/>
  <c r="BI209" i="4"/>
  <c r="BH209" i="4"/>
  <c r="BG209" i="4"/>
  <c r="BF209" i="4"/>
  <c r="BE209" i="4"/>
  <c r="BD209" i="4"/>
  <c r="BB209" i="4" s="1"/>
  <c r="BJ209" i="4"/>
  <c r="AE209" i="4"/>
  <c r="BK65" i="4"/>
  <c r="BJ65" i="4"/>
  <c r="AE65" i="4"/>
  <c r="BI65" i="4"/>
  <c r="BH65" i="4"/>
  <c r="BG65" i="4"/>
  <c r="BF65" i="4"/>
  <c r="BE65" i="4"/>
  <c r="BD65" i="4"/>
  <c r="BB65" i="4" s="1"/>
  <c r="BC65" i="4"/>
  <c r="BA65" i="4" s="1"/>
  <c r="BH530" i="4"/>
  <c r="BG530" i="4"/>
  <c r="BC530" i="4"/>
  <c r="BA530" i="4" s="1"/>
  <c r="AE530" i="4"/>
  <c r="BK530" i="4"/>
  <c r="BJ530" i="4"/>
  <c r="BI530" i="4"/>
  <c r="BF530" i="4"/>
  <c r="BE530" i="4"/>
  <c r="BD530" i="4"/>
  <c r="BB530" i="4" s="1"/>
  <c r="BK386" i="4"/>
  <c r="BH386" i="4"/>
  <c r="BE386" i="4"/>
  <c r="BD386" i="4"/>
  <c r="BB386" i="4" s="1"/>
  <c r="AE386" i="4"/>
  <c r="BJ386" i="4"/>
  <c r="BI386" i="4"/>
  <c r="BG386" i="4"/>
  <c r="BF386" i="4"/>
  <c r="BC386" i="4"/>
  <c r="BA386" i="4" s="1"/>
  <c r="BJ242" i="4"/>
  <c r="AE242" i="4"/>
  <c r="BI242" i="4"/>
  <c r="BG242" i="4"/>
  <c r="BD242" i="4"/>
  <c r="BB242" i="4" s="1"/>
  <c r="BC242" i="4"/>
  <c r="BA242" i="4" s="1"/>
  <c r="BK242" i="4"/>
  <c r="BH242" i="4"/>
  <c r="BF242" i="4"/>
  <c r="BE242" i="4"/>
  <c r="BF98" i="4"/>
  <c r="BK98" i="4"/>
  <c r="BG98" i="4"/>
  <c r="BD98" i="4"/>
  <c r="BB98" i="4" s="1"/>
  <c r="BC98" i="4"/>
  <c r="BA98" i="4" s="1"/>
  <c r="AE98" i="4"/>
  <c r="BJ98" i="4"/>
  <c r="BI98" i="4"/>
  <c r="BH98" i="4"/>
  <c r="BE98" i="4"/>
  <c r="BK577" i="4"/>
  <c r="BH577" i="4"/>
  <c r="BE577" i="4"/>
  <c r="BJ577" i="4"/>
  <c r="AE577" i="4"/>
  <c r="BI577" i="4"/>
  <c r="BG577" i="4"/>
  <c r="BF577" i="4"/>
  <c r="BD577" i="4"/>
  <c r="BB577" i="4" s="1"/>
  <c r="BC577" i="4"/>
  <c r="BA577" i="4" s="1"/>
  <c r="BI433" i="4"/>
  <c r="BC433" i="4"/>
  <c r="BA433" i="4" s="1"/>
  <c r="BJ433" i="4"/>
  <c r="AE433" i="4"/>
  <c r="BK433" i="4"/>
  <c r="BH433" i="4"/>
  <c r="BG433" i="4"/>
  <c r="BF433" i="4"/>
  <c r="BE433" i="4"/>
  <c r="BD433" i="4"/>
  <c r="BB433" i="4" s="1"/>
  <c r="BC289" i="4"/>
  <c r="BA289" i="4" s="1"/>
  <c r="BK289" i="4"/>
  <c r="BJ289" i="4"/>
  <c r="AE289" i="4"/>
  <c r="BI289" i="4"/>
  <c r="BH289" i="4"/>
  <c r="BG289" i="4"/>
  <c r="BF289" i="4"/>
  <c r="BE289" i="4"/>
  <c r="BD289" i="4"/>
  <c r="BB289" i="4" s="1"/>
  <c r="BK145" i="4"/>
  <c r="BH145" i="4"/>
  <c r="BE145" i="4"/>
  <c r="BD145" i="4"/>
  <c r="BB145" i="4" s="1"/>
  <c r="BJ145" i="4"/>
  <c r="BI145" i="4"/>
  <c r="BG145" i="4"/>
  <c r="BF145" i="4"/>
  <c r="BC145" i="4"/>
  <c r="BA145" i="4" s="1"/>
  <c r="AE145" i="4"/>
  <c r="BD468" i="4"/>
  <c r="BB468" i="4" s="1"/>
  <c r="BI468" i="4"/>
  <c r="BH468" i="4"/>
  <c r="BG468" i="4"/>
  <c r="BE468" i="4"/>
  <c r="BC468" i="4"/>
  <c r="BA468" i="4" s="1"/>
  <c r="BK468" i="4"/>
  <c r="BJ468" i="4"/>
  <c r="AE468" i="4"/>
  <c r="BF468" i="4"/>
  <c r="BI324" i="4"/>
  <c r="BF324" i="4"/>
  <c r="BC324" i="4"/>
  <c r="BA324" i="4" s="1"/>
  <c r="BK324" i="4"/>
  <c r="BJ324" i="4"/>
  <c r="AE324" i="4"/>
  <c r="BE324" i="4"/>
  <c r="BD324" i="4"/>
  <c r="BB324" i="4" s="1"/>
  <c r="BH324" i="4"/>
  <c r="BG324" i="4"/>
  <c r="BD180" i="4"/>
  <c r="BB180" i="4" s="1"/>
  <c r="BC180" i="4"/>
  <c r="BA180" i="4" s="1"/>
  <c r="BJ180" i="4"/>
  <c r="AE180" i="4"/>
  <c r="BI180" i="4"/>
  <c r="BH180" i="4"/>
  <c r="BF180" i="4"/>
  <c r="BE180" i="4"/>
  <c r="BK180" i="4"/>
  <c r="BG180" i="4"/>
  <c r="BI36" i="4"/>
  <c r="BF36" i="4"/>
  <c r="BE36" i="4"/>
  <c r="BD36" i="4"/>
  <c r="BB36" i="4" s="1"/>
  <c r="BG36" i="4"/>
  <c r="BC36" i="4"/>
  <c r="BA36" i="4" s="1"/>
  <c r="AE36" i="4"/>
  <c r="BK36" i="4"/>
  <c r="BJ36" i="4"/>
  <c r="BH36" i="4"/>
  <c r="BK550" i="4"/>
  <c r="BJ550" i="4"/>
  <c r="AE550" i="4"/>
  <c r="BG550" i="4"/>
  <c r="BE550" i="4"/>
  <c r="BD550" i="4"/>
  <c r="BB550" i="4" s="1"/>
  <c r="BI550" i="4"/>
  <c r="BH550" i="4"/>
  <c r="BF550" i="4"/>
  <c r="BC550" i="4"/>
  <c r="BA550" i="4" s="1"/>
  <c r="BG406" i="4"/>
  <c r="BD406" i="4"/>
  <c r="BB406" i="4" s="1"/>
  <c r="BK406" i="4"/>
  <c r="BJ406" i="4"/>
  <c r="AE406" i="4"/>
  <c r="BI406" i="4"/>
  <c r="BH406" i="4"/>
  <c r="BF406" i="4"/>
  <c r="BE406" i="4"/>
  <c r="BC406" i="4"/>
  <c r="BA406" i="4" s="1"/>
  <c r="BF262" i="4"/>
  <c r="BE262" i="4"/>
  <c r="BC262" i="4"/>
  <c r="BA262" i="4" s="1"/>
  <c r="BK262" i="4"/>
  <c r="BJ262" i="4"/>
  <c r="AE262" i="4"/>
  <c r="BH262" i="4"/>
  <c r="BG262" i="4"/>
  <c r="BD262" i="4"/>
  <c r="BB262" i="4" s="1"/>
  <c r="BI262" i="4"/>
  <c r="BK118" i="4"/>
  <c r="BH118" i="4"/>
  <c r="BG118" i="4"/>
  <c r="BD118" i="4"/>
  <c r="BB118" i="4" s="1"/>
  <c r="BC118" i="4"/>
  <c r="BA118" i="4" s="1"/>
  <c r="BJ118" i="4"/>
  <c r="BI118" i="4"/>
  <c r="BF118" i="4"/>
  <c r="BE118" i="4"/>
  <c r="AE118" i="4"/>
  <c r="BG585" i="4"/>
  <c r="BJ585" i="4"/>
  <c r="BF585" i="4"/>
  <c r="BC585" i="4"/>
  <c r="BA585" i="4" s="1"/>
  <c r="AE585" i="4"/>
  <c r="BE585" i="4"/>
  <c r="BD585" i="4"/>
  <c r="BB585" i="4" s="1"/>
  <c r="BH585" i="4"/>
  <c r="BK585" i="4"/>
  <c r="BI585" i="4"/>
  <c r="BE441" i="4"/>
  <c r="BK441" i="4"/>
  <c r="BJ441" i="4"/>
  <c r="AE441" i="4"/>
  <c r="BF441" i="4"/>
  <c r="BG441" i="4"/>
  <c r="BD441" i="4"/>
  <c r="BB441" i="4" s="1"/>
  <c r="BC441" i="4"/>
  <c r="BA441" i="4" s="1"/>
  <c r="BI441" i="4"/>
  <c r="BH441" i="4"/>
  <c r="BK297" i="4"/>
  <c r="BJ297" i="4"/>
  <c r="AE297" i="4"/>
  <c r="BI297" i="4"/>
  <c r="BH297" i="4"/>
  <c r="BG297" i="4"/>
  <c r="BF297" i="4"/>
  <c r="BE297" i="4"/>
  <c r="BD297" i="4"/>
  <c r="BB297" i="4" s="1"/>
  <c r="BC297" i="4"/>
  <c r="BA297" i="4" s="1"/>
  <c r="BE488" i="4"/>
  <c r="BG488" i="4"/>
  <c r="BF488" i="4"/>
  <c r="BD488" i="4"/>
  <c r="BB488" i="4" s="1"/>
  <c r="BC488" i="4"/>
  <c r="BA488" i="4" s="1"/>
  <c r="AE488" i="4"/>
  <c r="BK488" i="4"/>
  <c r="BJ488" i="4"/>
  <c r="BI488" i="4"/>
  <c r="BH488" i="4"/>
  <c r="BE344" i="4"/>
  <c r="BK344" i="4"/>
  <c r="BJ344" i="4"/>
  <c r="AE344" i="4"/>
  <c r="BG344" i="4"/>
  <c r="BF344" i="4"/>
  <c r="BI344" i="4"/>
  <c r="BH344" i="4"/>
  <c r="BD344" i="4"/>
  <c r="BB344" i="4" s="1"/>
  <c r="BC344" i="4"/>
  <c r="BA344" i="4" s="1"/>
  <c r="BK200" i="4"/>
  <c r="BJ200" i="4"/>
  <c r="AE200" i="4"/>
  <c r="BI200" i="4"/>
  <c r="BF200" i="4"/>
  <c r="BE200" i="4"/>
  <c r="BD200" i="4"/>
  <c r="BB200" i="4" s="1"/>
  <c r="BC200" i="4"/>
  <c r="BA200" i="4" s="1"/>
  <c r="BH200" i="4"/>
  <c r="BG200" i="4"/>
  <c r="BH56" i="4"/>
  <c r="BG56" i="4"/>
  <c r="BF56" i="4"/>
  <c r="BE56" i="4"/>
  <c r="BD56" i="4"/>
  <c r="BB56" i="4" s="1"/>
  <c r="BC56" i="4"/>
  <c r="BA56" i="4" s="1"/>
  <c r="BK56" i="4"/>
  <c r="BJ56" i="4"/>
  <c r="AE56" i="4"/>
  <c r="BI56" i="4"/>
  <c r="BE499" i="4"/>
  <c r="BK499" i="4"/>
  <c r="BJ499" i="4"/>
  <c r="AE499" i="4"/>
  <c r="BF499" i="4"/>
  <c r="BI499" i="4"/>
  <c r="BH499" i="4"/>
  <c r="BG499" i="4"/>
  <c r="BD499" i="4"/>
  <c r="BB499" i="4" s="1"/>
  <c r="BC499" i="4"/>
  <c r="BA499" i="4" s="1"/>
  <c r="BJ355" i="4"/>
  <c r="AE355" i="4"/>
  <c r="BG355" i="4"/>
  <c r="BD355" i="4"/>
  <c r="BB355" i="4" s="1"/>
  <c r="BC355" i="4"/>
  <c r="BA355" i="4" s="1"/>
  <c r="BK355" i="4"/>
  <c r="BI355" i="4"/>
  <c r="BH355" i="4"/>
  <c r="BF355" i="4"/>
  <c r="BE355" i="4"/>
  <c r="BE211" i="4"/>
  <c r="BD211" i="4"/>
  <c r="BB211" i="4" s="1"/>
  <c r="BC211" i="4"/>
  <c r="BA211" i="4" s="1"/>
  <c r="BK211" i="4"/>
  <c r="BJ211" i="4"/>
  <c r="AE211" i="4"/>
  <c r="BI211" i="4"/>
  <c r="BH211" i="4"/>
  <c r="BG211" i="4"/>
  <c r="BF211" i="4"/>
  <c r="BK67" i="4"/>
  <c r="BJ67" i="4"/>
  <c r="AE67" i="4"/>
  <c r="BI67" i="4"/>
  <c r="BH67" i="4"/>
  <c r="BG67" i="4"/>
  <c r="BF67" i="4"/>
  <c r="BE67" i="4"/>
  <c r="BD67" i="4"/>
  <c r="BB67" i="4" s="1"/>
  <c r="BC67" i="4"/>
  <c r="BA67" i="4" s="1"/>
  <c r="BF534" i="4"/>
  <c r="BK534" i="4"/>
  <c r="AE534" i="4"/>
  <c r="BD534" i="4"/>
  <c r="BB534" i="4" s="1"/>
  <c r="BC534" i="4"/>
  <c r="BA534" i="4" s="1"/>
  <c r="BJ534" i="4"/>
  <c r="BI534" i="4"/>
  <c r="BH534" i="4"/>
  <c r="BG534" i="4"/>
  <c r="BE534" i="4"/>
  <c r="BC390" i="4"/>
  <c r="BA390" i="4" s="1"/>
  <c r="BI390" i="4"/>
  <c r="BH390" i="4"/>
  <c r="BE390" i="4"/>
  <c r="BD390" i="4"/>
  <c r="BB390" i="4" s="1"/>
  <c r="BK390" i="4"/>
  <c r="BJ390" i="4"/>
  <c r="BG390" i="4"/>
  <c r="BF390" i="4"/>
  <c r="AE390" i="4"/>
  <c r="BC485" i="4"/>
  <c r="BA485" i="4" s="1"/>
  <c r="BH485" i="4"/>
  <c r="BK485" i="4"/>
  <c r="BJ485" i="4"/>
  <c r="BG485" i="4"/>
  <c r="BF485" i="4"/>
  <c r="BE485" i="4"/>
  <c r="BD485" i="4"/>
  <c r="BB485" i="4" s="1"/>
  <c r="BI485" i="4"/>
  <c r="AE485" i="4"/>
  <c r="BH341" i="4"/>
  <c r="BE341" i="4"/>
  <c r="BJ341" i="4"/>
  <c r="AE341" i="4"/>
  <c r="BI341" i="4"/>
  <c r="BK341" i="4"/>
  <c r="BG341" i="4"/>
  <c r="BF341" i="4"/>
  <c r="BD341" i="4"/>
  <c r="BB341" i="4" s="1"/>
  <c r="BC341" i="4"/>
  <c r="BA341" i="4" s="1"/>
  <c r="BC197" i="4"/>
  <c r="BA197" i="4" s="1"/>
  <c r="BI197" i="4"/>
  <c r="BH197" i="4"/>
  <c r="BG197" i="4"/>
  <c r="BF197" i="4"/>
  <c r="BE197" i="4"/>
  <c r="BD197" i="4"/>
  <c r="BB197" i="4" s="1"/>
  <c r="BK197" i="4"/>
  <c r="BJ197" i="4"/>
  <c r="AE197" i="4"/>
  <c r="BK53" i="4"/>
  <c r="BJ53" i="4"/>
  <c r="AE53" i="4"/>
  <c r="BI53" i="4"/>
  <c r="BH53" i="4"/>
  <c r="BG53" i="4"/>
  <c r="BF53" i="4"/>
  <c r="BE53" i="4"/>
  <c r="BD53" i="4"/>
  <c r="BB53" i="4" s="1"/>
  <c r="BC53" i="4"/>
  <c r="BA53" i="4" s="1"/>
  <c r="BF518" i="4"/>
  <c r="BK518" i="4"/>
  <c r="BG518" i="4"/>
  <c r="BH518" i="4"/>
  <c r="BE518" i="4"/>
  <c r="BD518" i="4"/>
  <c r="BB518" i="4" s="1"/>
  <c r="BC518" i="4"/>
  <c r="BA518" i="4" s="1"/>
  <c r="AE518" i="4"/>
  <c r="BJ518" i="4"/>
  <c r="BI518" i="4"/>
  <c r="BK374" i="4"/>
  <c r="BH374" i="4"/>
  <c r="BE374" i="4"/>
  <c r="BD374" i="4"/>
  <c r="BB374" i="4" s="1"/>
  <c r="BJ374" i="4"/>
  <c r="BI374" i="4"/>
  <c r="BG374" i="4"/>
  <c r="BF374" i="4"/>
  <c r="BC374" i="4"/>
  <c r="BA374" i="4" s="1"/>
  <c r="AE374" i="4"/>
  <c r="BJ230" i="4"/>
  <c r="AE230" i="4"/>
  <c r="BG230" i="4"/>
  <c r="BD230" i="4"/>
  <c r="BB230" i="4" s="1"/>
  <c r="BC230" i="4"/>
  <c r="BA230" i="4" s="1"/>
  <c r="BK230" i="4"/>
  <c r="BI230" i="4"/>
  <c r="BH230" i="4"/>
  <c r="BF230" i="4"/>
  <c r="BE230" i="4"/>
  <c r="BK86" i="4"/>
  <c r="BJ86" i="4"/>
  <c r="AE86" i="4"/>
  <c r="BI86" i="4"/>
  <c r="BH86" i="4"/>
  <c r="BG86" i="4"/>
  <c r="BF86" i="4"/>
  <c r="BE86" i="4"/>
  <c r="BD86" i="4"/>
  <c r="BB86" i="4" s="1"/>
  <c r="BC86" i="4"/>
  <c r="BA86" i="4" s="1"/>
  <c r="BK565" i="4"/>
  <c r="BH565" i="4"/>
  <c r="BG565" i="4"/>
  <c r="BD565" i="4"/>
  <c r="BB565" i="4" s="1"/>
  <c r="BC565" i="4"/>
  <c r="BA565" i="4" s="1"/>
  <c r="BE565" i="4"/>
  <c r="AE565" i="4"/>
  <c r="BJ565" i="4"/>
  <c r="BI565" i="4"/>
  <c r="BF565" i="4"/>
  <c r="BI421" i="4"/>
  <c r="BC421" i="4"/>
  <c r="BA421" i="4" s="1"/>
  <c r="BJ421" i="4"/>
  <c r="AE421" i="4"/>
  <c r="BD421" i="4"/>
  <c r="BB421" i="4" s="1"/>
  <c r="BK421" i="4"/>
  <c r="BH421" i="4"/>
  <c r="BG421" i="4"/>
  <c r="BF421" i="4"/>
  <c r="BE421" i="4"/>
  <c r="BC277" i="4"/>
  <c r="BA277" i="4" s="1"/>
  <c r="BK277" i="4"/>
  <c r="BI277" i="4"/>
  <c r="BH277" i="4"/>
  <c r="BG277" i="4"/>
  <c r="BF277" i="4"/>
  <c r="BE277" i="4"/>
  <c r="BD277" i="4"/>
  <c r="BB277" i="4" s="1"/>
  <c r="BJ277" i="4"/>
  <c r="AE277" i="4"/>
  <c r="BK133" i="4"/>
  <c r="BH133" i="4"/>
  <c r="BE133" i="4"/>
  <c r="BD133" i="4"/>
  <c r="BB133" i="4" s="1"/>
  <c r="BJ133" i="4"/>
  <c r="BI133" i="4"/>
  <c r="BG133" i="4"/>
  <c r="BF133" i="4"/>
  <c r="BC133" i="4"/>
  <c r="BA133" i="4" s="1"/>
  <c r="AE133" i="4"/>
  <c r="BK600" i="4"/>
  <c r="BH600" i="4"/>
  <c r="BD600" i="4"/>
  <c r="BB600" i="4" s="1"/>
  <c r="BJ600" i="4"/>
  <c r="BF600" i="4"/>
  <c r="BE600" i="4"/>
  <c r="BI600" i="4"/>
  <c r="BG600" i="4"/>
  <c r="AE600" i="4"/>
  <c r="BC600" i="4"/>
  <c r="BA600" i="4" s="1"/>
  <c r="BK456" i="4"/>
  <c r="BJ456" i="4"/>
  <c r="AE456" i="4"/>
  <c r="BH456" i="4"/>
  <c r="BG456" i="4"/>
  <c r="BC456" i="4"/>
  <c r="BA456" i="4" s="1"/>
  <c r="BE456" i="4"/>
  <c r="BD456" i="4"/>
  <c r="BB456" i="4" s="1"/>
  <c r="BI456" i="4"/>
  <c r="BF456" i="4"/>
  <c r="BI312" i="4"/>
  <c r="BC312" i="4"/>
  <c r="BA312" i="4" s="1"/>
  <c r="BJ312" i="4"/>
  <c r="AE312" i="4"/>
  <c r="BK312" i="4"/>
  <c r="BH312" i="4"/>
  <c r="BG312" i="4"/>
  <c r="BF312" i="4"/>
  <c r="BE312" i="4"/>
  <c r="BD312" i="4"/>
  <c r="BB312" i="4" s="1"/>
  <c r="BD168" i="4"/>
  <c r="BB168" i="4" s="1"/>
  <c r="BJ168" i="4"/>
  <c r="AE168" i="4"/>
  <c r="BI168" i="4"/>
  <c r="BF168" i="4"/>
  <c r="BE168" i="4"/>
  <c r="BK168" i="4"/>
  <c r="BH168" i="4"/>
  <c r="BG168" i="4"/>
  <c r="BC168" i="4"/>
  <c r="BA168" i="4" s="1"/>
  <c r="BI24" i="4"/>
  <c r="BF24" i="4"/>
  <c r="BE24" i="4"/>
  <c r="BK24" i="4"/>
  <c r="BJ24" i="4"/>
  <c r="BH24" i="4"/>
  <c r="BC24" i="4"/>
  <c r="BA24" i="4" s="1"/>
  <c r="AE24" i="4"/>
  <c r="BG24" i="4"/>
  <c r="BD24" i="4"/>
  <c r="BB24" i="4" s="1"/>
  <c r="BJ538" i="4"/>
  <c r="AE538" i="4"/>
  <c r="BH538" i="4"/>
  <c r="BI538" i="4"/>
  <c r="BK538" i="4"/>
  <c r="BG538" i="4"/>
  <c r="BF538" i="4"/>
  <c r="BE538" i="4"/>
  <c r="BD538" i="4"/>
  <c r="BB538" i="4" s="1"/>
  <c r="BC538" i="4"/>
  <c r="BA538" i="4" s="1"/>
  <c r="BG394" i="4"/>
  <c r="BD394" i="4"/>
  <c r="BB394" i="4" s="1"/>
  <c r="BI394" i="4"/>
  <c r="BH394" i="4"/>
  <c r="BK394" i="4"/>
  <c r="BJ394" i="4"/>
  <c r="BF394" i="4"/>
  <c r="BE394" i="4"/>
  <c r="BC394" i="4"/>
  <c r="BA394" i="4" s="1"/>
  <c r="AE394" i="4"/>
  <c r="BF250" i="4"/>
  <c r="BE250" i="4"/>
  <c r="BC250" i="4"/>
  <c r="BA250" i="4" s="1"/>
  <c r="BK250" i="4"/>
  <c r="BJ250" i="4"/>
  <c r="AE250" i="4"/>
  <c r="BH250" i="4"/>
  <c r="BG250" i="4"/>
  <c r="BI250" i="4"/>
  <c r="BD250" i="4"/>
  <c r="BB250" i="4" s="1"/>
  <c r="BK106" i="4"/>
  <c r="BH106" i="4"/>
  <c r="BG106" i="4"/>
  <c r="BD106" i="4"/>
  <c r="BB106" i="4" s="1"/>
  <c r="BC106" i="4"/>
  <c r="BA106" i="4" s="1"/>
  <c r="BI106" i="4"/>
  <c r="BF106" i="4"/>
  <c r="BE106" i="4"/>
  <c r="AE106" i="4"/>
  <c r="BJ106" i="4"/>
  <c r="BG573" i="4"/>
  <c r="BI573" i="4"/>
  <c r="BE573" i="4"/>
  <c r="BD573" i="4"/>
  <c r="BB573" i="4" s="1"/>
  <c r="BK573" i="4"/>
  <c r="BJ573" i="4"/>
  <c r="BH573" i="4"/>
  <c r="BF573" i="4"/>
  <c r="BC573" i="4"/>
  <c r="BA573" i="4" s="1"/>
  <c r="AE573" i="4"/>
  <c r="BE429" i="4"/>
  <c r="BK429" i="4"/>
  <c r="BJ429" i="4"/>
  <c r="AE429" i="4"/>
  <c r="BF429" i="4"/>
  <c r="BH429" i="4"/>
  <c r="BG429" i="4"/>
  <c r="BD429" i="4"/>
  <c r="BB429" i="4" s="1"/>
  <c r="BC429" i="4"/>
  <c r="BA429" i="4" s="1"/>
  <c r="BI429" i="4"/>
  <c r="BK285" i="4"/>
  <c r="BJ285" i="4"/>
  <c r="AE285" i="4"/>
  <c r="BI285" i="4"/>
  <c r="BH285" i="4"/>
  <c r="BG285" i="4"/>
  <c r="BE285" i="4"/>
  <c r="BD285" i="4"/>
  <c r="BB285" i="4" s="1"/>
  <c r="BC285" i="4"/>
  <c r="BA285" i="4" s="1"/>
  <c r="BF285" i="4"/>
  <c r="BE476" i="4"/>
  <c r="AE476" i="4"/>
  <c r="BJ476" i="4"/>
  <c r="BI476" i="4"/>
  <c r="BG476" i="4"/>
  <c r="BF476" i="4"/>
  <c r="BD476" i="4"/>
  <c r="BB476" i="4" s="1"/>
  <c r="BC476" i="4"/>
  <c r="BA476" i="4" s="1"/>
  <c r="BK476" i="4"/>
  <c r="BH476" i="4"/>
  <c r="BE332" i="4"/>
  <c r="BK332" i="4"/>
  <c r="BJ332" i="4"/>
  <c r="AE332" i="4"/>
  <c r="BG332" i="4"/>
  <c r="BF332" i="4"/>
  <c r="BI332" i="4"/>
  <c r="BH332" i="4"/>
  <c r="BD332" i="4"/>
  <c r="BB332" i="4" s="1"/>
  <c r="BC332" i="4"/>
  <c r="BA332" i="4" s="1"/>
  <c r="BK188" i="4"/>
  <c r="BI188" i="4"/>
  <c r="BF188" i="4"/>
  <c r="BE188" i="4"/>
  <c r="BD188" i="4"/>
  <c r="BB188" i="4" s="1"/>
  <c r="BC188" i="4"/>
  <c r="BA188" i="4" s="1"/>
  <c r="BJ188" i="4"/>
  <c r="BH188" i="4"/>
  <c r="BG188" i="4"/>
  <c r="AE188" i="4"/>
  <c r="BH44" i="4"/>
  <c r="BG44" i="4"/>
  <c r="BF44" i="4"/>
  <c r="BE44" i="4"/>
  <c r="BD44" i="4"/>
  <c r="BB44" i="4" s="1"/>
  <c r="BC44" i="4"/>
  <c r="BA44" i="4" s="1"/>
  <c r="BJ44" i="4"/>
  <c r="AE44" i="4"/>
  <c r="BI44" i="4"/>
  <c r="BK44" i="4"/>
  <c r="BE487" i="4"/>
  <c r="BJ487" i="4"/>
  <c r="AE487" i="4"/>
  <c r="BI487" i="4"/>
  <c r="BH487" i="4"/>
  <c r="BF487" i="4"/>
  <c r="BD487" i="4"/>
  <c r="BB487" i="4" s="1"/>
  <c r="BK487" i="4"/>
  <c r="BG487" i="4"/>
  <c r="BC487" i="4"/>
  <c r="BA487" i="4" s="1"/>
  <c r="BJ343" i="4"/>
  <c r="AE343" i="4"/>
  <c r="BG343" i="4"/>
  <c r="BD343" i="4"/>
  <c r="BB343" i="4" s="1"/>
  <c r="BC343" i="4"/>
  <c r="BA343" i="4" s="1"/>
  <c r="BK343" i="4"/>
  <c r="BI343" i="4"/>
  <c r="BH343" i="4"/>
  <c r="BF343" i="4"/>
  <c r="BE343" i="4"/>
  <c r="BE199" i="4"/>
  <c r="BD199" i="4"/>
  <c r="BB199" i="4" s="1"/>
  <c r="BC199" i="4"/>
  <c r="BA199" i="4" s="1"/>
  <c r="BK199" i="4"/>
  <c r="BJ199" i="4"/>
  <c r="AE199" i="4"/>
  <c r="BI199" i="4"/>
  <c r="BH199" i="4"/>
  <c r="BG199" i="4"/>
  <c r="BF199" i="4"/>
  <c r="BK55" i="4"/>
  <c r="BJ55" i="4"/>
  <c r="AE55" i="4"/>
  <c r="BI55" i="4"/>
  <c r="BH55" i="4"/>
  <c r="BG55" i="4"/>
  <c r="BF55" i="4"/>
  <c r="BE55" i="4"/>
  <c r="BD55" i="4"/>
  <c r="BB55" i="4" s="1"/>
  <c r="BC55" i="4"/>
  <c r="BA55" i="4" s="1"/>
  <c r="BJ522" i="4"/>
  <c r="AE522" i="4"/>
  <c r="BD522" i="4"/>
  <c r="BB522" i="4" s="1"/>
  <c r="BC522" i="4"/>
  <c r="BA522" i="4" s="1"/>
  <c r="BK522" i="4"/>
  <c r="BH522" i="4"/>
  <c r="BG522" i="4"/>
  <c r="BF522" i="4"/>
  <c r="BE522" i="4"/>
  <c r="BI522" i="4"/>
  <c r="BC378" i="4"/>
  <c r="BA378" i="4" s="1"/>
  <c r="BI378" i="4"/>
  <c r="BH378" i="4"/>
  <c r="BE378" i="4"/>
  <c r="BD378" i="4"/>
  <c r="BB378" i="4" s="1"/>
  <c r="BK378" i="4"/>
  <c r="BJ378" i="4"/>
  <c r="BG378" i="4"/>
  <c r="BF378" i="4"/>
  <c r="AE378" i="4"/>
  <c r="BC473" i="4"/>
  <c r="BA473" i="4" s="1"/>
  <c r="BH473" i="4"/>
  <c r="BG473" i="4"/>
  <c r="BF473" i="4"/>
  <c r="BD473" i="4"/>
  <c r="BB473" i="4" s="1"/>
  <c r="AE473" i="4"/>
  <c r="BJ473" i="4"/>
  <c r="BI473" i="4"/>
  <c r="BK473" i="4"/>
  <c r="BE473" i="4"/>
  <c r="BH329" i="4"/>
  <c r="BE329" i="4"/>
  <c r="BJ329" i="4"/>
  <c r="AE329" i="4"/>
  <c r="BI329" i="4"/>
  <c r="BD329" i="4"/>
  <c r="BB329" i="4" s="1"/>
  <c r="BC329" i="4"/>
  <c r="BA329" i="4" s="1"/>
  <c r="BK329" i="4"/>
  <c r="BG329" i="4"/>
  <c r="BF329" i="4"/>
  <c r="BC185" i="4"/>
  <c r="BA185" i="4" s="1"/>
  <c r="BI185" i="4"/>
  <c r="BH185" i="4"/>
  <c r="BG185" i="4"/>
  <c r="BF185" i="4"/>
  <c r="BE185" i="4"/>
  <c r="BD185" i="4"/>
  <c r="BB185" i="4" s="1"/>
  <c r="BK185" i="4"/>
  <c r="BJ185" i="4"/>
  <c r="AE185" i="4"/>
  <c r="BK41" i="4"/>
  <c r="BJ41" i="4"/>
  <c r="AE41" i="4"/>
  <c r="BI41" i="4"/>
  <c r="BH41" i="4"/>
  <c r="BF41" i="4"/>
  <c r="BE41" i="4"/>
  <c r="BD41" i="4"/>
  <c r="BB41" i="4" s="1"/>
  <c r="BC41" i="4"/>
  <c r="BA41" i="4" s="1"/>
  <c r="BG41" i="4"/>
  <c r="BF506" i="4"/>
  <c r="BK506" i="4"/>
  <c r="BG506" i="4"/>
  <c r="BJ506" i="4"/>
  <c r="BI506" i="4"/>
  <c r="BH506" i="4"/>
  <c r="BE506" i="4"/>
  <c r="BD506" i="4"/>
  <c r="BB506" i="4" s="1"/>
  <c r="BC506" i="4"/>
  <c r="BA506" i="4" s="1"/>
  <c r="AE506" i="4"/>
  <c r="BK362" i="4"/>
  <c r="BH362" i="4"/>
  <c r="BE362" i="4"/>
  <c r="BD362" i="4"/>
  <c r="BB362" i="4" s="1"/>
  <c r="BI362" i="4"/>
  <c r="BG362" i="4"/>
  <c r="BF362" i="4"/>
  <c r="BC362" i="4"/>
  <c r="BA362" i="4" s="1"/>
  <c r="AE362" i="4"/>
  <c r="BJ362" i="4"/>
  <c r="BJ218" i="4"/>
  <c r="AE218" i="4"/>
  <c r="BG218" i="4"/>
  <c r="BD218" i="4"/>
  <c r="BB218" i="4" s="1"/>
  <c r="BC218" i="4"/>
  <c r="BA218" i="4" s="1"/>
  <c r="BK218" i="4"/>
  <c r="BE218" i="4"/>
  <c r="BI218" i="4"/>
  <c r="BH218" i="4"/>
  <c r="BF218" i="4"/>
  <c r="BK74" i="4"/>
  <c r="BJ74" i="4"/>
  <c r="AE74" i="4"/>
  <c r="BI74" i="4"/>
  <c r="BH74" i="4"/>
  <c r="BG74" i="4"/>
  <c r="BF74" i="4"/>
  <c r="BE74" i="4"/>
  <c r="BD74" i="4"/>
  <c r="BB74" i="4" s="1"/>
  <c r="BC74" i="4"/>
  <c r="BA74" i="4" s="1"/>
  <c r="BK553" i="4"/>
  <c r="BH553" i="4"/>
  <c r="BG553" i="4"/>
  <c r="BD553" i="4"/>
  <c r="BB553" i="4" s="1"/>
  <c r="AE553" i="4"/>
  <c r="BE553" i="4"/>
  <c r="BC553" i="4"/>
  <c r="BA553" i="4" s="1"/>
  <c r="BJ553" i="4"/>
  <c r="BI553" i="4"/>
  <c r="BF553" i="4"/>
  <c r="BE409" i="4"/>
  <c r="BK409" i="4"/>
  <c r="AE409" i="4"/>
  <c r="BJ409" i="4"/>
  <c r="BI409" i="4"/>
  <c r="BH409" i="4"/>
  <c r="BG409" i="4"/>
  <c r="BF409" i="4"/>
  <c r="BD409" i="4"/>
  <c r="BB409" i="4" s="1"/>
  <c r="BC409" i="4"/>
  <c r="BA409" i="4" s="1"/>
  <c r="BC265" i="4"/>
  <c r="BA265" i="4" s="1"/>
  <c r="BI265" i="4"/>
  <c r="BH265" i="4"/>
  <c r="BG265" i="4"/>
  <c r="BE265" i="4"/>
  <c r="BD265" i="4"/>
  <c r="BB265" i="4" s="1"/>
  <c r="BK265" i="4"/>
  <c r="BJ265" i="4"/>
  <c r="BF265" i="4"/>
  <c r="AE265" i="4"/>
  <c r="BK121" i="4"/>
  <c r="BH121" i="4"/>
  <c r="BE121" i="4"/>
  <c r="BD121" i="4"/>
  <c r="BB121" i="4" s="1"/>
  <c r="BF121" i="4"/>
  <c r="BC121" i="4"/>
  <c r="BA121" i="4" s="1"/>
  <c r="AE121" i="4"/>
  <c r="BJ121" i="4"/>
  <c r="BI121" i="4"/>
  <c r="BG121" i="4"/>
  <c r="BK588" i="4"/>
  <c r="BD588" i="4"/>
  <c r="BB588" i="4" s="1"/>
  <c r="AE588" i="4"/>
  <c r="BH588" i="4"/>
  <c r="BG588" i="4"/>
  <c r="BC588" i="4"/>
  <c r="BA588" i="4" s="1"/>
  <c r="BF588" i="4"/>
  <c r="BE588" i="4"/>
  <c r="BJ588" i="4"/>
  <c r="BI588" i="4"/>
  <c r="BK444" i="4"/>
  <c r="BH444" i="4"/>
  <c r="BG444" i="4"/>
  <c r="BC444" i="4"/>
  <c r="BA444" i="4" s="1"/>
  <c r="BJ444" i="4"/>
  <c r="BI444" i="4"/>
  <c r="BF444" i="4"/>
  <c r="BE444" i="4"/>
  <c r="BD444" i="4"/>
  <c r="BB444" i="4" s="1"/>
  <c r="AE444" i="4"/>
  <c r="BH300" i="4"/>
  <c r="BG300" i="4"/>
  <c r="BF300" i="4"/>
  <c r="BE300" i="4"/>
  <c r="BD300" i="4"/>
  <c r="BB300" i="4" s="1"/>
  <c r="BC300" i="4"/>
  <c r="BA300" i="4" s="1"/>
  <c r="BK300" i="4"/>
  <c r="BJ300" i="4"/>
  <c r="AE300" i="4"/>
  <c r="BI300" i="4"/>
  <c r="BD156" i="4"/>
  <c r="BB156" i="4" s="1"/>
  <c r="BJ156" i="4"/>
  <c r="AE156" i="4"/>
  <c r="BI156" i="4"/>
  <c r="BF156" i="4"/>
  <c r="BE156" i="4"/>
  <c r="BK156" i="4"/>
  <c r="BH156" i="4"/>
  <c r="BG156" i="4"/>
  <c r="BC156" i="4"/>
  <c r="BA156" i="4" s="1"/>
  <c r="BI12" i="4"/>
  <c r="BF12" i="4"/>
  <c r="BC12" i="4"/>
  <c r="BA12" i="4" s="1"/>
  <c r="BK12" i="4"/>
  <c r="BJ12" i="4"/>
  <c r="AE12" i="4"/>
  <c r="BH12" i="4"/>
  <c r="BG12" i="4"/>
  <c r="BD12" i="4"/>
  <c r="BB12" i="4" s="1"/>
  <c r="BE12" i="4"/>
  <c r="BJ526" i="4"/>
  <c r="AE526" i="4"/>
  <c r="BE526" i="4"/>
  <c r="BK526" i="4"/>
  <c r="BF526" i="4"/>
  <c r="BI526" i="4"/>
  <c r="BH526" i="4"/>
  <c r="BG526" i="4"/>
  <c r="BD526" i="4"/>
  <c r="BB526" i="4" s="1"/>
  <c r="BC526" i="4"/>
  <c r="BA526" i="4" s="1"/>
  <c r="BG382" i="4"/>
  <c r="BD382" i="4"/>
  <c r="BB382" i="4" s="1"/>
  <c r="BI382" i="4"/>
  <c r="BH382" i="4"/>
  <c r="BE382" i="4"/>
  <c r="BC382" i="4"/>
  <c r="BA382" i="4" s="1"/>
  <c r="AE382" i="4"/>
  <c r="BK382" i="4"/>
  <c r="BJ382" i="4"/>
  <c r="BF382" i="4"/>
  <c r="BF238" i="4"/>
  <c r="BC238" i="4"/>
  <c r="BA238" i="4" s="1"/>
  <c r="BK238" i="4"/>
  <c r="BH238" i="4"/>
  <c r="BG238" i="4"/>
  <c r="AE238" i="4"/>
  <c r="BJ238" i="4"/>
  <c r="BI238" i="4"/>
  <c r="BE238" i="4"/>
  <c r="BD238" i="4"/>
  <c r="BB238" i="4" s="1"/>
  <c r="BG94" i="4"/>
  <c r="BK94" i="4"/>
  <c r="BJ94" i="4"/>
  <c r="BI94" i="4"/>
  <c r="BH94" i="4"/>
  <c r="BF94" i="4"/>
  <c r="BE94" i="4"/>
  <c r="BD94" i="4"/>
  <c r="BB94" i="4" s="1"/>
  <c r="BC94" i="4"/>
  <c r="BA94" i="4" s="1"/>
  <c r="AE94" i="4"/>
  <c r="BJ561" i="4"/>
  <c r="AE561" i="4"/>
  <c r="BG561" i="4"/>
  <c r="BD561" i="4"/>
  <c r="BB561" i="4" s="1"/>
  <c r="BC561" i="4"/>
  <c r="BA561" i="4" s="1"/>
  <c r="BH561" i="4"/>
  <c r="BF561" i="4"/>
  <c r="BI561" i="4"/>
  <c r="BK561" i="4"/>
  <c r="BE561" i="4"/>
  <c r="BE417" i="4"/>
  <c r="BK417" i="4"/>
  <c r="BJ417" i="4"/>
  <c r="AE417" i="4"/>
  <c r="BF417" i="4"/>
  <c r="BI417" i="4"/>
  <c r="BH417" i="4"/>
  <c r="BG417" i="4"/>
  <c r="BD417" i="4"/>
  <c r="BB417" i="4" s="1"/>
  <c r="BC417" i="4"/>
  <c r="BA417" i="4" s="1"/>
  <c r="BK273" i="4"/>
  <c r="BJ273" i="4"/>
  <c r="AE273" i="4"/>
  <c r="BI273" i="4"/>
  <c r="BH273" i="4"/>
  <c r="BE273" i="4"/>
  <c r="BD273" i="4"/>
  <c r="BB273" i="4" s="1"/>
  <c r="BC273" i="4"/>
  <c r="BA273" i="4" s="1"/>
  <c r="BG273" i="4"/>
  <c r="BF273" i="4"/>
  <c r="BJ464" i="4"/>
  <c r="AE464" i="4"/>
  <c r="BI464" i="4"/>
  <c r="BG464" i="4"/>
  <c r="BF464" i="4"/>
  <c r="BD464" i="4"/>
  <c r="BB464" i="4" s="1"/>
  <c r="BC464" i="4"/>
  <c r="BA464" i="4" s="1"/>
  <c r="BK464" i="4"/>
  <c r="BH464" i="4"/>
  <c r="BE464" i="4"/>
  <c r="BE320" i="4"/>
  <c r="BK320" i="4"/>
  <c r="BJ320" i="4"/>
  <c r="AE320" i="4"/>
  <c r="BG320" i="4"/>
  <c r="BF320" i="4"/>
  <c r="BI320" i="4"/>
  <c r="BH320" i="4"/>
  <c r="BD320" i="4"/>
  <c r="BB320" i="4" s="1"/>
  <c r="BC320" i="4"/>
  <c r="BA320" i="4" s="1"/>
  <c r="BK176" i="4"/>
  <c r="BI176" i="4"/>
  <c r="BF176" i="4"/>
  <c r="BE176" i="4"/>
  <c r="BJ176" i="4"/>
  <c r="BH176" i="4"/>
  <c r="BG176" i="4"/>
  <c r="BD176" i="4"/>
  <c r="BB176" i="4" s="1"/>
  <c r="BC176" i="4"/>
  <c r="BA176" i="4" s="1"/>
  <c r="AE176" i="4"/>
  <c r="BH32" i="4"/>
  <c r="BE32" i="4"/>
  <c r="BJ32" i="4"/>
  <c r="AE32" i="4"/>
  <c r="BI32" i="4"/>
  <c r="BC32" i="4"/>
  <c r="BA32" i="4" s="1"/>
  <c r="BK32" i="4"/>
  <c r="BG32" i="4"/>
  <c r="BF32" i="4"/>
  <c r="BD32" i="4"/>
  <c r="BB32" i="4" s="1"/>
  <c r="BE475" i="4"/>
  <c r="BJ475" i="4"/>
  <c r="AE475" i="4"/>
  <c r="BI475" i="4"/>
  <c r="BH475" i="4"/>
  <c r="BG475" i="4"/>
  <c r="BF475" i="4"/>
  <c r="BD475" i="4"/>
  <c r="BB475" i="4" s="1"/>
  <c r="BC475" i="4"/>
  <c r="BA475" i="4" s="1"/>
  <c r="BK475" i="4"/>
  <c r="BJ331" i="4"/>
  <c r="AE331" i="4"/>
  <c r="BG331" i="4"/>
  <c r="BD331" i="4"/>
  <c r="BB331" i="4" s="1"/>
  <c r="BC331" i="4"/>
  <c r="BA331" i="4" s="1"/>
  <c r="BK331" i="4"/>
  <c r="BI331" i="4"/>
  <c r="BH331" i="4"/>
  <c r="BF331" i="4"/>
  <c r="BE331" i="4"/>
  <c r="BE187" i="4"/>
  <c r="BD187" i="4"/>
  <c r="BB187" i="4" s="1"/>
  <c r="BK187" i="4"/>
  <c r="BJ187" i="4"/>
  <c r="AE187" i="4"/>
  <c r="BI187" i="4"/>
  <c r="BH187" i="4"/>
  <c r="BG187" i="4"/>
  <c r="BF187" i="4"/>
  <c r="BC187" i="4"/>
  <c r="BA187" i="4" s="1"/>
  <c r="BK43" i="4"/>
  <c r="BJ43" i="4"/>
  <c r="AE43" i="4"/>
  <c r="BI43" i="4"/>
  <c r="BH43" i="4"/>
  <c r="BG43" i="4"/>
  <c r="BF43" i="4"/>
  <c r="BE43" i="4"/>
  <c r="BC43" i="4"/>
  <c r="BA43" i="4" s="1"/>
  <c r="BD43" i="4"/>
  <c r="BB43" i="4" s="1"/>
  <c r="BJ510" i="4"/>
  <c r="AE510" i="4"/>
  <c r="BD510" i="4"/>
  <c r="BB510" i="4" s="1"/>
  <c r="BC510" i="4"/>
  <c r="BA510" i="4" s="1"/>
  <c r="BK510" i="4"/>
  <c r="BI510" i="4"/>
  <c r="BH510" i="4"/>
  <c r="BG510" i="4"/>
  <c r="BF510" i="4"/>
  <c r="BE510" i="4"/>
  <c r="BC366" i="4"/>
  <c r="BA366" i="4" s="1"/>
  <c r="BI366" i="4"/>
  <c r="BH366" i="4"/>
  <c r="BE366" i="4"/>
  <c r="BD366" i="4"/>
  <c r="BB366" i="4" s="1"/>
  <c r="BF366" i="4"/>
  <c r="AE366" i="4"/>
  <c r="BK366" i="4"/>
  <c r="BJ366" i="4"/>
  <c r="BG366" i="4"/>
  <c r="BJ461" i="4"/>
  <c r="AE461" i="4"/>
  <c r="BI461" i="4"/>
  <c r="BG461" i="4"/>
  <c r="BF461" i="4"/>
  <c r="BC461" i="4"/>
  <c r="BA461" i="4" s="1"/>
  <c r="BK461" i="4"/>
  <c r="BH461" i="4"/>
  <c r="BE461" i="4"/>
  <c r="BD461" i="4"/>
  <c r="BB461" i="4" s="1"/>
  <c r="BH317" i="4"/>
  <c r="BE317" i="4"/>
  <c r="BJ317" i="4"/>
  <c r="BI317" i="4"/>
  <c r="AE317" i="4"/>
  <c r="BK317" i="4"/>
  <c r="BG317" i="4"/>
  <c r="BF317" i="4"/>
  <c r="BD317" i="4"/>
  <c r="BB317" i="4" s="1"/>
  <c r="BC317" i="4"/>
  <c r="BA317" i="4" s="1"/>
  <c r="BC173" i="4"/>
  <c r="BA173" i="4" s="1"/>
  <c r="BI173" i="4"/>
  <c r="BH173" i="4"/>
  <c r="BE173" i="4"/>
  <c r="BD173" i="4"/>
  <c r="BB173" i="4" s="1"/>
  <c r="AE173" i="4"/>
  <c r="BK173" i="4"/>
  <c r="BJ173" i="4"/>
  <c r="BG173" i="4"/>
  <c r="BF173" i="4"/>
  <c r="BK29" i="4"/>
  <c r="BH29" i="4"/>
  <c r="BE29" i="4"/>
  <c r="BD29" i="4"/>
  <c r="BB29" i="4" s="1"/>
  <c r="BJ29" i="4"/>
  <c r="BI29" i="4"/>
  <c r="BG29" i="4"/>
  <c r="AE29" i="4"/>
  <c r="BF29" i="4"/>
  <c r="BC29" i="4"/>
  <c r="BA29" i="4" s="1"/>
  <c r="BF494" i="4"/>
  <c r="BK494" i="4"/>
  <c r="BG494" i="4"/>
  <c r="AE494" i="4"/>
  <c r="BJ494" i="4"/>
  <c r="BI494" i="4"/>
  <c r="BH494" i="4"/>
  <c r="BE494" i="4"/>
  <c r="BD494" i="4"/>
  <c r="BB494" i="4" s="1"/>
  <c r="BC494" i="4"/>
  <c r="BA494" i="4" s="1"/>
  <c r="BK350" i="4"/>
  <c r="BH350" i="4"/>
  <c r="BE350" i="4"/>
  <c r="BD350" i="4"/>
  <c r="BB350" i="4" s="1"/>
  <c r="BC350" i="4"/>
  <c r="BA350" i="4" s="1"/>
  <c r="AE350" i="4"/>
  <c r="BJ350" i="4"/>
  <c r="BI350" i="4"/>
  <c r="BG350" i="4"/>
  <c r="BF350" i="4"/>
  <c r="BF206" i="4"/>
  <c r="BE206" i="4"/>
  <c r="BD206" i="4"/>
  <c r="BB206" i="4" s="1"/>
  <c r="BC206" i="4"/>
  <c r="BA206" i="4" s="1"/>
  <c r="BK206" i="4"/>
  <c r="BJ206" i="4"/>
  <c r="AE206" i="4"/>
  <c r="BI206" i="4"/>
  <c r="BH206" i="4"/>
  <c r="BG206" i="4"/>
  <c r="BK62" i="4"/>
  <c r="BJ62" i="4"/>
  <c r="AE62" i="4"/>
  <c r="BI62" i="4"/>
  <c r="BH62" i="4"/>
  <c r="BG62" i="4"/>
  <c r="BF62" i="4"/>
  <c r="BE62" i="4"/>
  <c r="BD62" i="4"/>
  <c r="BB62" i="4" s="1"/>
  <c r="BC62" i="4"/>
  <c r="BA62" i="4" s="1"/>
  <c r="BK541" i="4"/>
  <c r="BH541" i="4"/>
  <c r="BG541" i="4"/>
  <c r="AE541" i="4"/>
  <c r="BD541" i="4"/>
  <c r="BB541" i="4" s="1"/>
  <c r="BC541" i="4"/>
  <c r="BA541" i="4" s="1"/>
  <c r="BE541" i="4"/>
  <c r="BJ541" i="4"/>
  <c r="BI541" i="4"/>
  <c r="BF541" i="4"/>
  <c r="BD397" i="4"/>
  <c r="BB397" i="4" s="1"/>
  <c r="BJ397" i="4"/>
  <c r="AE397" i="4"/>
  <c r="BI397" i="4"/>
  <c r="BH397" i="4"/>
  <c r="BF397" i="4"/>
  <c r="BE397" i="4"/>
  <c r="BC397" i="4"/>
  <c r="BA397" i="4" s="1"/>
  <c r="BK397" i="4"/>
  <c r="BG397" i="4"/>
  <c r="BC253" i="4"/>
  <c r="BA253" i="4" s="1"/>
  <c r="BI253" i="4"/>
  <c r="BH253" i="4"/>
  <c r="BG253" i="4"/>
  <c r="BE253" i="4"/>
  <c r="BD253" i="4"/>
  <c r="BB253" i="4" s="1"/>
  <c r="BK253" i="4"/>
  <c r="BJ253" i="4"/>
  <c r="BF253" i="4"/>
  <c r="AE253" i="4"/>
  <c r="BK109" i="4"/>
  <c r="BH109" i="4"/>
  <c r="BE109" i="4"/>
  <c r="BD109" i="4"/>
  <c r="BB109" i="4" s="1"/>
  <c r="AE109" i="4"/>
  <c r="BJ109" i="4"/>
  <c r="BI109" i="4"/>
  <c r="BG109" i="4"/>
  <c r="BF109" i="4"/>
  <c r="BC109" i="4"/>
  <c r="BA109" i="4" s="1"/>
  <c r="BD576" i="4"/>
  <c r="BB576" i="4" s="1"/>
  <c r="BJ576" i="4"/>
  <c r="BG576" i="4"/>
  <c r="BF576" i="4"/>
  <c r="BE576" i="4"/>
  <c r="BC576" i="4"/>
  <c r="BA576" i="4" s="1"/>
  <c r="BH576" i="4"/>
  <c r="AE576" i="4"/>
  <c r="BK576" i="4"/>
  <c r="BI576" i="4"/>
  <c r="BH432" i="4"/>
  <c r="BG432" i="4"/>
  <c r="BC432" i="4"/>
  <c r="BA432" i="4" s="1"/>
  <c r="AE432" i="4"/>
  <c r="BJ432" i="4"/>
  <c r="BI432" i="4"/>
  <c r="BF432" i="4"/>
  <c r="BE432" i="4"/>
  <c r="BD432" i="4"/>
  <c r="BB432" i="4" s="1"/>
  <c r="BK432" i="4"/>
  <c r="BH288" i="4"/>
  <c r="BG288" i="4"/>
  <c r="BF288" i="4"/>
  <c r="BE288" i="4"/>
  <c r="BD288" i="4"/>
  <c r="BB288" i="4" s="1"/>
  <c r="BC288" i="4"/>
  <c r="BA288" i="4" s="1"/>
  <c r="BK288" i="4"/>
  <c r="BJ288" i="4"/>
  <c r="AE288" i="4"/>
  <c r="BI288" i="4"/>
  <c r="BD144" i="4"/>
  <c r="BB144" i="4" s="1"/>
  <c r="BJ144" i="4"/>
  <c r="AE144" i="4"/>
  <c r="BI144" i="4"/>
  <c r="BF144" i="4"/>
  <c r="BE144" i="4"/>
  <c r="BK144" i="4"/>
  <c r="BH144" i="4"/>
  <c r="BG144" i="4"/>
  <c r="BC144" i="4"/>
  <c r="BA144" i="4" s="1"/>
  <c r="BH514" i="4"/>
  <c r="BG514" i="4"/>
  <c r="BC514" i="4"/>
  <c r="BA514" i="4" s="1"/>
  <c r="BK514" i="4"/>
  <c r="BJ514" i="4"/>
  <c r="BI514" i="4"/>
  <c r="BF514" i="4"/>
  <c r="BE514" i="4"/>
  <c r="BD514" i="4"/>
  <c r="BB514" i="4" s="1"/>
  <c r="AE514" i="4"/>
  <c r="BG370" i="4"/>
  <c r="BD370" i="4"/>
  <c r="BB370" i="4" s="1"/>
  <c r="BI370" i="4"/>
  <c r="BH370" i="4"/>
  <c r="AE370" i="4"/>
  <c r="BK370" i="4"/>
  <c r="BJ370" i="4"/>
  <c r="BF370" i="4"/>
  <c r="BE370" i="4"/>
  <c r="BC370" i="4"/>
  <c r="BA370" i="4" s="1"/>
  <c r="BF226" i="4"/>
  <c r="BC226" i="4"/>
  <c r="BA226" i="4" s="1"/>
  <c r="BK226" i="4"/>
  <c r="BH226" i="4"/>
  <c r="BG226" i="4"/>
  <c r="BJ226" i="4"/>
  <c r="BI226" i="4"/>
  <c r="BE226" i="4"/>
  <c r="BD226" i="4"/>
  <c r="BB226" i="4" s="1"/>
  <c r="AE226" i="4"/>
  <c r="BJ82" i="4"/>
  <c r="AE82" i="4"/>
  <c r="BI82" i="4"/>
  <c r="BH82" i="4"/>
  <c r="BG82" i="4"/>
  <c r="BF82" i="4"/>
  <c r="BE82" i="4"/>
  <c r="BD82" i="4"/>
  <c r="BB82" i="4" s="1"/>
  <c r="BC82" i="4"/>
  <c r="BA82" i="4" s="1"/>
  <c r="BK82" i="4"/>
  <c r="BG549" i="4"/>
  <c r="BD549" i="4"/>
  <c r="BB549" i="4" s="1"/>
  <c r="BC549" i="4"/>
  <c r="BA549" i="4" s="1"/>
  <c r="AE549" i="4"/>
  <c r="BH549" i="4"/>
  <c r="BF549" i="4"/>
  <c r="BJ549" i="4"/>
  <c r="BI549" i="4"/>
  <c r="BE549" i="4"/>
  <c r="BK549" i="4"/>
  <c r="BI405" i="4"/>
  <c r="BF405" i="4"/>
  <c r="BE405" i="4"/>
  <c r="BD405" i="4"/>
  <c r="BB405" i="4" s="1"/>
  <c r="BC405" i="4"/>
  <c r="BA405" i="4" s="1"/>
  <c r="BK405" i="4"/>
  <c r="BJ405" i="4"/>
  <c r="BH405" i="4"/>
  <c r="BG405" i="4"/>
  <c r="AE405" i="4"/>
  <c r="BK261" i="4"/>
  <c r="BJ261" i="4"/>
  <c r="AE261" i="4"/>
  <c r="BH261" i="4"/>
  <c r="BE261" i="4"/>
  <c r="BD261" i="4"/>
  <c r="BB261" i="4" s="1"/>
  <c r="BC261" i="4"/>
  <c r="BA261" i="4" s="1"/>
  <c r="BI261" i="4"/>
  <c r="BG261" i="4"/>
  <c r="BF261" i="4"/>
  <c r="BJ452" i="4"/>
  <c r="AE452" i="4"/>
  <c r="BG452" i="4"/>
  <c r="BF452" i="4"/>
  <c r="BD452" i="4"/>
  <c r="BB452" i="4" s="1"/>
  <c r="BC452" i="4"/>
  <c r="BA452" i="4" s="1"/>
  <c r="BK452" i="4"/>
  <c r="BI452" i="4"/>
  <c r="BH452" i="4"/>
  <c r="BE452" i="4"/>
  <c r="BE308" i="4"/>
  <c r="BJ308" i="4"/>
  <c r="AE308" i="4"/>
  <c r="BF308" i="4"/>
  <c r="BD308" i="4"/>
  <c r="BB308" i="4" s="1"/>
  <c r="BC308" i="4"/>
  <c r="BA308" i="4" s="1"/>
  <c r="BK308" i="4"/>
  <c r="BI308" i="4"/>
  <c r="BH308" i="4"/>
  <c r="BG308" i="4"/>
  <c r="BI164" i="4"/>
  <c r="BF164" i="4"/>
  <c r="BE164" i="4"/>
  <c r="BG164" i="4"/>
  <c r="BD164" i="4"/>
  <c r="BB164" i="4" s="1"/>
  <c r="BC164" i="4"/>
  <c r="BA164" i="4" s="1"/>
  <c r="AE164" i="4"/>
  <c r="BK164" i="4"/>
  <c r="BJ164" i="4"/>
  <c r="BH164" i="4"/>
  <c r="BH20" i="4"/>
  <c r="BE20" i="4"/>
  <c r="BJ20" i="4"/>
  <c r="AE20" i="4"/>
  <c r="BI20" i="4"/>
  <c r="BG20" i="4"/>
  <c r="BF20" i="4"/>
  <c r="BC20" i="4"/>
  <c r="BA20" i="4" s="1"/>
  <c r="BK20" i="4"/>
  <c r="BD20" i="4"/>
  <c r="BB20" i="4" s="1"/>
  <c r="BC463" i="4"/>
  <c r="BA463" i="4" s="1"/>
  <c r="BK463" i="4"/>
  <c r="BI463" i="4"/>
  <c r="BH463" i="4"/>
  <c r="BG463" i="4"/>
  <c r="BE463" i="4"/>
  <c r="BD463" i="4"/>
  <c r="BB463" i="4" s="1"/>
  <c r="BJ463" i="4"/>
  <c r="BF463" i="4"/>
  <c r="AE463" i="4"/>
  <c r="BJ319" i="4"/>
  <c r="AE319" i="4"/>
  <c r="BG319" i="4"/>
  <c r="BD319" i="4"/>
  <c r="BB319" i="4" s="1"/>
  <c r="BC319" i="4"/>
  <c r="BA319" i="4" s="1"/>
  <c r="BK319" i="4"/>
  <c r="BF319" i="4"/>
  <c r="BE319" i="4"/>
  <c r="BI319" i="4"/>
  <c r="BH319" i="4"/>
  <c r="BE175" i="4"/>
  <c r="BK175" i="4"/>
  <c r="BJ175" i="4"/>
  <c r="AE175" i="4"/>
  <c r="BG175" i="4"/>
  <c r="BF175" i="4"/>
  <c r="BD175" i="4"/>
  <c r="BB175" i="4" s="1"/>
  <c r="BC175" i="4"/>
  <c r="BA175" i="4" s="1"/>
  <c r="BI175" i="4"/>
  <c r="BH175" i="4"/>
  <c r="BJ31" i="4"/>
  <c r="AE31" i="4"/>
  <c r="BG31" i="4"/>
  <c r="BF31" i="4"/>
  <c r="BC31" i="4"/>
  <c r="BA31" i="4" s="1"/>
  <c r="BI31" i="4"/>
  <c r="BH31" i="4"/>
  <c r="BE31" i="4"/>
  <c r="BD31" i="4"/>
  <c r="BB31" i="4" s="1"/>
  <c r="BK31" i="4"/>
  <c r="BJ498" i="4"/>
  <c r="AE498" i="4"/>
  <c r="BD498" i="4"/>
  <c r="BB498" i="4" s="1"/>
  <c r="BC498" i="4"/>
  <c r="BA498" i="4" s="1"/>
  <c r="BK498" i="4"/>
  <c r="BI498" i="4"/>
  <c r="BH498" i="4"/>
  <c r="BG498" i="4"/>
  <c r="BF498" i="4"/>
  <c r="BE498" i="4"/>
  <c r="BJ593" i="4"/>
  <c r="AE593" i="4"/>
  <c r="BC593" i="4"/>
  <c r="BA593" i="4" s="1"/>
  <c r="BH593" i="4"/>
  <c r="BG593" i="4"/>
  <c r="BD593" i="4"/>
  <c r="BB593" i="4" s="1"/>
  <c r="BI593" i="4"/>
  <c r="BF593" i="4"/>
  <c r="BE593" i="4"/>
  <c r="BK593" i="4"/>
  <c r="BJ449" i="4"/>
  <c r="AE449" i="4"/>
  <c r="BG449" i="4"/>
  <c r="BF449" i="4"/>
  <c r="BK449" i="4"/>
  <c r="BI449" i="4"/>
  <c r="BH449" i="4"/>
  <c r="BE449" i="4"/>
  <c r="BD449" i="4"/>
  <c r="BB449" i="4" s="1"/>
  <c r="BC449" i="4"/>
  <c r="BA449" i="4" s="1"/>
  <c r="BH305" i="4"/>
  <c r="AE305" i="4"/>
  <c r="BK305" i="4"/>
  <c r="BJ305" i="4"/>
  <c r="BI305" i="4"/>
  <c r="BG305" i="4"/>
  <c r="BF305" i="4"/>
  <c r="BE305" i="4"/>
  <c r="BD305" i="4"/>
  <c r="BB305" i="4" s="1"/>
  <c r="BC305" i="4"/>
  <c r="BA305" i="4" s="1"/>
  <c r="BC161" i="4"/>
  <c r="BA161" i="4" s="1"/>
  <c r="BI161" i="4"/>
  <c r="BH161" i="4"/>
  <c r="BE161" i="4"/>
  <c r="BD161" i="4"/>
  <c r="BB161" i="4" s="1"/>
  <c r="BK161" i="4"/>
  <c r="BJ161" i="4"/>
  <c r="BG161" i="4"/>
  <c r="BF161" i="4"/>
  <c r="AE161" i="4"/>
  <c r="BJ17" i="4"/>
  <c r="AE17" i="4"/>
  <c r="BG17" i="4"/>
  <c r="BD17" i="4"/>
  <c r="BB17" i="4" s="1"/>
  <c r="BC17" i="4"/>
  <c r="BA17" i="4" s="1"/>
  <c r="BK17" i="4"/>
  <c r="BI17" i="4"/>
  <c r="BE17" i="4"/>
  <c r="BH17" i="4"/>
  <c r="BF17" i="4"/>
  <c r="BF482" i="4"/>
  <c r="BK482" i="4"/>
  <c r="BH482" i="4"/>
  <c r="BG482" i="4"/>
  <c r="BD482" i="4"/>
  <c r="BB482" i="4" s="1"/>
  <c r="BC482" i="4"/>
  <c r="BA482" i="4" s="1"/>
  <c r="AE482" i="4"/>
  <c r="BJ482" i="4"/>
  <c r="BI482" i="4"/>
  <c r="BE482" i="4"/>
  <c r="BK338" i="4"/>
  <c r="BH338" i="4"/>
  <c r="BE338" i="4"/>
  <c r="BD338" i="4"/>
  <c r="BB338" i="4" s="1"/>
  <c r="AE338" i="4"/>
  <c r="BJ338" i="4"/>
  <c r="BI338" i="4"/>
  <c r="BG338" i="4"/>
  <c r="BF338" i="4"/>
  <c r="BC338" i="4"/>
  <c r="BA338" i="4" s="1"/>
  <c r="BF194" i="4"/>
  <c r="BE194" i="4"/>
  <c r="BD194" i="4"/>
  <c r="BB194" i="4" s="1"/>
  <c r="BC194" i="4"/>
  <c r="BA194" i="4" s="1"/>
  <c r="BK194" i="4"/>
  <c r="BJ194" i="4"/>
  <c r="AE194" i="4"/>
  <c r="BI194" i="4"/>
  <c r="BH194" i="4"/>
  <c r="BG194" i="4"/>
  <c r="BK50" i="4"/>
  <c r="BJ50" i="4"/>
  <c r="AE50" i="4"/>
  <c r="BI50" i="4"/>
  <c r="BH50" i="4"/>
  <c r="BG50" i="4"/>
  <c r="BF50" i="4"/>
  <c r="BD50" i="4"/>
  <c r="BB50" i="4" s="1"/>
  <c r="BC50" i="4"/>
  <c r="BA50" i="4" s="1"/>
  <c r="BE50" i="4"/>
  <c r="BG529" i="4"/>
  <c r="BE529" i="4"/>
  <c r="BK529" i="4"/>
  <c r="AE529" i="4"/>
  <c r="BF529" i="4"/>
  <c r="BJ529" i="4"/>
  <c r="BI529" i="4"/>
  <c r="BH529" i="4"/>
  <c r="BD529" i="4"/>
  <c r="BB529" i="4" s="1"/>
  <c r="BC529" i="4"/>
  <c r="BA529" i="4" s="1"/>
  <c r="BD385" i="4"/>
  <c r="BB385" i="4" s="1"/>
  <c r="BJ385" i="4"/>
  <c r="AE385" i="4"/>
  <c r="BI385" i="4"/>
  <c r="BF385" i="4"/>
  <c r="BE385" i="4"/>
  <c r="BK385" i="4"/>
  <c r="BH385" i="4"/>
  <c r="BG385" i="4"/>
  <c r="BC385" i="4"/>
  <c r="BA385" i="4" s="1"/>
  <c r="BC241" i="4"/>
  <c r="BA241" i="4" s="1"/>
  <c r="BI241" i="4"/>
  <c r="BH241" i="4"/>
  <c r="BE241" i="4"/>
  <c r="BD241" i="4"/>
  <c r="BB241" i="4" s="1"/>
  <c r="BK241" i="4"/>
  <c r="BJ241" i="4"/>
  <c r="BG241" i="4"/>
  <c r="BF241" i="4"/>
  <c r="AE241" i="4"/>
  <c r="BK97" i="4"/>
  <c r="BE97" i="4"/>
  <c r="BD97" i="4"/>
  <c r="BB97" i="4" s="1"/>
  <c r="BH97" i="4"/>
  <c r="BG97" i="4"/>
  <c r="BF97" i="4"/>
  <c r="BC97" i="4"/>
  <c r="BA97" i="4" s="1"/>
  <c r="AE97" i="4"/>
  <c r="BJ97" i="4"/>
  <c r="BI97" i="4"/>
  <c r="BG564" i="4"/>
  <c r="BD564" i="4"/>
  <c r="BB564" i="4" s="1"/>
  <c r="BI564" i="4"/>
  <c r="BK564" i="4"/>
  <c r="BC564" i="4"/>
  <c r="BA564" i="4" s="1"/>
  <c r="BJ564" i="4"/>
  <c r="BH564" i="4"/>
  <c r="BF564" i="4"/>
  <c r="BE564" i="4"/>
  <c r="AE564" i="4"/>
  <c r="BH420" i="4"/>
  <c r="BG420" i="4"/>
  <c r="BC420" i="4"/>
  <c r="BA420" i="4" s="1"/>
  <c r="AE420" i="4"/>
  <c r="BK420" i="4"/>
  <c r="BJ420" i="4"/>
  <c r="BI420" i="4"/>
  <c r="BF420" i="4"/>
  <c r="BE420" i="4"/>
  <c r="BD420" i="4"/>
  <c r="BB420" i="4" s="1"/>
  <c r="BH276" i="4"/>
  <c r="BG276" i="4"/>
  <c r="BF276" i="4"/>
  <c r="BE276" i="4"/>
  <c r="BD276" i="4"/>
  <c r="BB276" i="4" s="1"/>
  <c r="BK276" i="4"/>
  <c r="BJ276" i="4"/>
  <c r="AE276" i="4"/>
  <c r="BI276" i="4"/>
  <c r="BC276" i="4"/>
  <c r="BA276" i="4" s="1"/>
  <c r="BD132" i="4"/>
  <c r="BB132" i="4" s="1"/>
  <c r="BJ132" i="4"/>
  <c r="AE132" i="4"/>
  <c r="BI132" i="4"/>
  <c r="BF132" i="4"/>
  <c r="BE132" i="4"/>
  <c r="BH132" i="4"/>
  <c r="BG132" i="4"/>
  <c r="BC132" i="4"/>
  <c r="BA132" i="4" s="1"/>
  <c r="BK132" i="4"/>
  <c r="BH502" i="4"/>
  <c r="BG502" i="4"/>
  <c r="BC502" i="4"/>
  <c r="BA502" i="4" s="1"/>
  <c r="BK502" i="4"/>
  <c r="BJ502" i="4"/>
  <c r="BI502" i="4"/>
  <c r="BF502" i="4"/>
  <c r="BE502" i="4"/>
  <c r="BD502" i="4"/>
  <c r="BB502" i="4" s="1"/>
  <c r="AE502" i="4"/>
  <c r="BG358" i="4"/>
  <c r="BD358" i="4"/>
  <c r="BB358" i="4" s="1"/>
  <c r="BI358" i="4"/>
  <c r="BH358" i="4"/>
  <c r="BK358" i="4"/>
  <c r="BJ358" i="4"/>
  <c r="BF358" i="4"/>
  <c r="BE358" i="4"/>
  <c r="BC358" i="4"/>
  <c r="BA358" i="4" s="1"/>
  <c r="AE358" i="4"/>
  <c r="BF214" i="4"/>
  <c r="BK214" i="4"/>
  <c r="BG214" i="4"/>
  <c r="BC214" i="4"/>
  <c r="BA214" i="4" s="1"/>
  <c r="AE214" i="4"/>
  <c r="BJ214" i="4"/>
  <c r="BI214" i="4"/>
  <c r="BH214" i="4"/>
  <c r="BE214" i="4"/>
  <c r="BD214" i="4"/>
  <c r="BB214" i="4" s="1"/>
  <c r="BJ70" i="4"/>
  <c r="AE70" i="4"/>
  <c r="BI70" i="4"/>
  <c r="BH70" i="4"/>
  <c r="BG70" i="4"/>
  <c r="BF70" i="4"/>
  <c r="BE70" i="4"/>
  <c r="BD70" i="4"/>
  <c r="BB70" i="4" s="1"/>
  <c r="BC70" i="4"/>
  <c r="BA70" i="4" s="1"/>
  <c r="BK70" i="4"/>
  <c r="BC537" i="4"/>
  <c r="BA537" i="4" s="1"/>
  <c r="BF537" i="4"/>
  <c r="BE537" i="4"/>
  <c r="AE537" i="4"/>
  <c r="BK537" i="4"/>
  <c r="BJ537" i="4"/>
  <c r="BI537" i="4"/>
  <c r="BH537" i="4"/>
  <c r="BG537" i="4"/>
  <c r="BD537" i="4"/>
  <c r="BB537" i="4" s="1"/>
  <c r="BI393" i="4"/>
  <c r="BF393" i="4"/>
  <c r="BE393" i="4"/>
  <c r="BH393" i="4"/>
  <c r="BG393" i="4"/>
  <c r="BD393" i="4"/>
  <c r="BB393" i="4" s="1"/>
  <c r="BC393" i="4"/>
  <c r="BA393" i="4" s="1"/>
  <c r="AE393" i="4"/>
  <c r="BK393" i="4"/>
  <c r="BJ393" i="4"/>
  <c r="BK249" i="4"/>
  <c r="BJ249" i="4"/>
  <c r="AE249" i="4"/>
  <c r="BH249" i="4"/>
  <c r="BE249" i="4"/>
  <c r="BD249" i="4"/>
  <c r="BB249" i="4" s="1"/>
  <c r="BC249" i="4"/>
  <c r="BA249" i="4" s="1"/>
  <c r="BF249" i="4"/>
  <c r="BI249" i="4"/>
  <c r="BG249" i="4"/>
  <c r="AR601" i="4" l="1"/>
  <c r="AR589" i="4"/>
  <c r="AR577" i="4"/>
  <c r="AR565" i="4"/>
  <c r="AR553" i="4"/>
  <c r="AR541" i="4"/>
  <c r="AR529" i="4"/>
  <c r="AR517" i="4"/>
  <c r="AR505" i="4"/>
  <c r="AR493" i="4"/>
  <c r="AR481" i="4"/>
  <c r="AR469" i="4"/>
  <c r="AR457" i="4"/>
  <c r="AR445" i="4"/>
  <c r="AR433" i="4"/>
  <c r="AR421" i="4"/>
  <c r="AR409" i="4"/>
  <c r="AR397" i="4"/>
  <c r="AR385" i="4"/>
  <c r="AR373" i="4"/>
  <c r="AR361" i="4"/>
  <c r="AR349" i="4"/>
  <c r="AR337" i="4"/>
  <c r="AR325" i="4"/>
  <c r="AR313" i="4"/>
  <c r="AR301" i="4"/>
  <c r="AR289" i="4"/>
  <c r="AR277" i="4"/>
  <c r="AR265" i="4"/>
  <c r="AR253" i="4"/>
  <c r="AR241" i="4"/>
  <c r="AR229" i="4"/>
  <c r="AR217" i="4"/>
  <c r="AR205" i="4"/>
  <c r="AR193" i="4"/>
  <c r="AR181" i="4"/>
  <c r="AR169" i="4"/>
  <c r="AR157" i="4"/>
  <c r="AR145" i="4"/>
  <c r="AR133" i="4"/>
  <c r="AR121" i="4"/>
  <c r="AR109" i="4"/>
  <c r="AR97" i="4"/>
  <c r="AR85" i="4"/>
  <c r="AR73" i="4"/>
  <c r="AR61" i="4"/>
  <c r="AR49" i="4"/>
  <c r="AR37" i="4"/>
  <c r="AR25" i="4"/>
  <c r="AR13" i="4"/>
  <c r="AR600" i="4"/>
  <c r="AR588" i="4"/>
  <c r="AR576" i="4"/>
  <c r="AR564" i="4"/>
  <c r="AR552" i="4"/>
  <c r="AR540" i="4"/>
  <c r="AR528" i="4"/>
  <c r="AR516" i="4"/>
  <c r="AR504" i="4"/>
  <c r="AR492" i="4"/>
  <c r="AR480" i="4"/>
  <c r="AR468" i="4"/>
  <c r="AR456" i="4"/>
  <c r="AR444" i="4"/>
  <c r="AR432" i="4"/>
  <c r="AR420" i="4"/>
  <c r="AR408" i="4"/>
  <c r="AR396" i="4"/>
  <c r="AR384" i="4"/>
  <c r="AR372" i="4"/>
  <c r="AR360" i="4"/>
  <c r="AR348" i="4"/>
  <c r="AR336" i="4"/>
  <c r="AR324" i="4"/>
  <c r="AR312" i="4"/>
  <c r="AR300" i="4"/>
  <c r="AR288" i="4"/>
  <c r="AR276" i="4"/>
  <c r="AR264" i="4"/>
  <c r="AR252" i="4"/>
  <c r="AR240" i="4"/>
  <c r="AR228" i="4"/>
  <c r="AR216" i="4"/>
  <c r="AR204" i="4"/>
  <c r="AR192" i="4"/>
  <c r="AR180" i="4"/>
  <c r="AR168" i="4"/>
  <c r="AR156" i="4"/>
  <c r="AR144" i="4"/>
  <c r="AR132" i="4"/>
  <c r="AR120" i="4"/>
  <c r="AR108" i="4"/>
  <c r="AR96" i="4"/>
  <c r="AR84" i="4"/>
  <c r="AR72" i="4"/>
  <c r="AR60" i="4"/>
  <c r="AR48" i="4"/>
  <c r="AR36" i="4"/>
  <c r="AR24" i="4"/>
  <c r="AR12" i="4"/>
  <c r="AR599" i="4"/>
  <c r="AR587" i="4"/>
  <c r="AR575" i="4"/>
  <c r="AR563" i="4"/>
  <c r="AR551" i="4"/>
  <c r="AR539" i="4"/>
  <c r="AR527" i="4"/>
  <c r="AR515" i="4"/>
  <c r="AR503" i="4"/>
  <c r="AR491" i="4"/>
  <c r="AR479" i="4"/>
  <c r="AR467" i="4"/>
  <c r="AR455" i="4"/>
  <c r="AR443" i="4"/>
  <c r="AR431" i="4"/>
  <c r="AR419" i="4"/>
  <c r="AR407" i="4"/>
  <c r="AR395" i="4"/>
  <c r="AR383" i="4"/>
  <c r="AR371" i="4"/>
  <c r="AR359" i="4"/>
  <c r="AR347" i="4"/>
  <c r="AR335" i="4"/>
  <c r="AR323" i="4"/>
  <c r="AR311" i="4"/>
  <c r="AR299" i="4"/>
  <c r="AR287" i="4"/>
  <c r="AR275" i="4"/>
  <c r="AR263" i="4"/>
  <c r="AR251" i="4"/>
  <c r="AR239" i="4"/>
  <c r="AR227" i="4"/>
  <c r="AR215" i="4"/>
  <c r="AR203" i="4"/>
  <c r="AR191" i="4"/>
  <c r="AR179" i="4"/>
  <c r="AR167" i="4"/>
  <c r="AR155" i="4"/>
  <c r="AR143" i="4"/>
  <c r="AR131" i="4"/>
  <c r="AR119" i="4"/>
  <c r="AR107" i="4"/>
  <c r="AR95" i="4"/>
  <c r="AR83" i="4"/>
  <c r="AR71" i="4"/>
  <c r="AR59" i="4"/>
  <c r="AR47" i="4"/>
  <c r="AR35" i="4"/>
  <c r="AR23" i="4"/>
  <c r="AR11" i="4"/>
  <c r="AR598" i="4"/>
  <c r="AR586" i="4"/>
  <c r="AR574" i="4"/>
  <c r="AR562" i="4"/>
  <c r="AR550" i="4"/>
  <c r="AR538" i="4"/>
  <c r="AR526" i="4"/>
  <c r="AR514" i="4"/>
  <c r="AR502" i="4"/>
  <c r="AR490" i="4"/>
  <c r="AR478" i="4"/>
  <c r="AR466" i="4"/>
  <c r="AR454" i="4"/>
  <c r="AR442" i="4"/>
  <c r="AR430" i="4"/>
  <c r="AR418" i="4"/>
  <c r="AR406" i="4"/>
  <c r="AR394" i="4"/>
  <c r="AR382" i="4"/>
  <c r="AR370" i="4"/>
  <c r="AR358" i="4"/>
  <c r="AR346" i="4"/>
  <c r="AR334" i="4"/>
  <c r="AR322" i="4"/>
  <c r="AR310" i="4"/>
  <c r="AR298" i="4"/>
  <c r="AR286" i="4"/>
  <c r="AR274" i="4"/>
  <c r="AR262" i="4"/>
  <c r="AR250" i="4"/>
  <c r="AR238" i="4"/>
  <c r="AR226" i="4"/>
  <c r="AR214" i="4"/>
  <c r="AR202" i="4"/>
  <c r="AR190" i="4"/>
  <c r="AR178" i="4"/>
  <c r="AR166" i="4"/>
  <c r="AR154" i="4"/>
  <c r="AR142" i="4"/>
  <c r="AR130" i="4"/>
  <c r="AR118" i="4"/>
  <c r="AR106" i="4"/>
  <c r="AR94" i="4"/>
  <c r="AR82" i="4"/>
  <c r="AR70" i="4"/>
  <c r="AR58" i="4"/>
  <c r="AR46" i="4"/>
  <c r="AR34" i="4"/>
  <c r="AR22" i="4"/>
  <c r="AR10" i="4"/>
  <c r="AR597" i="4"/>
  <c r="AR585" i="4"/>
  <c r="AR573" i="4"/>
  <c r="AR561" i="4"/>
  <c r="AR549" i="4"/>
  <c r="AR537" i="4"/>
  <c r="AR525" i="4"/>
  <c r="AR513" i="4"/>
  <c r="AR501" i="4"/>
  <c r="AR489" i="4"/>
  <c r="AR477" i="4"/>
  <c r="AR465" i="4"/>
  <c r="AR453" i="4"/>
  <c r="AR441" i="4"/>
  <c r="AR429" i="4"/>
  <c r="AR417" i="4"/>
  <c r="AR405" i="4"/>
  <c r="AR393" i="4"/>
  <c r="AR381" i="4"/>
  <c r="AR369" i="4"/>
  <c r="AR357" i="4"/>
  <c r="AR345" i="4"/>
  <c r="AR596" i="4"/>
  <c r="AR584" i="4"/>
  <c r="AR572" i="4"/>
  <c r="AR560" i="4"/>
  <c r="AR548" i="4"/>
  <c r="AR536" i="4"/>
  <c r="AR524" i="4"/>
  <c r="AR512" i="4"/>
  <c r="AR500" i="4"/>
  <c r="AR488" i="4"/>
  <c r="AR476" i="4"/>
  <c r="AR464" i="4"/>
  <c r="AR452" i="4"/>
  <c r="AR440" i="4"/>
  <c r="AR428" i="4"/>
  <c r="AR416" i="4"/>
  <c r="AR404" i="4"/>
  <c r="AR392" i="4"/>
  <c r="AR380" i="4"/>
  <c r="AR368" i="4"/>
  <c r="AR356" i="4"/>
  <c r="AR344" i="4"/>
  <c r="AR332" i="4"/>
  <c r="AR320" i="4"/>
  <c r="AR308" i="4"/>
  <c r="AR296" i="4"/>
  <c r="AR284" i="4"/>
  <c r="AR272" i="4"/>
  <c r="AR260" i="4"/>
  <c r="AR248" i="4"/>
  <c r="AR236" i="4"/>
  <c r="AR224" i="4"/>
  <c r="AR595" i="4"/>
  <c r="AR583" i="4"/>
  <c r="AR571" i="4"/>
  <c r="AR559" i="4"/>
  <c r="AR547" i="4"/>
  <c r="AR535" i="4"/>
  <c r="AR523" i="4"/>
  <c r="AR511" i="4"/>
  <c r="AR499" i="4"/>
  <c r="AR487" i="4"/>
  <c r="AR475" i="4"/>
  <c r="AR463" i="4"/>
  <c r="AR451" i="4"/>
  <c r="AR439" i="4"/>
  <c r="AR427" i="4"/>
  <c r="AR415" i="4"/>
  <c r="AR403" i="4"/>
  <c r="AR391" i="4"/>
  <c r="AR379" i="4"/>
  <c r="AR367" i="4"/>
  <c r="AR355" i="4"/>
  <c r="AR343" i="4"/>
  <c r="AR331" i="4"/>
  <c r="AR319" i="4"/>
  <c r="AR307" i="4"/>
  <c r="AR295" i="4"/>
  <c r="AR283" i="4"/>
  <c r="AR271" i="4"/>
  <c r="AR259" i="4"/>
  <c r="AR247" i="4"/>
  <c r="AR235" i="4"/>
  <c r="AR223" i="4"/>
  <c r="AR211" i="4"/>
  <c r="AR199" i="4"/>
  <c r="AR187" i="4"/>
  <c r="AR175" i="4"/>
  <c r="AR163" i="4"/>
  <c r="AR151" i="4"/>
  <c r="AR139" i="4"/>
  <c r="AR127" i="4"/>
  <c r="AR115" i="4"/>
  <c r="AR103" i="4"/>
  <c r="AR91" i="4"/>
  <c r="AR79" i="4"/>
  <c r="AR67" i="4"/>
  <c r="AR55" i="4"/>
  <c r="AR43" i="4"/>
  <c r="AR31" i="4"/>
  <c r="AR19" i="4"/>
  <c r="AR8" i="4"/>
  <c r="AR594" i="4"/>
  <c r="AR582" i="4"/>
  <c r="AR570" i="4"/>
  <c r="AR558" i="4"/>
  <c r="AR546" i="4"/>
  <c r="AR534" i="4"/>
  <c r="AR522" i="4"/>
  <c r="AR510" i="4"/>
  <c r="AR498" i="4"/>
  <c r="AR486" i="4"/>
  <c r="AR474" i="4"/>
  <c r="AR462" i="4"/>
  <c r="AR450" i="4"/>
  <c r="AR438" i="4"/>
  <c r="AR426" i="4"/>
  <c r="AR414" i="4"/>
  <c r="AR402" i="4"/>
  <c r="AR390" i="4"/>
  <c r="AR378" i="4"/>
  <c r="AR366" i="4"/>
  <c r="AR354" i="4"/>
  <c r="AR342" i="4"/>
  <c r="AR330" i="4"/>
  <c r="AR318" i="4"/>
  <c r="AR306" i="4"/>
  <c r="AR294" i="4"/>
  <c r="AR282" i="4"/>
  <c r="AR270" i="4"/>
  <c r="AR258" i="4"/>
  <c r="AR246" i="4"/>
  <c r="AR234" i="4"/>
  <c r="AR222" i="4"/>
  <c r="AR210" i="4"/>
  <c r="AR198" i="4"/>
  <c r="AR186" i="4"/>
  <c r="AR174" i="4"/>
  <c r="AR162" i="4"/>
  <c r="AR150" i="4"/>
  <c r="AR138" i="4"/>
  <c r="AR126" i="4"/>
  <c r="AR114" i="4"/>
  <c r="AR102" i="4"/>
  <c r="AR90" i="4"/>
  <c r="AR78" i="4"/>
  <c r="AR66" i="4"/>
  <c r="AR54" i="4"/>
  <c r="AR42" i="4"/>
  <c r="AR30" i="4"/>
  <c r="AR18" i="4"/>
  <c r="AR593" i="4"/>
  <c r="AR581" i="4"/>
  <c r="AR569" i="4"/>
  <c r="AR557" i="4"/>
  <c r="AR545" i="4"/>
  <c r="AR533" i="4"/>
  <c r="AR521" i="4"/>
  <c r="AR509" i="4"/>
  <c r="AR497" i="4"/>
  <c r="AR485" i="4"/>
  <c r="AR473" i="4"/>
  <c r="AR461" i="4"/>
  <c r="AR449" i="4"/>
  <c r="AR437" i="4"/>
  <c r="AR425" i="4"/>
  <c r="AR413" i="4"/>
  <c r="AR401" i="4"/>
  <c r="AR389" i="4"/>
  <c r="AR377" i="4"/>
  <c r="AR365" i="4"/>
  <c r="AR353" i="4"/>
  <c r="AR341" i="4"/>
  <c r="AR329" i="4"/>
  <c r="AR317" i="4"/>
  <c r="AR305" i="4"/>
  <c r="AR293" i="4"/>
  <c r="AR281" i="4"/>
  <c r="AR269" i="4"/>
  <c r="AR257" i="4"/>
  <c r="AR245" i="4"/>
  <c r="AR233" i="4"/>
  <c r="AR221" i="4"/>
  <c r="AR209" i="4"/>
  <c r="AR197" i="4"/>
  <c r="AR185" i="4"/>
  <c r="AR173" i="4"/>
  <c r="AR161" i="4"/>
  <c r="AR149" i="4"/>
  <c r="AR137" i="4"/>
  <c r="AR125" i="4"/>
  <c r="AR113" i="4"/>
  <c r="AR101" i="4"/>
  <c r="AR89" i="4"/>
  <c r="AR77" i="4"/>
  <c r="AR65" i="4"/>
  <c r="AR53" i="4"/>
  <c r="AR41" i="4"/>
  <c r="AR29" i="4"/>
  <c r="AR17" i="4"/>
  <c r="AR591" i="4"/>
  <c r="AR579" i="4"/>
  <c r="AR567" i="4"/>
  <c r="AR555" i="4"/>
  <c r="AR543" i="4"/>
  <c r="AR531" i="4"/>
  <c r="AR519" i="4"/>
  <c r="AR507" i="4"/>
  <c r="AR495" i="4"/>
  <c r="AR483" i="4"/>
  <c r="AR471" i="4"/>
  <c r="AR459" i="4"/>
  <c r="AR447" i="4"/>
  <c r="AR435" i="4"/>
  <c r="AR423" i="4"/>
  <c r="AR411" i="4"/>
  <c r="AR399" i="4"/>
  <c r="AR387" i="4"/>
  <c r="AR375" i="4"/>
  <c r="AR363" i="4"/>
  <c r="AR351" i="4"/>
  <c r="AR339" i="4"/>
  <c r="AR327" i="4"/>
  <c r="AR315" i="4"/>
  <c r="AR303" i="4"/>
  <c r="AR291" i="4"/>
  <c r="AR279" i="4"/>
  <c r="AR267" i="4"/>
  <c r="AR255" i="4"/>
  <c r="AR243" i="4"/>
  <c r="AR231" i="4"/>
  <c r="AR219" i="4"/>
  <c r="AR207" i="4"/>
  <c r="AR195" i="4"/>
  <c r="AR183" i="4"/>
  <c r="AR171" i="4"/>
  <c r="AR159" i="4"/>
  <c r="AR147" i="4"/>
  <c r="AR135" i="4"/>
  <c r="AR123" i="4"/>
  <c r="AR111" i="4"/>
  <c r="AR99" i="4"/>
  <c r="AR87" i="4"/>
  <c r="AR75" i="4"/>
  <c r="AR63" i="4"/>
  <c r="AR51" i="4"/>
  <c r="AR39" i="4"/>
  <c r="AR27" i="4"/>
  <c r="AR15" i="4"/>
  <c r="AR590" i="4"/>
  <c r="AR578" i="4"/>
  <c r="AR566" i="4"/>
  <c r="AR554" i="4"/>
  <c r="AR542" i="4"/>
  <c r="AR530" i="4"/>
  <c r="AR518" i="4"/>
  <c r="AR506" i="4"/>
  <c r="AR494" i="4"/>
  <c r="AR482" i="4"/>
  <c r="AR470" i="4"/>
  <c r="AR458" i="4"/>
  <c r="AR446" i="4"/>
  <c r="AR434" i="4"/>
  <c r="AR422" i="4"/>
  <c r="AR410" i="4"/>
  <c r="AR398" i="4"/>
  <c r="AR386" i="4"/>
  <c r="AR374" i="4"/>
  <c r="AR362" i="4"/>
  <c r="AR350" i="4"/>
  <c r="AR338" i="4"/>
  <c r="AR326" i="4"/>
  <c r="AR314" i="4"/>
  <c r="AR302" i="4"/>
  <c r="AR290" i="4"/>
  <c r="AR278" i="4"/>
  <c r="AR266" i="4"/>
  <c r="AR254" i="4"/>
  <c r="AR242" i="4"/>
  <c r="AR230" i="4"/>
  <c r="AR218" i="4"/>
  <c r="AR206" i="4"/>
  <c r="AR194" i="4"/>
  <c r="AR182" i="4"/>
  <c r="AR170" i="4"/>
  <c r="AR158" i="4"/>
  <c r="AR146" i="4"/>
  <c r="AR134" i="4"/>
  <c r="AR122" i="4"/>
  <c r="AR110" i="4"/>
  <c r="AR98" i="4"/>
  <c r="AR86" i="4"/>
  <c r="AR74" i="4"/>
  <c r="AR62" i="4"/>
  <c r="AR50" i="4"/>
  <c r="AR38" i="4"/>
  <c r="AR26" i="4"/>
  <c r="AR14" i="4"/>
  <c r="AR580" i="4"/>
  <c r="AR436" i="4"/>
  <c r="AR316" i="4"/>
  <c r="AR244" i="4"/>
  <c r="AR188" i="4"/>
  <c r="AR140" i="4"/>
  <c r="AR92" i="4"/>
  <c r="AR44" i="4"/>
  <c r="AR568" i="4"/>
  <c r="AR424" i="4"/>
  <c r="AR309" i="4"/>
  <c r="AR237" i="4"/>
  <c r="AR184" i="4"/>
  <c r="AR136" i="4"/>
  <c r="AR88" i="4"/>
  <c r="AR40" i="4"/>
  <c r="AR556" i="4"/>
  <c r="AR412" i="4"/>
  <c r="AR304" i="4"/>
  <c r="AR232" i="4"/>
  <c r="AR177" i="4"/>
  <c r="AR129" i="4"/>
  <c r="AR81" i="4"/>
  <c r="AR33" i="4"/>
  <c r="AR544" i="4"/>
  <c r="AR400" i="4"/>
  <c r="AR297" i="4"/>
  <c r="AR225" i="4"/>
  <c r="AR176" i="4"/>
  <c r="AR128" i="4"/>
  <c r="AR80" i="4"/>
  <c r="AR32" i="4"/>
  <c r="AR532" i="4"/>
  <c r="AR388" i="4"/>
  <c r="AR292" i="4"/>
  <c r="AR220" i="4"/>
  <c r="AR172" i="4"/>
  <c r="AR124" i="4"/>
  <c r="AR76" i="4"/>
  <c r="AR28" i="4"/>
  <c r="AR520" i="4"/>
  <c r="AR376" i="4"/>
  <c r="AR285" i="4"/>
  <c r="AR213" i="4"/>
  <c r="AR165" i="4"/>
  <c r="AR117" i="4"/>
  <c r="AR69" i="4"/>
  <c r="AR21" i="4"/>
  <c r="AR508" i="4"/>
  <c r="AR364" i="4"/>
  <c r="AR280" i="4"/>
  <c r="AR212" i="4"/>
  <c r="AR164" i="4"/>
  <c r="AR116" i="4"/>
  <c r="AR68" i="4"/>
  <c r="AR20" i="4"/>
  <c r="AR496" i="4"/>
  <c r="AR352" i="4"/>
  <c r="AR273" i="4"/>
  <c r="AR208" i="4"/>
  <c r="AR160" i="4"/>
  <c r="AR112" i="4"/>
  <c r="AR64" i="4"/>
  <c r="AR16" i="4"/>
  <c r="AR484" i="4"/>
  <c r="AR340" i="4"/>
  <c r="AR268" i="4"/>
  <c r="AR201" i="4"/>
  <c r="AR153" i="4"/>
  <c r="AR105" i="4"/>
  <c r="AR57" i="4"/>
  <c r="AR9" i="4"/>
  <c r="AR472" i="4"/>
  <c r="AR333" i="4"/>
  <c r="AR261" i="4"/>
  <c r="AR200" i="4"/>
  <c r="AR152" i="4"/>
  <c r="AR104" i="4"/>
  <c r="AR56" i="4"/>
  <c r="AR460" i="4"/>
  <c r="AR328" i="4"/>
  <c r="AR256" i="4"/>
  <c r="AR196" i="4"/>
  <c r="AR148" i="4"/>
  <c r="AR100" i="4"/>
  <c r="AR52" i="4"/>
  <c r="AR592" i="4"/>
  <c r="AR448" i="4"/>
  <c r="AR321" i="4"/>
  <c r="AR249" i="4"/>
  <c r="AR189" i="4"/>
  <c r="AR141" i="4"/>
  <c r="AR93" i="4"/>
  <c r="AR45" i="4"/>
  <c r="AS8" i="4"/>
  <c r="AS9" i="4"/>
  <c r="AT595" i="4"/>
  <c r="AT583" i="4"/>
  <c r="AT571" i="4"/>
  <c r="AT559" i="4"/>
  <c r="AT547" i="4"/>
  <c r="AT535" i="4"/>
  <c r="AT523" i="4"/>
  <c r="AT511" i="4"/>
  <c r="AT499" i="4"/>
  <c r="AT487" i="4"/>
  <c r="AT475" i="4"/>
  <c r="AT463" i="4"/>
  <c r="AT451" i="4"/>
  <c r="AT439" i="4"/>
  <c r="AT427" i="4"/>
  <c r="AT415" i="4"/>
  <c r="AT403" i="4"/>
  <c r="AT391" i="4"/>
  <c r="AT379" i="4"/>
  <c r="AT367" i="4"/>
  <c r="AT355" i="4"/>
  <c r="AT343" i="4"/>
  <c r="AT331" i="4"/>
  <c r="AT319" i="4"/>
  <c r="AT307" i="4"/>
  <c r="AT295" i="4"/>
  <c r="AT283" i="4"/>
  <c r="AT271" i="4"/>
  <c r="AT259" i="4"/>
  <c r="AT247" i="4"/>
  <c r="AT235" i="4"/>
  <c r="AT223" i="4"/>
  <c r="AT211" i="4"/>
  <c r="AT199" i="4"/>
  <c r="AT187" i="4"/>
  <c r="AT175" i="4"/>
  <c r="AT163" i="4"/>
  <c r="AT151" i="4"/>
  <c r="AT139" i="4"/>
  <c r="AT127" i="4"/>
  <c r="AT115" i="4"/>
  <c r="AT103" i="4"/>
  <c r="AT91" i="4"/>
  <c r="AT79" i="4"/>
  <c r="AT67" i="4"/>
  <c r="AT55" i="4"/>
  <c r="AT43" i="4"/>
  <c r="AT31" i="4"/>
  <c r="AT19" i="4"/>
  <c r="AT8" i="4"/>
  <c r="AT592" i="4"/>
  <c r="AT580" i="4"/>
  <c r="AT568" i="4"/>
  <c r="AT556" i="4"/>
  <c r="AT544" i="4"/>
  <c r="AT532" i="4"/>
  <c r="AT520" i="4"/>
  <c r="AT508" i="4"/>
  <c r="AT496" i="4"/>
  <c r="AT484" i="4"/>
  <c r="AT472" i="4"/>
  <c r="AT460" i="4"/>
  <c r="AT448" i="4"/>
  <c r="AT436" i="4"/>
  <c r="AT424" i="4"/>
  <c r="AT412" i="4"/>
  <c r="AT400" i="4"/>
  <c r="AT388" i="4"/>
  <c r="AT376" i="4"/>
  <c r="AT364" i="4"/>
  <c r="AT352" i="4"/>
  <c r="AT340" i="4"/>
  <c r="AT328" i="4"/>
  <c r="AT316" i="4"/>
  <c r="AT304" i="4"/>
  <c r="AT292" i="4"/>
  <c r="AT280" i="4"/>
  <c r="AT268" i="4"/>
  <c r="AT256" i="4"/>
  <c r="AT244" i="4"/>
  <c r="AT232" i="4"/>
  <c r="AT220" i="4"/>
  <c r="AT208" i="4"/>
  <c r="AT196" i="4"/>
  <c r="AT184" i="4"/>
  <c r="AT172" i="4"/>
  <c r="AT160" i="4"/>
  <c r="AT148" i="4"/>
  <c r="AT136" i="4"/>
  <c r="AT124" i="4"/>
  <c r="AT112" i="4"/>
  <c r="AT100" i="4"/>
  <c r="AT88" i="4"/>
  <c r="AT76" i="4"/>
  <c r="AT64" i="4"/>
  <c r="AT52" i="4"/>
  <c r="AT40" i="4"/>
  <c r="AT28" i="4"/>
  <c r="AT16" i="4"/>
  <c r="AT600" i="4"/>
  <c r="AT588" i="4"/>
  <c r="AT576" i="4"/>
  <c r="AT564" i="4"/>
  <c r="AT552" i="4"/>
  <c r="AT540" i="4"/>
  <c r="AT528" i="4"/>
  <c r="AT516" i="4"/>
  <c r="AT504" i="4"/>
  <c r="AT492" i="4"/>
  <c r="AT480" i="4"/>
  <c r="AT468" i="4"/>
  <c r="AT456" i="4"/>
  <c r="AT444" i="4"/>
  <c r="AT432" i="4"/>
  <c r="AT420" i="4"/>
  <c r="AT408" i="4"/>
  <c r="AT396" i="4"/>
  <c r="AT384" i="4"/>
  <c r="AT372" i="4"/>
  <c r="AT360" i="4"/>
  <c r="AT348" i="4"/>
  <c r="AT336" i="4"/>
  <c r="AT324" i="4"/>
  <c r="AT312" i="4"/>
  <c r="AT300" i="4"/>
  <c r="AT288" i="4"/>
  <c r="AT276" i="4"/>
  <c r="AT264" i="4"/>
  <c r="AT252" i="4"/>
  <c r="AT240" i="4"/>
  <c r="AT228" i="4"/>
  <c r="AT216" i="4"/>
  <c r="AT204" i="4"/>
  <c r="AT192" i="4"/>
  <c r="AT180" i="4"/>
  <c r="AT168" i="4"/>
  <c r="AT156" i="4"/>
  <c r="AT144" i="4"/>
  <c r="AT132" i="4"/>
  <c r="AT120" i="4"/>
  <c r="AT108" i="4"/>
  <c r="AT96" i="4"/>
  <c r="AT84" i="4"/>
  <c r="AT72" i="4"/>
  <c r="AT60" i="4"/>
  <c r="AT48" i="4"/>
  <c r="AT36" i="4"/>
  <c r="AT24" i="4"/>
  <c r="AT599" i="4"/>
  <c r="AT587" i="4"/>
  <c r="AT575" i="4"/>
  <c r="AT563" i="4"/>
  <c r="AT551" i="4"/>
  <c r="AT539" i="4"/>
  <c r="AT527" i="4"/>
  <c r="AT515" i="4"/>
  <c r="AT503" i="4"/>
  <c r="AT491" i="4"/>
  <c r="AT479" i="4"/>
  <c r="AT467" i="4"/>
  <c r="AT455" i="4"/>
  <c r="AT443" i="4"/>
  <c r="AT431" i="4"/>
  <c r="AT419" i="4"/>
  <c r="AT407" i="4"/>
  <c r="AT395" i="4"/>
  <c r="AT383" i="4"/>
  <c r="AT371" i="4"/>
  <c r="AT359" i="4"/>
  <c r="AT347" i="4"/>
  <c r="AT335" i="4"/>
  <c r="AT323" i="4"/>
  <c r="AT311" i="4"/>
  <c r="AT299" i="4"/>
  <c r="AT287" i="4"/>
  <c r="AT275" i="4"/>
  <c r="AT263" i="4"/>
  <c r="AT251" i="4"/>
  <c r="AT239" i="4"/>
  <c r="AT227" i="4"/>
  <c r="AT215" i="4"/>
  <c r="AT203" i="4"/>
  <c r="AT191" i="4"/>
  <c r="AT179" i="4"/>
  <c r="AT167" i="4"/>
  <c r="AT155" i="4"/>
  <c r="AT143" i="4"/>
  <c r="AT131" i="4"/>
  <c r="AT119" i="4"/>
  <c r="AT107" i="4"/>
  <c r="AT95" i="4"/>
  <c r="AT83" i="4"/>
  <c r="AT71" i="4"/>
  <c r="AT59" i="4"/>
  <c r="AT47" i="4"/>
  <c r="AT35" i="4"/>
  <c r="AT23" i="4"/>
  <c r="AT11" i="4"/>
  <c r="AT596" i="4"/>
  <c r="AT578" i="4"/>
  <c r="AT560" i="4"/>
  <c r="AT542" i="4"/>
  <c r="AT524" i="4"/>
  <c r="AT506" i="4"/>
  <c r="AT488" i="4"/>
  <c r="AT470" i="4"/>
  <c r="AT452" i="4"/>
  <c r="AT434" i="4"/>
  <c r="AT416" i="4"/>
  <c r="AT398" i="4"/>
  <c r="AT380" i="4"/>
  <c r="AT362" i="4"/>
  <c r="AT344" i="4"/>
  <c r="AT326" i="4"/>
  <c r="AT308" i="4"/>
  <c r="AT290" i="4"/>
  <c r="AT272" i="4"/>
  <c r="AT254" i="4"/>
  <c r="AT236" i="4"/>
  <c r="AT218" i="4"/>
  <c r="AT200" i="4"/>
  <c r="AT182" i="4"/>
  <c r="AT164" i="4"/>
  <c r="AT146" i="4"/>
  <c r="AT128" i="4"/>
  <c r="AT110" i="4"/>
  <c r="AT92" i="4"/>
  <c r="AT74" i="4"/>
  <c r="AT56" i="4"/>
  <c r="AT38" i="4"/>
  <c r="AT20" i="4"/>
  <c r="AT594" i="4"/>
  <c r="AT577" i="4"/>
  <c r="AT558" i="4"/>
  <c r="AT541" i="4"/>
  <c r="AT522" i="4"/>
  <c r="AT505" i="4"/>
  <c r="AT486" i="4"/>
  <c r="AT469" i="4"/>
  <c r="AT450" i="4"/>
  <c r="AT433" i="4"/>
  <c r="AT414" i="4"/>
  <c r="AT397" i="4"/>
  <c r="AT378" i="4"/>
  <c r="AT361" i="4"/>
  <c r="AT342" i="4"/>
  <c r="AT325" i="4"/>
  <c r="AT306" i="4"/>
  <c r="AT289" i="4"/>
  <c r="AT270" i="4"/>
  <c r="AT253" i="4"/>
  <c r="AT234" i="4"/>
  <c r="AT217" i="4"/>
  <c r="AT198" i="4"/>
  <c r="AT181" i="4"/>
  <c r="AT162" i="4"/>
  <c r="AT145" i="4"/>
  <c r="AT126" i="4"/>
  <c r="AT109" i="4"/>
  <c r="AT90" i="4"/>
  <c r="AT73" i="4"/>
  <c r="AT54" i="4"/>
  <c r="AT37" i="4"/>
  <c r="AT18" i="4"/>
  <c r="AT593" i="4"/>
  <c r="AT574" i="4"/>
  <c r="AT557" i="4"/>
  <c r="AT538" i="4"/>
  <c r="AT521" i="4"/>
  <c r="AT502" i="4"/>
  <c r="AT485" i="4"/>
  <c r="AT466" i="4"/>
  <c r="AT449" i="4"/>
  <c r="AT430" i="4"/>
  <c r="AT413" i="4"/>
  <c r="AT394" i="4"/>
  <c r="AT377" i="4"/>
  <c r="AT358" i="4"/>
  <c r="AT341" i="4"/>
  <c r="AT322" i="4"/>
  <c r="AT305" i="4"/>
  <c r="AT286" i="4"/>
  <c r="AT269" i="4"/>
  <c r="AT250" i="4"/>
  <c r="AT233" i="4"/>
  <c r="AT214" i="4"/>
  <c r="AT197" i="4"/>
  <c r="AT178" i="4"/>
  <c r="AT161" i="4"/>
  <c r="AT142" i="4"/>
  <c r="AT125" i="4"/>
  <c r="AT106" i="4"/>
  <c r="AT89" i="4"/>
  <c r="AT70" i="4"/>
  <c r="AT53" i="4"/>
  <c r="AT34" i="4"/>
  <c r="AT17" i="4"/>
  <c r="AT591" i="4"/>
  <c r="AT573" i="4"/>
  <c r="AT555" i="4"/>
  <c r="AT537" i="4"/>
  <c r="AT519" i="4"/>
  <c r="AT501" i="4"/>
  <c r="AT483" i="4"/>
  <c r="AT465" i="4"/>
  <c r="AT447" i="4"/>
  <c r="AT429" i="4"/>
  <c r="AT411" i="4"/>
  <c r="AT393" i="4"/>
  <c r="AT375" i="4"/>
  <c r="AT357" i="4"/>
  <c r="AT339" i="4"/>
  <c r="AT321" i="4"/>
  <c r="AT303" i="4"/>
  <c r="AT285" i="4"/>
  <c r="AT267" i="4"/>
  <c r="AT249" i="4"/>
  <c r="AT231" i="4"/>
  <c r="AT213" i="4"/>
  <c r="AT195" i="4"/>
  <c r="AT177" i="4"/>
  <c r="AT159" i="4"/>
  <c r="AT141" i="4"/>
  <c r="AT123" i="4"/>
  <c r="AT105" i="4"/>
  <c r="AT87" i="4"/>
  <c r="AT69" i="4"/>
  <c r="AT51" i="4"/>
  <c r="AT33" i="4"/>
  <c r="AT15" i="4"/>
  <c r="AT590" i="4"/>
  <c r="AT572" i="4"/>
  <c r="AT554" i="4"/>
  <c r="AT536" i="4"/>
  <c r="AT518" i="4"/>
  <c r="AT500" i="4"/>
  <c r="AT482" i="4"/>
  <c r="AT464" i="4"/>
  <c r="AT446" i="4"/>
  <c r="AT428" i="4"/>
  <c r="AT410" i="4"/>
  <c r="AT392" i="4"/>
  <c r="AT374" i="4"/>
  <c r="AT356" i="4"/>
  <c r="AT338" i="4"/>
  <c r="AT320" i="4"/>
  <c r="AT302" i="4"/>
  <c r="AT284" i="4"/>
  <c r="AT266" i="4"/>
  <c r="AT248" i="4"/>
  <c r="AT230" i="4"/>
  <c r="AT212" i="4"/>
  <c r="AT194" i="4"/>
  <c r="AT176" i="4"/>
  <c r="AT158" i="4"/>
  <c r="AT140" i="4"/>
  <c r="AT122" i="4"/>
  <c r="AT104" i="4"/>
  <c r="AT86" i="4"/>
  <c r="AT68" i="4"/>
  <c r="AT50" i="4"/>
  <c r="AT32" i="4"/>
  <c r="AT14" i="4"/>
  <c r="AT589" i="4"/>
  <c r="AT570" i="4"/>
  <c r="AT553" i="4"/>
  <c r="AT534" i="4"/>
  <c r="AT517" i="4"/>
  <c r="AT498" i="4"/>
  <c r="AT481" i="4"/>
  <c r="AT462" i="4"/>
  <c r="AT445" i="4"/>
  <c r="AT426" i="4"/>
  <c r="AT409" i="4"/>
  <c r="AT390" i="4"/>
  <c r="AT373" i="4"/>
  <c r="AT354" i="4"/>
  <c r="AT337" i="4"/>
  <c r="AT318" i="4"/>
  <c r="AT301" i="4"/>
  <c r="AT282" i="4"/>
  <c r="AT265" i="4"/>
  <c r="AT246" i="4"/>
  <c r="AT229" i="4"/>
  <c r="AT210" i="4"/>
  <c r="AT193" i="4"/>
  <c r="AT174" i="4"/>
  <c r="AT157" i="4"/>
  <c r="AT138" i="4"/>
  <c r="AT121" i="4"/>
  <c r="AT102" i="4"/>
  <c r="AT85" i="4"/>
  <c r="AT66" i="4"/>
  <c r="AT49" i="4"/>
  <c r="AT30" i="4"/>
  <c r="AT13" i="4"/>
  <c r="AT586" i="4"/>
  <c r="AT569" i="4"/>
  <c r="AT550" i="4"/>
  <c r="AT533" i="4"/>
  <c r="AT514" i="4"/>
  <c r="AT497" i="4"/>
  <c r="AT478" i="4"/>
  <c r="AT461" i="4"/>
  <c r="AT442" i="4"/>
  <c r="AT425" i="4"/>
  <c r="AT406" i="4"/>
  <c r="AT389" i="4"/>
  <c r="AT370" i="4"/>
  <c r="AT353" i="4"/>
  <c r="AT334" i="4"/>
  <c r="AT317" i="4"/>
  <c r="AT298" i="4"/>
  <c r="AT281" i="4"/>
  <c r="AT262" i="4"/>
  <c r="AT245" i="4"/>
  <c r="AT226" i="4"/>
  <c r="AT209" i="4"/>
  <c r="AT190" i="4"/>
  <c r="AT173" i="4"/>
  <c r="AT154" i="4"/>
  <c r="AT137" i="4"/>
  <c r="AT118" i="4"/>
  <c r="AT101" i="4"/>
  <c r="AT82" i="4"/>
  <c r="AT65" i="4"/>
  <c r="AT46" i="4"/>
  <c r="AT29" i="4"/>
  <c r="AT12" i="4"/>
  <c r="AT585" i="4"/>
  <c r="AT567" i="4"/>
  <c r="AT549" i="4"/>
  <c r="AT531" i="4"/>
  <c r="AT513" i="4"/>
  <c r="AT495" i="4"/>
  <c r="AT477" i="4"/>
  <c r="AT459" i="4"/>
  <c r="AT441" i="4"/>
  <c r="AT423" i="4"/>
  <c r="AT405" i="4"/>
  <c r="AT387" i="4"/>
  <c r="AT369" i="4"/>
  <c r="AT351" i="4"/>
  <c r="AT333" i="4"/>
  <c r="AT315" i="4"/>
  <c r="AT297" i="4"/>
  <c r="AT279" i="4"/>
  <c r="AT261" i="4"/>
  <c r="AT243" i="4"/>
  <c r="AT225" i="4"/>
  <c r="AT207" i="4"/>
  <c r="AT189" i="4"/>
  <c r="AT171" i="4"/>
  <c r="AT153" i="4"/>
  <c r="AT135" i="4"/>
  <c r="AT117" i="4"/>
  <c r="AT99" i="4"/>
  <c r="AT81" i="4"/>
  <c r="AT63" i="4"/>
  <c r="AT45" i="4"/>
  <c r="AT27" i="4"/>
  <c r="AT10" i="4"/>
  <c r="AT584" i="4"/>
  <c r="AT566" i="4"/>
  <c r="AT548" i="4"/>
  <c r="AT530" i="4"/>
  <c r="AT512" i="4"/>
  <c r="AT494" i="4"/>
  <c r="AT476" i="4"/>
  <c r="AT458" i="4"/>
  <c r="AT440" i="4"/>
  <c r="AT422" i="4"/>
  <c r="AT404" i="4"/>
  <c r="AT386" i="4"/>
  <c r="AT368" i="4"/>
  <c r="AT350" i="4"/>
  <c r="AT332" i="4"/>
  <c r="AT314" i="4"/>
  <c r="AT296" i="4"/>
  <c r="AT278" i="4"/>
  <c r="AT260" i="4"/>
  <c r="AT242" i="4"/>
  <c r="AT224" i="4"/>
  <c r="AT206" i="4"/>
  <c r="AT188" i="4"/>
  <c r="AT170" i="4"/>
  <c r="AT152" i="4"/>
  <c r="AT134" i="4"/>
  <c r="AT116" i="4"/>
  <c r="AT98" i="4"/>
  <c r="AT80" i="4"/>
  <c r="AT62" i="4"/>
  <c r="AT44" i="4"/>
  <c r="AT26" i="4"/>
  <c r="AT9" i="4"/>
  <c r="AT601" i="4"/>
  <c r="AT582" i="4"/>
  <c r="AT565" i="4"/>
  <c r="AT546" i="4"/>
  <c r="AT529" i="4"/>
  <c r="AT510" i="4"/>
  <c r="AT493" i="4"/>
  <c r="AT474" i="4"/>
  <c r="AT457" i="4"/>
  <c r="AT438" i="4"/>
  <c r="AT421" i="4"/>
  <c r="AT402" i="4"/>
  <c r="AT385" i="4"/>
  <c r="AT366" i="4"/>
  <c r="AT349" i="4"/>
  <c r="AT330" i="4"/>
  <c r="AT313" i="4"/>
  <c r="AT294" i="4"/>
  <c r="AT277" i="4"/>
  <c r="AT258" i="4"/>
  <c r="AT241" i="4"/>
  <c r="AT222" i="4"/>
  <c r="AT205" i="4"/>
  <c r="AT186" i="4"/>
  <c r="AT169" i="4"/>
  <c r="AT150" i="4"/>
  <c r="AT133" i="4"/>
  <c r="AT114" i="4"/>
  <c r="AT97" i="4"/>
  <c r="AT78" i="4"/>
  <c r="AT61" i="4"/>
  <c r="AT42" i="4"/>
  <c r="AT25" i="4"/>
  <c r="AT598" i="4"/>
  <c r="AT581" i="4"/>
  <c r="AT562" i="4"/>
  <c r="AT545" i="4"/>
  <c r="AT526" i="4"/>
  <c r="AT509" i="4"/>
  <c r="AT490" i="4"/>
  <c r="AT473" i="4"/>
  <c r="AT454" i="4"/>
  <c r="AT437" i="4"/>
  <c r="AT418" i="4"/>
  <c r="AT401" i="4"/>
  <c r="AT382" i="4"/>
  <c r="AT365" i="4"/>
  <c r="AT346" i="4"/>
  <c r="AT329" i="4"/>
  <c r="AT310" i="4"/>
  <c r="AT293" i="4"/>
  <c r="AT274" i="4"/>
  <c r="AT257" i="4"/>
  <c r="AT238" i="4"/>
  <c r="AT221" i="4"/>
  <c r="AT202" i="4"/>
  <c r="AT185" i="4"/>
  <c r="AT166" i="4"/>
  <c r="AT149" i="4"/>
  <c r="AT130" i="4"/>
  <c r="AT113" i="4"/>
  <c r="AT94" i="4"/>
  <c r="AT77" i="4"/>
  <c r="AT58" i="4"/>
  <c r="AT41" i="4"/>
  <c r="AT22" i="4"/>
  <c r="AT597" i="4"/>
  <c r="AT579" i="4"/>
  <c r="AT561" i="4"/>
  <c r="AT543" i="4"/>
  <c r="AT525" i="4"/>
  <c r="AT507" i="4"/>
  <c r="AT489" i="4"/>
  <c r="AT471" i="4"/>
  <c r="AT453" i="4"/>
  <c r="AT435" i="4"/>
  <c r="AT417" i="4"/>
  <c r="AT399" i="4"/>
  <c r="AT381" i="4"/>
  <c r="AT363" i="4"/>
  <c r="AT345" i="4"/>
  <c r="AT327" i="4"/>
  <c r="AT309" i="4"/>
  <c r="AT291" i="4"/>
  <c r="AT273" i="4"/>
  <c r="AT255" i="4"/>
  <c r="AT237" i="4"/>
  <c r="AT219" i="4"/>
  <c r="AT201" i="4"/>
  <c r="AT183" i="4"/>
  <c r="AT165" i="4"/>
  <c r="AT147" i="4"/>
  <c r="AT129" i="4"/>
  <c r="AT111" i="4"/>
  <c r="AT93" i="4"/>
  <c r="AT75" i="4"/>
  <c r="AT57" i="4"/>
  <c r="AT39" i="4"/>
  <c r="AT21" i="4"/>
  <c r="AU600" i="4"/>
  <c r="AU588" i="4"/>
  <c r="AU576" i="4"/>
  <c r="AU564" i="4"/>
  <c r="AU552" i="4"/>
  <c r="AU540" i="4"/>
  <c r="AU528" i="4"/>
  <c r="AU516" i="4"/>
  <c r="AU504" i="4"/>
  <c r="AU492" i="4"/>
  <c r="AU480" i="4"/>
  <c r="AU468" i="4"/>
  <c r="AU456" i="4"/>
  <c r="AU444" i="4"/>
  <c r="AU432" i="4"/>
  <c r="AU420" i="4"/>
  <c r="AU408" i="4"/>
  <c r="AU396" i="4"/>
  <c r="AU384" i="4"/>
  <c r="AU372" i="4"/>
  <c r="AU360" i="4"/>
  <c r="AU348" i="4"/>
  <c r="AU336" i="4"/>
  <c r="AU324" i="4"/>
  <c r="AU312" i="4"/>
  <c r="AU300" i="4"/>
  <c r="AU288" i="4"/>
  <c r="AU276" i="4"/>
  <c r="AU264" i="4"/>
  <c r="AU252" i="4"/>
  <c r="AU240" i="4"/>
  <c r="AU228" i="4"/>
  <c r="AU216" i="4"/>
  <c r="AU204" i="4"/>
  <c r="AU192" i="4"/>
  <c r="AU180" i="4"/>
  <c r="AU168" i="4"/>
  <c r="AU156" i="4"/>
  <c r="AU144" i="4"/>
  <c r="AU132" i="4"/>
  <c r="AU120" i="4"/>
  <c r="AU108" i="4"/>
  <c r="AU96" i="4"/>
  <c r="AU84" i="4"/>
  <c r="AU72" i="4"/>
  <c r="AU60" i="4"/>
  <c r="AU48" i="4"/>
  <c r="AU36" i="4"/>
  <c r="AU24" i="4"/>
  <c r="AU12" i="4"/>
  <c r="AU597" i="4"/>
  <c r="AU585" i="4"/>
  <c r="AU573" i="4"/>
  <c r="AU561" i="4"/>
  <c r="AU549" i="4"/>
  <c r="AU537" i="4"/>
  <c r="AU525" i="4"/>
  <c r="AU513" i="4"/>
  <c r="AU501" i="4"/>
  <c r="AU489" i="4"/>
  <c r="AU477" i="4"/>
  <c r="AU465" i="4"/>
  <c r="AU453" i="4"/>
  <c r="AU441" i="4"/>
  <c r="AU429" i="4"/>
  <c r="AU417" i="4"/>
  <c r="AU405" i="4"/>
  <c r="AU393" i="4"/>
  <c r="AU381" i="4"/>
  <c r="AU369" i="4"/>
  <c r="AU357" i="4"/>
  <c r="AU345" i="4"/>
  <c r="AU333" i="4"/>
  <c r="AU321" i="4"/>
  <c r="AU309" i="4"/>
  <c r="AU297" i="4"/>
  <c r="AU285" i="4"/>
  <c r="AU273" i="4"/>
  <c r="AU261" i="4"/>
  <c r="AU249" i="4"/>
  <c r="AU237" i="4"/>
  <c r="AU225" i="4"/>
  <c r="AU213" i="4"/>
  <c r="AU201" i="4"/>
  <c r="AU189" i="4"/>
  <c r="AU177" i="4"/>
  <c r="AU165" i="4"/>
  <c r="AU153" i="4"/>
  <c r="AU141" i="4"/>
  <c r="AU129" i="4"/>
  <c r="AU117" i="4"/>
  <c r="AU105" i="4"/>
  <c r="AU93" i="4"/>
  <c r="AU81" i="4"/>
  <c r="AU69" i="4"/>
  <c r="AU57" i="4"/>
  <c r="AU45" i="4"/>
  <c r="AU33" i="4"/>
  <c r="AU21" i="4"/>
  <c r="AU9" i="4"/>
  <c r="AU596" i="4"/>
  <c r="AU584" i="4"/>
  <c r="AU572" i="4"/>
  <c r="AU560" i="4"/>
  <c r="AU548" i="4"/>
  <c r="AU536" i="4"/>
  <c r="AU524" i="4"/>
  <c r="AU512" i="4"/>
  <c r="AU500" i="4"/>
  <c r="AU488" i="4"/>
  <c r="AU476" i="4"/>
  <c r="AU464" i="4"/>
  <c r="AU452" i="4"/>
  <c r="AU440" i="4"/>
  <c r="AU428" i="4"/>
  <c r="AU416" i="4"/>
  <c r="AU404" i="4"/>
  <c r="AU392" i="4"/>
  <c r="AU380" i="4"/>
  <c r="AU368" i="4"/>
  <c r="AU356" i="4"/>
  <c r="AU344" i="4"/>
  <c r="AU332" i="4"/>
  <c r="AU320" i="4"/>
  <c r="AU308" i="4"/>
  <c r="AU296" i="4"/>
  <c r="AU284" i="4"/>
  <c r="AU272" i="4"/>
  <c r="AU260" i="4"/>
  <c r="AU248" i="4"/>
  <c r="AU236" i="4"/>
  <c r="AU224" i="4"/>
  <c r="AU212" i="4"/>
  <c r="AU200" i="4"/>
  <c r="AU188" i="4"/>
  <c r="AU176" i="4"/>
  <c r="AU164" i="4"/>
  <c r="AU152" i="4"/>
  <c r="AU140" i="4"/>
  <c r="AU128" i="4"/>
  <c r="AU116" i="4"/>
  <c r="AU104" i="4"/>
  <c r="AU92" i="4"/>
  <c r="AU80" i="4"/>
  <c r="AU68" i="4"/>
  <c r="AU56" i="4"/>
  <c r="AU44" i="4"/>
  <c r="AU32" i="4"/>
  <c r="AU20" i="4"/>
  <c r="AU593" i="4"/>
  <c r="AU581" i="4"/>
  <c r="AU569" i="4"/>
  <c r="AU557" i="4"/>
  <c r="AU545" i="4"/>
  <c r="AU533" i="4"/>
  <c r="AU521" i="4"/>
  <c r="AU509" i="4"/>
  <c r="AU497" i="4"/>
  <c r="AU485" i="4"/>
  <c r="AU473" i="4"/>
  <c r="AU461" i="4"/>
  <c r="AU449" i="4"/>
  <c r="AU437" i="4"/>
  <c r="AU425" i="4"/>
  <c r="AU413" i="4"/>
  <c r="AU401" i="4"/>
  <c r="AU389" i="4"/>
  <c r="AU377" i="4"/>
  <c r="AU365" i="4"/>
  <c r="AU353" i="4"/>
  <c r="AU341" i="4"/>
  <c r="AU329" i="4"/>
  <c r="AU317" i="4"/>
  <c r="AU305" i="4"/>
  <c r="AU293" i="4"/>
  <c r="AU281" i="4"/>
  <c r="AU269" i="4"/>
  <c r="AU257" i="4"/>
  <c r="AU245" i="4"/>
  <c r="AU233" i="4"/>
  <c r="AU221" i="4"/>
  <c r="AU209" i="4"/>
  <c r="AU197" i="4"/>
  <c r="AU185" i="4"/>
  <c r="AU173" i="4"/>
  <c r="AU161" i="4"/>
  <c r="AU149" i="4"/>
  <c r="AU137" i="4"/>
  <c r="AU125" i="4"/>
  <c r="AU113" i="4"/>
  <c r="AU101" i="4"/>
  <c r="AU89" i="4"/>
  <c r="AU77" i="4"/>
  <c r="AU65" i="4"/>
  <c r="AU53" i="4"/>
  <c r="AU41" i="4"/>
  <c r="AU29" i="4"/>
  <c r="AU17" i="4"/>
  <c r="AU592" i="4"/>
  <c r="AU580" i="4"/>
  <c r="AU568" i="4"/>
  <c r="AU556" i="4"/>
  <c r="AU544" i="4"/>
  <c r="AU532" i="4"/>
  <c r="AU520" i="4"/>
  <c r="AU508" i="4"/>
  <c r="AU496" i="4"/>
  <c r="AU484" i="4"/>
  <c r="AU472" i="4"/>
  <c r="AU460" i="4"/>
  <c r="AU448" i="4"/>
  <c r="AU436" i="4"/>
  <c r="AU424" i="4"/>
  <c r="AU412" i="4"/>
  <c r="AU400" i="4"/>
  <c r="AU388" i="4"/>
  <c r="AU376" i="4"/>
  <c r="AU364" i="4"/>
  <c r="AU352" i="4"/>
  <c r="AU340" i="4"/>
  <c r="AU328" i="4"/>
  <c r="AU316" i="4"/>
  <c r="AU304" i="4"/>
  <c r="AU292" i="4"/>
  <c r="AU280" i="4"/>
  <c r="AU268" i="4"/>
  <c r="AU256" i="4"/>
  <c r="AU244" i="4"/>
  <c r="AU232" i="4"/>
  <c r="AU220" i="4"/>
  <c r="AU208" i="4"/>
  <c r="AU196" i="4"/>
  <c r="AU184" i="4"/>
  <c r="AU172" i="4"/>
  <c r="AU160" i="4"/>
  <c r="AU148" i="4"/>
  <c r="AU136" i="4"/>
  <c r="AU124" i="4"/>
  <c r="AU112" i="4"/>
  <c r="AU100" i="4"/>
  <c r="AU88" i="4"/>
  <c r="AU76" i="4"/>
  <c r="AU64" i="4"/>
  <c r="AU52" i="4"/>
  <c r="AU40" i="4"/>
  <c r="AU28" i="4"/>
  <c r="AU16" i="4"/>
  <c r="AU598" i="4"/>
  <c r="AU577" i="4"/>
  <c r="AU555" i="4"/>
  <c r="AU535" i="4"/>
  <c r="AU515" i="4"/>
  <c r="AU494" i="4"/>
  <c r="AU474" i="4"/>
  <c r="AU454" i="4"/>
  <c r="AU433" i="4"/>
  <c r="AU411" i="4"/>
  <c r="AU391" i="4"/>
  <c r="AU371" i="4"/>
  <c r="AU350" i="4"/>
  <c r="AU330" i="4"/>
  <c r="AU310" i="4"/>
  <c r="AU289" i="4"/>
  <c r="AU267" i="4"/>
  <c r="AU247" i="4"/>
  <c r="AU227" i="4"/>
  <c r="AU206" i="4"/>
  <c r="AU186" i="4"/>
  <c r="AU166" i="4"/>
  <c r="AU145" i="4"/>
  <c r="AU123" i="4"/>
  <c r="AU103" i="4"/>
  <c r="AU83" i="4"/>
  <c r="AU62" i="4"/>
  <c r="AU42" i="4"/>
  <c r="AU22" i="4"/>
  <c r="AU595" i="4"/>
  <c r="AU575" i="4"/>
  <c r="AU554" i="4"/>
  <c r="AU534" i="4"/>
  <c r="AU514" i="4"/>
  <c r="AU493" i="4"/>
  <c r="AU471" i="4"/>
  <c r="AU451" i="4"/>
  <c r="AU431" i="4"/>
  <c r="AU410" i="4"/>
  <c r="AU390" i="4"/>
  <c r="AU370" i="4"/>
  <c r="AU349" i="4"/>
  <c r="AU327" i="4"/>
  <c r="AU307" i="4"/>
  <c r="AU287" i="4"/>
  <c r="AU266" i="4"/>
  <c r="AU246" i="4"/>
  <c r="AU226" i="4"/>
  <c r="AU205" i="4"/>
  <c r="AU183" i="4"/>
  <c r="AU163" i="4"/>
  <c r="AU143" i="4"/>
  <c r="AU122" i="4"/>
  <c r="AU102" i="4"/>
  <c r="AU82" i="4"/>
  <c r="AU61" i="4"/>
  <c r="AU39" i="4"/>
  <c r="AU19" i="4"/>
  <c r="AU594" i="4"/>
  <c r="AU574" i="4"/>
  <c r="AU553" i="4"/>
  <c r="AU531" i="4"/>
  <c r="AU511" i="4"/>
  <c r="AU491" i="4"/>
  <c r="AU470" i="4"/>
  <c r="AU450" i="4"/>
  <c r="AU430" i="4"/>
  <c r="AU409" i="4"/>
  <c r="AU387" i="4"/>
  <c r="AU367" i="4"/>
  <c r="AU347" i="4"/>
  <c r="AU326" i="4"/>
  <c r="AU306" i="4"/>
  <c r="AU286" i="4"/>
  <c r="AU265" i="4"/>
  <c r="AU243" i="4"/>
  <c r="AU223" i="4"/>
  <c r="AU203" i="4"/>
  <c r="AU182" i="4"/>
  <c r="AU162" i="4"/>
  <c r="AU142" i="4"/>
  <c r="AU121" i="4"/>
  <c r="AU99" i="4"/>
  <c r="AU79" i="4"/>
  <c r="AU59" i="4"/>
  <c r="AU38" i="4"/>
  <c r="AU18" i="4"/>
  <c r="AU591" i="4"/>
  <c r="AU571" i="4"/>
  <c r="AU551" i="4"/>
  <c r="AU530" i="4"/>
  <c r="AU510" i="4"/>
  <c r="AU490" i="4"/>
  <c r="AU469" i="4"/>
  <c r="AU447" i="4"/>
  <c r="AU427" i="4"/>
  <c r="AU407" i="4"/>
  <c r="AU386" i="4"/>
  <c r="AU366" i="4"/>
  <c r="AU346" i="4"/>
  <c r="AU325" i="4"/>
  <c r="AU303" i="4"/>
  <c r="AU283" i="4"/>
  <c r="AU263" i="4"/>
  <c r="AU242" i="4"/>
  <c r="AU222" i="4"/>
  <c r="AU202" i="4"/>
  <c r="AU181" i="4"/>
  <c r="AU159" i="4"/>
  <c r="AU139" i="4"/>
  <c r="AU119" i="4"/>
  <c r="AU98" i="4"/>
  <c r="AU78" i="4"/>
  <c r="AU58" i="4"/>
  <c r="AU37" i="4"/>
  <c r="AU15" i="4"/>
  <c r="AU590" i="4"/>
  <c r="AU570" i="4"/>
  <c r="AU550" i="4"/>
  <c r="AU529" i="4"/>
  <c r="AU507" i="4"/>
  <c r="AU487" i="4"/>
  <c r="AU467" i="4"/>
  <c r="AU446" i="4"/>
  <c r="AU426" i="4"/>
  <c r="AU406" i="4"/>
  <c r="AU385" i="4"/>
  <c r="AU363" i="4"/>
  <c r="AU343" i="4"/>
  <c r="AU323" i="4"/>
  <c r="AU302" i="4"/>
  <c r="AU282" i="4"/>
  <c r="AU262" i="4"/>
  <c r="AU241" i="4"/>
  <c r="AU219" i="4"/>
  <c r="AU199" i="4"/>
  <c r="AU179" i="4"/>
  <c r="AU158" i="4"/>
  <c r="AU138" i="4"/>
  <c r="AU118" i="4"/>
  <c r="AU97" i="4"/>
  <c r="AU75" i="4"/>
  <c r="AU55" i="4"/>
  <c r="AU35" i="4"/>
  <c r="AU14" i="4"/>
  <c r="AU589" i="4"/>
  <c r="AU567" i="4"/>
  <c r="AU547" i="4"/>
  <c r="AU527" i="4"/>
  <c r="AU506" i="4"/>
  <c r="AU486" i="4"/>
  <c r="AU466" i="4"/>
  <c r="AU445" i="4"/>
  <c r="AU423" i="4"/>
  <c r="AU403" i="4"/>
  <c r="AU383" i="4"/>
  <c r="AU362" i="4"/>
  <c r="AU342" i="4"/>
  <c r="AU322" i="4"/>
  <c r="AU301" i="4"/>
  <c r="AU279" i="4"/>
  <c r="AU259" i="4"/>
  <c r="AU239" i="4"/>
  <c r="AU218" i="4"/>
  <c r="AU198" i="4"/>
  <c r="AU178" i="4"/>
  <c r="AU157" i="4"/>
  <c r="AU135" i="4"/>
  <c r="AU115" i="4"/>
  <c r="AU95" i="4"/>
  <c r="AU74" i="4"/>
  <c r="AU54" i="4"/>
  <c r="AU34" i="4"/>
  <c r="AU13" i="4"/>
  <c r="AU587" i="4"/>
  <c r="AU566" i="4"/>
  <c r="AU546" i="4"/>
  <c r="AU526" i="4"/>
  <c r="AU505" i="4"/>
  <c r="AU483" i="4"/>
  <c r="AU463" i="4"/>
  <c r="AU443" i="4"/>
  <c r="AU422" i="4"/>
  <c r="AU402" i="4"/>
  <c r="AU382" i="4"/>
  <c r="AU361" i="4"/>
  <c r="AU339" i="4"/>
  <c r="AU319" i="4"/>
  <c r="AU299" i="4"/>
  <c r="AU278" i="4"/>
  <c r="AU258" i="4"/>
  <c r="AU238" i="4"/>
  <c r="AU217" i="4"/>
  <c r="AU195" i="4"/>
  <c r="AU175" i="4"/>
  <c r="AU155" i="4"/>
  <c r="AU134" i="4"/>
  <c r="AU114" i="4"/>
  <c r="AU94" i="4"/>
  <c r="AU73" i="4"/>
  <c r="AU51" i="4"/>
  <c r="AU31" i="4"/>
  <c r="AU11" i="4"/>
  <c r="AU586" i="4"/>
  <c r="AU565" i="4"/>
  <c r="AU543" i="4"/>
  <c r="AU523" i="4"/>
  <c r="AU503" i="4"/>
  <c r="AU482" i="4"/>
  <c r="AU462" i="4"/>
  <c r="AU442" i="4"/>
  <c r="AU421" i="4"/>
  <c r="AU399" i="4"/>
  <c r="AU379" i="4"/>
  <c r="AU359" i="4"/>
  <c r="AU338" i="4"/>
  <c r="AU318" i="4"/>
  <c r="AU298" i="4"/>
  <c r="AU277" i="4"/>
  <c r="AU255" i="4"/>
  <c r="AU235" i="4"/>
  <c r="AU215" i="4"/>
  <c r="AU194" i="4"/>
  <c r="AU174" i="4"/>
  <c r="AU154" i="4"/>
  <c r="AU133" i="4"/>
  <c r="AU111" i="4"/>
  <c r="AU91" i="4"/>
  <c r="AU71" i="4"/>
  <c r="AU50" i="4"/>
  <c r="AU30" i="4"/>
  <c r="AU10" i="4"/>
  <c r="AU583" i="4"/>
  <c r="AU563" i="4"/>
  <c r="AU542" i="4"/>
  <c r="AU522" i="4"/>
  <c r="AU502" i="4"/>
  <c r="AU481" i="4"/>
  <c r="AU459" i="4"/>
  <c r="AU439" i="4"/>
  <c r="AU419" i="4"/>
  <c r="AU398" i="4"/>
  <c r="AU378" i="4"/>
  <c r="AU358" i="4"/>
  <c r="AU337" i="4"/>
  <c r="AU315" i="4"/>
  <c r="AU295" i="4"/>
  <c r="AU275" i="4"/>
  <c r="AU254" i="4"/>
  <c r="AU234" i="4"/>
  <c r="AU214" i="4"/>
  <c r="AU193" i="4"/>
  <c r="AU171" i="4"/>
  <c r="AU151" i="4"/>
  <c r="AU131" i="4"/>
  <c r="AU110" i="4"/>
  <c r="AU90" i="4"/>
  <c r="AU70" i="4"/>
  <c r="AU49" i="4"/>
  <c r="AU27" i="4"/>
  <c r="AU8" i="4"/>
  <c r="AU582" i="4"/>
  <c r="AU562" i="4"/>
  <c r="AU541" i="4"/>
  <c r="AU519" i="4"/>
  <c r="AU499" i="4"/>
  <c r="AU479" i="4"/>
  <c r="AU458" i="4"/>
  <c r="AU438" i="4"/>
  <c r="AU418" i="4"/>
  <c r="AU397" i="4"/>
  <c r="AU375" i="4"/>
  <c r="AU355" i="4"/>
  <c r="AU335" i="4"/>
  <c r="AU314" i="4"/>
  <c r="AU294" i="4"/>
  <c r="AU274" i="4"/>
  <c r="AU253" i="4"/>
  <c r="AU231" i="4"/>
  <c r="AU211" i="4"/>
  <c r="AU191" i="4"/>
  <c r="AU170" i="4"/>
  <c r="AU150" i="4"/>
  <c r="AU130" i="4"/>
  <c r="AU109" i="4"/>
  <c r="AU87" i="4"/>
  <c r="AU67" i="4"/>
  <c r="AU47" i="4"/>
  <c r="AU26" i="4"/>
  <c r="AU601" i="4"/>
  <c r="AU579" i="4"/>
  <c r="AU559" i="4"/>
  <c r="AU539" i="4"/>
  <c r="AU518" i="4"/>
  <c r="AU498" i="4"/>
  <c r="AU478" i="4"/>
  <c r="AU457" i="4"/>
  <c r="AU435" i="4"/>
  <c r="AU415" i="4"/>
  <c r="AU395" i="4"/>
  <c r="AU374" i="4"/>
  <c r="AU354" i="4"/>
  <c r="AU334" i="4"/>
  <c r="AU313" i="4"/>
  <c r="AU291" i="4"/>
  <c r="AU271" i="4"/>
  <c r="AU251" i="4"/>
  <c r="AU230" i="4"/>
  <c r="AU210" i="4"/>
  <c r="AU190" i="4"/>
  <c r="AU169" i="4"/>
  <c r="AU147" i="4"/>
  <c r="AU127" i="4"/>
  <c r="AU107" i="4"/>
  <c r="AU86" i="4"/>
  <c r="AU66" i="4"/>
  <c r="AU46" i="4"/>
  <c r="AU25" i="4"/>
  <c r="AU599" i="4"/>
  <c r="AU578" i="4"/>
  <c r="AU558" i="4"/>
  <c r="AU538" i="4"/>
  <c r="AU517" i="4"/>
  <c r="AU495" i="4"/>
  <c r="AU475" i="4"/>
  <c r="AU455" i="4"/>
  <c r="AU434" i="4"/>
  <c r="AU414" i="4"/>
  <c r="AU394" i="4"/>
  <c r="AU373" i="4"/>
  <c r="AU351" i="4"/>
  <c r="AU331" i="4"/>
  <c r="AU311" i="4"/>
  <c r="AU290" i="4"/>
  <c r="AU270" i="4"/>
  <c r="AU250" i="4"/>
  <c r="AU229" i="4"/>
  <c r="AU207" i="4"/>
  <c r="AU187" i="4"/>
  <c r="AU167" i="4"/>
  <c r="AU146" i="4"/>
  <c r="AU126" i="4"/>
  <c r="AU106" i="4"/>
  <c r="AU85" i="4"/>
  <c r="AU63" i="4"/>
  <c r="AU43" i="4"/>
  <c r="AU23" i="4"/>
  <c r="AP1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P1" authorId="0" shapeId="0" xr:uid="{00000000-0006-0000-0300-000003000000}">
      <text>
        <r>
          <rPr>
            <sz val="10"/>
            <color rgb="FF000000"/>
            <rFont val="Arial"/>
            <scheme val="minor"/>
          </rPr>
          <t>======
ID#AAAB-Oz0X8w
    (2026-06-24 01:23:03)
計算方式為以下加總：
(1)頁面組件Total設定時間 
(2)檢查時間設定時間80%
(3)10 mins page base setting &amp;TA/Schedule 時間</t>
        </r>
      </text>
    </comment>
    <comment ref="AE4" authorId="0" shapeId="0" xr:uid="{00000000-0006-0000-0300-000005000000}">
      <text>
        <r>
          <rPr>
            <sz val="10"/>
            <color rgb="FF000000"/>
            <rFont val="Arial"/>
            <scheme val="minor"/>
          </rPr>
          <t>======
ID#AAAB-Oz0X-8
    (2026-06-24 01:23:03)
使用時機：
(1) 表單Copy副本後
(2) 插入新的一列，AO欄選完時
(3) 填寫欄位時發現公式跑掉時
※公式跑掉也能自行Copy 第8列公式</t>
        </r>
      </text>
    </comment>
    <comment ref="BK6" authorId="0" shapeId="0" xr:uid="{00000000-0006-0000-0300-000004000000}">
      <text>
        <r>
          <rPr>
            <sz val="10"/>
            <color rgb="FF000000"/>
            <rFont val="Arial"/>
            <scheme val="minor"/>
          </rPr>
          <t>======
ID#AAAB-Oz0X98
    (2026-06-24 01:23:03)
如有以下備註請列於此：
1.系統物件背景單獨加上底色(需提供色碼)
*jpg/png圖檔物件底色需請GD製作
2.前台展示：APP / PC only</t>
        </r>
      </text>
    </comment>
    <comment ref="BC7" authorId="0" shapeId="0" xr:uid="{00000000-0006-0000-0300-000001000000}">
      <text>
        <r>
          <rPr>
            <sz val="10"/>
            <color rgb="FF000000"/>
            <rFont val="Arial"/>
            <scheme val="minor"/>
          </rPr>
          <t>======
ID#AAAB-Oz0X90
    (2026-06-24 01:23:03)
如曝光5/25 00-02
start time請填寫 5/25 00
*若全走期都曝光，請清空欄位，毋需填寫</t>
        </r>
      </text>
    </comment>
    <comment ref="BD7" authorId="0" shapeId="0" xr:uid="{00000000-0006-0000-0300-000002000000}">
      <text>
        <r>
          <rPr>
            <sz val="10"/>
            <color rgb="FF000000"/>
            <rFont val="Arial"/>
            <scheme val="minor"/>
          </rPr>
          <t>======
ID#AAAB-Oz0X-A
    (2026-06-24 01:23:03)
如曝光5/25 00-02
end time請填寫 5/25 02
*若全走期都曝光，請清空欄位，毋需填寫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O4" authorId="0" shapeId="0" xr:uid="{00000000-0006-0000-0400-000002000000}">
      <text>
        <r>
          <rPr>
            <sz val="10"/>
            <color rgb="FF000000"/>
            <rFont val="Arial"/>
            <scheme val="minor"/>
          </rPr>
          <t>======
ID#AAAB-Oz0X9U
    (2026-06-24 01:23:03)
此區錨點文案，系統會自動帶入AF欄位的資訊，不需人工輸入</t>
        </r>
      </text>
    </comment>
    <comment ref="AO19" authorId="0" shapeId="0" xr:uid="{00000000-0006-0000-0400-00000B000000}">
      <text>
        <r>
          <rPr>
            <sz val="10"/>
            <color rgb="FF000000"/>
            <rFont val="Arial"/>
            <scheme val="minor"/>
          </rPr>
          <t>======
ID#AAAB-Oz0X-g
    (2026-06-24 01:23:03)
全站$50 collection
TA:all user</t>
        </r>
      </text>
    </comment>
    <comment ref="AO20" authorId="0" shapeId="0" xr:uid="{00000000-0006-0000-0400-000009000000}">
      <text>
        <r>
          <rPr>
            <sz val="10"/>
            <color rgb="FF000000"/>
            <rFont val="Arial"/>
            <scheme val="minor"/>
          </rPr>
          <t>======
ID#AAAB-Oz0X80
    (2026-06-24 01:23:03)
全站$50+回購券
TA:回購券user</t>
        </r>
      </text>
    </comment>
    <comment ref="AO21" authorId="0" shapeId="0" xr:uid="{00000000-0006-0000-0400-000006000000}">
      <text>
        <r>
          <rPr>
            <sz val="10"/>
            <color rgb="FF000000"/>
            <rFont val="Arial"/>
            <scheme val="minor"/>
          </rPr>
          <t>======
ID#AAAB-Oz0X-Y
    (2026-06-24 01:23:03)
全站$50 collection
TA:all user -回購券user</t>
        </r>
      </text>
    </comment>
    <comment ref="AO40" authorId="0" shapeId="0" xr:uid="{00000000-0006-0000-0400-000001000000}">
      <text>
        <r>
          <rPr>
            <sz val="10"/>
            <color rgb="FF000000"/>
            <rFont val="Arial"/>
            <scheme val="minor"/>
          </rPr>
          <t>======
ID#AAAB-Oz0X-s
    (2026-06-24 01:23:03)
請GD製作一個底色的MSBN，文字我們可以系統帶</t>
        </r>
      </text>
    </comment>
    <comment ref="AO44" authorId="0" shapeId="0" xr:uid="{00000000-0006-0000-0400-000010000000}">
      <text>
        <r>
          <rPr>
            <sz val="10"/>
            <color rgb="FF000000"/>
            <rFont val="Arial"/>
            <scheme val="minor"/>
          </rPr>
          <t>======
ID#AAAB-Oz0X-M
    (2026-06-24 01:23:03)
導下方iframe</t>
        </r>
      </text>
    </comment>
    <comment ref="AO45" authorId="0" shapeId="0" xr:uid="{00000000-0006-0000-0400-00000F000000}">
      <text>
        <r>
          <rPr>
            <sz val="10"/>
            <color rgb="FF000000"/>
            <rFont val="Arial"/>
            <scheme val="minor"/>
          </rPr>
          <t>======
ID#AAAB-Oz0X_U
    (2026-06-24 01:23:03)
請GD製作一個底色的MSBN，文字我們可以系統帶</t>
        </r>
      </text>
    </comment>
    <comment ref="AR46" authorId="0" shapeId="0" xr:uid="{00000000-0006-0000-0400-000011000000}">
      <text>
        <r>
          <rPr>
            <sz val="10"/>
            <color rgb="FF000000"/>
            <rFont val="Arial"/>
            <scheme val="minor"/>
          </rPr>
          <t>======
ID#AAAB-Oz0X-w
    (2026-06-24 01:23:03)
因為有三個TA不同任務金額，請GD夥伴製作切成三條，我們分開設定</t>
        </r>
      </text>
    </comment>
    <comment ref="AO47" authorId="0" shapeId="0" xr:uid="{00000000-0006-0000-0400-00000E000000}">
      <text>
        <r>
          <rPr>
            <sz val="10"/>
            <color rgb="FF000000"/>
            <rFont val="Arial"/>
            <scheme val="minor"/>
          </rPr>
          <t>======
ID#AAAB-Oz0X_E
    (2026-06-24 01:23:03)
請GD製作一個底色的MSBN，文字我們可以系統帶</t>
        </r>
      </text>
    </comment>
    <comment ref="AO49" authorId="0" shapeId="0" xr:uid="{00000000-0006-0000-0400-00000D000000}">
      <text>
        <r>
          <rPr>
            <sz val="10"/>
            <color rgb="FF000000"/>
            <rFont val="Arial"/>
            <scheme val="minor"/>
          </rPr>
          <t>======
ID#AAAB-Oz0X-E
    (2026-06-24 01:23:03)
請GD製作一個底色的MSBN，文字我們可以系統帶</t>
        </r>
      </text>
    </comment>
    <comment ref="AO51" authorId="0" shapeId="0" xr:uid="{00000000-0006-0000-0400-00000C000000}">
      <text>
        <r>
          <rPr>
            <sz val="10"/>
            <color rgb="FF000000"/>
            <rFont val="Arial"/>
            <scheme val="minor"/>
          </rPr>
          <t>======
ID#AAAB-Oz0X9k
    (2026-06-24 01:23:03)
導下方iframe</t>
        </r>
      </text>
    </comment>
    <comment ref="AO52" authorId="0" shapeId="0" xr:uid="{00000000-0006-0000-0400-00000A000000}">
      <text>
        <r>
          <rPr>
            <sz val="10"/>
            <color rgb="FF000000"/>
            <rFont val="Arial"/>
            <scheme val="minor"/>
          </rPr>
          <t>======
ID#AAAB-Oz0X8s
    (2026-06-24 01:23:03)
請GD製作一個底色的MSBN，文字我們可以系統帶</t>
        </r>
      </text>
    </comment>
    <comment ref="AO53" authorId="0" shapeId="0" xr:uid="{00000000-0006-0000-0400-000007000000}">
      <text>
        <r>
          <rPr>
            <sz val="10"/>
            <color rgb="FF000000"/>
            <rFont val="Arial"/>
            <scheme val="minor"/>
          </rPr>
          <t>======
ID#AAAB-Oz0X9g
    (2026-06-24 01:23:03)
請GD製作一個底色的MSBN，文字我們可以系統帶</t>
        </r>
      </text>
    </comment>
    <comment ref="AO61" authorId="0" shapeId="0" xr:uid="{00000000-0006-0000-0400-000005000000}">
      <text>
        <r>
          <rPr>
            <sz val="10"/>
            <color rgb="FF000000"/>
            <rFont val="Arial"/>
            <scheme val="minor"/>
          </rPr>
          <t>======
ID#AAAB-Oz0X8Q
    (2026-06-24 01:23:03)
Title: 馬上搶$4起好禮換購
popup Message 📢提醒將於活動前三分鐘發送！
URL: https://shopee.tw/m/4-4#mission
時間：4/3 23:57</t>
        </r>
      </text>
    </comment>
    <comment ref="AO98" authorId="0" shapeId="0" xr:uid="{00000000-0006-0000-0400-000003000000}">
      <text>
        <r>
          <rPr>
            <sz val="10"/>
            <color rgb="FF000000"/>
            <rFont val="Arial"/>
            <scheme val="minor"/>
          </rPr>
          <t>======
ID#AAAB-Oz0X8I
    (2026-06-24 01:23:03)
設定提醒我 popup=預設
Title=4/4下單送5/5 5張11%蝦幣回饋券
popup Message 📢提醒將於活動前三分鐘發送！
URL=https://shopee.tw/m/4-4#addvoucher
時間=4/3 23:57</t>
        </r>
      </text>
    </comment>
    <comment ref="AR98" authorId="0" shapeId="0" xr:uid="{00000000-0006-0000-0400-000004000000}">
      <text>
        <r>
          <rPr>
            <sz val="10"/>
            <color rgb="FF000000"/>
            <rFont val="Arial"/>
            <scheme val="minor"/>
          </rPr>
          <t>======
ID#AAAB-Oz0X9Y
    (2026-06-24 01:23:03)
設定提醒我 popup=預設
Title=快領專屬5/5 11%蝦幣回饋券
popup Message 📢提醒優惠券已開放領取
URL=https://shopee.tw/m/5-5#addvoucher
時間=4/10 11:59</t>
        </r>
      </text>
    </comment>
    <comment ref="AO149" authorId="0" shapeId="0" xr:uid="{00000000-0006-0000-0400-000008000000}">
      <text>
        <r>
          <rPr>
            <sz val="10"/>
            <color rgb="FF000000"/>
            <rFont val="Arial"/>
            <scheme val="minor"/>
          </rPr>
          <t>======
ID#AAAB-Oz0X8g
    (2026-06-24 01:23:03)
設定提醒我 popup=預設
Title=4/4 喜愛商品即將降價
popup Message 📢提醒將於活動前三分鐘發送！
URL=https://shopee.tw/m/4-4#addvoucher
時間=4/3 23:57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U3" authorId="0" shapeId="0" xr:uid="{00000000-0006-0000-0500-000013000000}">
      <text>
        <r>
          <rPr>
            <sz val="10"/>
            <color rgb="FF000000"/>
            <rFont val="Arial"/>
            <scheme val="minor"/>
          </rPr>
          <t>======
ID#AAAB-Oz0X88
    (2026-06-24 01:23:03)
若要執行 GD做圖表自動產出，AU-AV欄為必填</t>
        </r>
      </text>
    </comment>
    <comment ref="AV3" authorId="0" shapeId="0" xr:uid="{00000000-0006-0000-0500-000014000000}">
      <text>
        <r>
          <rPr>
            <sz val="10"/>
            <color rgb="FF000000"/>
            <rFont val="Arial"/>
            <scheme val="minor"/>
          </rPr>
          <t>======
ID#AAAB-Oz0X8Y
    (2026-06-24 01:23:03)
若要執行 GD做圖表自動產出，AU-AV欄為必填</t>
        </r>
      </text>
    </comment>
    <comment ref="AW3" authorId="0" shapeId="0" xr:uid="{00000000-0006-0000-0500-000015000000}">
      <text>
        <r>
          <rPr>
            <sz val="10"/>
            <color rgb="FF000000"/>
            <rFont val="Arial"/>
            <scheme val="minor"/>
          </rPr>
          <t>======
ID#AAAB-Oz0X8c
    (2026-06-24 01:23:03)
若不使用GD做圖分頁的話，可使用AW-BA欄完成GD資訊備註</t>
        </r>
      </text>
    </comment>
    <comment ref="AO4" authorId="0" shapeId="0" xr:uid="{00000000-0006-0000-0500-000001000000}">
      <text>
        <r>
          <rPr>
            <sz val="10"/>
            <color rgb="FF000000"/>
            <rFont val="Arial"/>
            <scheme val="minor"/>
          </rPr>
          <t>======
ID#AAAB-Oz0X-0
    (2026-06-24 01:23:03)
此區錨點文案，系統會自動帶入AF欄位的資訊，不需人工輸入</t>
        </r>
      </text>
    </comment>
    <comment ref="AT24" authorId="0" shapeId="0" xr:uid="{00000000-0006-0000-0500-000019000000}">
      <text>
        <r>
          <rPr>
            <sz val="10"/>
            <color rgb="FF000000"/>
            <rFont val="Arial"/>
            <scheme val="minor"/>
          </rPr>
          <t>======
ID#AAAB-Oz0X-U
    (2026-06-24 01:23:03)
提醒我
Start Time：2026-4-18 00:00:00
End Time：2026-4-18 23:59:59
Title：4/18 會員日即將開跑，立即用VIP專屬券！
Popup Message：預設
URL：https://shopee.tw/m/mid-month-sale</t>
        </r>
      </text>
    </comment>
    <comment ref="AT26" authorId="0" shapeId="0" xr:uid="{00000000-0006-0000-0500-000017000000}">
      <text>
        <r>
          <rPr>
            <sz val="10"/>
            <color rgb="FF000000"/>
            <rFont val="Arial"/>
            <scheme val="minor"/>
          </rPr>
          <t>======
ID#AAAB-Oz0X9I
    (2026-06-24 01:23:03)
https://shopee.tw/shopee-plus/manage</t>
        </r>
      </text>
    </comment>
    <comment ref="AO48" authorId="0" shapeId="0" xr:uid="{00000000-0006-0000-0500-00000B000000}">
      <text>
        <r>
          <rPr>
            <sz val="10"/>
            <color rgb="FF000000"/>
            <rFont val="Arial"/>
            <scheme val="minor"/>
          </rPr>
          <t>======
ID#AAAB-Oz0X-o
    (2026-06-24 01:23:03)
Camp / BI 商城券 (含CCB)
camp自行排程倒入</t>
        </r>
      </text>
    </comment>
    <comment ref="AP48" authorId="0" shapeId="0" xr:uid="{00000000-0006-0000-0500-00000D000000}">
      <text>
        <r>
          <rPr>
            <sz val="10"/>
            <color rgb="FF000000"/>
            <rFont val="Arial"/>
            <scheme val="minor"/>
          </rPr>
          <t>======
ID#AAAB-Oz0X8U
    (2026-06-24 01:23:03)
Camp / BI 全站券 (含CCB)
camp自行排程倒入</t>
        </r>
      </text>
    </comment>
    <comment ref="AQ48" authorId="0" shapeId="0" xr:uid="{00000000-0006-0000-0500-00000F000000}">
      <text>
        <r>
          <rPr>
            <sz val="10"/>
            <color rgb="FF000000"/>
            <rFont val="Arial"/>
            <scheme val="minor"/>
          </rPr>
          <t>======
ID#AAAB-Oz0X_Q
    (2026-06-24 01:23:03)
SCS $200 (SCS倒入)</t>
        </r>
      </text>
    </comment>
    <comment ref="AR48" authorId="0" shapeId="0" xr:uid="{00000000-0006-0000-0500-000010000000}">
      <text>
        <r>
          <rPr>
            <sz val="10"/>
            <color rgb="FF000000"/>
            <rFont val="Arial"/>
            <scheme val="minor"/>
          </rPr>
          <t>======
ID#AAAB-Oz0X84
    (2026-06-24 01:23:03)
LS倒入</t>
        </r>
      </text>
    </comment>
    <comment ref="AS48" authorId="0" shapeId="0" xr:uid="{00000000-0006-0000-0500-000011000000}">
      <text>
        <r>
          <rPr>
            <sz val="10"/>
            <color rgb="FF000000"/>
            <rFont val="Arial"/>
            <scheme val="minor"/>
          </rPr>
          <t>======
ID#AAAB-Oz0X-Q
    (2026-06-24 01:23:03)
NC% SMT倒入</t>
        </r>
      </text>
    </comment>
    <comment ref="AT48" authorId="0" shapeId="0" xr:uid="{00000000-0006-0000-0500-000012000000}">
      <text>
        <r>
          <rPr>
            <sz val="10"/>
            <color rgb="FF000000"/>
            <rFont val="Arial"/>
            <scheme val="minor"/>
          </rPr>
          <t>======
ID#AAAB-Oz0X_I
    (2026-06-24 01:23:03)
Bank倒入</t>
        </r>
      </text>
    </comment>
    <comment ref="AO50" authorId="0" shapeId="0" xr:uid="{00000000-0006-0000-0500-000007000000}">
      <text>
        <r>
          <rPr>
            <sz val="10"/>
            <color rgb="FF000000"/>
            <rFont val="Arial"/>
            <scheme val="minor"/>
          </rPr>
          <t>======
ID#AAAB-Oz0X9s
    (2026-06-24 01:23:03)
mall team倒入</t>
        </r>
      </text>
    </comment>
    <comment ref="AP50" authorId="0" shapeId="0" xr:uid="{00000000-0006-0000-0500-000009000000}">
      <text>
        <r>
          <rPr>
            <sz val="10"/>
            <color rgb="FF000000"/>
            <rFont val="Arial"/>
            <scheme val="minor"/>
          </rPr>
          <t>======
ID#AAAB-Oz0X_M
    (2026-06-24 01:23:03)
mall team倒入</t>
        </r>
      </text>
    </comment>
    <comment ref="AO52" authorId="0" shapeId="0" xr:uid="{00000000-0006-0000-0500-000004000000}">
      <text>
        <r>
          <rPr>
            <sz val="10"/>
            <color rgb="FF000000"/>
            <rFont val="Arial"/>
            <scheme val="minor"/>
          </rPr>
          <t>======
ID#AAAB-Oz0X9c
    (2026-06-24 01:23:03)
各類別自行倒入
https://docs.google.com/spreadsheets/d/1vsKnm5lGxX1j8S3wI9LlwKBDocD0tqilc4essrMm9OQ/edit?gid=77663665#gid=77663665</t>
        </r>
      </text>
    </comment>
    <comment ref="AP52" authorId="0" shapeId="0" xr:uid="{00000000-0006-0000-0500-000005000000}">
      <text>
        <r>
          <rPr>
            <sz val="10"/>
            <color rgb="FF000000"/>
            <rFont val="Arial"/>
            <scheme val="minor"/>
          </rPr>
          <t>======
ID#AAAB-Oz0X-I
    (2026-06-24 01:23:03)
LUXE倒入</t>
        </r>
      </text>
    </comment>
    <comment ref="AQ52" authorId="0" shapeId="0" xr:uid="{00000000-0006-0000-0500-000008000000}">
      <text>
        <r>
          <rPr>
            <sz val="10"/>
            <color rgb="FF000000"/>
            <rFont val="Arial"/>
            <scheme val="minor"/>
          </rPr>
          <t>======
ID#AAAB-Oz0X_A
    (2026-06-24 01:23:03)
Fashion倒入</t>
        </r>
      </text>
    </comment>
    <comment ref="AR52" authorId="0" shapeId="0" xr:uid="{00000000-0006-0000-0500-00000A000000}">
      <text>
        <r>
          <rPr>
            <sz val="10"/>
            <color rgb="FF000000"/>
            <rFont val="Arial"/>
            <scheme val="minor"/>
          </rPr>
          <t>======
ID#AAAB-Oz0X9w
    (2026-06-24 01:23:03)
coupang TKB 倒入</t>
        </r>
      </text>
    </comment>
    <comment ref="AS52" authorId="0" shapeId="0" xr:uid="{00000000-0006-0000-0500-00000C000000}">
      <text>
        <r>
          <rPr>
            <sz val="10"/>
            <color rgb="FF000000"/>
            <rFont val="Arial"/>
            <scheme val="minor"/>
          </rPr>
          <t>======
ID#AAAB-Oz0X-4
    (2026-06-24 01:23:03)
coupang F&amp;B 倒入</t>
        </r>
      </text>
    </comment>
    <comment ref="AT52" authorId="0" shapeId="0" xr:uid="{00000000-0006-0000-0500-00000E000000}">
      <text>
        <r>
          <rPr>
            <sz val="10"/>
            <color rgb="FF000000"/>
            <rFont val="Arial"/>
            <scheme val="minor"/>
          </rPr>
          <t>======
ID#AAAB-Oz0X9A
    (2026-06-24 01:23:03)
CB 倒入</t>
        </r>
      </text>
    </comment>
    <comment ref="AO54" authorId="0" shapeId="0" xr:uid="{00000000-0006-0000-0500-000002000000}">
      <text>
        <r>
          <rPr>
            <sz val="10"/>
            <color rgb="FF000000"/>
            <rFont val="Arial"/>
            <scheme val="minor"/>
          </rPr>
          <t>======
ID#AAAB-Oz0X9o
    (2026-06-24 01:23:03)
sv報名，support倒入</t>
        </r>
      </text>
    </comment>
    <comment ref="AT82" authorId="0" shapeId="0" xr:uid="{00000000-0006-0000-0500-00001A000000}">
      <text>
        <r>
          <rPr>
            <sz val="10"/>
            <color rgb="FF000000"/>
            <rFont val="Arial"/>
            <scheme val="minor"/>
          </rPr>
          <t>======
ID#AAAB-Oz0X9Q
    (2026-06-24 01:23:03)
APP CTA：https://shopee.tw/shopee-plus?client_id=8&amp;ref_source=me_page_svip_banner&amp;smtt=9&amp;deep_and_deferred=1
PC CTA：https://shopee.tw/m/shopeevip</t>
        </r>
      </text>
    </comment>
    <comment ref="AO83" authorId="0" shapeId="0" xr:uid="{00000000-0006-0000-0500-000006000000}">
      <text>
        <r>
          <rPr>
            <sz val="10"/>
            <color rgb="FF000000"/>
            <rFont val="Arial"/>
            <scheme val="minor"/>
          </rPr>
          <t>======
ID#AAAB-Oz0X8M
    (2026-06-24 01:23:03)
camp倒入</t>
        </r>
      </text>
    </comment>
    <comment ref="AO84" authorId="0" shapeId="0" xr:uid="{00000000-0006-0000-0500-000018000000}">
      <text>
        <r>
          <rPr>
            <sz val="10"/>
            <color rgb="FF000000"/>
            <rFont val="Arial"/>
            <scheme val="minor"/>
          </rPr>
          <t>======
ID#AAAB-Oz0X-c
    (2026-06-24 01:23:03)
11.18隱藏</t>
        </r>
      </text>
    </comment>
    <comment ref="AO85" authorId="0" shapeId="0" xr:uid="{00000000-0006-0000-0500-000003000000}">
      <text>
        <r>
          <rPr>
            <sz val="10"/>
            <color rgb="FF000000"/>
            <rFont val="Arial"/>
            <scheme val="minor"/>
          </rPr>
          <t>======
ID#AAAB-Oz0X8o
    (2026-06-24 01:23:03)
11.18才有，其餘檔期請隱藏</t>
        </r>
      </text>
    </comment>
    <comment ref="AO86" authorId="0" shapeId="0" xr:uid="{00000000-0006-0000-0500-000016000000}">
      <text>
        <r>
          <rPr>
            <sz val="10"/>
            <color rgb="FF000000"/>
            <rFont val="Arial"/>
            <scheme val="minor"/>
          </rPr>
          <t>======
ID#AAAB-Oz0X9E
    (2026-06-24 01:23:03)
11.18才有，其餘檔期請隱藏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14" authorId="0" shapeId="0" xr:uid="{00000000-0006-0000-0900-000001000000}">
      <text>
        <r>
          <rPr>
            <sz val="10"/>
            <color rgb="FF000000"/>
            <rFont val="Arial"/>
            <scheme val="minor"/>
          </rPr>
          <t>======
ID#AAAB-Oz0X94
    (2026-06-24 01:23:03)
如有以下備註請列於此：
1.物件背景單獨加上底色(需提供色碼)
*jpg/png物件底色需請GD製作
2.前台展示：APP / PC only</t>
        </r>
      </text>
    </comment>
    <comment ref="M131" authorId="0" shapeId="0" xr:uid="{00000000-0006-0000-0900-000002000000}">
      <text>
        <r>
          <rPr>
            <sz val="10"/>
            <color rgb="FF000000"/>
            <rFont val="Arial"/>
            <scheme val="minor"/>
          </rPr>
          <t>======
ID#AAAB-Oz0X9M
    (2026-06-24 01:23:03)
設定為Transparent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" authorId="0" shapeId="0" xr:uid="{00000000-0006-0000-0B00-000001000000}">
      <text>
        <r>
          <rPr>
            <sz val="10"/>
            <color rgb="FF000000"/>
            <rFont val="Arial"/>
            <scheme val="minor"/>
          </rPr>
          <t>======
ID#AAAB-Oz0X-k
    (2026-06-24 01:23:03)
* For period, input number "1" for Before Claim Period, "2" for Before Use Period</t>
        </r>
      </text>
    </comment>
    <comment ref="A3" authorId="0" shapeId="0" xr:uid="{00000000-0006-0000-0B00-000002000000}">
      <text>
        <r>
          <rPr>
            <sz val="10"/>
            <color rgb="FF000000"/>
            <rFont val="Arial"/>
            <scheme val="minor"/>
          </rPr>
          <t>======
ID#AAAB-Oz0X8k
    (2026-06-24 01:23:03)
若多張券放在同一component#項下，可將公式改為值後，向下新增欄位，填入相同component#
範例:
013 VID
013 VID
013 VID
014 VID</t>
        </r>
      </text>
    </comment>
  </commentList>
</comments>
</file>

<file path=xl/sharedStrings.xml><?xml version="1.0" encoding="utf-8"?>
<sst xmlns="http://schemas.openxmlformats.org/spreadsheetml/2006/main" count="7038" uniqueCount="1984">
  <si>
    <t>-MS section模版填寫步驟-</t>
  </si>
  <si>
    <t>申請PIC提供資訊</t>
  </si>
  <si>
    <t>入稿進度</t>
  </si>
  <si>
    <t>Type+組成型式</t>
  </si>
  <si>
    <t>組件編號</t>
  </si>
  <si>
    <t>示意圖供參
(pic不需填寫)</t>
  </si>
  <si>
    <t>設定時間 (min)</t>
  </si>
  <si>
    <t>OPS備註事項(重要!)</t>
  </si>
  <si>
    <t>Rule set</t>
  </si>
  <si>
    <t>設定備註欄位1</t>
  </si>
  <si>
    <t>設定備註欄位2</t>
  </si>
  <si>
    <t>設定備註欄位3</t>
  </si>
  <si>
    <t>設定備註欄位4</t>
  </si>
  <si>
    <t>設定備註欄位5</t>
  </si>
  <si>
    <t>特殊備註</t>
  </si>
  <si>
    <t>尚未入稿欄位數</t>
  </si>
  <si>
    <t>填寫時資訊對照欄位</t>
  </si>
  <si>
    <t>文字_活動說明-固定</t>
  </si>
  <si>
    <r>
      <rPr>
        <b/>
        <sz val="13"/>
        <color rgb="FFFF0000"/>
        <rFont val="Arial"/>
      </rPr>
      <t xml:space="preserve">step1 </t>
    </r>
    <r>
      <rPr>
        <sz val="10"/>
        <color rgb="FF000000"/>
        <rFont val="Arial"/>
      </rPr>
      <t xml:space="preserve">創建副本並開啟「加註」權限，MS Team名單如下：
amber.li@shopee.com
wanli.pai@shopee.com
lydia.wusy@shopee.com
ann.yang@shopee.com
audrey.chen@shopee.com
</t>
    </r>
    <r>
      <rPr>
        <b/>
        <sz val="13"/>
        <color rgb="FFFF0000"/>
        <rFont val="Arial"/>
      </rPr>
      <t xml:space="preserve">step2 </t>
    </r>
    <r>
      <rPr>
        <sz val="10"/>
        <color rgb="FF000000"/>
        <rFont val="Arial"/>
      </rPr>
      <t xml:space="preserve">於B欄位「依序」選擇需要的MS組成物件
</t>
    </r>
    <r>
      <rPr>
        <b/>
        <sz val="13"/>
        <color rgb="FFFF0000"/>
        <rFont val="Arial"/>
      </rPr>
      <t xml:space="preserve">step3 </t>
    </r>
    <r>
      <rPr>
        <sz val="10"/>
        <color rgb="FF000000"/>
        <rFont val="Arial"/>
      </rPr>
      <t xml:space="preserve">B欄位皆選取完成後，複製G-P欄位，右鍵選擇性貼上「值」，將公式改為值
</t>
    </r>
    <r>
      <rPr>
        <b/>
        <sz val="13"/>
        <color rgb="FFFF0000"/>
        <rFont val="Arial"/>
      </rPr>
      <t xml:space="preserve">step4 </t>
    </r>
    <r>
      <rPr>
        <sz val="10"/>
        <color rgb="FF000000"/>
        <rFont val="Arial"/>
      </rPr>
      <t>填寫G-P欄位，提供設定必要資訊</t>
    </r>
    <r>
      <rPr>
        <b/>
        <sz val="10"/>
        <color rgb="FF0000FF"/>
        <rFont val="Arial"/>
      </rPr>
      <t xml:space="preserve">
※(勿動)MS section公式用，該頁籤請勿刪除，否則公式會跑掉</t>
    </r>
  </si>
  <si>
    <t>頁面背景底色_固定</t>
  </si>
  <si>
    <t>Favourite Game</t>
  </si>
  <si>
    <t>頭巾_固定</t>
  </si>
  <si>
    <t>ErrorValue{type=NAME, messageId=UNKNOWN_RANGE_NAME, arguments=[str:SUM]}</t>
  </si>
  <si>
    <t>錨點_固定</t>
  </si>
  <si>
    <t>Gap</t>
  </si>
  <si>
    <t>mission計時器_固定</t>
  </si>
  <si>
    <t>KV_固定</t>
  </si>
  <si>
    <t>Collecion Group</t>
  </si>
  <si>
    <t>floating icon</t>
  </si>
  <si>
    <t>標題_置中</t>
  </si>
  <si>
    <t>標題_靠左</t>
  </si>
  <si>
    <t>Back To Top</t>
  </si>
  <si>
    <t>文字_說明文字-固定</t>
  </si>
  <si>
    <t>優惠券_一排1張</t>
  </si>
  <si>
    <t>優惠券_一排1張 + 一鍵領取</t>
  </si>
  <si>
    <t>品_一排1品(垂直展示)</t>
  </si>
  <si>
    <t>品_一排2品(垂直展示)</t>
  </si>
  <si>
    <t>品_一排3品(垂直展示)</t>
  </si>
  <si>
    <t>品_Collection 1條(水平展示)</t>
  </si>
  <si>
    <t>品_Collection 1條(水平展示) + 查看全部(Footer)</t>
  </si>
  <si>
    <t>圖_無CTA</t>
  </si>
  <si>
    <t>圖_LINK*1</t>
  </si>
  <si>
    <t>圖_LINK*2</t>
  </si>
  <si>
    <t>圖_Reminder&gt;5</t>
  </si>
  <si>
    <t>圖_輪播 水平滑動(display number per row 1)</t>
  </si>
  <si>
    <t>圖_GD 模板 - CTA 自行輸入文案(一排1個) CTA</t>
  </si>
  <si>
    <t>圖_GD 模板 - CTA 自行輸入文案(一排2個) Reminder+Reminder</t>
  </si>
  <si>
    <t>圖_GD 模板 - CTA 自行輸入文案(一排2個) CTA+Reminder</t>
  </si>
  <si>
    <t>圖_GD 模板 - CTA 自行輸入文案(一排2個) CTA+CTA</t>
  </si>
  <si>
    <t>圖_GD 模板 - LS 直播品類週 上蓋</t>
  </si>
  <si>
    <t>圖_GD 模板 - LS 日期(黃底)(一排3個)</t>
  </si>
  <si>
    <t>圖_GD 模板 - LS LOGO(黃底)(一排3品)</t>
  </si>
  <si>
    <t>圖_GD 模板 - LS 品名+$(黃底)(一排3品)</t>
  </si>
  <si>
    <t>圖_GD 模板 - LS CTA(黃底)(看直播/看直播/看直播)</t>
  </si>
  <si>
    <t>圖_GD 模板 - LS 直播品類週 下蓋</t>
  </si>
  <si>
    <t>Collecion Group_固定</t>
  </si>
  <si>
    <t>Voucher Group (隔日到貨)_固定</t>
  </si>
  <si>
    <t>Voucher Group (FSS免運門檻)_固定</t>
  </si>
  <si>
    <t>iframe (youtube/遊戲/mission)_固定</t>
  </si>
  <si>
    <t>Favourite Game_固定</t>
  </si>
  <si>
    <t>直播間_水平滑動</t>
  </si>
  <si>
    <t>Gap_固定灰bar</t>
  </si>
  <si>
    <t>Gap_空白格(需提供色碼)</t>
  </si>
  <si>
    <t>版權商標_淺色背景</t>
  </si>
  <si>
    <t>版權商標_深色背景</t>
  </si>
  <si>
    <t>floating icon(有mission計時器)_固定</t>
  </si>
  <si>
    <t>floating icon(無mission計時器)_固定</t>
  </si>
  <si>
    <t>吸底圖_LINK*3</t>
  </si>
  <si>
    <t>吸底圖_LINK*4</t>
  </si>
  <si>
    <t>Back to Top_固定</t>
  </si>
  <si>
    <r>
      <rPr>
        <b/>
        <sz val="10"/>
        <color rgb="FF0000FF"/>
        <rFont val="Calibri"/>
      </rPr>
      <t xml:space="preserve">## 每檔用公版創建副本，勾選"與同樣的協作者共用"，"並更新表單名稱為＂20XX.XX_18號會員日_MS設定_暖正L1＂
</t>
    </r>
    <r>
      <rPr>
        <b/>
        <sz val="10"/>
        <color rgb="FF000000"/>
        <rFont val="Calibri"/>
      </rPr>
      <t xml:space="preserve">## 分頁名稱勿動！避免公式跑掉
## 若新增欄位請將所有資訊填寫完整
💡Step 1：建立副本並開啟「加註」權限，分享給 MS Team 以下成員：
jo.chiang@shopee.com
irene.lin@shopee.com
ivy.huangyl@shopee.com
elena.jiangyx@shopee.com
joy.jhuang@shopee.com
amber.li@shopee.com
wanli.pai@shopee.com
lydia.wusy@shopee.com
ann.yang@shopee.com
audrey.chen@shopee.com
💡Step 2：填寫【版配】分頁資訊
</t>
    </r>
    <r>
      <rPr>
        <b/>
        <sz val="10"/>
        <color rgb="FF0000FF"/>
        <rFont val="Calibri"/>
      </rPr>
      <t>至「(勿動)Component Label公版」紫底點選允許存取</t>
    </r>
    <r>
      <rPr>
        <b/>
        <sz val="10"/>
        <color rgb="FF000000"/>
        <rFont val="Calibri"/>
      </rPr>
      <t xml:space="preserve">
依照目前的版配作檔期內容的調整，固定區塊皆可維持不動
</t>
    </r>
    <r>
      <rPr>
        <b/>
        <sz val="10"/>
        <color rgb="FF434343"/>
        <rFont val="Calibri"/>
      </rPr>
      <t>AE–AL 欄：基本設定資訊
AO–AT 欄：版配資訊
AU–BA 欄：GD 備註說明
BB–BC 欄：MS 組件欄位（必填）
BG–BH 欄：MS 備註說明（亦可於版配上清楚標註）</t>
    </r>
    <r>
      <rPr>
        <b/>
        <sz val="10"/>
        <color rgb="FF000000"/>
        <rFont val="Calibri"/>
      </rPr>
      <t xml:space="preserve">
💡Step 3（選用）：使用 GD 做圖列表功能
當版配 AU–AV 欄填寫完成後，可至【GD做圖】分頁執行公式自動帶出做圖清單
*分頁名稱務必保留【GD做圖】，以確保公式正常運作
※MS內部用&gt;&gt;分頁請勿刪除，公式會跑掉。
(僅供MS內部用)錨點上傳格式
(勿動)組件目錄表
(勿動)Component Label公版</t>
    </r>
  </si>
  <si>
    <t>🔗 錨點自動更新（版配分頁）</t>
  </si>
  <si>
    <t>1. 複製分頁或副本後自動生效</t>
  </si>
  <si>
    <t>2. 自動偵測含「版配」的分頁，編輯時自動套用公式</t>
  </si>
  <si>
    <r>
      <rPr>
        <b/>
        <sz val="14"/>
        <color theme="1"/>
        <rFont val="Calibri"/>
      </rPr>
      <t xml:space="preserve">3. </t>
    </r>
    <r>
      <rPr>
        <b/>
        <sz val="14"/>
        <color rgb="FF0000FF"/>
        <rFont val="Calibri"/>
      </rPr>
      <t>AO~AT 欄自動帶入</t>
    </r>
    <r>
      <rPr>
        <b/>
        <sz val="14"/>
        <color theme="1"/>
        <rFont val="Calibri"/>
      </rPr>
      <t xml:space="preserve"> AF 欄文案；若 AF 為「設隱形錨點」，不帶入內容</t>
    </r>
  </si>
  <si>
    <t>🌼 GD做圖表自動產出（GD做圖分頁）</t>
  </si>
  <si>
    <t>1. 複製分頁自動帶入，副本首次使用需完成授權（系統會引導完成1~2次授權)</t>
  </si>
  <si>
    <t>2. 公式僅處理當前「GD做圖」分頁，須手動點選 🌼GD做圖表自動產出，帶入公式</t>
  </si>
  <si>
    <r>
      <rPr>
        <b/>
        <sz val="14"/>
        <color theme="1"/>
        <rFont val="Calibri"/>
      </rPr>
      <t xml:space="preserve">3. </t>
    </r>
    <r>
      <rPr>
        <b/>
        <sz val="14"/>
        <color rgb="FF0000FF"/>
        <rFont val="Calibri"/>
      </rPr>
      <t>A~I 欄自動帶入</t>
    </r>
    <r>
      <rPr>
        <b/>
        <sz val="14"/>
        <color theme="1"/>
        <rFont val="Calibri"/>
      </rPr>
      <t xml:space="preserve"> B1 指定的版配分頁中，已勾選的 GD 做圖與套品欄位（AU/AV 欄），以及對應的版配資訊（AO - AT 欄）</t>
    </r>
  </si>
  <si>
    <t>4. J 欄後為 PIC 備註區，公式不覆蓋，若有欄位異動請手動更新</t>
  </si>
  <si>
    <t>填寫步驟→</t>
  </si>
  <si>
    <r>
      <rPr>
        <b/>
        <sz val="10"/>
        <color rgb="FFFF0000"/>
        <rFont val="Arial"/>
      </rPr>
      <t xml:space="preserve">step1 </t>
    </r>
    <r>
      <rPr>
        <b/>
        <sz val="10"/>
        <color theme="1"/>
        <rFont val="Arial"/>
      </rPr>
      <t xml:space="preserve">創建副本並開啟MS Team「編輯」權限，MS Team名單如下：
amber.li@shopee.com,wanli.pai@shopee.com,lydia.wusy@shopee.com,ann.yang@shopee.com,audrey.chen@shopee.com
</t>
    </r>
    <r>
      <rPr>
        <b/>
        <sz val="10"/>
        <color rgb="FFFF0000"/>
        <rFont val="Arial"/>
      </rPr>
      <t xml:space="preserve">step2 帶入系統公式 </t>
    </r>
    <r>
      <rPr>
        <b/>
        <sz val="10"/>
        <color theme="1"/>
        <rFont val="Arial"/>
      </rPr>
      <t xml:space="preserve">點選下方「Reset按鈕」執行程式碼，並至「(勿動)Component Label公版」頁籤點選允許存取
</t>
    </r>
    <r>
      <rPr>
        <b/>
        <sz val="10"/>
        <color rgb="FFFF0000"/>
        <rFont val="Arial"/>
      </rPr>
      <t xml:space="preserve">step3 提供美術工單 </t>
    </r>
    <r>
      <rPr>
        <b/>
        <sz val="10"/>
        <color theme="1"/>
        <rFont val="Arial"/>
      </rPr>
      <t xml:space="preserve">選擇「Type」、「組成形式」以帶入版配，並填寫「申請PIC提供資訊_GD_相關資訊」，其中GD做圖品需自行畫版配
</t>
    </r>
    <r>
      <rPr>
        <b/>
        <sz val="10"/>
        <color rgb="FFFF0000"/>
        <rFont val="Arial"/>
      </rPr>
      <t xml:space="preserve">step4 提供設定資訊 </t>
    </r>
    <r>
      <rPr>
        <b/>
        <sz val="10"/>
        <color theme="1"/>
        <rFont val="Arial"/>
      </rPr>
      <t xml:space="preserve">填寫「申請PIC提供資訊」欄位，其中「Start time 至 特殊備註」欄位，請先複製，並選擇性貼上「值」，將公式改為值後，再進行填寫
</t>
    </r>
    <r>
      <rPr>
        <b/>
        <sz val="10"/>
        <color rgb="FF0000FF"/>
        <rFont val="Arial"/>
      </rPr>
      <t>※(勿動)MS section公式用、(勿動)Component Label公版(勿動)，該頁籤請勿刪除或異動，否則公式會跑掉</t>
    </r>
  </si>
  <si>
    <t>入稿總覽→</t>
  </si>
  <si>
    <t>總設定時間 (min)</t>
  </si>
  <si>
    <t>由OPS填寫→</t>
  </si>
  <si>
    <t>MS Page ID</t>
  </si>
  <si>
    <t>PIC尚未入稿完成Component數</t>
  </si>
  <si>
    <t>Deep Link  
(點擊後跳轉至APP)</t>
  </si>
  <si>
    <r>
      <rPr>
        <b/>
        <sz val="10"/>
        <color rgb="FF000000"/>
        <rFont val="Arial"/>
      </rPr>
      <t xml:space="preserve">版配完整度 </t>
    </r>
    <r>
      <rPr>
        <b/>
        <sz val="10"/>
        <color rgb="FFFF0000"/>
        <rFont val="Arial"/>
      </rPr>
      <t>(未達90%將退件處理)</t>
    </r>
  </si>
  <si>
    <t>點Reset圖補公式</t>
  </si>
  <si>
    <t>(勿動)以下套用雙層下拉選單</t>
  </si>
  <si>
    <t>版配 (以下為範本)</t>
  </si>
  <si>
    <t>MS team check</t>
  </si>
  <si>
    <t>2025/XX/XX</t>
  </si>
  <si>
    <t>Component name</t>
  </si>
  <si>
    <t>Component label</t>
  </si>
  <si>
    <t>需設置錨點</t>
  </si>
  <si>
    <t>錨點文案</t>
  </si>
  <si>
    <t>自定義錨點
Name(未填自動帶Comp. label name)</t>
  </si>
  <si>
    <t>(不需填寫)
自動帶後台時間格式</t>
  </si>
  <si>
    <t>Start time</t>
  </si>
  <si>
    <t>End time</t>
  </si>
  <si>
    <t>特殊備註
(詳小黑點)</t>
  </si>
  <si>
    <t>內容完整無誤</t>
  </si>
  <si>
    <t xml:space="preserve">OPS設定備註 </t>
  </si>
  <si>
    <t>Camp回覆</t>
  </si>
  <si>
    <t>必填</t>
  </si>
  <si>
    <t>選填</t>
  </si>
  <si>
    <t>公式勿動</t>
  </si>
  <si>
    <t>若AX欄勾選填則為必填</t>
  </si>
  <si>
    <t>帶公式必填欄位</t>
  </si>
  <si>
    <t>勿動</t>
  </si>
  <si>
    <t>Productlabel</t>
  </si>
  <si>
    <t>固定</t>
  </si>
  <si>
    <t>N/A</t>
  </si>
  <si>
    <t>-</t>
  </si>
  <si>
    <t>短影音</t>
  </si>
  <si>
    <t>W-1</t>
  </si>
  <si>
    <t>LINK*1</t>
  </si>
  <si>
    <t>LINK*2</t>
  </si>
  <si>
    <t>LINK*3</t>
  </si>
  <si>
    <t>LINK&gt;3</t>
  </si>
  <si>
    <t>Reminder*1</t>
  </si>
  <si>
    <t>Reminder*2</t>
  </si>
  <si>
    <t>Reminder*3</t>
  </si>
  <si>
    <t>Reminder*4</t>
  </si>
  <si>
    <t>Reminder*5</t>
  </si>
  <si>
    <t>Reminder&gt;5</t>
  </si>
  <si>
    <t>LINK*1 + Reminder*1</t>
  </si>
  <si>
    <t>LINK*1 + Reminder*2</t>
  </si>
  <si>
    <t>LINK*2 + Reminder*1</t>
  </si>
  <si>
    <t>Add to Cart*1</t>
  </si>
  <si>
    <t>Add to Cart*2</t>
  </si>
  <si>
    <t>Add to Cart*3</t>
  </si>
  <si>
    <t>(Reminder+ATC) *1</t>
  </si>
  <si>
    <t>(Reminder+ATC) *2</t>
  </si>
  <si>
    <t>(Reminder+ATC) *3</t>
  </si>
  <si>
    <t>Popup*1</t>
  </si>
  <si>
    <t>Popup*2</t>
  </si>
  <si>
    <t>Popup*3</t>
  </si>
  <si>
    <t>Copy*1</t>
  </si>
  <si>
    <t>Copy*2</t>
  </si>
  <si>
    <t>Copy*3</t>
  </si>
  <si>
    <t>Share*1</t>
  </si>
  <si>
    <t>Share*2</t>
  </si>
  <si>
    <t>Share*3</t>
  </si>
  <si>
    <t>Placeholders</t>
  </si>
  <si>
    <t>圖_MSBN</t>
  </si>
  <si>
    <t>I-2</t>
  </si>
  <si>
    <t>頭巾</t>
  </si>
  <si>
    <t>A-3</t>
  </si>
  <si>
    <t>曝光首頁活動頁- 必選</t>
  </si>
  <si>
    <t>Image Collection</t>
  </si>
  <si>
    <t>KV</t>
  </si>
  <si>
    <t>無CTA</t>
  </si>
  <si>
    <t>A-5</t>
  </si>
  <si>
    <t>置中 + Display See All</t>
  </si>
  <si>
    <t>置左</t>
  </si>
  <si>
    <t>置左 + Display See All</t>
  </si>
  <si>
    <t>標題</t>
  </si>
  <si>
    <t>置中</t>
  </si>
  <si>
    <t>D-1</t>
  </si>
  <si>
    <t>文案上限21字內</t>
  </si>
  <si>
    <t>D-3</t>
  </si>
  <si>
    <t>圖_GD模版</t>
  </si>
  <si>
    <t>活動辦法-固定</t>
  </si>
  <si>
    <t>中標</t>
  </si>
  <si>
    <t>小標</t>
  </si>
  <si>
    <t>文字</t>
  </si>
  <si>
    <t>E-3</t>
  </si>
  <si>
    <t>APP：H3；PC：H2</t>
  </si>
  <si>
    <t>E-4</t>
  </si>
  <si>
    <t>APP：H4；PC：H2</t>
  </si>
  <si>
    <t>【供MKT Campaign使用】 時間軸(一排2個)</t>
  </si>
  <si>
    <t>一排1張 + Reminder(單張/多張)(無一鍵領取)</t>
  </si>
  <si>
    <t>一排1張 + 一鍵領取(多張)</t>
  </si>
  <si>
    <t>【僅供MKT Campaign使用】PC：一排兩張；APP：一排1張 + 一鍵領取(多張)</t>
  </si>
  <si>
    <t>【僅供MKT Campaign使用】PC：一排兩張；APP：一排1張 + 一鍵領取(多張) + Reminder</t>
  </si>
  <si>
    <t>【僅供MKT Campaign使用】PC：一排兩張；APP：一排1張 + 一鍵領取(多張) + Reminder + 查看全部(系統預設加上「優惠券」文案)</t>
  </si>
  <si>
    <t>一排2張(單張/多張)(無一鍵領取)</t>
  </si>
  <si>
    <t>一排2張 + Reminder(單張/多張)(無一鍵領取)</t>
  </si>
  <si>
    <t>一排2張 + 一鍵領取(多張)</t>
  </si>
  <si>
    <t>優惠券_真券</t>
  </si>
  <si>
    <t>【供MKT Campaign使用】 PC：一排兩張；APP：一排1張 + 一鍵領取(多張)</t>
  </si>
  <si>
    <t>MSBN / 做圖品 / 案型標題</t>
  </si>
  <si>
    <t>CTA</t>
  </si>
  <si>
    <t>大標</t>
  </si>
  <si>
    <t>GD 區</t>
  </si>
  <si>
    <t>GAP</t>
  </si>
  <si>
    <t>系統設定</t>
  </si>
  <si>
    <r>
      <rPr>
        <b/>
        <sz val="10"/>
        <color rgb="FFFFFFFF"/>
        <rFont val="Arial"/>
      </rPr>
      <t xml:space="preserve">自定義錨點
</t>
    </r>
    <r>
      <rPr>
        <b/>
        <sz val="10"/>
        <color rgb="FFFFFF00"/>
        <rFont val="Arial"/>
      </rPr>
      <t>(自動帶入Component label name)</t>
    </r>
  </si>
  <si>
    <t>Component Label (選填)</t>
  </si>
  <si>
    <t>曝光TA</t>
  </si>
  <si>
    <t>Start Time
(格式請填 MM/DD hh:mm)</t>
  </si>
  <si>
    <t>End Time
(格式請填 MM/DD hh:mm)</t>
  </si>
  <si>
    <t>公式勿動 (MS設定用)</t>
  </si>
  <si>
    <r>
      <rPr>
        <b/>
        <sz val="10"/>
        <color rgb="FFFFFFFF"/>
        <rFont val="Arial"/>
      </rPr>
      <t>版配</t>
    </r>
    <r>
      <rPr>
        <b/>
        <sz val="10"/>
        <color rgb="FFFFFF00"/>
        <rFont val="Arial"/>
      </rPr>
      <t xml:space="preserve">  </t>
    </r>
  </si>
  <si>
    <t>是否需製圖
 (選填)</t>
  </si>
  <si>
    <t>套品
 (選填)</t>
  </si>
  <si>
    <t>GD備註 / 示意圖</t>
  </si>
  <si>
    <r>
      <rPr>
        <b/>
        <sz val="10"/>
        <color rgb="FFFFFFFF"/>
        <rFont val="Arial"/>
      </rPr>
      <t xml:space="preserve">Component Type </t>
    </r>
    <r>
      <rPr>
        <b/>
        <sz val="10"/>
        <color rgb="FFFFFF00"/>
        <rFont val="Arial"/>
      </rPr>
      <t>(必填)</t>
    </r>
  </si>
  <si>
    <t>MS設定資訊</t>
  </si>
  <si>
    <t>Anchor</t>
  </si>
  <si>
    <t>新用戶</t>
  </si>
  <si>
    <t>免運券</t>
  </si>
  <si>
    <t>若有勾選則必填，隱藏錨點請填寫&lt;設隱形錨點&gt;</t>
  </si>
  <si>
    <t>錨點</t>
  </si>
  <si>
    <t>此區錨點文案，系統會自動帶入AF欄位的資訊，不需人工輸入</t>
  </si>
  <si>
    <t>Game Time Tracker</t>
  </si>
  <si>
    <t>mission計時器</t>
  </si>
  <si>
    <t>LABEL</t>
  </si>
  <si>
    <t>G:\共用雲端硬碟\EXT_TWN_SHP_外部-2025-H1\04\0404\BC_GAME\Big campaign\4.4購物節\02_KV\02_暖身</t>
  </si>
  <si>
    <t>4.4 購物節 (logo)</t>
  </si>
  <si>
    <t>L2_預告</t>
  </si>
  <si>
    <t>新用戶專屬優惠</t>
  </si>
  <si>
    <t>Rule Set ID : 1503 
Growth_pure_new_users_tag = 2</t>
  </si>
  <si>
    <t>新用戶專屬優惠券</t>
  </si>
  <si>
    <t>APP版</t>
  </si>
  <si>
    <t>※限定用戶使用，以實際結帳順序為主，若達使用上限即無法折抵。</t>
  </si>
  <si>
    <t>PC版</t>
  </si>
  <si>
    <t>※限定用戶使用，以實際結帳順序為主，若達使用上限即無法折抵；2023/5/1起優惠券限蝦皮APP使用，如欲使用請開啟APP結帳 (賣場優惠券及運費抵用券不在此限)</t>
  </si>
  <si>
    <r>
      <rPr>
        <sz val="10"/>
        <color theme="1"/>
        <rFont val="Arial"/>
      </rPr>
      <t>voucher ($100)
Voucher collection=</t>
    </r>
    <r>
      <rPr>
        <sz val="10"/>
        <color rgb="FF0000FF"/>
        <rFont val="Arial"/>
      </rPr>
      <t xml:space="preserve"> 12941791120</t>
    </r>
  </si>
  <si>
    <t>一排1張(單張/多張)(無一鍵領取)</t>
  </si>
  <si>
    <r>
      <rPr>
        <sz val="10"/>
        <color theme="1"/>
        <rFont val="Arial"/>
      </rPr>
      <t xml:space="preserve">FSV
Voucher collection=  </t>
    </r>
    <r>
      <rPr>
        <sz val="10"/>
        <color rgb="FF0000FF"/>
        <rFont val="Arial"/>
      </rPr>
      <t>12942992144</t>
    </r>
  </si>
  <si>
    <t>全站$50+11%蝦幣
(回購券已綁rule set，3/5後顯示多顯示9張)</t>
  </si>
  <si>
    <r>
      <rPr>
        <sz val="10"/>
        <color theme="1"/>
        <rFont val="Arial"/>
      </rPr>
      <t xml:space="preserve">NUZ BN
Image collection:  </t>
    </r>
    <r>
      <rPr>
        <sz val="10"/>
        <color rgb="FF0000FF"/>
        <rFont val="Arial"/>
      </rPr>
      <t>12942401680</t>
    </r>
  </si>
  <si>
    <t>空白格</t>
  </si>
  <si>
    <t>固定灰bar</t>
  </si>
  <si>
    <t>4.4一鍵秒領神券！</t>
  </si>
  <si>
    <t>3/5 00:00</t>
  </si>
  <si>
    <t>4/4 23:59</t>
  </si>
  <si>
    <r>
      <rPr>
        <sz val="10"/>
        <color theme="1"/>
        <rFont val="Arial"/>
      </rPr>
      <t>Voucher Collection=</t>
    </r>
    <r>
      <rPr>
        <b/>
        <sz val="10"/>
        <color rgb="FF0000FF"/>
        <rFont val="Arial"/>
      </rPr>
      <t>12950565136</t>
    </r>
    <r>
      <rPr>
        <sz val="10"/>
        <color theme="1"/>
        <rFont val="Arial"/>
      </rPr>
      <t xml:space="preserve">
app:</t>
    </r>
    <r>
      <rPr>
        <b/>
        <sz val="10"/>
        <color rgb="FFFF0000"/>
        <rFont val="Arial"/>
      </rPr>
      <t>顯示4張</t>
    </r>
    <r>
      <rPr>
        <sz val="10"/>
        <color theme="1"/>
        <rFont val="Arial"/>
      </rPr>
      <t xml:space="preserve">
pc:一行2張，共顯示4張</t>
    </r>
  </si>
  <si>
    <r>
      <rPr>
        <sz val="10"/>
        <color theme="1"/>
        <rFont val="Arial"/>
      </rPr>
      <t>Voucher Collection=</t>
    </r>
    <r>
      <rPr>
        <b/>
        <sz val="10"/>
        <color rgb="FF0000FF"/>
        <rFont val="Arial"/>
      </rPr>
      <t>12950491920</t>
    </r>
    <r>
      <rPr>
        <sz val="10"/>
        <color theme="1"/>
        <rFont val="Arial"/>
      </rPr>
      <t xml:space="preserve">
app:顯示9張
pc:一行2張，共顯示9張</t>
    </r>
  </si>
  <si>
    <r>
      <rPr>
        <sz val="10"/>
        <color theme="1"/>
        <rFont val="Arial"/>
      </rPr>
      <t>Voucher Collection=</t>
    </r>
    <r>
      <rPr>
        <b/>
        <sz val="10"/>
        <color rgb="FF0000FF"/>
        <rFont val="Arial"/>
      </rPr>
      <t>12950565136</t>
    </r>
    <r>
      <rPr>
        <sz val="10"/>
        <color theme="1"/>
        <rFont val="Arial"/>
      </rPr>
      <t xml:space="preserve">
app:</t>
    </r>
    <r>
      <rPr>
        <b/>
        <sz val="10"/>
        <color rgb="FFFF0000"/>
        <rFont val="Arial"/>
      </rPr>
      <t>顯示4張</t>
    </r>
    <r>
      <rPr>
        <sz val="10"/>
        <color theme="1"/>
        <rFont val="Arial"/>
      </rPr>
      <t xml:space="preserve">
pc:一行2張，共顯示4張</t>
    </r>
  </si>
  <si>
    <t>設隱形錨點</t>
  </si>
  <si>
    <t>4.4 $99起免運吃到飽，連假下單沒煩惱</t>
  </si>
  <si>
    <t>*預告跟暖身的component id需設定相同</t>
  </si>
  <si>
    <r>
      <rPr>
        <b/>
        <sz val="18"/>
        <color theme="1"/>
        <rFont val="Arial"/>
      </rPr>
      <t xml:space="preserve">$99起免運吃到飽
再領2張全站免運
</t>
    </r>
    <r>
      <rPr>
        <b/>
        <sz val="10"/>
        <color theme="1"/>
        <rFont val="Arial"/>
      </rPr>
      <t>保護文字:4/4免運吃到飽限蝦皮店到店/OK超商</t>
    </r>
  </si>
  <si>
    <t>領每人2張全站$399起免運</t>
  </si>
  <si>
    <t>※1張限4/4 00:00-02:00使用，1張限4/4 00:00-23:59使用</t>
  </si>
  <si>
    <t>※使用運費抵用券即享7-11、全家、萊爾富限量免運，活動須依店家賣場適用之物流為主，運費詳情請見使用規則</t>
  </si>
  <si>
    <t>小黃標：4/4限定</t>
  </si>
  <si>
    <t>4/4限時全站$399免運券
限4/4 00:00-02:00使用</t>
  </si>
  <si>
    <t>領取/提醒我/稍後使用</t>
  </si>
  <si>
    <t>VID= 1085931722801152</t>
  </si>
  <si>
    <t>蝦皮logo</t>
  </si>
  <si>
    <t>設定before use
Title: 立刻用4/4 $399起全站免運券
popup Message 📢提醒將於活動前三分鐘發送！
URL:https://shopee.tw/m/4-4#fs</t>
  </si>
  <si>
    <t>4/4全站$399免運券
限4/4 00:00-23:59使用</t>
  </si>
  <si>
    <t>VID= 1085931723063296</t>
  </si>
  <si>
    <t>設定before use
Title: Title: 立刻用4/4 $399起全站免運券
popup Message 📢提醒將於活動前三分鐘發送！
URL:https://shopee.tw/m/4-4#fs</t>
  </si>
  <si>
    <t>4.4宅配免運好物！先加購物車</t>
  </si>
  <si>
    <t>01_MSBN_2</t>
  </si>
  <si>
    <t>店到家宅配$490起免運</t>
  </si>
  <si>
    <t>宅配$490起免運</t>
  </si>
  <si>
    <t>$99起免運吃到飽</t>
  </si>
  <si>
    <t>一排2品(垂直展示)</t>
  </si>
  <si>
    <t>一排3品(垂直展示)</t>
  </si>
  <si>
    <t>Collection 1條(水平展示)</t>
  </si>
  <si>
    <t>Collection 1條(水平展示) + 查看全部(Footer)</t>
  </si>
  <si>
    <t>Multi tabs</t>
  </si>
  <si>
    <t>推薦品 Item Recommendation-固定</t>
  </si>
  <si>
    <t>店到家宅配</t>
  </si>
  <si>
    <t>宅配好物</t>
  </si>
  <si>
    <t>宅配新進好物</t>
  </si>
  <si>
    <t>品</t>
  </si>
  <si>
    <t>collection id：5787888</t>
  </si>
  <si>
    <t>collection id：5787890</t>
  </si>
  <si>
    <t>collection id：6750228</t>
  </si>
  <si>
    <t>下蓋</t>
  </si>
  <si>
    <t>01_MSBN_3</t>
  </si>
  <si>
    <t>蝦皮任務</t>
  </si>
  <si>
    <t>現在集點！4/4下單衛生紙真的只要$4</t>
  </si>
  <si>
    <t>解鎖任務換蝦幣
集點換購好禮$4起</t>
  </si>
  <si>
    <t>購物車+蝦幣icon
(下方也會放購物車icon，是否能有點區別)</t>
  </si>
  <si>
    <t>版配示意，文字細節如左側</t>
  </si>
  <si>
    <t>即日起-4/4 解鎖任務換蝦幣 再享$4換購衛生紙</t>
  </si>
  <si>
    <r>
      <rPr>
        <b/>
        <sz val="12"/>
        <color theme="1"/>
        <rFont val="Arial"/>
      </rPr>
      <t>瀏覽4.4 (logo)活動頁15秒
獲得</t>
    </r>
    <r>
      <rPr>
        <b/>
        <sz val="12"/>
        <color rgb="FFFF0000"/>
        <rFont val="Arial"/>
      </rPr>
      <t>1點</t>
    </r>
  </si>
  <si>
    <r>
      <rPr>
        <b/>
        <sz val="12"/>
        <color theme="1"/>
        <rFont val="Arial"/>
      </rPr>
      <t>加入1商品進購物車
獲得</t>
    </r>
    <r>
      <rPr>
        <b/>
        <sz val="12"/>
        <color rgb="FFFF0000"/>
        <rFont val="Arial"/>
      </rPr>
      <t xml:space="preserve">1點
</t>
    </r>
    <r>
      <rPr>
        <b/>
        <sz val="12"/>
        <color theme="1"/>
        <rFont val="Arial"/>
      </rPr>
      <t>(購物車icon)</t>
    </r>
  </si>
  <si>
    <r>
      <rPr>
        <b/>
        <sz val="12"/>
        <color theme="1"/>
        <rFont val="Arial"/>
      </rPr>
      <t>天天分享3好友
天天獲得</t>
    </r>
    <r>
      <rPr>
        <b/>
        <sz val="12"/>
        <color rgb="FFFF0000"/>
        <rFont val="Arial"/>
      </rPr>
      <t xml:space="preserve">3點
</t>
    </r>
    <r>
      <rPr>
        <b/>
        <sz val="12"/>
        <color theme="1"/>
        <rFont val="Arial"/>
      </rPr>
      <t>(蝦幣icon)</t>
    </r>
  </si>
  <si>
    <t>完成(蝦皮特選logo)店家任務 再拿更多點數！</t>
  </si>
  <si>
    <r>
      <rPr>
        <b/>
        <sz val="12"/>
        <color theme="1"/>
        <rFont val="Arial"/>
      </rPr>
      <t>瀏覽(蝦皮特選logo)店家頁面15秒
獲得</t>
    </r>
    <r>
      <rPr>
        <b/>
        <sz val="12"/>
        <color rgb="FFFF0000"/>
        <rFont val="Arial"/>
      </rPr>
      <t>2點</t>
    </r>
  </si>
  <si>
    <r>
      <rPr>
        <b/>
        <sz val="12"/>
        <color theme="1"/>
        <rFont val="Arial"/>
      </rPr>
      <t>加入1商品進購物車
獲得</t>
    </r>
    <r>
      <rPr>
        <b/>
        <sz val="12"/>
        <color rgb="FFFF0000"/>
        <rFont val="Arial"/>
      </rPr>
      <t xml:space="preserve">2點
</t>
    </r>
    <r>
      <rPr>
        <b/>
        <sz val="12"/>
        <color theme="1"/>
        <rFont val="Arial"/>
      </rPr>
      <t>(購物車icon)</t>
    </r>
  </si>
  <si>
    <r>
      <rPr>
        <b/>
        <sz val="12"/>
        <color theme="1"/>
        <rFont val="Arial"/>
      </rPr>
      <t>關注店家
獲得</t>
    </r>
    <r>
      <rPr>
        <b/>
        <sz val="12"/>
        <color rgb="FFFF0000"/>
        <rFont val="Arial"/>
      </rPr>
      <t xml:space="preserve">2點
</t>
    </r>
    <r>
      <rPr>
        <b/>
        <sz val="12"/>
        <color theme="1"/>
        <rFont val="Arial"/>
      </rPr>
      <t>(愛心icon)</t>
    </r>
  </si>
  <si>
    <t>立即解鎖►</t>
  </si>
  <si>
    <t>4/4 當天下單加碼送！</t>
  </si>
  <si>
    <r>
      <rPr>
        <b/>
        <sz val="12"/>
        <color theme="1"/>
        <rFont val="Arial"/>
      </rPr>
      <t>下單滿2筆獲得</t>
    </r>
    <r>
      <rPr>
        <b/>
        <sz val="12"/>
        <color rgb="FFFF0000"/>
        <rFont val="Arial"/>
      </rPr>
      <t xml:space="preserve">2點
</t>
    </r>
    <r>
      <rPr>
        <b/>
        <sz val="12"/>
        <color theme="1"/>
        <rFont val="Arial"/>
      </rPr>
      <t>(購物車icon)</t>
    </r>
  </si>
  <si>
    <r>
      <rPr>
        <b/>
        <sz val="12"/>
        <color theme="1"/>
        <rFont val="Arial"/>
      </rPr>
      <t>下單滿$1,000獲得</t>
    </r>
    <r>
      <rPr>
        <b/>
        <sz val="12"/>
        <color rgb="FFFF0000"/>
        <rFont val="Arial"/>
      </rPr>
      <t xml:space="preserve">3點
</t>
    </r>
    <r>
      <rPr>
        <b/>
        <sz val="12"/>
        <color theme="1"/>
        <rFont val="Arial"/>
      </rPr>
      <t>(購物車icon)</t>
    </r>
  </si>
  <si>
    <r>
      <rPr>
        <b/>
        <sz val="12"/>
        <color theme="1"/>
        <rFont val="Arial"/>
      </rPr>
      <t>下單滿2筆獲得</t>
    </r>
    <r>
      <rPr>
        <b/>
        <sz val="12"/>
        <color rgb="FFFF0000"/>
        <rFont val="Arial"/>
      </rPr>
      <t xml:space="preserve">2點
</t>
    </r>
    <r>
      <rPr>
        <b/>
        <sz val="12"/>
        <color theme="1"/>
        <rFont val="Arial"/>
      </rPr>
      <t>(購物車icon)</t>
    </r>
  </si>
  <si>
    <r>
      <rPr>
        <b/>
        <sz val="12"/>
        <color theme="1"/>
        <rFont val="Arial"/>
      </rPr>
      <t>下單滿$2,000獲得</t>
    </r>
    <r>
      <rPr>
        <b/>
        <sz val="12"/>
        <color rgb="FFFF0000"/>
        <rFont val="Arial"/>
      </rPr>
      <t xml:space="preserve">3點
</t>
    </r>
    <r>
      <rPr>
        <b/>
        <sz val="12"/>
        <color theme="1"/>
        <rFont val="Arial"/>
      </rPr>
      <t>(購物車icon)</t>
    </r>
  </si>
  <si>
    <r>
      <rPr>
        <b/>
        <sz val="12"/>
        <color theme="1"/>
        <rFont val="Arial"/>
      </rPr>
      <t>下單滿2筆獲得</t>
    </r>
    <r>
      <rPr>
        <b/>
        <sz val="12"/>
        <color rgb="FFFF0000"/>
        <rFont val="Arial"/>
      </rPr>
      <t xml:space="preserve">2點
</t>
    </r>
    <r>
      <rPr>
        <b/>
        <sz val="12"/>
        <color theme="1"/>
        <rFont val="Arial"/>
      </rPr>
      <t>(購物車icon)</t>
    </r>
  </si>
  <si>
    <r>
      <rPr>
        <b/>
        <sz val="12"/>
        <color theme="1"/>
        <rFont val="Arial"/>
      </rPr>
      <t>下單滿$3,000獲得</t>
    </r>
    <r>
      <rPr>
        <b/>
        <sz val="12"/>
        <color rgb="FFFF0000"/>
        <rFont val="Arial"/>
      </rPr>
      <t xml:space="preserve">3點
</t>
    </r>
    <r>
      <rPr>
        <b/>
        <sz val="12"/>
        <color theme="1"/>
        <rFont val="Arial"/>
      </rPr>
      <t>(購物車icon)</t>
    </r>
  </si>
  <si>
    <t>提醒我 4/4 回來換購►</t>
  </si>
  <si>
    <t>4.4好禮集點換</t>
  </si>
  <si>
    <t>獎勵有限，先換先贏，使用條件請見活動說明</t>
  </si>
  <si>
    <t>曝品圖</t>
  </si>
  <si>
    <t>1點 +$4 換購
好惠買衛生紙(包)</t>
  </si>
  <si>
    <t>3點 +$99 換購
蝦小編衛生紙(串)</t>
  </si>
  <si>
    <t>3點 +$199 換購
P&amp;G 4D洗衣膠球</t>
  </si>
  <si>
    <t>3點 +$28,888 換購
apple iPhone 16</t>
  </si>
  <si>
    <t>有兩張都要放</t>
  </si>
  <si>
    <t>一堆蝦幣</t>
  </si>
  <si>
    <t>1點換
0.1蝦幣</t>
  </si>
  <si>
    <t>icon插圖</t>
  </si>
  <si>
    <r>
      <rPr>
        <b/>
        <sz val="12"/>
        <color rgb="FFFF0000"/>
        <rFont val="Arial"/>
      </rPr>
      <t>3點</t>
    </r>
    <r>
      <rPr>
        <b/>
        <sz val="12"/>
        <color theme="1"/>
        <rFont val="Arial"/>
      </rPr>
      <t xml:space="preserve"> +$99 換購
蝦小編衛生紙(串)</t>
    </r>
  </si>
  <si>
    <r>
      <rPr>
        <b/>
        <sz val="12"/>
        <color rgb="FFFF0000"/>
        <rFont val="Arial"/>
      </rPr>
      <t>3點</t>
    </r>
    <r>
      <rPr>
        <b/>
        <sz val="12"/>
        <color theme="1"/>
        <rFont val="Arial"/>
      </rPr>
      <t xml:space="preserve"> +$199 換購
P&amp;G 4D洗衣膠球</t>
    </r>
  </si>
  <si>
    <r>
      <rPr>
        <b/>
        <sz val="12"/>
        <color rgb="FFFF0000"/>
        <rFont val="Arial"/>
      </rPr>
      <t>3點</t>
    </r>
    <r>
      <rPr>
        <b/>
        <sz val="12"/>
        <color theme="1"/>
        <rFont val="Arial"/>
      </rPr>
      <t xml:space="preserve"> +$28,888 換購
iPhone 16</t>
    </r>
  </si>
  <si>
    <t>mission iframe：
&lt;iframe frameborder="0" scrolling="no" width="375" height="445" src="https://idgame.shopee.tw/buyer-quest/iframe-general/e9ec1ce709c341d6"&gt;&lt;/iframe&gt;</t>
  </si>
  <si>
    <t>蝦幣案型</t>
  </si>
  <si>
    <t>回購享蝦幣11%回饋</t>
  </si>
  <si>
    <t>快領專屬優惠券
5張11%蝦幣回饋</t>
  </si>
  <si>
    <t>全站11%蝦幣回饋券</t>
  </si>
  <si>
    <t xml:space="preserve">限定用戶專屬，數量有限，用完為止，優惠券使用細節請參考使用規則  </t>
  </si>
  <si>
    <t>小黃標：4/4 限定</t>
  </si>
  <si>
    <t>系統帶券 
VID=請見右側表格</t>
  </si>
  <si>
    <t xml:space="preserve"> </t>
  </si>
  <si>
    <t>下單送5張
11%蝦幣回饋券</t>
  </si>
  <si>
    <t xml:space="preserve">※活動限定4/4當天下單即可獲得5/5 11%蝦幣回饋券5張 ! </t>
  </si>
  <si>
    <t xml:space="preserve">將於4/8後開放符合資格之用戶於5.5購物節活動頁面中領取，數量有限，用完為止，優惠券使用細節請參考使用規則 </t>
  </si>
  <si>
    <t>提醒我4/4下單►
(提醒我設定請見備註)</t>
  </si>
  <si>
    <t>提醒我領5/5券►
(提醒我設定請見備註)</t>
  </si>
  <si>
    <t>領更多優惠券</t>
  </si>
  <si>
    <r>
      <rPr>
        <sz val="10"/>
        <color theme="1"/>
        <rFont val="Arial"/>
      </rPr>
      <t xml:space="preserve">18 FSV+Voucher
voucher collection = </t>
    </r>
    <r>
      <rPr>
        <sz val="10"/>
        <color rgb="FF0000FF"/>
        <rFont val="Arial"/>
      </rPr>
      <t>12917925776</t>
    </r>
  </si>
  <si>
    <r>
      <rPr>
        <sz val="10"/>
        <color theme="1"/>
        <rFont val="Arial"/>
      </rPr>
      <t xml:space="preserve">25 FSV+Voucher
voucher collection = </t>
    </r>
    <r>
      <rPr>
        <sz val="10"/>
        <color rgb="FF0000FF"/>
        <rFont val="Arial"/>
      </rPr>
      <t>12946223504</t>
    </r>
  </si>
  <si>
    <t>4/4優惠券狂灑！秒領不錯過</t>
  </si>
  <si>
    <t>全站$50準時開搶</t>
  </si>
  <si>
    <t>數量有限，用完為止，優惠券使用細節請參考使用規則</t>
  </si>
  <si>
    <r>
      <rPr>
        <sz val="10"/>
        <color rgb="FFFFFFFF"/>
        <rFont val="Arial"/>
      </rPr>
      <t>4/4 00:00</t>
    </r>
    <r>
      <rPr>
        <sz val="10"/>
        <color rgb="FFFFFFFF"/>
        <rFont val="Arial"/>
      </rPr>
      <t xml:space="preserve">
</t>
    </r>
    <r>
      <rPr>
        <sz val="10"/>
        <color rgb="FFFFFFFF"/>
        <rFont val="Arial"/>
      </rPr>
      <t>(色號:113366)</t>
    </r>
  </si>
  <si>
    <r>
      <rPr>
        <sz val="10"/>
        <color rgb="FFFFFFFF"/>
        <rFont val="Arial"/>
      </rPr>
      <t>4/4 12:00</t>
    </r>
    <r>
      <rPr>
        <sz val="10"/>
        <color rgb="FFFFFFFF"/>
        <rFont val="Arial"/>
      </rPr>
      <t xml:space="preserve">
</t>
    </r>
    <r>
      <rPr>
        <sz val="10"/>
        <color rgb="FFFFFFFF"/>
        <rFont val="Arial"/>
      </rPr>
      <t>(色號:113366)</t>
    </r>
  </si>
  <si>
    <t>小黃標：4/4 00:00</t>
  </si>
  <si>
    <t>小黃標：4/4 12:00</t>
  </si>
  <si>
    <r>
      <rPr>
        <sz val="10"/>
        <color rgb="FFFFFFFF"/>
        <rFont val="Arial"/>
      </rPr>
      <t>4/4 18:00</t>
    </r>
    <r>
      <rPr>
        <sz val="10"/>
        <color rgb="FFFFFFFF"/>
        <rFont val="Arial"/>
      </rPr>
      <t xml:space="preserve">
</t>
    </r>
    <r>
      <rPr>
        <sz val="10"/>
        <color rgb="FFFFFFFF"/>
        <rFont val="Arial"/>
      </rPr>
      <t>(色號:113366)</t>
    </r>
  </si>
  <si>
    <r>
      <rPr>
        <sz val="10"/>
        <color rgb="FFFFFFFF"/>
        <rFont val="Arial"/>
      </rPr>
      <t>4/4 22:00</t>
    </r>
    <r>
      <rPr>
        <sz val="10"/>
        <color rgb="FFFFFFFF"/>
        <rFont val="Arial"/>
      </rPr>
      <t xml:space="preserve">
</t>
    </r>
    <r>
      <rPr>
        <sz val="10"/>
        <color rgb="FFFFFFFF"/>
        <rFont val="Arial"/>
      </rPr>
      <t>(色號:113366)</t>
    </r>
  </si>
  <si>
    <t>小黃標：4/4 18:00</t>
  </si>
  <si>
    <t>小黃標：4/4 22:00</t>
  </si>
  <si>
    <t>老闆加碼超實在！搶先領取4/4用</t>
  </si>
  <si>
    <t>商城92折
VID=請見右側表格</t>
  </si>
  <si>
    <t>蝦皮商城logo</t>
  </si>
  <si>
    <t>商城93折
VID=請見右側表格</t>
  </si>
  <si>
    <t>商城95折
VID=請見右側表格</t>
  </si>
  <si>
    <t>全站95折
VID=請見右側表格</t>
  </si>
  <si>
    <t>全站logo</t>
  </si>
  <si>
    <t>全站96折
VID=請見右側表格</t>
  </si>
  <si>
    <t>全站97折
VID=請見右側表格</t>
  </si>
  <si>
    <t>小黃標：優選賣家限定</t>
  </si>
  <si>
    <t>全站蝦幣回饋6%
VID=請見右側表格</t>
  </si>
  <si>
    <t>小黃標：限免運吃到飽店家</t>
  </si>
  <si>
    <t>$999-$50
VID=請見右側表格</t>
  </si>
  <si>
    <t>小黃標：限蝦皮特選</t>
  </si>
  <si>
    <t>$499-$20
VID=請見右側表格</t>
  </si>
  <si>
    <t>$399-$15
VID=請見右側表格</t>
  </si>
  <si>
    <t>蝦皮優選好評商家放心買</t>
  </si>
  <si>
    <t>MSBN
G:\共用雲端硬碟\EXT_TWN_SHP_外部-2025-H1\01\0123\BC_GAME\常態活動(BAU)\0123_ Worry Free Microsite\BN-assets\02_HBN_360</t>
  </si>
  <si>
    <t>臨時案型1</t>
  </si>
  <si>
    <t>精選好物9折起！這樣買出遊就是件小事情</t>
  </si>
  <si>
    <t>輕裝出遊9折起
連假就要這樣買</t>
  </si>
  <si>
    <t>人像插圖
托行李箱</t>
  </si>
  <si>
    <t>GD:人物插圖+行李箱，整體會被縮小
是否可以由GD選擇適合出遊的圖像</t>
  </si>
  <si>
    <t>※優惠商品數量有限，售完為止。商品之顏色、規格，皆以實際賣家販賣商品頁之物品為準。</t>
  </si>
  <si>
    <t>商品</t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</si>
  <si>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品名7字內
</t>
    </r>
    <r>
      <rPr>
        <strike/>
        <sz val="10"/>
        <color theme="1"/>
        <rFont val="Arial"/>
      </rPr>
      <t>原價$????</t>
    </r>
    <r>
      <rPr>
        <sz val="10"/>
        <color theme="1"/>
        <rFont val="Arial"/>
      </rPr>
      <t xml:space="preserve">
</t>
    </r>
    <r>
      <rPr>
        <b/>
        <sz val="10"/>
        <color rgb="FFFF0000"/>
        <rFont val="Arial"/>
      </rPr>
      <t>4/4獨家價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</si>
  <si>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品名7字內
</t>
    </r>
    <r>
      <rPr>
        <strike/>
        <sz val="10"/>
        <color theme="1"/>
        <rFont val="Arial"/>
      </rPr>
      <t>原價$X,XXX</t>
    </r>
    <r>
      <rPr>
        <sz val="10"/>
        <color theme="1"/>
        <rFont val="Arial"/>
      </rPr>
      <t xml:space="preserve">
</t>
    </r>
    <r>
      <rPr>
        <b/>
        <sz val="10"/>
        <color rgb="FFFF0000"/>
        <rFont val="Arial"/>
      </rPr>
      <t>優惠價$X,XXX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</si>
  <si>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品名7字內
</t>
    </r>
    <r>
      <rPr>
        <strike/>
        <sz val="10"/>
        <color theme="1"/>
        <rFont val="Arial"/>
      </rPr>
      <t>原價$X,XXX</t>
    </r>
    <r>
      <rPr>
        <sz val="10"/>
        <color theme="1"/>
        <rFont val="Arial"/>
      </rPr>
      <t xml:space="preserve">
</t>
    </r>
    <r>
      <rPr>
        <b/>
        <sz val="10"/>
        <color rgb="FFFF0000"/>
        <rFont val="Arial"/>
      </rPr>
      <t>優惠價$X,XXX</t>
    </r>
  </si>
  <si>
    <t>提醒我►</t>
  </si>
  <si>
    <t>逛逛去►</t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</si>
  <si>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品名7字內
</t>
    </r>
    <r>
      <rPr>
        <strike/>
        <sz val="10"/>
        <color theme="1"/>
        <rFont val="Arial"/>
      </rPr>
      <t>原價$????</t>
    </r>
    <r>
      <rPr>
        <sz val="10"/>
        <color theme="1"/>
        <rFont val="Arial"/>
      </rPr>
      <t xml:space="preserve">
</t>
    </r>
    <r>
      <rPr>
        <b/>
        <sz val="10"/>
        <color rgb="FFFF0000"/>
        <rFont val="Arial"/>
      </rPr>
      <t>4/4獨家價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</si>
  <si>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品名7字內
</t>
    </r>
    <r>
      <rPr>
        <strike/>
        <sz val="10"/>
        <color theme="1"/>
        <rFont val="Arial"/>
      </rPr>
      <t>原價$X,XXX</t>
    </r>
    <r>
      <rPr>
        <sz val="10"/>
        <color theme="1"/>
        <rFont val="Arial"/>
      </rPr>
      <t xml:space="preserve">
</t>
    </r>
    <r>
      <rPr>
        <b/>
        <sz val="10"/>
        <color rgb="FFFF0000"/>
        <rFont val="Arial"/>
      </rPr>
      <t>優惠價$X,XXX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</si>
  <si>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品名7字內
</t>
    </r>
    <r>
      <rPr>
        <strike/>
        <sz val="10"/>
        <color theme="1"/>
        <rFont val="Arial"/>
      </rPr>
      <t>原價$X,XXX</t>
    </r>
    <r>
      <rPr>
        <sz val="10"/>
        <color theme="1"/>
        <rFont val="Arial"/>
      </rPr>
      <t xml:space="preserve">
</t>
    </r>
    <r>
      <rPr>
        <b/>
        <sz val="10"/>
        <color rgb="FFFF0000"/>
        <rFont val="Arial"/>
      </rPr>
      <t>優惠價$X,XXX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</si>
  <si>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品名7字內
</t>
    </r>
    <r>
      <rPr>
        <strike/>
        <sz val="10"/>
        <color theme="1"/>
        <rFont val="Arial"/>
      </rPr>
      <t>原價$X,XXX</t>
    </r>
    <r>
      <rPr>
        <sz val="10"/>
        <color theme="1"/>
        <rFont val="Arial"/>
      </rPr>
      <t xml:space="preserve">
</t>
    </r>
    <r>
      <rPr>
        <b/>
        <sz val="10"/>
        <color rgb="FFFF0000"/>
        <rFont val="Arial"/>
      </rPr>
      <t>優惠價$X,XXX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</si>
  <si>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品名7字內
</t>
    </r>
    <r>
      <rPr>
        <strike/>
        <sz val="10"/>
        <color theme="1"/>
        <rFont val="Arial"/>
      </rPr>
      <t>原價$X,XXX</t>
    </r>
    <r>
      <rPr>
        <sz val="10"/>
        <color theme="1"/>
        <rFont val="Arial"/>
      </rPr>
      <t xml:space="preserve">
</t>
    </r>
    <r>
      <rPr>
        <b/>
        <sz val="10"/>
        <color rgb="FFFF0000"/>
        <rFont val="Arial"/>
      </rPr>
      <t>優惠價$X,XXX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</si>
  <si>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品名7字內
</t>
    </r>
    <r>
      <rPr>
        <strike/>
        <sz val="10"/>
        <color theme="1"/>
        <rFont val="Arial"/>
      </rPr>
      <t>原價$X,XXX</t>
    </r>
    <r>
      <rPr>
        <sz val="10"/>
        <color theme="1"/>
        <rFont val="Arial"/>
      </rPr>
      <t xml:space="preserve">
</t>
    </r>
    <r>
      <rPr>
        <b/>
        <sz val="10"/>
        <color rgb="FFFF0000"/>
        <rFont val="Arial"/>
      </rPr>
      <t>優惠價$X,XXX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</si>
  <si>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品名7字內
</t>
    </r>
    <r>
      <rPr>
        <strike/>
        <sz val="10"/>
        <color theme="1"/>
        <rFont val="Arial"/>
      </rPr>
      <t>原價$X,XXX</t>
    </r>
    <r>
      <rPr>
        <sz val="10"/>
        <color theme="1"/>
        <rFont val="Arial"/>
      </rPr>
      <t xml:space="preserve">
</t>
    </r>
    <r>
      <rPr>
        <b/>
        <sz val="10"/>
        <color rgb="FFFF0000"/>
        <rFont val="Arial"/>
      </rPr>
      <t>優惠價$X,XXX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</si>
  <si>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品名7字內
</t>
    </r>
    <r>
      <rPr>
        <strike/>
        <sz val="10"/>
        <color theme="1"/>
        <rFont val="Arial"/>
      </rPr>
      <t>原價$X,XXX</t>
    </r>
    <r>
      <rPr>
        <sz val="10"/>
        <color theme="1"/>
        <rFont val="Arial"/>
      </rPr>
      <t xml:space="preserve">
</t>
    </r>
    <r>
      <rPr>
        <b/>
        <sz val="10"/>
        <color rgb="FFFF0000"/>
        <rFont val="Arial"/>
      </rPr>
      <t>優惠價$X,XXX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</si>
  <si>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品名7字內
</t>
    </r>
    <r>
      <rPr>
        <strike/>
        <sz val="10"/>
        <color theme="1"/>
        <rFont val="Arial"/>
      </rPr>
      <t>原價$X,XXX</t>
    </r>
    <r>
      <rPr>
        <sz val="10"/>
        <color theme="1"/>
        <rFont val="Arial"/>
      </rPr>
      <t xml:space="preserve">
</t>
    </r>
    <r>
      <rPr>
        <b/>
        <sz val="10"/>
        <color rgb="FFFF0000"/>
        <rFont val="Arial"/>
      </rPr>
      <t>優惠價$X,XXX</t>
    </r>
  </si>
  <si>
    <t>出遊用券更便宜</t>
  </si>
  <si>
    <t>系統帶品
SID：120791117
PID：24040430312</t>
  </si>
  <si>
    <t>系統帶品
SID：133175422
PID：13297834189</t>
  </si>
  <si>
    <t>系統帶品
SID：1213755759
PID：26721635396</t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</si>
  <si>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文案7字內
4.4限定
</t>
    </r>
    <r>
      <rPr>
        <b/>
        <sz val="10"/>
        <color rgb="FFFF0000"/>
        <rFont val="Arial"/>
      </rPr>
      <t>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</si>
  <si>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文案7字內
4.4限定
</t>
    </r>
    <r>
      <rPr>
        <b/>
        <sz val="10"/>
        <color rgb="FFFF0000"/>
        <rFont val="Arial"/>
      </rPr>
      <t>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</si>
  <si>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文案7字內
4.4限定
</t>
    </r>
    <r>
      <rPr>
        <b/>
        <sz val="10"/>
        <color rgb="FFFF0000"/>
        <rFont val="Arial"/>
      </rPr>
      <t>$X,XXX</t>
    </r>
  </si>
  <si>
    <t>系統帶品
SID：133175422
PID：25601108958</t>
  </si>
  <si>
    <t>系統帶品
SID：1213755759
PID：25823099141</t>
  </si>
  <si>
    <t>系統帶品
SID：391453161
PID：29157667351</t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</si>
  <si>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文案7字內
4.4限定
</t>
    </r>
    <r>
      <rPr>
        <b/>
        <sz val="10"/>
        <color rgb="FFFF0000"/>
        <rFont val="Arial"/>
      </rPr>
      <t>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</si>
  <si>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文案7字內
4.4限定
</t>
    </r>
    <r>
      <rPr>
        <b/>
        <sz val="10"/>
        <color rgb="FFFF0000"/>
        <rFont val="Arial"/>
      </rPr>
      <t>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</si>
  <si>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文案7字內
4.4限定
</t>
    </r>
    <r>
      <rPr>
        <b/>
        <sz val="10"/>
        <color rgb="FFFF0000"/>
        <rFont val="Arial"/>
      </rPr>
      <t>$X,XXX</t>
    </r>
  </si>
  <si>
    <t>連假要吃飽</t>
  </si>
  <si>
    <t>連假要睡好</t>
  </si>
  <si>
    <t>連假要買好</t>
  </si>
  <si>
    <t>collection id：5806284</t>
  </si>
  <si>
    <t>collection id：5806422</t>
  </si>
  <si>
    <t>collection id：5806418</t>
  </si>
  <si>
    <t>出遊買蝦MI</t>
  </si>
  <si>
    <t>系統帶品
SID：15199365
PID：25557447430</t>
  </si>
  <si>
    <t>系統帶品
SID：15199365
PID：24907448068</t>
  </si>
  <si>
    <t>系統帶品
SID：15199365
PID：24886049184</t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</si>
  <si>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文案7字內
4.4限定
</t>
    </r>
    <r>
      <rPr>
        <b/>
        <sz val="10"/>
        <color rgb="FFFF0000"/>
        <rFont val="Arial"/>
      </rPr>
      <t>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</si>
  <si>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文案7字內
4.4限定
</t>
    </r>
    <r>
      <rPr>
        <b/>
        <sz val="10"/>
        <color rgb="FFFF0000"/>
        <rFont val="Arial"/>
      </rPr>
      <t>$X,XXX</t>
    </r>
  </si>
  <si>
    <r>
      <rPr>
        <sz val="8"/>
        <color theme="1"/>
        <rFont val="Arial"/>
      </rPr>
      <t>（GD提供背景，文字系統帶）</t>
    </r>
    <r>
      <rPr>
        <sz val="10"/>
        <color theme="1"/>
        <rFont val="Arial"/>
      </rPr>
      <t xml:space="preserve">
文案7字內
4.4限定
</t>
    </r>
    <r>
      <rPr>
        <b/>
        <sz val="10"/>
        <color rgb="FFFF0000"/>
        <rFont val="Arial"/>
      </rPr>
      <t>$X,XXX</t>
    </r>
  </si>
  <si>
    <t>猜你喜歡/為你推薦</t>
  </si>
  <si>
    <t>為你推薦</t>
  </si>
  <si>
    <t>recommendation</t>
  </si>
  <si>
    <t>活動說明</t>
  </si>
  <si>
    <t>蝦皮 4.4 購物節 活動辦法</t>
  </si>
  <si>
    <t>蝦皮4.4 購物節 _活動辦法(MS Silver &amp; Classic).docx</t>
  </si>
  <si>
    <t>蝦皮4.4 購物節 _活動辦法(MS Gold).docx</t>
  </si>
  <si>
    <t>蝦皮4.4 購物節 _活動辦法(MS Platinum).docx</t>
  </si>
  <si>
    <t>版權商標</t>
  </si>
  <si>
    <t>若為包起來的區塊需+底色#FFA200</t>
  </si>
  <si>
    <r>
      <rPr>
        <b/>
        <sz val="10"/>
        <color rgb="FFFFFFFF"/>
        <rFont val="Calibri"/>
      </rPr>
      <t xml:space="preserve">自定義錨點
</t>
    </r>
    <r>
      <rPr>
        <b/>
        <sz val="10"/>
        <color rgb="FFFFFF00"/>
        <rFont val="Calibri"/>
      </rPr>
      <t>(自動帶入Component label name)</t>
    </r>
  </si>
  <si>
    <r>
      <rPr>
        <b/>
        <sz val="10"/>
        <color rgb="FFFFFFFF"/>
        <rFont val="Calibri"/>
      </rPr>
      <t>版配</t>
    </r>
    <r>
      <rPr>
        <b/>
        <sz val="10"/>
        <color rgb="FFFFFF00"/>
        <rFont val="Calibri"/>
      </rPr>
      <t xml:space="preserve">  </t>
    </r>
  </si>
  <si>
    <t>是否需製圖</t>
  </si>
  <si>
    <t>套品</t>
  </si>
  <si>
    <t>GD備註 / 示意圖
(選用)</t>
  </si>
  <si>
    <r>
      <rPr>
        <b/>
        <sz val="10"/>
        <color rgb="FFFFFFFF"/>
        <rFont val="Calibri"/>
      </rPr>
      <t xml:space="preserve">Component Type </t>
    </r>
    <r>
      <rPr>
        <b/>
        <sz val="10"/>
        <color rgb="FFFFFF00"/>
        <rFont val="Calibri"/>
      </rPr>
      <t>(必填)</t>
    </r>
  </si>
  <si>
    <t>VIP 專屬優惠</t>
  </si>
  <si>
    <t>加入VIP享優惠</t>
  </si>
  <si>
    <t>今日限定</t>
  </si>
  <si>
    <t>直接領券</t>
  </si>
  <si>
    <t>新用戶限定</t>
  </si>
  <si>
    <t>夜貓18%蝦幣</t>
  </si>
  <si>
    <t>VIP獨享18%蝦幣</t>
  </si>
  <si>
    <t>全站大免運$99起</t>
  </si>
  <si>
    <t>蝦皮直營</t>
  </si>
  <si>
    <t>搶先寵媽5折起</t>
  </si>
  <si>
    <t xml:space="preserve">媽祖一起來保庇 </t>
  </si>
  <si>
    <t>限搶速食$59起</t>
  </si>
  <si>
    <t>蝦皮短影音</t>
  </si>
  <si>
    <t>看直播享優惠</t>
  </si>
  <si>
    <t>超便宜夯品</t>
  </si>
  <si>
    <t>刷卡享88折券</t>
  </si>
  <si>
    <t>玩遊戲拿蝦幣</t>
  </si>
  <si>
    <t>大牌狂歡慶</t>
  </si>
  <si>
    <t>Game Time Tracker (每檔放著不動)</t>
  </si>
  <si>
    <t>now</t>
  </si>
  <si>
    <t xml:space="preserve"> 4/9 23:59</t>
  </si>
  <si>
    <t>G:\共用雲端硬碟\EXT_TWN_SHP_外部-2026-H1\04\0418\BC_GAME\Big campaign\0418_會員日\02_KV\暖身</t>
  </si>
  <si>
    <t>18號會員日
銀行版</t>
  </si>
  <si>
    <t>暖身_銀行版</t>
  </si>
  <si>
    <t xml:space="preserve"> 4/10 00:00</t>
  </si>
  <si>
    <t xml:space="preserve"> 4/17 23:59</t>
  </si>
  <si>
    <t>18號會員日
暖身</t>
  </si>
  <si>
    <t>暖身_攻略頁</t>
  </si>
  <si>
    <t xml:space="preserve"> 4/18 00:00</t>
  </si>
  <si>
    <t xml:space="preserve"> 4/18 23:59</t>
  </si>
  <si>
    <t>18號會員日
USP</t>
  </si>
  <si>
    <t xml:space="preserve"> 4/6 00:00</t>
  </si>
  <si>
    <t>距離4/18還有  xx天 xx時  xx分  xx秒</t>
  </si>
  <si>
    <t>活動倒數計時器</t>
  </si>
  <si>
    <t>今日優惠倒數  xx天 xx時  xx分  xx秒</t>
  </si>
  <si>
    <t>G:\共用雲端硬碟\EXT_TWN_SHP_外部-2026-H1\04\0418\BC_GAME\Big campaign\0418_會員日\04_暖正MS\02_共用切圖\01_VIP-assets</t>
  </si>
  <si>
    <t>TWVIP</t>
  </si>
  <si>
    <t>加碼券</t>
  </si>
  <si>
    <t>Rule set Name：TW_VIP subscibers
Rule Set ID：12443</t>
  </si>
  <si>
    <r>
      <rPr>
        <b/>
        <sz val="12"/>
        <color theme="1"/>
        <rFont val="Calibri"/>
      </rPr>
      <t xml:space="preserve">(蝦皮VIP LOGO) 專屬
購物節全站再送8折券
訂閱享月月送60蝦幣
</t>
    </r>
    <r>
      <rPr>
        <b/>
        <sz val="8"/>
        <color theme="1"/>
        <rFont val="Calibri"/>
      </rPr>
      <t xml:space="preserve">請使用APP開啟訂閱，優惠券數量有限，用完為止
</t>
    </r>
    <r>
      <rPr>
        <b/>
        <sz val="12"/>
        <color theme="1"/>
        <rFont val="Calibri"/>
      </rPr>
      <t>CTA：https://shopee.tw/m/shopeevip#voucher</t>
    </r>
  </si>
  <si>
    <t>VIP_01_上蓋</t>
  </si>
  <si>
    <t>抽換圖檔</t>
  </si>
  <si>
    <t xml:space="preserve"> 4/13 23:59</t>
  </si>
  <si>
    <t>4/5-4/17 首次訂閱加入送5折優惠券</t>
  </si>
  <si>
    <t>調整曝光時間</t>
  </si>
  <si>
    <r>
      <rPr>
        <sz val="10"/>
        <color theme="1"/>
        <rFont val="Calibri"/>
      </rPr>
      <t xml:space="preserve">首月加碼5折券 Voucher Voucher Collection ID：72522240824289 </t>
    </r>
    <r>
      <rPr>
        <sz val="10"/>
        <color rgb="FF0000FF"/>
        <rFont val="Calibri"/>
      </rPr>
      <t>(固定)</t>
    </r>
    <r>
      <rPr>
        <sz val="10"/>
        <color theme="1"/>
        <rFont val="Calibri"/>
      </rPr>
      <t xml:space="preserve">
顯示1張</t>
    </r>
  </si>
  <si>
    <t>Rule set Name：MKT_VIP_Newsub
Rule Set ID：12861</t>
  </si>
  <si>
    <t xml:space="preserve"> 4/14 00:00</t>
  </si>
  <si>
    <t>4/14-4/30 首次訂閱加入送5折優惠券</t>
  </si>
  <si>
    <t>新增區塊
TA不同</t>
  </si>
  <si>
    <r>
      <rPr>
        <sz val="10"/>
        <color theme="1"/>
        <rFont val="Calibri"/>
      </rPr>
      <t xml:space="preserve">5折 Image Collection ID：18917300559301 </t>
    </r>
    <r>
      <rPr>
        <sz val="10"/>
        <color rgb="FF0000FF"/>
        <rFont val="Calibri"/>
      </rPr>
      <t xml:space="preserve">(固定)
</t>
    </r>
    <r>
      <rPr>
        <sz val="10"/>
        <color theme="1"/>
        <rFont val="Calibri"/>
      </rPr>
      <t>1200 * 360</t>
    </r>
  </si>
  <si>
    <t>圖_ImageCollection</t>
  </si>
  <si>
    <t>輪播 水平滑動(display number per row: 1)</t>
  </si>
  <si>
    <t>4/18 再加碼滿千折$200</t>
  </si>
  <si>
    <t>新增區塊</t>
  </si>
  <si>
    <t>Voucher Voucher Collection ID：93988024504819
顯示1張</t>
  </si>
  <si>
    <t>(全站券) 假券一排1張 Reminder</t>
  </si>
  <si>
    <t>(全站券) 假券一排2張 CTA+CTA</t>
  </si>
  <si>
    <t>(全站券) 假券一排2張 Reminder+Reminder</t>
  </si>
  <si>
    <t>(全站券) 假券一排2張 CTA+Reminder</t>
  </si>
  <si>
    <t>(商城券) 假券一排1張 CTA</t>
  </si>
  <si>
    <t>(商城券) 假券一排1張 Reminder</t>
  </si>
  <si>
    <t>(商城券) 假券一排2張 CTA+CTA</t>
  </si>
  <si>
    <t>(商城券) 假券一排2張 Reminder+Reminder</t>
  </si>
  <si>
    <t>(商城券) 假券一排2張 CTA+Reminder</t>
  </si>
  <si>
    <t>(全站券+商城券) 假券一排2張 CTA+CTA</t>
  </si>
  <si>
    <t>(全站券+商城券) 假券一排2張 Reminder+Reminder</t>
  </si>
  <si>
    <t>(全站券+商城券) 假券一排2張 CTA+Reminder</t>
  </si>
  <si>
    <t>小黃標：4/18加碼</t>
  </si>
  <si>
    <r>
      <rPr>
        <b/>
        <sz val="13"/>
        <color theme="1"/>
        <rFont val="Calibri"/>
      </rPr>
      <t>全站8折優惠券</t>
    </r>
    <r>
      <rPr>
        <sz val="10"/>
        <color theme="1"/>
        <rFont val="Calibri"/>
      </rPr>
      <t xml:space="preserve">
低消$500最高折抵$100</t>
    </r>
  </si>
  <si>
    <t>提醒我</t>
  </si>
  <si>
    <t>優惠券_GD模版</t>
  </si>
  <si>
    <t>VIP_02_(假券1)</t>
  </si>
  <si>
    <t>VIP LOGO</t>
  </si>
  <si>
    <r>
      <rPr>
        <b/>
        <sz val="13"/>
        <color theme="1"/>
        <rFont val="Calibri"/>
      </rPr>
      <t>全站8折優惠券</t>
    </r>
    <r>
      <rPr>
        <sz val="10"/>
        <color theme="1"/>
        <rFont val="Calibri"/>
      </rPr>
      <t xml:space="preserve">
低消$500最高折抵$100</t>
    </r>
  </si>
  <si>
    <t>立即用</t>
  </si>
  <si>
    <t>(全站券) 假券一排1張 CTA</t>
  </si>
  <si>
    <t>VIP_02_(假券2)</t>
  </si>
  <si>
    <t>這裡需要LINK</t>
  </si>
  <si>
    <t>今日限定 蝦皮VIP人人領40蝦幣</t>
  </si>
  <si>
    <t>僅 APP 曝光</t>
  </si>
  <si>
    <t>類標設定成黃色ㄌ</t>
  </si>
  <si>
    <t>iframe
&lt;iframe src="https://idgame.shopee.tw/newluckybox/iframe/2d722b7e8bf567c2?mode=old_box&amp;source=microsite" style='border:none' width='390px' height='238px'&gt;&lt;/iframe&gt;</t>
  </si>
  <si>
    <t>iframe</t>
  </si>
  <si>
    <r>
      <rPr>
        <sz val="10"/>
        <color theme="1"/>
        <rFont val="Calibri"/>
      </rPr>
      <t xml:space="preserve">VIP Image Collection ID：62556949961114 </t>
    </r>
    <r>
      <rPr>
        <sz val="10"/>
        <color rgb="FF0000FF"/>
        <rFont val="Calibri"/>
      </rPr>
      <t xml:space="preserve">(固定)
</t>
    </r>
    <r>
      <rPr>
        <sz val="10"/>
        <color theme="1"/>
        <rFont val="Calibri"/>
      </rPr>
      <t>1200 * 360</t>
    </r>
  </si>
  <si>
    <t>VIP_03_下蓋</t>
  </si>
  <si>
    <t>NONVIP</t>
  </si>
  <si>
    <t>Rule set Name：TW_Non-VIP sub
Rule Set ID：12444</t>
  </si>
  <si>
    <r>
      <rPr>
        <b/>
        <sz val="12"/>
        <color theme="1"/>
        <rFont val="Calibri"/>
      </rPr>
      <t xml:space="preserve">(蝦皮VIP LOGO) 專屬
購物節全站再送8折券
訂閱享月月送60蝦幣
</t>
    </r>
    <r>
      <rPr>
        <b/>
        <sz val="8"/>
        <color theme="1"/>
        <rFont val="Calibri"/>
      </rPr>
      <t xml:space="preserve">請使用APP開啟訂閱，優惠券數量有限，用完為止
</t>
    </r>
    <r>
      <rPr>
        <b/>
        <sz val="12"/>
        <color theme="1"/>
        <rFont val="Calibri"/>
      </rPr>
      <t>CTA：https://shopee.tw/m/shopeevip#voucher</t>
    </r>
  </si>
  <si>
    <r>
      <rPr>
        <sz val="10"/>
        <color theme="1"/>
        <rFont val="Calibri"/>
      </rPr>
      <t xml:space="preserve">首月加碼5折券 Voucher Voucher Collection ID：72522240824289 </t>
    </r>
    <r>
      <rPr>
        <sz val="10"/>
        <color rgb="FF0000FF"/>
        <rFont val="Calibri"/>
      </rPr>
      <t>(固定)</t>
    </r>
    <r>
      <rPr>
        <sz val="10"/>
        <color theme="1"/>
        <rFont val="Calibri"/>
      </rPr>
      <t xml:space="preserve">
顯示1張</t>
    </r>
  </si>
  <si>
    <r>
      <rPr>
        <sz val="10"/>
        <color theme="1"/>
        <rFont val="Calibri"/>
      </rPr>
      <t xml:space="preserve">5折 Image Collection ID：18917300559301 </t>
    </r>
    <r>
      <rPr>
        <sz val="10"/>
        <color rgb="FF0000FF"/>
        <rFont val="Calibri"/>
      </rPr>
      <t xml:space="preserve">(固定)
</t>
    </r>
    <r>
      <rPr>
        <sz val="10"/>
        <color theme="1"/>
        <rFont val="Calibri"/>
      </rPr>
      <t>1200 * 360</t>
    </r>
  </si>
  <si>
    <r>
      <rPr>
        <b/>
        <sz val="13"/>
        <color theme="1"/>
        <rFont val="Calibri"/>
      </rPr>
      <t>全站8折優惠券</t>
    </r>
    <r>
      <rPr>
        <sz val="10"/>
        <color theme="1"/>
        <rFont val="Calibri"/>
      </rPr>
      <t xml:space="preserve">
低消$500最高折抵$100</t>
    </r>
  </si>
  <si>
    <t>馬上加入</t>
  </si>
  <si>
    <t>VIP_02_(假券3)</t>
  </si>
  <si>
    <t>走期需調整</t>
  </si>
  <si>
    <r>
      <rPr>
        <sz val="10"/>
        <color theme="1"/>
        <rFont val="Calibri"/>
      </rPr>
      <t>Image Collection ID：63494341248500</t>
    </r>
    <r>
      <rPr>
        <sz val="10"/>
        <color rgb="FF0000FF"/>
        <rFont val="Calibri"/>
      </rPr>
      <t xml:space="preserve">
</t>
    </r>
    <r>
      <rPr>
        <sz val="10"/>
        <color theme="1"/>
        <rFont val="Calibri"/>
      </rPr>
      <t>1200 * 360</t>
    </r>
  </si>
  <si>
    <r>
      <rPr>
        <sz val="10"/>
        <color theme="1"/>
        <rFont val="Calibri"/>
      </rPr>
      <t xml:space="preserve">VIP Image Collection ID：62556949961114 </t>
    </r>
    <r>
      <rPr>
        <sz val="10"/>
        <color rgb="FF0000FF"/>
        <rFont val="Calibri"/>
      </rPr>
      <t xml:space="preserve">(固定)
</t>
    </r>
    <r>
      <rPr>
        <sz val="10"/>
        <color theme="1"/>
        <rFont val="Calibri"/>
      </rPr>
      <t>1200 * 360</t>
    </r>
  </si>
  <si>
    <t>today</t>
  </si>
  <si>
    <t>懶人包/一鍵領取</t>
  </si>
  <si>
    <t xml:space="preserve"> 4/5 23:59</t>
  </si>
  <si>
    <t>4/19 限定！即刻下單！</t>
  </si>
  <si>
    <r>
      <rPr>
        <sz val="10"/>
        <color theme="1"/>
        <rFont val="Calibri"/>
      </rPr>
      <t>main spike D+1 Voucher Voucher Collection ID：83217617728935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顯示20張</t>
    </r>
  </si>
  <si>
    <t>all</t>
  </si>
  <si>
    <t>超方便！一鍵領取 4/18 所有神券！</t>
  </si>
  <si>
    <t>這邊一組tab</t>
  </si>
  <si>
    <t>商城優惠券</t>
  </si>
  <si>
    <t>全站優惠券</t>
  </si>
  <si>
    <t>蝦皮直播</t>
  </si>
  <si>
    <t>蝦皮超便宜</t>
  </si>
  <si>
    <t>這10個 要放在同一個tab裡面
不分2排</t>
  </si>
  <si>
    <r>
      <rPr>
        <sz val="10"/>
        <color theme="1"/>
        <rFont val="Calibri"/>
      </rPr>
      <t xml:space="preserve">12943291792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</si>
  <si>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r>
      <rPr>
        <sz val="10"/>
        <color theme="1"/>
        <rFont val="Calibri"/>
      </rPr>
      <t xml:space="preserve">12956794384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</si>
  <si>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r>
      <rPr>
        <sz val="10"/>
        <color theme="1"/>
        <rFont val="Calibri"/>
      </rPr>
      <t xml:space="preserve">6962816978321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</si>
  <si>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r>
      <rPr>
        <sz val="10"/>
        <color theme="1"/>
        <rFont val="Calibri"/>
      </rPr>
      <t xml:space="preserve">12949400720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</si>
  <si>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t>12956588304
 (固定)
顯示最多張</t>
  </si>
  <si>
    <t>12948950032
 (固定)
顯示最多張</t>
  </si>
  <si>
    <t>銀行專屬券</t>
  </si>
  <si>
    <t>週日限定加碼</t>
  </si>
  <si>
    <t>商城首購券</t>
  </si>
  <si>
    <t>新分潤用戶</t>
  </si>
  <si>
    <t>最多10個tab</t>
  </si>
  <si>
    <t>12931851280
 (4.18用)
顯示最多張</t>
  </si>
  <si>
    <r>
      <rPr>
        <sz val="10"/>
        <color theme="1"/>
        <rFont val="Calibri"/>
      </rPr>
      <t xml:space="preserve">12947619216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</si>
  <si>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r>
      <rPr>
        <sz val="10"/>
        <color theme="1"/>
        <rFont val="Calibri"/>
      </rPr>
      <t xml:space="preserve">36409378221594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</si>
  <si>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r>
      <rPr>
        <sz val="10"/>
        <color theme="1"/>
        <rFont val="Calibri"/>
      </rPr>
      <t xml:space="preserve">12952438288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</si>
  <si>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t>熱門優惠券</t>
  </si>
  <si>
    <t>專櫃美妝專屬</t>
  </si>
  <si>
    <t>時尚夯品加碼</t>
  </si>
  <si>
    <t>母嬰用品</t>
  </si>
  <si>
    <t>零食飲料</t>
  </si>
  <si>
    <t>海外專屬券</t>
  </si>
  <si>
    <r>
      <rPr>
        <sz val="10"/>
        <rFont val="Calibri"/>
      </rPr>
      <t xml:space="preserve">55161025394598
</t>
    </r>
    <r>
      <rPr>
        <u/>
        <sz val="10"/>
        <color rgb="FF1155CC"/>
        <rFont val="Calibri"/>
      </rPr>
      <t>(每檔不同)</t>
    </r>
    <r>
      <rPr>
        <sz val="10"/>
        <rFont val="Calibri"/>
      </rPr>
      <t xml:space="preserve">
</t>
    </r>
    <r>
      <rPr>
        <sz val="10"/>
        <color rgb="FFFF0000"/>
        <rFont val="Calibri"/>
      </rPr>
      <t>顯示最多張</t>
    </r>
  </si>
  <si>
    <r>
      <rPr>
        <sz val="10"/>
        <color theme="1"/>
        <rFont val="Calibri"/>
      </rPr>
      <t xml:space="preserve">5227211686404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</si>
  <si>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r>
      <rPr>
        <sz val="10"/>
        <color theme="1"/>
        <rFont val="Calibri"/>
      </rPr>
      <t xml:space="preserve">12976475408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</si>
  <si>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r>
      <rPr>
        <sz val="10"/>
        <color theme="1"/>
        <rFont val="Calibri"/>
      </rPr>
      <t xml:space="preserve">31872728941751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</si>
  <si>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r>
      <rPr>
        <sz val="10"/>
        <color theme="1"/>
        <rFont val="Calibri"/>
      </rPr>
      <t xml:space="preserve">12930669584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</si>
  <si>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r>
      <rPr>
        <sz val="10"/>
        <color theme="1"/>
        <rFont val="Calibri"/>
      </rPr>
      <t xml:space="preserve">12973008912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</si>
  <si>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t>熱銷店家9折券</t>
  </si>
  <si>
    <t>日用品專屬</t>
  </si>
  <si>
    <t>年輕時尚夯品</t>
  </si>
  <si>
    <t>4/19限定</t>
  </si>
  <si>
    <r>
      <rPr>
        <sz val="10"/>
        <rFont val="Calibri"/>
      </rPr>
      <t xml:space="preserve">20595486638715
</t>
    </r>
    <r>
      <rPr>
        <sz val="10"/>
        <color rgb="FF0000FF"/>
        <rFont val="Calibri"/>
      </rPr>
      <t xml:space="preserve"> </t>
    </r>
    <r>
      <rPr>
        <u/>
        <sz val="10"/>
        <color rgb="FF1155CC"/>
        <rFont val="Calibri"/>
      </rPr>
      <t>(每檔不同)</t>
    </r>
    <r>
      <rPr>
        <sz val="10"/>
        <rFont val="Calibri"/>
      </rPr>
      <t xml:space="preserve">
</t>
    </r>
    <r>
      <rPr>
        <sz val="10"/>
        <color rgb="FFFF0000"/>
        <rFont val="Calibri"/>
      </rPr>
      <t>顯示最多張</t>
    </r>
  </si>
  <si>
    <r>
      <rPr>
        <sz val="10"/>
        <color theme="1"/>
        <rFont val="Calibri"/>
      </rPr>
      <t xml:space="preserve">12979256336
</t>
    </r>
    <r>
      <rPr>
        <sz val="10"/>
        <color rgb="FF0000FF"/>
        <rFont val="Calibri"/>
      </rPr>
      <t xml:space="preserve"> (固定)</t>
    </r>
    <r>
      <rPr>
        <sz val="10"/>
        <color theme="1"/>
        <rFont val="Calibri"/>
      </rPr>
      <t xml:space="preserve">
</t>
    </r>
    <r>
      <rPr>
        <sz val="10"/>
        <color rgb="FFFF0000"/>
        <rFont val="Calibri"/>
      </rPr>
      <t>顯示最多張</t>
    </r>
  </si>
  <si>
    <r>
      <rPr>
        <sz val="10"/>
        <color theme="1"/>
        <rFont val="Calibri"/>
      </rPr>
      <t xml:space="preserve">12938308880
</t>
    </r>
    <r>
      <rPr>
        <sz val="10"/>
        <color rgb="FF0000FF"/>
        <rFont val="Calibri"/>
      </rPr>
      <t xml:space="preserve"> (固定)
</t>
    </r>
    <r>
      <rPr>
        <sz val="10"/>
        <color rgb="FFFF0000"/>
        <rFont val="Calibri"/>
      </rPr>
      <t>顯示最多張</t>
    </r>
  </si>
  <si>
    <r>
      <rPr>
        <b/>
        <sz val="10"/>
        <color rgb="FF0000FF"/>
        <rFont val="Calibri"/>
      </rPr>
      <t xml:space="preserve">(4/9 18:00曝光)
</t>
    </r>
    <r>
      <rPr>
        <sz val="10"/>
        <color theme="1"/>
        <rFont val="Calibri"/>
      </rPr>
      <t>83217617728935
顯示最多張</t>
    </r>
  </si>
  <si>
    <t>蝦幣案型(CCB)</t>
  </si>
  <si>
    <t>連續簽到7天</t>
  </si>
  <si>
    <t>加碼抽100蝦幣</t>
  </si>
  <si>
    <t>checkin component
(Components &gt;&gt; Game &gt;&gt; Coins CheckIn)</t>
  </si>
  <si>
    <t>FavouriteGame</t>
  </si>
  <si>
    <t>新用戶限定$0免運</t>
  </si>
  <si>
    <t>用券折$100</t>
  </si>
  <si>
    <r>
      <rPr>
        <sz val="10"/>
        <color theme="1"/>
        <rFont val="Calibri"/>
      </rPr>
      <t xml:space="preserve">FSV Voucher Collection ID：12942992144 </t>
    </r>
    <r>
      <rPr>
        <sz val="10"/>
        <color rgb="FF0000FF"/>
        <rFont val="Calibri"/>
      </rPr>
      <t xml:space="preserve">(固定)
</t>
    </r>
    <r>
      <rPr>
        <sz val="10"/>
        <color theme="1"/>
        <rFont val="Calibri"/>
      </rPr>
      <t>顯示1張</t>
    </r>
  </si>
  <si>
    <r>
      <rPr>
        <sz val="10"/>
        <color theme="1"/>
        <rFont val="Calibri"/>
      </rPr>
      <t xml:space="preserve">$100 Voucher Collection ID：12941791120 </t>
    </r>
    <r>
      <rPr>
        <sz val="10"/>
        <color rgb="FF0000FF"/>
        <rFont val="Calibri"/>
      </rPr>
      <t xml:space="preserve">(固定)
</t>
    </r>
    <r>
      <rPr>
        <sz val="10"/>
        <color theme="1"/>
        <rFont val="Calibri"/>
      </rPr>
      <t>顯示</t>
    </r>
    <r>
      <rPr>
        <sz val="10"/>
        <color rgb="FFFF0000"/>
        <rFont val="Calibri"/>
      </rPr>
      <t>2</t>
    </r>
    <r>
      <rPr>
        <sz val="10"/>
        <color theme="1"/>
        <rFont val="Calibri"/>
      </rPr>
      <t>張</t>
    </r>
  </si>
  <si>
    <t>catccb</t>
  </si>
  <si>
    <t>夜貓加碼優惠券</t>
  </si>
  <si>
    <t>4/17 20點開灑</t>
  </si>
  <si>
    <t>G:\共用雲端硬碟\EXT_TWN_SHP_外部-2026-H1\04\0418\BC_GAME\Big campaign\0418_會員日\04_暖正MS\02_共用切圖\04_夜貓-assets\上蓋(有警語).jpg</t>
  </si>
  <si>
    <t>這邊版配文案沒改到&amp;
路徑是上一檔的~~</t>
  </si>
  <si>
    <t>蝦幣18%搶先用
數量有限，用完為止</t>
  </si>
  <si>
    <r>
      <rPr>
        <sz val="10"/>
        <color theme="1"/>
        <rFont val="Calibri"/>
      </rPr>
      <t xml:space="preserve">pre sale Voucher Collection ID：12957401744 </t>
    </r>
    <r>
      <rPr>
        <sz val="10"/>
        <color rgb="FF0000FF"/>
        <rFont val="Calibri"/>
      </rPr>
      <t>(固定)</t>
    </r>
    <r>
      <rPr>
        <sz val="10"/>
        <color theme="1"/>
        <rFont val="Calibri"/>
      </rPr>
      <t xml:space="preserve">
顯示20張</t>
    </r>
  </si>
  <si>
    <t>抽換id</t>
  </si>
  <si>
    <t>ccb</t>
  </si>
  <si>
    <t>優惠券(Campaign預算)</t>
  </si>
  <si>
    <t>4/18 VIP限定</t>
  </si>
  <si>
    <t>G:\共用雲端硬碟\EXT_TWN_SHP_外部-2026-H1\04\0418\BC_GAME\Big campaign\0418_會員日\04_暖正MS\02_共用切圖\05_VIP獨享-assets\上蓋(有警語).jpg</t>
  </si>
  <si>
    <t>獨享18%蝦幣回饋
4/18 00點準時開搶10點、13點半、18點 限時加量
數量有限，用完為止</t>
  </si>
  <si>
    <r>
      <rPr>
        <sz val="10"/>
        <color theme="1"/>
        <rFont val="Calibri"/>
      </rPr>
      <t xml:space="preserve">CAMP Hook Voucher Collection ID：12956794256 </t>
    </r>
    <r>
      <rPr>
        <sz val="10"/>
        <color rgb="FF0000FF"/>
        <rFont val="Calibri"/>
      </rPr>
      <t>(固定)</t>
    </r>
    <r>
      <rPr>
        <sz val="10"/>
        <color theme="1"/>
        <rFont val="Calibri"/>
      </rPr>
      <t xml:space="preserve">
顯示20張</t>
    </r>
  </si>
  <si>
    <t>拉掉一鍵領取</t>
  </si>
  <si>
    <t>不限店家都適用</t>
  </si>
  <si>
    <t>G:\共用雲端硬碟\EXT_TWN_SHP_外部-2026-H1\04\0418\BC_GAME\Big campaign\0418_會員日\04_暖正MS\02_共用切圖\06_免運-assets\大免運_01_上蓋.jpg</t>
  </si>
  <si>
    <t>全站大免運
免運優惠須依店家適用之物流與門檻為主</t>
  </si>
  <si>
    <t>適用物流</t>
  </si>
  <si>
    <t>蝦皮店到店</t>
  </si>
  <si>
    <t>蝦皮店到店
隔日到貨</t>
  </si>
  <si>
    <t>蝦皮店到店
環保無包裝</t>
  </si>
  <si>
    <t>店到家宅配
含新竹物流,海外宅配</t>
  </si>
  <si>
    <t>G:\共用雲端硬碟\EXT_TWN_SHP_外部-2026-H1\04\0418\BC_GAME\Big campaign\0418_會員日\04_暖正MS\02_共用切圖\06_免運-assets\大免運_02_表.jpg</t>
  </si>
  <si>
    <t>4/18 加碼</t>
  </si>
  <si>
    <t>$99</t>
  </si>
  <si>
    <t>$349</t>
  </si>
  <si>
    <t>$490 起</t>
  </si>
  <si>
    <t>蝦皮
VIP</t>
  </si>
  <si>
    <t>天天無限免運 ｜不分時段$49起</t>
  </si>
  <si>
    <t>$299 起</t>
  </si>
  <si>
    <t>額外享天天9折優惠券，首月免費適用</t>
  </si>
  <si>
    <t>訂閱去 ▶</t>
  </si>
  <si>
    <r>
      <rPr>
        <sz val="10"/>
        <color theme="1"/>
        <rFont val="Calibri"/>
      </rPr>
      <t xml:space="preserve">FSV Voucher Collection ID：12957401616 </t>
    </r>
    <r>
      <rPr>
        <sz val="10"/>
        <color rgb="FF0000FF"/>
        <rFont val="Calibri"/>
      </rPr>
      <t xml:space="preserve">(固定)
</t>
    </r>
    <r>
      <rPr>
        <sz val="10"/>
        <color theme="1"/>
        <rFont val="Calibri"/>
      </rPr>
      <t>顯示5張</t>
    </r>
  </si>
  <si>
    <r>
      <rPr>
        <sz val="10"/>
        <color theme="1"/>
        <rFont val="Calibri"/>
      </rPr>
      <t xml:space="preserve">SPX Image Collection ID：12943478544 </t>
    </r>
    <r>
      <rPr>
        <sz val="10"/>
        <color rgb="FF0000FF"/>
        <rFont val="Calibri"/>
      </rPr>
      <t xml:space="preserve">(固定)
</t>
    </r>
    <r>
      <rPr>
        <sz val="10"/>
        <color theme="1"/>
        <rFont val="Calibri"/>
      </rPr>
      <t>1200 * 360</t>
    </r>
  </si>
  <si>
    <t>MSBN
G:\共用雲端硬碟\EXT_TWN_SHP_外部-2025-H2\11\1101\SPX\MKT\1101-1201_蝦皮店到店 百萬開獎秀_線上宣傳\MSBN-assets\MSBN3
CTA連結：https://shopee.tw/m/spxlottery</t>
  </si>
  <si>
    <t>G:\共用雲端硬碟\EXT_TWN_SHP_外部-2025-H2\11\1101\SPX\MKT\1101-1201_蝦皮店到店 百萬開獎秀_線上宣傳\MSBN-assets\DD MSBN-CTA-0618
CTA連結：https://shopee.tw/m/spxlottery</t>
  </si>
  <si>
    <t>商城</t>
  </si>
  <si>
    <t>限時特賣
promo id ：Flash Sales Promo ID Overview
Category id：37</t>
  </si>
  <si>
    <t>限時特賣</t>
  </si>
  <si>
    <t>全站</t>
  </si>
  <si>
    <t>scs</t>
  </si>
  <si>
    <t>[ 蝦皮直營logo] 全台當日到貨</t>
  </si>
  <si>
    <t>G:\共用雲端硬碟\EXT_TWN_SHP_外部-2026-H1\04\0418\BC_GAME\Big campaign\0418_會員日\04_暖正MS\02_共用切圖\07_直營-assets\上蓋(有警語).jpg</t>
  </si>
  <si>
    <r>
      <rPr>
        <b/>
        <sz val="12"/>
        <color theme="1"/>
        <rFont val="Calibri"/>
      </rPr>
      <t xml:space="preserve">滿千最高折$350
</t>
    </r>
    <r>
      <rPr>
        <b/>
        <sz val="12"/>
        <color rgb="FF666666"/>
        <rFont val="Calibri"/>
      </rPr>
      <t>特定門市除外，詳見條款</t>
    </r>
  </si>
  <si>
    <t>系統帶品
SID:50662979
PID:25996287926</t>
  </si>
  <si>
    <t>系統帶品
SID:50662979
PID:26781698855</t>
  </si>
  <si>
    <t>系統帶品
SID:50662979
PID:25881310902</t>
  </si>
  <si>
    <t>須設定紅色底色</t>
  </si>
  <si>
    <t>系統帶品
SID:50662979
PID:25186289121</t>
  </si>
  <si>
    <t>系統帶品
SID:50662979
PID:27130257769</t>
  </si>
  <si>
    <t>系統帶品
SID:50662979
PID:42124411656</t>
  </si>
  <si>
    <t>系統帶品
SID:50662979
PID:</t>
  </si>
  <si>
    <t>SCS Product Collection ID：12126750</t>
  </si>
  <si>
    <t>綠底再麻煩改改</t>
  </si>
  <si>
    <t>強品案型</t>
  </si>
  <si>
    <t>4/18 超划算</t>
  </si>
  <si>
    <t>G:\共用雲端硬碟\EXT_TWN_SHP_外部-2026-H1\04\0418\BC_GAME\Big campaign\0418_會員日\04_暖正MS\02_共用切圖\08_搶先寵媽5折起-assets\上蓋(有警語).jpg</t>
  </si>
  <si>
    <r>
      <rPr>
        <b/>
        <sz val="12"/>
        <color theme="1"/>
        <rFont val="Calibri"/>
      </rPr>
      <t xml:space="preserve">搶先寵媽5折起
</t>
    </r>
    <r>
      <rPr>
        <b/>
        <sz val="12"/>
        <color rgb="FF666666"/>
        <rFont val="Calibri"/>
      </rPr>
      <t>優惠數量有限，售完為止</t>
    </r>
  </si>
  <si>
    <t>系統帶品
SID：95739292
PID：41604002354</t>
  </si>
  <si>
    <t>系統帶品
SID：68758442
PID：22580313325</t>
  </si>
  <si>
    <t>系統帶品
SID：31171487
PID：25271170536</t>
  </si>
  <si>
    <t>系統帶品
SID：235931848
PID：29282060109</t>
  </si>
  <si>
    <t>系統帶品
SID：31680065
PID：40328833968</t>
  </si>
  <si>
    <t>系統帶品
SID：1255220129
PID：55000579919</t>
  </si>
  <si>
    <t>系統帶品
SID：364593558
PID：9424240185</t>
  </si>
  <si>
    <t>系統帶品
SID：151704292
PID：26675916181</t>
  </si>
  <si>
    <t>系統帶品
SID：279502765
PID：55405612909</t>
  </si>
  <si>
    <t>系統帶品
SID：30849424
PID：15002162574</t>
  </si>
  <si>
    <t>系統帶品
SID：71029966
PID：6316110854</t>
  </si>
  <si>
    <t>系統帶品
SID：4063023
PID：25828936678</t>
  </si>
  <si>
    <t>系統帶品
SID：104567297
PID：10116960660</t>
  </si>
  <si>
    <t>系統帶品
SID：566715487
PID：15228274039</t>
  </si>
  <si>
    <t>系統帶品
SID：1207003838
PID：25322831368</t>
  </si>
  <si>
    <t>mac Product Collection ID：18241666</t>
  </si>
  <si>
    <t>iphone Product Collection ID：18336240</t>
  </si>
  <si>
    <t>美食饗媽咪</t>
  </si>
  <si>
    <t>禮券送媽咪</t>
  </si>
  <si>
    <t>放鬆寵媽咪</t>
  </si>
  <si>
    <t>(人氣票券)</t>
  </si>
  <si>
    <t>此區為新增區皆已完成可以設定了~~~</t>
  </si>
  <si>
    <t>母親節早鳥！大牌限時購</t>
  </si>
  <si>
    <t>系統帶品-鎮金店
SID：225061298
PID：44053428950</t>
  </si>
  <si>
    <t>系統帶品-Pandora
SID：1496007477
PID：43607638411</t>
  </si>
  <si>
    <t>系統帶品-SWAROVSKI
SID：1510011585
PID：29334679711</t>
  </si>
  <si>
    <t>改綠底</t>
  </si>
  <si>
    <t>內在也要舒適換新</t>
  </si>
  <si>
    <t>無鋼圈內衣</t>
  </si>
  <si>
    <t>熱銷小褲</t>
  </si>
  <si>
    <t>涼感內褲</t>
  </si>
  <si>
    <t>男性內搭</t>
  </si>
  <si>
    <t>cluster_1</t>
  </si>
  <si>
    <t>主題專區1</t>
  </si>
  <si>
    <t>好運通通帶回家</t>
  </si>
  <si>
    <t>G:\共用雲端硬碟\EXT_TWN_SHP_外部-2026-H1\04\0418\BC_GAME\Big campaign\0418_會員日\04_暖正MS\02_共用切圖\25_媽祖-assets
link:https://shopee.tw/m/goodluck</t>
  </si>
  <si>
    <t>待圖檔出爐</t>
  </si>
  <si>
    <r>
      <rPr>
        <b/>
        <sz val="12"/>
        <color theme="1"/>
        <rFont val="Calibri"/>
      </rPr>
      <t xml:space="preserve">媽祖一起來保庇 
</t>
    </r>
    <r>
      <rPr>
        <b/>
        <sz val="12"/>
        <color rgb="FF666666"/>
        <rFont val="Calibri"/>
      </rPr>
      <t>優惠數量有限，售完為止</t>
    </r>
  </si>
  <si>
    <t>系統帶品-WACC媽祖金塊
SID：102340094
PID：28517353322</t>
  </si>
  <si>
    <t>系統帶品
SID：450837653
PID：23923890791</t>
  </si>
  <si>
    <t>系統帶品
SID：450837653
PID：16870907509</t>
  </si>
  <si>
    <t>白沙屯媽祖</t>
  </si>
  <si>
    <t>保佑系黃金</t>
  </si>
  <si>
    <t>開運飾品</t>
  </si>
  <si>
    <t>祈福小物</t>
  </si>
  <si>
    <t>dp</t>
  </si>
  <si>
    <t>美食飲品</t>
  </si>
  <si>
    <t>票券下殺立即搶</t>
  </si>
  <si>
    <t>G:\共用雲端硬碟\EXT_TWN_SHP_外部-2026-H1\04\0418\BC_GAME\Big campaign\0418_會員日\04_暖正MS\02_共用切圖\09_限搶速食$59起-assets\上蓋(有警語).jpg</t>
  </si>
  <si>
    <r>
      <rPr>
        <b/>
        <sz val="12"/>
        <color theme="1"/>
        <rFont val="Calibri"/>
      </rPr>
      <t xml:space="preserve">限搶速食$59起
</t>
    </r>
    <r>
      <rPr>
        <b/>
        <sz val="12"/>
        <color rgb="FF666666"/>
        <rFont val="Calibri"/>
      </rPr>
      <t>優惠數量有限，售完為止</t>
    </r>
  </si>
  <si>
    <t>系統帶品
SID：205462131
PID：40129449816</t>
  </si>
  <si>
    <t>系統帶品
SID：205462131
PID：55957615811</t>
  </si>
  <si>
    <t>系統帶品
SID：205462131
PID：47157635906</t>
  </si>
  <si>
    <t>此為DP，設定樣式拉掉購物車紐</t>
  </si>
  <si>
    <t>限時特賣
promo id ：Flash Sales Promo ID Overview
4/5 - 4/17 Category id：92
4/18 Category id：68</t>
  </si>
  <si>
    <t>[ logo icon ]蝦皮短影音</t>
  </si>
  <si>
    <t>G:\共用雲端硬碟\EXT_TWN_SHP_外部-2026-H1\04\0418\BC_GAME\Big campaign\0418_會員日\04_暖正MS\02_共用切圖\10_蝦皮短影音-assets\上蓋(無警語).jpg</t>
  </si>
  <si>
    <t>看短影音領蝦幣</t>
  </si>
  <si>
    <t>Video Collection ID：12955087120
text固定為：※短影音僅支援手機版</t>
  </si>
  <si>
    <t>[ logo icon ]蝦皮直播</t>
  </si>
  <si>
    <t>G:\共用雲端硬碟\EXT_TWN_SHP_外部-2026-H1\04\0418\BC_GAME\Big campaign\0418_會員日\04_暖正MS\02_共用切圖\11_蝦皮直播-assets\上蓋(無警語).jpg</t>
  </si>
  <si>
    <t>直播專屬優惠券</t>
  </si>
  <si>
    <t>Live Streaming Collection ID：592037738960896 顯示10間
text固定為：※直播間僅支援手機版</t>
  </si>
  <si>
    <t>直播間</t>
  </si>
  <si>
    <t>水平滑動</t>
  </si>
  <si>
    <t>超便宜/不用比價超低價</t>
  </si>
  <si>
    <t>[ logo icon ]蝦皮超便宜</t>
  </si>
  <si>
    <t>G:\共用雲端硬碟\EXT_TWN_SHP_外部-2026-H1\04\0418\BC_GAME\Big campaign\0418_會員日\04_暖正MS\02_共用切圖\12_蝦皮超便宜-assets\上蓋(無警語).jpg</t>
  </si>
  <si>
    <t>不用比價超低價</t>
  </si>
  <si>
    <t>系統帶品
SID：329265193
PID：11921912034</t>
  </si>
  <si>
    <t>系統帶品
SID：31186258
PID：29241525887</t>
  </si>
  <si>
    <t>系統帶品
SID：1171155
PID：44460681102</t>
  </si>
  <si>
    <t>超便宜專區</t>
  </si>
  <si>
    <t>車用超便宜</t>
  </si>
  <si>
    <t>KARINA推薦</t>
  </si>
  <si>
    <t>寵愛毛孩超划算</t>
  </si>
  <si>
    <t>禾聯 涼一夏</t>
  </si>
  <si>
    <t>6132194</t>
  </si>
  <si>
    <t>6212030</t>
  </si>
  <si>
    <t>15779192</t>
  </si>
  <si>
    <t>12471270</t>
  </si>
  <si>
    <t>16770036</t>
  </si>
  <si>
    <t>G:\共用雲端硬碟\EXT_TWN_SHP_外部-2026-H1\04\0418\BC_GAME\Big campaign\0418_會員日\04_暖正MS\02_共用切圖\13_刷卡-asset\下蓋</t>
  </si>
  <si>
    <t>新增下蓋</t>
  </si>
  <si>
    <t>銀行回饋</t>
  </si>
  <si>
    <t>4.18 刷卡享88折券</t>
  </si>
  <si>
    <t>G:\共用雲端硬碟\EXT_TWN_SHP_外部-2026-H1\04\0418\BC_GAME\Big campaign\0418_會員日\04_暖正MS\02_共用切圖\13_刷卡-assets\上蓋(無警語).jpg</t>
  </si>
  <si>
    <t>刷卡享88折券
(全站 88折 icon)</t>
  </si>
  <si>
    <t>銀行刷卡優惠
( 信用卡 icon )</t>
  </si>
  <si>
    <t>Rule set Name：MKT_2ndSDay_備用_3
Rule Set ID：3133</t>
  </si>
  <si>
    <t>Voucher ID：1367125315452928</t>
  </si>
  <si>
    <t>Rule set Name：MKT_2ndSDay_備用_4
Rule Set ID：3134</t>
  </si>
  <si>
    <t>Voucher ID：1367125315452932</t>
  </si>
  <si>
    <t>G:\共用雲端硬碟\EXT_TWN_SHP_外部-2026-H1\04\0418\BC_GAME\Big campaign\0418_會員日\04_暖正MS\02_共用切圖\13_刷卡-assets\下蓋</t>
  </si>
  <si>
    <t>G:\共用雲端硬碟\EXT_TWN_SHP_外部-2026-H1\01\0101\BC_GAME\常態活動(BAU)\0101_【常態】國泰蝦皮聯名卡_2026.1月活動頁\MS-assets</t>
  </si>
  <si>
    <t>隱藏</t>
  </si>
  <si>
    <t>Bank Image Collection ID：12943284496
1200 x 466</t>
  </si>
  <si>
    <t>Bank Image Collection ID：12943284112
600 * 400</t>
  </si>
  <si>
    <t>輪播 水平滑動(display number per row: 0.5+1+0.5)</t>
  </si>
  <si>
    <t>改底色為橘色</t>
  </si>
  <si>
    <t>G:\共用雲端硬碟\EXT_TWN_SHP_外部-2026-H1\04\0418\BC_GAME\Big campaign\0418_會員日\04_暖正MS\02_共用切圖\15_遊戲-assets\下蓋</t>
  </si>
  <si>
    <t>這裡好像沒有下蓋</t>
  </si>
  <si>
    <t>蝦皮遊戲</t>
  </si>
  <si>
    <t>[ logo icon ]Shopee Prizes</t>
  </si>
  <si>
    <t>G:\共用雲端硬碟\EXT_TWN_SHP_外部-2026-H1\04\0418\BC_GAME\Big campaign\0418_會員日\04_暖正MS\02_共用切圖\15_遊戲-assets\上蓋(無警語).jpg</t>
  </si>
  <si>
    <t>iframe
&lt;iframe src="https://idgame.shopee.tw/newluckybox/iframe/d9a50f8497ee703a?mode=old_box&amp;source=microsite" style='border:none' width='390px'  height='238px'&gt;&lt;/iframe&gt;</t>
  </si>
  <si>
    <t>商品圖+$ 2品(文字在左側)</t>
  </si>
  <si>
    <t>CTA 自行輸入文案(一排1個) CTA</t>
  </si>
  <si>
    <t>CTA 自行輸入文案(一排1個) Reminder</t>
  </si>
  <si>
    <t>CTA 自行輸入文案(一排2個) Reminder+Reminder</t>
  </si>
  <si>
    <t>CTA 自行輸入文案(一排2個) CTA+Reminder</t>
  </si>
  <si>
    <t>CTA 自行輸入文案(一排2個) CTA+CTA</t>
  </si>
  <si>
    <t>大牌狂歡慶/品牌相關</t>
  </si>
  <si>
    <t>LOGO</t>
  </si>
  <si>
    <t>曝品</t>
  </si>
  <si>
    <t>圖_GD模版_通用公版</t>
  </si>
  <si>
    <t>商品圖+$ 1品(文字在左側)</t>
  </si>
  <si>
    <t>G:\共用雲端硬碟\EXT_TWN_SHP_外部-2026-H1\04\0418\BC_GAME\Big campaign\0418_會員日\04_暖正MS\02_共用切圖\14_大牌狂歡慶-assets\暖身\01_MSBN.jpg</t>
  </si>
  <si>
    <t>品名</t>
  </si>
  <si>
    <t>原價$840 活動價$499 (系統上字)</t>
  </si>
  <si>
    <r>
      <rPr>
        <sz val="10"/>
        <rFont val="Calibri"/>
      </rPr>
      <t xml:space="preserve">下單去
</t>
    </r>
    <r>
      <rPr>
        <u/>
        <sz val="10"/>
        <color rgb="FF1155CC"/>
        <rFont val="Calibri"/>
      </rPr>
      <t>https://shopee.tw/product-i.19788054.29962846868</t>
    </r>
  </si>
  <si>
    <t>Voucher ID：1378029230260224</t>
  </si>
  <si>
    <t>滿額領券折$50</t>
  </si>
  <si>
    <r>
      <rPr>
        <sz val="10"/>
        <rFont val="Calibri"/>
      </rPr>
      <t xml:space="preserve">看更多►
</t>
    </r>
    <r>
      <rPr>
        <u/>
        <sz val="10"/>
        <color rgb="FF1155CC"/>
        <rFont val="Calibri"/>
      </rPr>
      <t>https://shopee.tw/collections/6837236</t>
    </r>
  </si>
  <si>
    <t>G:\共用雲端硬碟\EXT_TWN_SHP_外部-2026-H1\04\0418\BC_GAME\Big campaign\0418_會員日\04_暖正MS\02_共用切圖\14_大牌狂歡慶-assets\暖身\02_MSBN.jpg</t>
  </si>
  <si>
    <t>Product Collection ID：6837236</t>
  </si>
  <si>
    <t>G:\共用雲端硬碟\EXT_TWN_SHP_外部-2026-H1\04\0418\BC_GAME\Big campaign\0418_會員日\04_暖正MS\02_共用切圖\14_大牌狂歡慶-assets\正式\01_MSBN.jpg</t>
  </si>
  <si>
    <r>
      <rPr>
        <sz val="10"/>
        <rFont val="Calibri"/>
      </rPr>
      <t xml:space="preserve">下單去
</t>
    </r>
    <r>
      <rPr>
        <u/>
        <sz val="10"/>
        <color rgb="FF1155CC"/>
        <rFont val="Calibri"/>
      </rPr>
      <t>https://shopee.tw/product-i.19788054.29957428096</t>
    </r>
  </si>
  <si>
    <t>圖檔跟此價錢&amp;連結不一樣 
好像放成暖身的~ 正式日是分解茶</t>
  </si>
  <si>
    <t>已調整!</t>
  </si>
  <si>
    <t>Voucher ID：1378029666467840</t>
  </si>
  <si>
    <r>
      <rPr>
        <sz val="10"/>
        <rFont val="Calibri"/>
      </rPr>
      <t xml:space="preserve">看更多►
</t>
    </r>
    <r>
      <rPr>
        <u/>
        <sz val="10"/>
        <color rgb="FF1155CC"/>
        <rFont val="Calibri"/>
      </rPr>
      <t>https://shopee.tw/collections/6837236</t>
    </r>
  </si>
  <si>
    <t>G:\共用雲端硬碟\EXT_TWN_SHP_外部-2026-H1\04\0418\BC_GAME\Big campaign\0418_會員日\04_暖正MS\02_共用切圖\14_大牌狂歡慶-assets\正式\02_MSBN.jpg</t>
  </si>
  <si>
    <t>G:\共用雲端硬碟\EXT_TWN_SHP_外部-2026-H1\04\0418\BC_GAME\Big campaign\0418_會員日\04_暖正MS\02_共用切圖\14_大牌狂歡慶-assets\暖身\03_MSBN.jpg</t>
  </si>
  <si>
    <t>原價$25800 活動價$17910 (系統上字)</t>
  </si>
  <si>
    <r>
      <rPr>
        <sz val="10"/>
        <rFont val="Calibri"/>
      </rPr>
      <t xml:space="preserve">下單去
</t>
    </r>
    <r>
      <rPr>
        <u/>
        <sz val="10"/>
        <color rgb="FF1155CC"/>
        <rFont val="Calibri"/>
      </rPr>
      <t>https://shopee.tw/product-i.108078562.57651827608</t>
    </r>
  </si>
  <si>
    <t>Voucher ID：1388113402429440</t>
  </si>
  <si>
    <t>已更新VID</t>
  </si>
  <si>
    <t>雙券疊加最優惠</t>
  </si>
  <si>
    <r>
      <rPr>
        <sz val="10"/>
        <rFont val="Calibri"/>
      </rPr>
      <t xml:space="preserve">看更多►
</t>
    </r>
    <r>
      <rPr>
        <u/>
        <sz val="10"/>
        <color rgb="FF1155CC"/>
        <rFont val="Calibri"/>
      </rPr>
      <t>https://shopee.tw/collections/11087592</t>
    </r>
  </si>
  <si>
    <t>G:\共用雲端硬碟\EXT_TWN_SHP_外部-2026-H1\04\0418\BC_GAME\Big campaign\0418_會員日\04_暖正MS\02_共用切圖\14_大牌狂歡慶-assets\暖身\04_MSBN.jpg</t>
  </si>
  <si>
    <t>Product Collection ID：11087592</t>
  </si>
  <si>
    <t>G:\共用雲端硬碟\EXT_TWN_SHP_外部-2026-H1\04\0418\BC_GAME\Big campaign\0418_會員日\04_暖正MS\02_共用切圖\14_大牌狂歡慶-assets\正式\03_MSBN.jpg</t>
  </si>
  <si>
    <t>原價$49900 活動價$31900 (系統上字)</t>
  </si>
  <si>
    <r>
      <rPr>
        <sz val="10"/>
        <rFont val="Calibri"/>
      </rPr>
      <t xml:space="preserve">下單去
</t>
    </r>
    <r>
      <rPr>
        <u/>
        <sz val="10"/>
        <color rgb="FF1155CC"/>
        <rFont val="Calibri"/>
      </rPr>
      <t>https://shopee.tw/product-i.108078562.26186841327</t>
    </r>
  </si>
  <si>
    <t>Voucher ID：1383681742635008</t>
  </si>
  <si>
    <t>40萬粉絲送豪禮</t>
  </si>
  <si>
    <r>
      <rPr>
        <sz val="10"/>
        <rFont val="Calibri"/>
      </rPr>
      <t xml:space="preserve">看更多►
</t>
    </r>
    <r>
      <rPr>
        <u/>
        <sz val="10"/>
        <color rgb="FF1155CC"/>
        <rFont val="Calibri"/>
      </rPr>
      <t>https://shopee.tw/collections/11087592</t>
    </r>
  </si>
  <si>
    <t>G:\共用雲端硬碟\EXT_TWN_SHP_外部-2026-H1\04\0418\BC_GAME\Big campaign\0418_會員日\04_暖正MS\02_共用切圖\14_大牌狂歡慶-assets\正式\04_MSBN.jpg</t>
  </si>
  <si>
    <t>G:\共用雲端硬碟\EXT_TWN_SHP_外部-2026-H1\04\0418\BC_GAME\Big campaign\0418_會員日\04_暖正MS\02_共用切圖\14_大牌狂歡慶-assets\暖身\05_MSBN.jpg</t>
  </si>
  <si>
    <t>原價$1200 活動價$629 (系統上字)</t>
  </si>
  <si>
    <r>
      <rPr>
        <sz val="10"/>
        <rFont val="Calibri"/>
      </rPr>
      <t xml:space="preserve">下單去
</t>
    </r>
    <r>
      <rPr>
        <u/>
        <sz val="10"/>
        <color rgb="FF1155CC"/>
        <rFont val="Calibri"/>
      </rPr>
      <t>https://shopee.tw/product-i.28944793.56402147922</t>
    </r>
  </si>
  <si>
    <t>Voucher ID：1367225223774208</t>
  </si>
  <si>
    <t>熱銷精選5折起</t>
  </si>
  <si>
    <r>
      <rPr>
        <sz val="10"/>
        <rFont val="Calibri"/>
      </rPr>
      <t xml:space="preserve">看更多►
</t>
    </r>
    <r>
      <rPr>
        <u/>
        <sz val="10"/>
        <color rgb="FF1155CC"/>
        <rFont val="Calibri"/>
      </rPr>
      <t>https://shopee.tw/collections/16719240</t>
    </r>
  </si>
  <si>
    <t>G:\共用雲端硬碟\EXT_TWN_SHP_外部-2026-H1\04\0418\BC_GAME\Big campaign\0418_會員日\04_暖正MS\02_共用切圖\14_大牌狂歡慶-assets\暖身\06_MSBN.jpg</t>
  </si>
  <si>
    <t>Product Collection ID：16719240</t>
  </si>
  <si>
    <t>G:\共用雲端硬碟\EXT_TWN_SHP_外部-2026-H1\04\0418\BC_GAME\Big campaign\0418_會員日\04_暖正MS\02_共用切圖\14_大牌狂歡慶-assets\正式\05_MSBN.jpg</t>
  </si>
  <si>
    <t>原價$700 活動價$339 (系統上字)</t>
  </si>
  <si>
    <r>
      <rPr>
        <sz val="10"/>
        <rFont val="Calibri"/>
      </rPr>
      <t xml:space="preserve">下單去
</t>
    </r>
    <r>
      <rPr>
        <u/>
        <sz val="10"/>
        <color rgb="FF1155CC"/>
        <rFont val="Calibri"/>
      </rPr>
      <t>https://shopee.tw/product-i.28944793.56302147921</t>
    </r>
  </si>
  <si>
    <t>活動價粗體設定好像跑掉</t>
  </si>
  <si>
    <t>Voucher ID：1367226087407616</t>
  </si>
  <si>
    <t>全店特價88折起</t>
  </si>
  <si>
    <r>
      <rPr>
        <sz val="10"/>
        <rFont val="Calibri"/>
      </rPr>
      <t xml:space="preserve">看更多►
</t>
    </r>
    <r>
      <rPr>
        <u/>
        <sz val="10"/>
        <color rgb="FF1155CC"/>
        <rFont val="Calibri"/>
      </rPr>
      <t>https://shopee.tw/collections/16770244</t>
    </r>
  </si>
  <si>
    <t>G:\共用雲端硬碟\EXT_TWN_SHP_外部-2026-H1\04\0418\BC_GAME\Big campaign\0418_會員日\04_暖正MS\02_共用切圖\14_大牌狂歡慶-assets\正式\06_MSBN.jpg</t>
  </si>
  <si>
    <t>Product Collection ID：16770244</t>
  </si>
  <si>
    <t>G:\共用雲端硬碟\EXT_TWN_SHP_外部-2026-H1\04\0418\BC_GAME\Big campaign\0418_會員日\04_暖正MS\02_共用切圖\14_大牌狂歡慶-assets\暖身\07_MSBN.jpg</t>
  </si>
  <si>
    <t>原價$2100 活動價$1599 (系統上字)</t>
  </si>
  <si>
    <r>
      <rPr>
        <sz val="10"/>
        <rFont val="Calibri"/>
      </rPr>
      <t xml:space="preserve">下單去
</t>
    </r>
    <r>
      <rPr>
        <u/>
        <sz val="10"/>
        <color rgb="FF1155CC"/>
        <rFont val="Calibri"/>
      </rPr>
      <t>https://shopee.tw/product-i.36633869.2661638096</t>
    </r>
  </si>
  <si>
    <t>Collection ID：12951646224</t>
  </si>
  <si>
    <t>加加一鍵領取</t>
  </si>
  <si>
    <t>滿$1,999折$200</t>
  </si>
  <si>
    <r>
      <rPr>
        <sz val="10"/>
        <rFont val="Calibri"/>
      </rPr>
      <t xml:space="preserve">看更多►
</t>
    </r>
    <r>
      <rPr>
        <u/>
        <sz val="10"/>
        <color rgb="FF1155CC"/>
        <rFont val="Calibri"/>
      </rPr>
      <t>https://shopee.tw/collections/6769032</t>
    </r>
  </si>
  <si>
    <t>G:\共用雲端硬碟\EXT_TWN_SHP_外部-2026-H1\04\0418\BC_GAME\Big campaign\0418_會員日\04_暖正MS\02_共用切圖\14_大牌狂歡慶-assets\暖身\08_MSBN.jpg</t>
  </si>
  <si>
    <t>Product Collection ID：6769032</t>
  </si>
  <si>
    <t>G:\共用雲端硬碟\EXT_TWN_SHP_外部-2026-H1\04\0418\BC_GAME\Big campaign\0418_會員日\04_暖正MS\02_共用切圖\14_大牌狂歡慶-assets\正式\07_MSBN.jpg</t>
  </si>
  <si>
    <t>原價$1756 活動價$1299 (系統上字)</t>
  </si>
  <si>
    <r>
      <rPr>
        <sz val="10"/>
        <rFont val="Calibri"/>
      </rPr>
      <t xml:space="preserve">下單去
</t>
    </r>
    <r>
      <rPr>
        <u/>
        <sz val="10"/>
        <color rgb="FF1155CC"/>
        <rFont val="Calibri"/>
      </rPr>
      <t>https://shopee.tw/product-i.36633869.2661638096</t>
    </r>
  </si>
  <si>
    <t>滿額送學步車</t>
  </si>
  <si>
    <r>
      <rPr>
        <sz val="10"/>
        <rFont val="Calibri"/>
      </rPr>
      <t xml:space="preserve">看更多►
</t>
    </r>
    <r>
      <rPr>
        <u/>
        <sz val="10"/>
        <color rgb="FF1155CC"/>
        <rFont val="Calibri"/>
      </rPr>
      <t>https://shopee.tw/collections/6769032</t>
    </r>
  </si>
  <si>
    <t>G:\共用雲端硬碟\EXT_TWN_SHP_外部-2026-H1\04\0418\BC_GAME\Big campaign\0418_會員日\04_暖正MS\02_共用切圖\14_大牌狂歡慶-assets\正式\08_MSBN.jpg</t>
  </si>
  <si>
    <t>店家優惠券</t>
  </si>
  <si>
    <t>店家優惠券(Seller預算)</t>
  </si>
  <si>
    <t>AD Voucher</t>
  </si>
  <si>
    <r>
      <rPr>
        <sz val="10"/>
        <rFont val="Calibri"/>
      </rPr>
      <t>入稿表：</t>
    </r>
    <r>
      <rPr>
        <u/>
        <sz val="10"/>
        <color rgb="FF1155CC"/>
        <rFont val="Calibri"/>
      </rPr>
      <t>暖身</t>
    </r>
    <r>
      <rPr>
        <sz val="10"/>
        <rFont val="Calibri"/>
      </rPr>
      <t>、</t>
    </r>
    <r>
      <rPr>
        <u/>
        <sz val="10"/>
        <color rgb="FF1155CC"/>
        <rFont val="Calibri"/>
      </rPr>
      <t>正式</t>
    </r>
  </si>
  <si>
    <t>改成一排2張</t>
  </si>
  <si>
    <t>精選品牌</t>
  </si>
  <si>
    <t>精選品牌/今日最大牌(賣版)</t>
  </si>
  <si>
    <t>Shop Collection ID</t>
  </si>
  <si>
    <t>店</t>
  </si>
  <si>
    <t>一排1店(垂直展示)</t>
  </si>
  <si>
    <t>人氣熱銷</t>
  </si>
  <si>
    <t>人氣熱銷(賣版)</t>
  </si>
  <si>
    <t>系統帶品</t>
  </si>
  <si>
    <t>強檔主題</t>
  </si>
  <si>
    <t>G:\共用雲端硬碟\EXT_TWN_SHP_外部-2026-H1\04\0418\BC_GAME\Big campaign\0418_會員日\04_暖正MS\02_共用切圖\16_當月熱銷夯品-assets\上蓋(無警語).jpg</t>
  </si>
  <si>
    <t>當月熱銷夯品</t>
  </si>
  <si>
    <t>[ logo icon ]蝦皮優選｜好評商家放心買</t>
  </si>
  <si>
    <t>G:\共用雲端硬碟\EXT_TWN_SHP_外部-2026-H1\04\0418\BC_GAME\Big campaign\0418_會員日\04_暖正MS\02_共用切圖\16_當月熱銷夯品-assets\中標_01.jpg</t>
  </si>
  <si>
    <t>Product Collection ID：6172588</t>
  </si>
  <si>
    <r>
      <rPr>
        <b/>
        <sz val="10"/>
        <color rgb="FF0000FF"/>
        <rFont val="Calibri"/>
      </rPr>
      <t xml:space="preserve">Group A
</t>
    </r>
    <r>
      <rPr>
        <sz val="10"/>
        <color theme="1"/>
        <rFont val="Calibri"/>
      </rPr>
      <t>Group A rule set name：SMT_CPNGSPU_2026-2_FMCG
Group A rule set id:12661</t>
    </r>
  </si>
  <si>
    <t>天天超划算｜千大品牌任你挑</t>
  </si>
  <si>
    <t>G:\共用雲端硬碟\EXT_TWN_SHP_外部-2026-H1\04\0418\BC_GAME\Big campaign\0418_會員日\04_暖正MS\02_共用切圖\16_當月熱銷夯品-assets\中標_02.jpg</t>
  </si>
  <si>
    <t>rule set 過期了 
應該是12661?</t>
  </si>
  <si>
    <t>對! 不好意思 已調整</t>
  </si>
  <si>
    <t>Coupang Product Collection ID：7807236</t>
  </si>
  <si>
    <t>驚喜下殺｜母嬰用品/零食飲料</t>
  </si>
  <si>
    <t>G:\共用雲端硬碟\EXT_TWN_SHP_外部-2026-H1\04\0418\BC_GAME\Big campaign\0418_會員日\04_暖正MS\02_共用切圖\16_當月熱銷夯品-assets\中標_03.jpg</t>
  </si>
  <si>
    <t>母嬰用品推薦</t>
  </si>
  <si>
    <t>零食飲料推薦</t>
  </si>
  <si>
    <t>專櫃美妝大牌｜疊券77折起</t>
  </si>
  <si>
    <t>G:\共用雲端硬碟\EXT_TWN_SHP_外部-2026-H1\04\0418\BC_GAME\Big campaign\0418_會員日\04_暖正MS\02_共用切圖\16_當月熱銷夯品-assets\中標_04.jpg</t>
  </si>
  <si>
    <t>蘭蔻</t>
  </si>
  <si>
    <t>契爾氏</t>
  </si>
  <si>
    <t>植村秀</t>
  </si>
  <si>
    <t>碧兒泉</t>
  </si>
  <si>
    <t>蝦皮流行穿搭｜時尚夯品加碼優惠</t>
  </si>
  <si>
    <t>G:\共用雲端硬碟\EXT_TWN_SHP_外部-2026-H1\04\0418\BC_GAME\Big campaign\0418_會員日\04_暖正MS\02_共用切圖\16_當月熱銷夯品-assets\中標_05.jpg</t>
  </si>
  <si>
    <t>女裝熱銷</t>
  </si>
  <si>
    <t>夯品3折起</t>
  </si>
  <si>
    <t>加分推薦</t>
  </si>
  <si>
    <t>好評鞋款</t>
  </si>
  <si>
    <t>熱搜包款</t>
  </si>
  <si>
    <t>男包配件</t>
  </si>
  <si>
    <t>話題夯品｜社群都在推</t>
  </si>
  <si>
    <t>G:\共用雲端硬碟\EXT_TWN_SHP_外部-2026-H1\04\0418\BC_GAME\Big campaign\0418_會員日\04_暖正MS\02_共用切圖\16_當月熱銷夯品-assets\中標_06.jpg</t>
  </si>
  <si>
    <t>人氣新星必搶</t>
  </si>
  <si>
    <t>快消補貨看這邊</t>
  </si>
  <si>
    <t>流行趨勢穿蝦米</t>
  </si>
  <si>
    <t>3C配件這裡找</t>
  </si>
  <si>
    <t>生活風格隨意配</t>
  </si>
  <si>
    <t>綠底移動到第一ㄍ</t>
  </si>
  <si>
    <t>美食好康週報｜好券月月領</t>
  </si>
  <si>
    <t>G:\共用雲端硬碟\EXT_TWN_SHP_外部-2026-H1\04\0418\BC_GAME\Big campaign\0418_會員日\04_暖正MS\02_共用切圖\16_當月熱銷夯品-assets\中標_07.jpg</t>
  </si>
  <si>
    <t>Product Collection ID：12386232</t>
  </si>
  <si>
    <t>海外特選點｜直送超優惠</t>
  </si>
  <si>
    <t>G:\共用雲端硬碟\EXT_TWN_SHP_外部-2026-H1\04\0418\BC_GAME\Big campaign\0418_會員日\04_暖正MS\02_共用切圖\16_當月熱銷夯品-assets\中標_08.jpg</t>
  </si>
  <si>
    <t>CB Product Collection ID：8510648</t>
  </si>
  <si>
    <t>Product Label Name：freeship_tw_shop_All
顯示6品</t>
  </si>
  <si>
    <t>ProductLabel</t>
  </si>
  <si>
    <t>深色背景(app&amp;pc)</t>
  </si>
  <si>
    <t>淺色背景(app&amp;pc)</t>
  </si>
  <si>
    <t>icon*3(app&amp;pc)</t>
  </si>
  <si>
    <t>icon*4(app&amp;pc)</t>
  </si>
  <si>
    <t>icon*5(app&amp;pc)</t>
  </si>
  <si>
    <t>吸底圖</t>
  </si>
  <si>
    <t>4/17 23:59</t>
  </si>
  <si>
    <t>logo</t>
  </si>
  <si>
    <t>G:\共用雲端硬碟\INT_TWN_SHP_外部-公版\2025_蝦皮VIP\01_LOGO</t>
  </si>
  <si>
    <t>G:\共用雲端硬碟\EXT_TWN_SHP_外部-2026-H1\04\0418\BC_GAME\Big campaign\0418_會員日\04_暖正MS\02_共用切圖\24_吸底-assets</t>
  </si>
  <si>
    <r>
      <rPr>
        <sz val="10"/>
        <rFont val="Calibri"/>
      </rPr>
      <t xml:space="preserve">會員日攻略
</t>
    </r>
    <r>
      <rPr>
        <u/>
        <sz val="10"/>
        <color rgb="FF1155CC"/>
        <rFont val="Calibri"/>
      </rPr>
      <t>https://shopee.tw/m/mid-month-sale</t>
    </r>
  </si>
  <si>
    <r>
      <rPr>
        <sz val="10"/>
        <rFont val="Calibri"/>
      </rPr>
      <t xml:space="preserve">全站大免運
</t>
    </r>
    <r>
      <rPr>
        <u/>
        <sz val="10"/>
        <color rgb="FF1155CC"/>
        <rFont val="Calibri"/>
      </rPr>
      <t>https://shopee.tw/m/free-shipping</t>
    </r>
  </si>
  <si>
    <r>
      <rPr>
        <sz val="10"/>
        <rFont val="Calibri"/>
      </rPr>
      <t xml:space="preserve">直播領券去
</t>
    </r>
    <r>
      <rPr>
        <u/>
        <sz val="10"/>
        <color rgb="FF1155CC"/>
        <rFont val="Calibri"/>
      </rPr>
      <t>https://shopee.tw/m/user-livestream</t>
    </r>
  </si>
  <si>
    <r>
      <rPr>
        <sz val="10"/>
        <rFont val="Calibri"/>
      </rPr>
      <t xml:space="preserve">VIP獨享8折券
</t>
    </r>
    <r>
      <rPr>
        <u/>
        <sz val="10"/>
        <color rgb="FF1155CC"/>
        <rFont val="Calibri"/>
      </rPr>
      <t>https://shopee.tw/m/shopeevip</t>
    </r>
  </si>
  <si>
    <t>會員日攻略</t>
  </si>
  <si>
    <t>全站大免運</t>
  </si>
  <si>
    <t>直播領券去</t>
  </si>
  <si>
    <t>4/18 00:00</t>
  </si>
  <si>
    <t>4/18 5:59</t>
  </si>
  <si>
    <t>內著特殺</t>
  </si>
  <si>
    <t>大牌</t>
  </si>
  <si>
    <r>
      <rPr>
        <sz val="10"/>
        <rFont val="Calibri"/>
      </rPr>
      <t xml:space="preserve">第三顆連結調整
</t>
    </r>
    <r>
      <rPr>
        <u/>
        <sz val="10"/>
        <color rgb="FF1155CC"/>
        <rFont val="Calibri"/>
      </rPr>
      <t>https://shopee.tw/m/shopeevip</t>
    </r>
  </si>
  <si>
    <r>
      <rPr>
        <sz val="10"/>
        <rFont val="Calibri"/>
      </rPr>
      <t xml:space="preserve">主會場
</t>
    </r>
    <r>
      <rPr>
        <u/>
        <sz val="10"/>
        <color rgb="FF1155CC"/>
        <rFont val="Calibri"/>
      </rPr>
      <t>https://shopee.tw/m/mid-month-sale</t>
    </r>
  </si>
  <si>
    <r>
      <rPr>
        <sz val="10"/>
        <rFont val="Calibri"/>
      </rPr>
      <t xml:space="preserve">全站大免運
</t>
    </r>
    <r>
      <rPr>
        <u/>
        <sz val="10"/>
        <color rgb="FF1155CC"/>
        <rFont val="Calibri"/>
      </rPr>
      <t>https://shopee.tw/m/free-shipping</t>
    </r>
  </si>
  <si>
    <r>
      <rPr>
        <sz val="10"/>
        <rFont val="Calibri"/>
      </rPr>
      <t xml:space="preserve">VIP獨享8折券
</t>
    </r>
    <r>
      <rPr>
        <u/>
        <sz val="10"/>
        <color rgb="FF1155CC"/>
        <rFont val="Calibri"/>
      </rPr>
      <t>https://shopee.tw/m/shopeevip</t>
    </r>
  </si>
  <si>
    <r>
      <rPr>
        <sz val="10"/>
        <rFont val="Calibri"/>
      </rPr>
      <t xml:space="preserve">內著領券享8折
</t>
    </r>
    <r>
      <rPr>
        <u/>
        <sz val="10"/>
        <color rgb="FF1155CC"/>
        <rFont val="Calibri"/>
      </rPr>
      <t>https://shopee.tw/m/lingeriefestival</t>
    </r>
  </si>
  <si>
    <r>
      <rPr>
        <sz val="10"/>
        <rFont val="Calibri"/>
      </rPr>
      <t>限時搶券58折</t>
    </r>
    <r>
      <rPr>
        <u/>
        <sz val="10"/>
        <color rgb="FF1155CC"/>
        <rFont val="Calibri"/>
      </rPr>
      <t>https://shopee.tw/m/AMART20260418</t>
    </r>
  </si>
  <si>
    <t>主會場</t>
  </si>
  <si>
    <t>VIP獨享8折券</t>
  </si>
  <si>
    <t>4/18 6:00</t>
  </si>
  <si>
    <t>4/18 11:59</t>
  </si>
  <si>
    <r>
      <rPr>
        <sz val="10"/>
        <rFont val="Calibri"/>
      </rPr>
      <t xml:space="preserve">主會場
</t>
    </r>
    <r>
      <rPr>
        <u/>
        <sz val="10"/>
        <color rgb="FF1155CC"/>
        <rFont val="Calibri"/>
      </rPr>
      <t>https://shopee.tw/m/mid-month-sale</t>
    </r>
  </si>
  <si>
    <r>
      <rPr>
        <sz val="10"/>
        <rFont val="Calibri"/>
      </rPr>
      <t xml:space="preserve">全站大免運
</t>
    </r>
    <r>
      <rPr>
        <u/>
        <sz val="10"/>
        <color rgb="FF1155CC"/>
        <rFont val="Calibri"/>
      </rPr>
      <t>https://shopee.tw/m/free-shipping</t>
    </r>
  </si>
  <si>
    <r>
      <rPr>
        <sz val="10"/>
        <rFont val="Calibri"/>
      </rPr>
      <t xml:space="preserve">VIP獨享8折券
</t>
    </r>
    <r>
      <rPr>
        <u/>
        <sz val="10"/>
        <color rgb="FF1155CC"/>
        <rFont val="Calibri"/>
      </rPr>
      <t>https://shopee.tw/m/shopeevip</t>
    </r>
  </si>
  <si>
    <r>
      <rPr>
        <sz val="10"/>
        <rFont val="Calibri"/>
      </rPr>
      <t xml:space="preserve">內著領券享8折
</t>
    </r>
    <r>
      <rPr>
        <u/>
        <sz val="10"/>
        <color rgb="FF1155CC"/>
        <rFont val="Calibri"/>
      </rPr>
      <t>https://shopee.tw/m/lingeriefestiv</t>
    </r>
  </si>
  <si>
    <r>
      <rPr>
        <sz val="10"/>
        <rFont val="Calibri"/>
      </rPr>
      <t xml:space="preserve">領雙券享現折
</t>
    </r>
    <r>
      <rPr>
        <u/>
        <sz val="10"/>
        <color rgb="FF1155CC"/>
        <rFont val="Calibri"/>
      </rPr>
      <t>https://shopee.tw/m/LG-0418-Spikeday</t>
    </r>
  </si>
  <si>
    <t>4/18 12:00</t>
  </si>
  <si>
    <t>4/18 17:59</t>
  </si>
  <si>
    <r>
      <rPr>
        <sz val="10"/>
        <rFont val="Calibri"/>
      </rPr>
      <t xml:space="preserve">主會場
</t>
    </r>
    <r>
      <rPr>
        <u/>
        <sz val="10"/>
        <color rgb="FF1155CC"/>
        <rFont val="Calibri"/>
      </rPr>
      <t>https://shopee.tw/m/mid-month-sale</t>
    </r>
  </si>
  <si>
    <r>
      <rPr>
        <sz val="10"/>
        <rFont val="Calibri"/>
      </rPr>
      <t xml:space="preserve">全站大免運
</t>
    </r>
    <r>
      <rPr>
        <u/>
        <sz val="10"/>
        <color rgb="FF1155CC"/>
        <rFont val="Calibri"/>
      </rPr>
      <t>https://shopee.tw/m/free-shipping</t>
    </r>
  </si>
  <si>
    <r>
      <rPr>
        <sz val="10"/>
        <rFont val="Calibri"/>
      </rPr>
      <t xml:space="preserve">VIP獨享8折券
</t>
    </r>
    <r>
      <rPr>
        <u/>
        <sz val="10"/>
        <color rgb="FF1155CC"/>
        <rFont val="Calibri"/>
      </rPr>
      <t>https://shopee.tw/m/shopeevip</t>
    </r>
  </si>
  <si>
    <r>
      <rPr>
        <sz val="10"/>
        <rFont val="Calibri"/>
      </rPr>
      <t xml:space="preserve">內著領券享8折
</t>
    </r>
    <r>
      <rPr>
        <u/>
        <sz val="10"/>
        <color rgb="FF1155CC"/>
        <rFont val="Calibri"/>
      </rPr>
      <t>https://shopee.tw/m/lingeriefestiv</t>
    </r>
  </si>
  <si>
    <r>
      <rPr>
        <sz val="10"/>
        <rFont val="Calibri"/>
      </rPr>
      <t xml:space="preserve">限搶5折券
</t>
    </r>
    <r>
      <rPr>
        <u/>
        <sz val="10"/>
        <color rgb="FF1155CC"/>
        <rFont val="Calibri"/>
      </rPr>
      <t>https://shopee.tw/m/watsons260418</t>
    </r>
  </si>
  <si>
    <t>4/18 18:00</t>
  </si>
  <si>
    <t>4/18 23:59</t>
  </si>
  <si>
    <r>
      <rPr>
        <sz val="10"/>
        <rFont val="Calibri"/>
      </rPr>
      <t xml:space="preserve">主會場
</t>
    </r>
    <r>
      <rPr>
        <u/>
        <sz val="10"/>
        <color rgb="FF1155CC"/>
        <rFont val="Calibri"/>
      </rPr>
      <t>https://shopee.tw/m/mid-month-sale</t>
    </r>
  </si>
  <si>
    <r>
      <rPr>
        <sz val="10"/>
        <rFont val="Calibri"/>
      </rPr>
      <t xml:space="preserve">全站大免運
</t>
    </r>
    <r>
      <rPr>
        <u/>
        <sz val="10"/>
        <color rgb="FF1155CC"/>
        <rFont val="Calibri"/>
      </rPr>
      <t>https://shopee.tw/m/free-shipping</t>
    </r>
  </si>
  <si>
    <r>
      <rPr>
        <sz val="10"/>
        <rFont val="Calibri"/>
      </rPr>
      <t xml:space="preserve">VIP獨享8折券
</t>
    </r>
    <r>
      <rPr>
        <u/>
        <sz val="10"/>
        <color rgb="FF1155CC"/>
        <rFont val="Calibri"/>
      </rPr>
      <t>https://shopee.tw/m/shopeevip</t>
    </r>
  </si>
  <si>
    <r>
      <rPr>
        <sz val="10"/>
        <rFont val="Calibri"/>
      </rPr>
      <t xml:space="preserve">內著領券享8折
</t>
    </r>
    <r>
      <rPr>
        <u/>
        <sz val="10"/>
        <color rgb="FF1155CC"/>
        <rFont val="Calibri"/>
      </rPr>
      <t>https://shopee.tw/m/lingeriefestiv</t>
    </r>
  </si>
  <si>
    <r>
      <rPr>
        <sz val="10"/>
        <rFont val="Calibri"/>
      </rPr>
      <t>滿額贈學步車</t>
    </r>
    <r>
      <rPr>
        <u/>
        <sz val="10"/>
        <color rgb="FF1155CC"/>
        <rFont val="Calibri"/>
      </rPr>
      <t>https://shopee.tw/m/unicharm20260418</t>
    </r>
  </si>
  <si>
    <t>無mission計時器</t>
  </si>
  <si>
    <t>BackToTop</t>
  </si>
  <si>
    <t>填入分頁名稱→</t>
  </si>
  <si>
    <t>L1_暖正版配</t>
  </si>
  <si>
    <t>最後執行時間：2026-03-12 10:50:08</t>
  </si>
  <si>
    <t>抓</t>
  </si>
  <si>
    <t>*J欄後資料不更動，若有新增/移除欄位，請PIC手動更新。</t>
  </si>
  <si>
    <t>版配</t>
  </si>
  <si>
    <t>案型類標</t>
  </si>
  <si>
    <t>案型Label (backup)</t>
  </si>
  <si>
    <t>參考素材/範例圖</t>
  </si>
  <si>
    <t>套品資訊</t>
  </si>
  <si>
    <t>GD feedback</t>
  </si>
  <si>
    <t>Camp feedback</t>
  </si>
  <si>
    <t>公式</t>
  </si>
  <si>
    <t>名稱</t>
  </si>
  <si>
    <t>使用公版</t>
  </si>
  <si>
    <t>公式(抓取版配AO欄類標)</t>
  </si>
  <si>
    <t>公式(抓取版配AH欄Campaign label)</t>
  </si>
  <si>
    <t>(蝦皮VIP LOGO) 專屬</t>
  </si>
  <si>
    <t>上蓋_VIP</t>
  </si>
  <si>
    <t>訂閱享月月送60蝦幣</t>
  </si>
  <si>
    <t>主標題</t>
  </si>
  <si>
    <t>購物節全站再送8折</t>
  </si>
  <si>
    <t>副標題</t>
  </si>
  <si>
    <t>請使用 APP 開啟訂閱，VIP優惠券詳細規則請見活動說明</t>
  </si>
  <si>
    <t>法務小字</t>
  </si>
  <si>
    <t>小藍標：4/18加碼</t>
  </si>
  <si>
    <t>全站8折優惠券
低消$500最高折抵$100</t>
  </si>
  <si>
    <t>稍後使用</t>
  </si>
  <si>
    <t>票券_VIP</t>
  </si>
  <si>
    <t>下蓋_VIP</t>
  </si>
  <si>
    <t>上蓋_常態</t>
  </si>
  <si>
    <t>上蓋_底橘</t>
  </si>
  <si>
    <t>下蓋_底橘</t>
  </si>
  <si>
    <t>3/17 20點開灑</t>
  </si>
  <si>
    <t>蝦幣18%搶先用</t>
  </si>
  <si>
    <t>數量有限，用完為止</t>
  </si>
  <si>
    <t>上蓋_獨享</t>
  </si>
  <si>
    <t>獨享18%蝦幣回饋</t>
  </si>
  <si>
    <t>上蓋_免運</t>
  </si>
  <si>
    <t>免運優惠須依店家適用之物流與門檻為主</t>
  </si>
  <si>
    <t>表格_免運</t>
  </si>
  <si>
    <r>
      <rPr>
        <b/>
        <sz val="10"/>
        <color rgb="FF000000"/>
        <rFont val="Arial"/>
      </rPr>
      <t>$490</t>
    </r>
    <r>
      <rPr>
        <b/>
        <sz val="10"/>
        <color rgb="FF000000"/>
        <rFont val="微軟正黑體"/>
        <family val="2"/>
        <charset val="136"/>
      </rPr>
      <t>起</t>
    </r>
  </si>
  <si>
    <r>
      <rPr>
        <b/>
        <sz val="10"/>
        <color rgb="FF000000"/>
        <rFont val="Arial"/>
      </rPr>
      <t>$299</t>
    </r>
    <r>
      <rPr>
        <b/>
        <sz val="10"/>
        <color rgb="FF000000"/>
        <rFont val="微軟正黑體"/>
        <family val="2"/>
        <charset val="136"/>
      </rPr>
      <t>起</t>
    </r>
  </si>
  <si>
    <t>下蓋_免運</t>
  </si>
  <si>
    <t>(蝦皮直營logo)全台當日到貨</t>
  </si>
  <si>
    <t>上蓋_蝦皮直營</t>
  </si>
  <si>
    <t>one color</t>
  </si>
  <si>
    <r>
      <rPr>
        <b/>
        <sz val="12"/>
        <color rgb="FF000000"/>
        <rFont val="細明體"/>
        <family val="3"/>
        <charset val="136"/>
      </rPr>
      <t>滿千最高折</t>
    </r>
    <r>
      <rPr>
        <b/>
        <sz val="12"/>
        <color rgb="FF000000"/>
        <rFont val="Calibri"/>
      </rPr>
      <t>$350</t>
    </r>
  </si>
  <si>
    <t>特定門市除外，詳見條款</t>
  </si>
  <si>
    <t>下蓋_蝦皮直營</t>
  </si>
  <si>
    <r>
      <rPr>
        <b/>
        <sz val="12"/>
        <color rgb="FF000000"/>
        <rFont val="細明體"/>
        <family val="3"/>
        <charset val="136"/>
      </rPr>
      <t>搶先寵媽</t>
    </r>
    <r>
      <rPr>
        <b/>
        <sz val="12"/>
        <color rgb="FF000000"/>
        <rFont val="Calibri"/>
      </rPr>
      <t>5</t>
    </r>
    <r>
      <rPr>
        <b/>
        <sz val="12"/>
        <color rgb="FF000000"/>
        <rFont val="細明體"/>
        <family val="3"/>
        <charset val="136"/>
      </rPr>
      <t>折起</t>
    </r>
  </si>
  <si>
    <t>優惠數量有限，售完為止</t>
  </si>
  <si>
    <r>
      <rPr>
        <b/>
        <sz val="12"/>
        <color rgb="FF000000"/>
        <rFont val="細明體"/>
        <family val="3"/>
        <charset val="136"/>
      </rPr>
      <t>限搶速食</t>
    </r>
    <r>
      <rPr>
        <b/>
        <sz val="12"/>
        <color rgb="FF000000"/>
        <rFont val="Calibri"/>
      </rPr>
      <t>$59</t>
    </r>
    <r>
      <rPr>
        <b/>
        <sz val="12"/>
        <color rgb="FF000000"/>
        <rFont val="細明體"/>
        <family val="3"/>
        <charset val="136"/>
      </rPr>
      <t>起</t>
    </r>
  </si>
  <si>
    <t>(蝦皮短影音_LOGO)</t>
  </si>
  <si>
    <t>上蓋_全橘</t>
  </si>
  <si>
    <t>下蓋_全橘</t>
  </si>
  <si>
    <r>
      <rPr>
        <b/>
        <sz val="12"/>
        <color rgb="FF000000"/>
        <rFont val="Arial"/>
      </rPr>
      <t>(蝦皮直播</t>
    </r>
    <r>
      <rPr>
        <b/>
        <sz val="12"/>
        <color rgb="FF000000"/>
        <rFont val="Calibri"/>
      </rPr>
      <t>_LOGO)</t>
    </r>
  </si>
  <si>
    <r>
      <rPr>
        <b/>
        <sz val="12"/>
        <color rgb="FF000000"/>
        <rFont val="Calibri"/>
      </rPr>
      <t xml:space="preserve">4.18 </t>
    </r>
    <r>
      <rPr>
        <b/>
        <sz val="12"/>
        <color rgb="FF000000"/>
        <rFont val="Arial"/>
      </rPr>
      <t>刷卡享</t>
    </r>
    <r>
      <rPr>
        <b/>
        <sz val="12"/>
        <color rgb="FF000000"/>
        <rFont val="Calibri"/>
      </rPr>
      <t>88</t>
    </r>
    <r>
      <rPr>
        <b/>
        <sz val="12"/>
        <color rgb="FF000000"/>
        <rFont val="Arial"/>
      </rPr>
      <t>折券</t>
    </r>
  </si>
  <si>
    <t>上蓋_銀行</t>
  </si>
  <si>
    <t>刷卡享88折券+銀行刷卡優惠</t>
  </si>
  <si>
    <t>下蓋_銀行</t>
  </si>
  <si>
    <t>(Shopee Prizes_LOGO)</t>
  </si>
  <si>
    <t>上蓋_遊戲</t>
  </si>
  <si>
    <t>LOGO
F&amp;B_愛買(原圖)480x360.jpg</t>
  </si>
  <si>
    <t>曝品
1201212739.jpg</t>
  </si>
  <si>
    <t>套品資訊如左</t>
  </si>
  <si>
    <t>光泉全脂牛乳200mlx24入</t>
  </si>
  <si>
    <t>原價$520 活動價$468 (系統上字)</t>
  </si>
  <si>
    <t>下單去</t>
  </si>
  <si>
    <t>看更多►</t>
  </si>
  <si>
    <t>曝品
請放三瓶.jpg</t>
  </si>
  <si>
    <t>愛之味分解茶590mlx24入/箱【愛買】</t>
  </si>
  <si>
    <t>LOGO
LG Logo.png</t>
  </si>
  <si>
    <t>曝品
108078562_57651827608.png</t>
  </si>
  <si>
    <t>LG 360°寵物清淨機LITE版</t>
  </si>
  <si>
    <t>原價$25,800 活動價$17,910 (系統上字)</t>
  </si>
  <si>
    <t>會員抽微波爐</t>
  </si>
  <si>
    <t>曝品
108078562_26186841327.png</t>
  </si>
  <si>
    <t>LG  42吋OLED 4K顯示器 C5極緻系列</t>
  </si>
  <si>
    <t>原價$49,900 活動價$31,900 (系統上字)</t>
  </si>
  <si>
    <t>LOGO
屈臣氏LOGO(PSD)活動頁.psd</t>
  </si>
  <si>
    <t>曝品
WATSONS魚油.jpg</t>
  </si>
  <si>
    <t>品名第一行:WATSONS魚油
品名第二行:軟膠囊180粒</t>
  </si>
  <si>
    <t>原價$1,200 活動價$629(系統上字)</t>
  </si>
  <si>
    <t>曝品
WATSONS維生素.jpg</t>
  </si>
  <si>
    <t>品名第一行:WATSONS維生素
品名第二行:C500錠300錠</t>
  </si>
  <si>
    <t>原價$700 活動價$339(系統上字)</t>
  </si>
  <si>
    <t>LOGO
滿意寶寶-中文版.jpg</t>
  </si>
  <si>
    <t>曝品
滿意寶寶_極上呵護輕巧褲_TKP.png</t>
  </si>
  <si>
    <t>滿意寶寶 極上の呵護輕巧褲</t>
  </si>
  <si>
    <t>原價$2,100 活動價$1,599 (系統上字)</t>
  </si>
  <si>
    <t>曝品
滿意寶寶_瞬潔乾爽輕巧褲_UP.jpg</t>
  </si>
  <si>
    <t>滿意寶寶 瞬潔乾爽輕巧褲</t>
  </si>
  <si>
    <t>原價$1,756 活動價$1299 (系統上字)</t>
  </si>
  <si>
    <t>滿額送吉普車</t>
  </si>
  <si>
    <t>蝦皮優選｜好評商家放心買</t>
  </si>
  <si>
    <t>中標_全橘</t>
  </si>
  <si>
    <t>F&amp;B_愛買(原圖)480x360.jpg</t>
  </si>
  <si>
    <t>限時搶券58折</t>
  </si>
  <si>
    <t>LG Logo.png</t>
  </si>
  <si>
    <t>領雙券享現折</t>
  </si>
  <si>
    <t>屈臣氏LOGO(PSD)活動頁.psd</t>
  </si>
  <si>
    <t>限搶5折券</t>
  </si>
  <si>
    <t>滿意寶寶-中文版.jpg</t>
  </si>
  <si>
    <t>年中慶</t>
  </si>
  <si>
    <t>組件目錄表</t>
  </si>
  <si>
    <t>MS功能手冊</t>
  </si>
  <si>
    <t>頁面背景底色</t>
  </si>
  <si>
    <t>VoucherGroup</t>
  </si>
  <si>
    <t>https://docs.google.com/presentation/d/1yJoTHSJKuOlKzcJ4yROB3re-khhQ_bgQbgSg6p7zn3E/edit?pli=1&amp;slide=id.g1026e68fc13_7_56#slide=id.g1026e68fc13_7_56</t>
  </si>
  <si>
    <t>Product label</t>
  </si>
  <si>
    <t>CTA button</t>
  </si>
  <si>
    <t>圖_GD模版_MKT_Camp公版</t>
  </si>
  <si>
    <t>三大保證</t>
  </si>
  <si>
    <t>圖_GD模版_MKT_LS公版</t>
  </si>
  <si>
    <t>FloatingIcon</t>
  </si>
  <si>
    <t>CollecionGroup</t>
  </si>
  <si>
    <t>公版組件型錄</t>
  </si>
  <si>
    <t>需入稿欄位數</t>
  </si>
  <si>
    <t>Type</t>
  </si>
  <si>
    <t>組成型式</t>
  </si>
  <si>
    <t>(公式)
Type+組成型式</t>
  </si>
  <si>
    <t>組件編號
(section name)</t>
  </si>
  <si>
    <t>Camp簡易版配
(pic不需填寫)</t>
  </si>
  <si>
    <t>Count</t>
  </si>
  <si>
    <t>Background Color</t>
  </si>
  <si>
    <t>MM/DD hh (若全走期都需曝光，請清空此欄毋需填寫)</t>
  </si>
  <si>
    <t>Rule Set Name：</t>
  </si>
  <si>
    <t>Page Background Color：# (請填色碼)</t>
  </si>
  <si>
    <t>Product Label</t>
  </si>
  <si>
    <t>Product Label Name：</t>
  </si>
  <si>
    <t>由MKT更新，此欄位固定格式，不需提供資訊
(Voucher CID：12917705872)</t>
  </si>
  <si>
    <t>A-2</t>
  </si>
  <si>
    <t>A-4</t>
  </si>
  <si>
    <t>高度固定設為：100</t>
  </si>
  <si>
    <t>固定格式，不需提供資訊</t>
  </si>
  <si>
    <t>圖檔路徑：
檔名：</t>
  </si>
  <si>
    <t>A-6</t>
  </si>
  <si>
    <t>需展示的banner數量：</t>
  </si>
  <si>
    <t>圖檔寬度：</t>
  </si>
  <si>
    <t>圖檔高度：</t>
  </si>
  <si>
    <t>Image Collection ID：</t>
  </si>
  <si>
    <t>A-7</t>
  </si>
  <si>
    <t>倒數計時器 xx天xx時xx分xx秒</t>
  </si>
  <si>
    <t>Aspect Ratio Width：
Aspect Ratio Height：</t>
  </si>
  <si>
    <t>Text Content Before Timer：</t>
  </si>
  <si>
    <t>Text Color：</t>
  </si>
  <si>
    <t>Timer Number Color：</t>
  </si>
  <si>
    <t>Countdown End Time：YYYY/MM/DD hh:mm:ss</t>
  </si>
  <si>
    <t>固定(app&amp;pc)</t>
  </si>
  <si>
    <t>C-1</t>
  </si>
  <si>
    <t>(icon) 15天鑑賞期+(icon)正品保障+(icon)蝦皮安心退</t>
  </si>
  <si>
    <t>Header Text Color：# (請填色碼)</t>
  </si>
  <si>
    <t>Header Background Color：# (請填色碼)</t>
  </si>
  <si>
    <t>D-2</t>
  </si>
  <si>
    <t>查看全部Link：</t>
  </si>
  <si>
    <t>D-4</t>
  </si>
  <si>
    <t>說明文字-固定</t>
  </si>
  <si>
    <t>E-1</t>
  </si>
  <si>
    <t>說明文字</t>
  </si>
  <si>
    <t>字體大小固定為系統預設</t>
  </si>
  <si>
    <t>Text Color：# (請填色碼)</t>
  </si>
  <si>
    <t>文案：</t>
  </si>
  <si>
    <t>E-2</t>
  </si>
  <si>
    <t>活動辦法需過完法務並開啟權限</t>
  </si>
  <si>
    <t>活動辦法連結：</t>
  </si>
  <si>
    <t>F-1</t>
  </si>
  <si>
    <t>voucher</t>
  </si>
  <si>
    <t>-Voucher Collection由PIC自行維護，以下功能請自行至collection後台開啟:
(1)Personalised Order
(2)Deboost Claimed Voucher
(3)Deboost Fully Redeemed Voucher
-Voucher Display Template固定設為Auto-fetch，由系統自動帶入對應券種樣式
-Total Voucher展示數量上限20張</t>
  </si>
  <si>
    <t>需展示的Voucher數量：</t>
  </si>
  <si>
    <t>(單張券請提供)Voucher ID / Voucher Collection ID：
(多張券請提供)Voucher Collection ID：</t>
  </si>
  <si>
    <t>F-2</t>
  </si>
  <si>
    <t>請入稿優惠券_提醒我入稿表</t>
  </si>
  <si>
    <t>F-3</t>
  </si>
  <si>
    <t>Voucher Collection ID：</t>
  </si>
  <si>
    <t>F-6</t>
  </si>
  <si>
    <t>-僅限全站Campaign；FSV僅能一排一張
-Voucher Collection由PIC自行維護，以下功能請自行至collection後台開啟:
(1)Personalised Order
(2)Deboost Claimed Voucher
(3)Deboost Fully Redeemed Voucher
-Voucher Display Template固定設為Auto-fetch，由系統自動帶入對應券種樣式
-Total Voucher展示數量上限20張</t>
  </si>
  <si>
    <t>F-7</t>
  </si>
  <si>
    <t>F-8</t>
  </si>
  <si>
    <t>F-9</t>
  </si>
  <si>
    <t>F-10</t>
  </si>
  <si>
    <t>F-11</t>
  </si>
  <si>
    <t>F-14</t>
  </si>
  <si>
    <t>假券</t>
  </si>
  <si>
    <t>小黃標：
大標：
使用規則：
CTA文字：下單去</t>
  </si>
  <si>
    <t>CTA連結：</t>
  </si>
  <si>
    <t>F-15</t>
  </si>
  <si>
    <t>小黃標：
大標：
使用規則：
CTA文字：提醒我</t>
  </si>
  <si>
    <t>提醒我
Start Time：YYYY-MM-DD hh:mm:ss
End Time：YYYY-MM-DD hh:mm:ss
Title：
Popup Message：
URL：</t>
  </si>
  <si>
    <t>F-16</t>
  </si>
  <si>
    <t>(左)
小黃標：
大標：
使用規則：
CTA文字：下單去</t>
  </si>
  <si>
    <t>(左)CTA連結：</t>
  </si>
  <si>
    <t>(右)
小黃標：
大標：
使用規則：
CTA文字：下單去</t>
  </si>
  <si>
    <t>(右)CTA連結：</t>
  </si>
  <si>
    <t>F-17</t>
  </si>
  <si>
    <t>(左)
小黃標：
大標：
使用規則：
CTA文字：提醒我</t>
  </si>
  <si>
    <t>(左)提醒我
Start Time：YYYY-MM-DD hh:mm:ss
End Time：YYYY-MM-DD hh:mm:ss
Title：
Popup Message：
URL：</t>
  </si>
  <si>
    <t>(右)
小黃標：
大標：
使用規則：
CTA文字：提醒我</t>
  </si>
  <si>
    <t>(右)提醒我
Start Time：YYYY-MM-DD hh:mm:ss
End Time：YYYY-MM-DD hh:mm:ss
Title：
Popup Message：
URL：</t>
  </si>
  <si>
    <t>F-18</t>
  </si>
  <si>
    <t>F-19</t>
  </si>
  <si>
    <t>F-20</t>
  </si>
  <si>
    <t>F-21</t>
  </si>
  <si>
    <t>F-22</t>
  </si>
  <si>
    <t>F-23</t>
  </si>
  <si>
    <t>F-24</t>
  </si>
  <si>
    <t>F-25</t>
  </si>
  <si>
    <t>F-26</t>
  </si>
  <si>
    <t>一排1品(垂直展示)</t>
  </si>
  <si>
    <t>G-1</t>
  </si>
  <si>
    <t>-Poucher Collection由PIC自行維護(campaign賣版除外)
-展示順序為自動化推薦，如需固定品項，PIC需自行PIN住順序 / 改選order by BE position</t>
  </si>
  <si>
    <t>需展示的商品數量：</t>
  </si>
  <si>
    <t>Product Collection ID：
*campaign賣版僅提供AD入稿表即可</t>
  </si>
  <si>
    <t>G-2</t>
  </si>
  <si>
    <t>G-3</t>
  </si>
  <si>
    <t>G-4</t>
  </si>
  <si>
    <t>Product Collection</t>
  </si>
  <si>
    <t>-Poucher Collection由PIC自行維護
-展示順序為自動化推薦，如需固定品項，PIC需自行PIN住順序 / 改選order by BE position</t>
  </si>
  <si>
    <t>Product Collection ID：</t>
  </si>
  <si>
    <t>G-5</t>
  </si>
  <si>
    <t>(查看全部預設導collection集合頁，如要導其他頁面請提供URL)</t>
  </si>
  <si>
    <t>G-7</t>
  </si>
  <si>
    <t>Multi Tabs</t>
  </si>
  <si>
    <t>-Multi Tabs數量：最多8個
=1個，固定不能滑動，上限30字(包含中,英,數,符號)
=2個，固定不能滑動，上限15字(包含中,英,數,符號)
=3個，固定不能滑動，上限10字(包含中,英,數,符號)
=4個，固定不能滑動，上限7字(包含中,英,數,符號)
5-8個，只能左右滑動，上限8字(包含中,英,數,符號)</t>
  </si>
  <si>
    <t>請入稿multi tabs_入稿表</t>
  </si>
  <si>
    <t>G-10</t>
  </si>
  <si>
    <t>Item Recommendation</t>
  </si>
  <si>
    <t>Collection 1條</t>
  </si>
  <si>
    <t>H-5</t>
  </si>
  <si>
    <t>Shop Collection</t>
  </si>
  <si>
    <t xml:space="preserve">預設將開啟以下功能：
(1)Display Follow Button
(2)Display Shop Name on Shop Card </t>
  </si>
  <si>
    <t>Shop Collection ID：</t>
  </si>
  <si>
    <t>I-1</t>
  </si>
  <si>
    <t>需自行畫版配，如不夠可向下插入欄位</t>
  </si>
  <si>
    <t>I-3</t>
  </si>
  <si>
    <t>CTA連結
(左)LINK：
(右)LINK：</t>
  </si>
  <si>
    <t>I-4</t>
  </si>
  <si>
    <t>CTA連結
(左)LINK：
(中)LINK：
(右)LINK：</t>
  </si>
  <si>
    <t>I-7</t>
  </si>
  <si>
    <t>依照上至下，左至右依序提供
*若為賣版僅提供AD入稿表即可
LINK(1)：
LINK(2)：
LINK(3)：
LINK(4)：
LINK(5)：
LINK(6)：</t>
  </si>
  <si>
    <t>I-8</t>
  </si>
  <si>
    <t>提醒我
Start Time：YYYY-MM-DD hh:mm:ss
End Time：YYYY-MM-DD hh:mm:ss
Title：
Popup Message：</t>
  </si>
  <si>
    <t>I-9</t>
  </si>
  <si>
    <t>(左)提醒我
Start Time：YYYY-MM-DD hh:mm:ss
End Time：YYYY-MM-DD hh:mm:ss
Title：
Popup Message：</t>
  </si>
  <si>
    <t>(右)提醒我
Start Time：YYYY-MM-DD hh:mm:ss
End Time：YYYY-MM-DD hh:mm:ss
Title：
Popup Message：</t>
  </si>
  <si>
    <t>I-10</t>
  </si>
  <si>
    <t>(中)提醒我
Start Time：YYYY-MM-DD hh:mm:ss
End Time：YYYY-MM-DD hh:mm:ss
Title：
Popup Message：</t>
  </si>
  <si>
    <t>I-11</t>
  </si>
  <si>
    <t>依照上至下，左至右依序提供
提醒我(1)
Start Time：YYYY-MM-DD hh:mm:ss
End Time：YYYY-MM-DD hh:mm:ss
Title：
Popup Message：</t>
  </si>
  <si>
    <t>依照上至下，左至右依序提供
提醒我(2)
Start Time：YYYY-MM-DD hh:mm:ss
End Time：YYYY-MM-DD hh:mm:ss
Title：
Popup Message：</t>
  </si>
  <si>
    <t>依照上至下，左至右依序提供
提醒我(3)
Start Time：YYYY-MM-DD hh:mm:ss
End Time：YYYY-MM-DD hh:mm:ss
Title：
Popup Message：</t>
  </si>
  <si>
    <t>依照上至下，左至右依序提供
提醒我(4)
Start Time：YYYY-MM-DD hh:mm:ss
End Time：YYYY-MM-DD hh:mm:ss
Title：
Popup Message：</t>
  </si>
  <si>
    <t>I-12</t>
  </si>
  <si>
    <t>依照上至下，左至右依序提供
提醒我(5)
Start Time：YYYY-MM-DD hh:mm:ss
End Time：YYYY-MM-DD hh:mm:ss
Title：
Popup Message：</t>
  </si>
  <si>
    <t>I-13</t>
  </si>
  <si>
    <t>請入稿image&gt;5_提醒我入稿表</t>
  </si>
  <si>
    <t>I-14</t>
  </si>
  <si>
    <t>I-15</t>
  </si>
  <si>
    <t>提醒我(1)
Start Time：YYYY-MM-DD hh:mm:ss
End Time：YYYY-MM-DD hh:mm:ss
Title：
Popup Message：
URL：</t>
  </si>
  <si>
    <t>提醒我(2)
Start Time：YYYY-MM-DD hh:mm:ss
End Time：YYYY-MM-DD hh:mm:ss
Title：
Popup Message：
URL：</t>
  </si>
  <si>
    <t>I-16</t>
  </si>
  <si>
    <t>CTA連結(1)：</t>
  </si>
  <si>
    <t>CTA連結(2)：</t>
  </si>
  <si>
    <t>I-17</t>
  </si>
  <si>
    <t>Shop ID：
item ID：</t>
  </si>
  <si>
    <t>I-18</t>
  </si>
  <si>
    <t>(左)
Shop ID：
item ID：</t>
  </si>
  <si>
    <t>(右)
Shop ID：
item ID：</t>
  </si>
  <si>
    <t>I-19</t>
  </si>
  <si>
    <t>(中)
Shop ID：
item ID：</t>
  </si>
  <si>
    <t>I-20</t>
  </si>
  <si>
    <t>I-21</t>
  </si>
  <si>
    <t>(左)
提醒我
Start Time：YYYY-MM-DD hh:mm:ss
End Time：YYYY-MM-DD hh:mm:ss
Title：
Popup Message：
URL：</t>
  </si>
  <si>
    <t>(右)
提醒我
Start Time：YYYY-MM-DD hh:mm:ss
End Time：YYYY-MM-DD hh:mm:ss
Title：
Popup Message：
URL：</t>
  </si>
  <si>
    <t>I-22</t>
  </si>
  <si>
    <t>(左)
提醒我
Start Time：YYYY-MM-DD hh:mm:ss
End Time：YYYY-MM-DD hh:mm:ss
Title：
Popup Message：
URL：
(左)
Shop ID：
item ID：</t>
  </si>
  <si>
    <t>(中)
提醒我
Start Time：YYYY-MM-DD hh:mm:ss
End Time：YYYY-MM-DD hh:mm:ss
Title：
Popup Message：
URL：
(中)
Shop ID：
item ID：</t>
  </si>
  <si>
    <t>(右)
提醒我
Start Time：YYYY-MM-DD hh:mm:ss
End Time：YYYY-MM-DD hh:mm:ss
Title：
Popup Message：
URL：
(右)
Shop ID：
item ID：</t>
  </si>
  <si>
    <t>I-23</t>
  </si>
  <si>
    <t>Popup Message：</t>
  </si>
  <si>
    <t>I-24</t>
  </si>
  <si>
    <t>(左)Popup Message：</t>
  </si>
  <si>
    <t>(右)Popup Message：</t>
  </si>
  <si>
    <t>I-25</t>
  </si>
  <si>
    <t>(中)Popup Message：</t>
  </si>
  <si>
    <t>I-26</t>
  </si>
  <si>
    <t>Copy Text Content：</t>
  </si>
  <si>
    <t>I-27</t>
  </si>
  <si>
    <t>(左)Copy Text Content：</t>
  </si>
  <si>
    <t>(右)Copy Text Content：</t>
  </si>
  <si>
    <t>I-28</t>
  </si>
  <si>
    <t>(中)Copy Text Content：</t>
  </si>
  <si>
    <t>I-29</t>
  </si>
  <si>
    <t>I-30</t>
  </si>
  <si>
    <t>I-31</t>
  </si>
  <si>
    <t>I-32</t>
  </si>
  <si>
    <t>-需要自行至Placeholder後臺倒入名單&amp;展示內容
(1)後臺連結：
https://cmt-admin.shopee.tw/collection/placeholder-collection
(2)格式上傳請使用CSV UTF-8</t>
  </si>
  <si>
    <t>Placeholder Collection ID：</t>
  </si>
  <si>
    <t>依照上至下，左至右依序提供
Placeholder(1)
Key：
Default Text：請登入以查看獎勵
Interaction Type：none / copy / link (三擇一)
Text Color：</t>
  </si>
  <si>
    <t>依照上至下，左至右依序提供
Placeholder(2)
Key：
Default Text：請登入以查看獎勵
Interaction Type：none / copy / link (三擇一)
Text Color：</t>
  </si>
  <si>
    <t>依照上至下，左至右依序提供
Placeholder(3)
Key：
Default Text：請登入以查看獎勵
Interaction Type：none / copy / link (三擇一)
Text Color：</t>
  </si>
  <si>
    <t>依照上至下，左至右依序提供
Placeholder(4)
Key：
Default Text：請登入以查看獎勵
Interaction Type：none / copy / link (三擇一)
Text Color：</t>
  </si>
  <si>
    <t>I-38</t>
  </si>
  <si>
    <t>-Image Collection由PIC自行維護
-Banner展示數量上限30張</t>
  </si>
  <si>
    <t>時間軸(一排1個)</t>
  </si>
  <si>
    <t>I-52</t>
  </si>
  <si>
    <t>時間：MM/DD hh:mm</t>
  </si>
  <si>
    <t>時間軸(一排2個)</t>
  </si>
  <si>
    <t>I-53</t>
  </si>
  <si>
    <t>(左)時間：MM/DD hh:mm
(右)時間：MM/DD hh:mm</t>
  </si>
  <si>
    <t>時間軸(一排3個)</t>
  </si>
  <si>
    <t>I-54</t>
  </si>
  <si>
    <t>(左)時間：MM/DD hh:mm
(中)時間：MM/DD hh:mm
(右)時間：MM/DD hh:mm</t>
  </si>
  <si>
    <t>LOGO(一排3品)</t>
  </si>
  <si>
    <t>I-55</t>
  </si>
  <si>
    <t>LOGO連結
(左)LINK：
(中)LINK：
(右)LINK：</t>
  </si>
  <si>
    <t>品名+$(一排3品)</t>
  </si>
  <si>
    <t>I-56</t>
  </si>
  <si>
    <t>(左)
品名：
原價：$
活動價：$</t>
  </si>
  <si>
    <t>(中)
品名：
原價：$
活動價：$</t>
  </si>
  <si>
    <t>(右)
品名：
原價：$
活動價：$</t>
  </si>
  <si>
    <t>LOGO(一排2品)</t>
  </si>
  <si>
    <t>I-139</t>
  </si>
  <si>
    <t>LOGO連結
(左)LINK：
(右)LINK：</t>
  </si>
  <si>
    <t>品名+$(一排2品)</t>
  </si>
  <si>
    <t>I-140</t>
  </si>
  <si>
    <t>文案上限8字內</t>
  </si>
  <si>
    <t>CTA(提醒我/提醒我/提醒我)</t>
  </si>
  <si>
    <t>I-64</t>
  </si>
  <si>
    <t>(中)提醒我
Start Time：YYYY-MM-DD hh:mm:ss
End Time：YYYY-MM-DD hh:mm:ss
Title：
Popup Message：
URL：</t>
  </si>
  <si>
    <t>CTA(下單去/下單去/下單去)</t>
  </si>
  <si>
    <t>I-67</t>
  </si>
  <si>
    <t>Mega大促 上蓋</t>
  </si>
  <si>
    <t>I-85</t>
  </si>
  <si>
    <t>Mega強品上蓋</t>
  </si>
  <si>
    <t>Mega大促 LOGO+品名+$(一排3品)</t>
  </si>
  <si>
    <t>I-86</t>
  </si>
  <si>
    <t>(左)
品名：
原價：$
限時價：$</t>
  </si>
  <si>
    <t>(中)
品名：
原價：$
限時價：$</t>
  </si>
  <si>
    <t>(右)
品名：
原價：$
限時價：$</t>
  </si>
  <si>
    <t>Mega大促 CTA(提醒我/提醒我/提醒我)</t>
  </si>
  <si>
    <t>I-88</t>
  </si>
  <si>
    <t>Mega大促 CTA(下單去/下單去/下單去)</t>
  </si>
  <si>
    <t>I-94</t>
  </si>
  <si>
    <t>Mega大促 下蓋</t>
  </si>
  <si>
    <t>I-95</t>
  </si>
  <si>
    <t>Mega強品下蓋</t>
  </si>
  <si>
    <t>I-43</t>
  </si>
  <si>
    <t>原價：$
活動價：$</t>
  </si>
  <si>
    <t>原價Text Color：#
活動價Text Color：#</t>
  </si>
  <si>
    <t>I-45</t>
  </si>
  <si>
    <t>(左)
原價：$
活動價：$</t>
  </si>
  <si>
    <t>(右)
原價：$
活動價：$</t>
  </si>
  <si>
    <t>CTA連結：
(左)LINK：
(右)LINK：</t>
  </si>
  <si>
    <t>I-71</t>
  </si>
  <si>
    <t>文案上限7字內</t>
  </si>
  <si>
    <t>I-72</t>
  </si>
  <si>
    <t>I-73</t>
  </si>
  <si>
    <t>文案上限3字內</t>
  </si>
  <si>
    <t>(左)文案：
(右)文案：</t>
  </si>
  <si>
    <t>I-74</t>
  </si>
  <si>
    <t>I-75</t>
  </si>
  <si>
    <t>品類週 上蓋</t>
  </si>
  <si>
    <t>I-76</t>
  </si>
  <si>
    <t>直播上蓋</t>
  </si>
  <si>
    <t>僅限直播User Campaign</t>
  </si>
  <si>
    <t>日期(黃底)(一排3個)</t>
  </si>
  <si>
    <t>I-77</t>
  </si>
  <si>
    <t>日期&amp;時間
(左)：MM/DD hh:mm
(中)：MM/DD hh:mm
(右)：MM/DD hh:mm</t>
  </si>
  <si>
    <t>LOGO(黃底)(一排3品)</t>
  </si>
  <si>
    <t>I-78</t>
  </si>
  <si>
    <t>品名+$(黃底)(一排3品)</t>
  </si>
  <si>
    <t>I-79</t>
  </si>
  <si>
    <t>-僅限直播User Campaign
-品名上限8字內</t>
  </si>
  <si>
    <t>CTA(黃底)(提醒我/提醒我/提醒我)</t>
  </si>
  <si>
    <t>I-80</t>
  </si>
  <si>
    <t>CTA(黃底)(看直播/看直播/看直播)</t>
  </si>
  <si>
    <t>I-83</t>
  </si>
  <si>
    <t>品類週 下蓋</t>
  </si>
  <si>
    <t>I-84</t>
  </si>
  <si>
    <t>直播下蓋</t>
  </si>
  <si>
    <t>CollectionGroup</t>
  </si>
  <si>
    <t>一行一列</t>
  </si>
  <si>
    <t>J-1</t>
  </si>
  <si>
    <t>Collection Group_一行一列</t>
  </si>
  <si>
    <t>預設文案：來蝦皮享受蝦拼樂趣</t>
  </si>
  <si>
    <t>需展示的collection列數：</t>
  </si>
  <si>
    <t>Collection Group ID：</t>
  </si>
  <si>
    <t>隔日到貨</t>
  </si>
  <si>
    <t>K-1</t>
  </si>
  <si>
    <t>Voucher Group_隔日到貨</t>
  </si>
  <si>
    <t>由MKT更新，此欄位固定格式，不需提供資訊
(Vouhcer CID：12927495696)</t>
  </si>
  <si>
    <t>FSS免運門檻</t>
  </si>
  <si>
    <t>K-2</t>
  </si>
  <si>
    <t>Voucher Group_FSS免運門檻</t>
  </si>
  <si>
    <t>由MKT更新，此欄位固定格式，不需提供資訊
(Vouhcer CID：12930226064)</t>
  </si>
  <si>
    <t>L-1</t>
  </si>
  <si>
    <t>以下擇一提供
CFS Promotion ID：
BE category：</t>
  </si>
  <si>
    <t>L-2</t>
  </si>
  <si>
    <t>MFS Promotion ID：</t>
  </si>
  <si>
    <t>CTAbutton</t>
  </si>
  <si>
    <t>M-1</t>
  </si>
  <si>
    <t>系統 CTA button</t>
  </si>
  <si>
    <t>文案上限20字內</t>
  </si>
  <si>
    <t>O-1</t>
  </si>
  <si>
    <t>Html Embed Code：</t>
  </si>
  <si>
    <t>P-1</t>
  </si>
  <si>
    <t>Q-3</t>
  </si>
  <si>
    <t>-預設將開啟以下功能：
(1)Display Logo and Name
(2)Display Live Streaming Tags
-livestreaming僅支援app版，故會加上說明文字：
※直播間僅支援手機版</t>
  </si>
  <si>
    <t>text固定為以下：
※直播間僅支援手機版</t>
  </si>
  <si>
    <t>Live Streaming Collection ID：</t>
  </si>
  <si>
    <t>R-1</t>
  </si>
  <si>
    <t>系統固定色碼：＃E2E2E2</t>
  </si>
  <si>
    <t>R-2</t>
  </si>
  <si>
    <t>Gap (同背景色)</t>
  </si>
  <si>
    <t>常用色碼(白色)：#FFFFFF</t>
  </si>
  <si>
    <t>S-1</t>
  </si>
  <si>
    <t>G:\共用雲端硬碟\INT_TWN_SHP_外部-公版\#Microsite版權商標\MS白底以外版本\淺色底使用此款</t>
  </si>
  <si>
    <t>S-2</t>
  </si>
  <si>
    <t>G:\共用雲端硬碟\INT_TWN_SHP_外部-公版\#Microsite版權商標\MS白底以外版本\深色底使用此款</t>
  </si>
  <si>
    <t>有mission計時器</t>
  </si>
  <si>
    <t>T-1</t>
  </si>
  <si>
    <t>Floating Icon</t>
  </si>
  <si>
    <r>
      <rPr>
        <sz val="10"/>
        <color rgb="FF000000"/>
        <rFont val="Calibri"/>
      </rPr>
      <t xml:space="preserve">請參考手冊：[TW] MS Fixed Sticky 功能應用
</t>
    </r>
    <r>
      <rPr>
        <u/>
        <sz val="10"/>
        <color rgb="FF1155CC"/>
        <rFont val="Calibri"/>
      </rPr>
      <t>https://docs.google.com/presentation/d/1XK8yDSsmucqsh5udVncCQoHkr3TnYTxCfZyRJU7OeOE/edit#slide=id.g283857bf82b_0_1</t>
    </r>
  </si>
  <si>
    <t>LINK：</t>
  </si>
  <si>
    <t>T-2</t>
  </si>
  <si>
    <r>
      <rPr>
        <sz val="10"/>
        <color rgb="FF000000"/>
        <rFont val="Calibri"/>
      </rPr>
      <t xml:space="preserve">請參考手冊：[TW] MS Fixed Sticky 功能應用
</t>
    </r>
    <r>
      <rPr>
        <u/>
        <sz val="10"/>
        <color rgb="FF1155CC"/>
        <rFont val="Calibri"/>
      </rPr>
      <t>https://docs.google.com/presentation/d/1XK8yDSsmucqsh5udVncCQoHkr3TnYTxCfZyRJU7OeOE/edit#slide=id.g283857bf82b_0_1</t>
    </r>
  </si>
  <si>
    <t>icon*2(app&amp;pc)</t>
  </si>
  <si>
    <t>U-1</t>
  </si>
  <si>
    <t>吸底圖皆設定為fixed，僅限全站Project相關的Nav(PC)設定為 scrolling
*該頁面的icon不設置連結</t>
  </si>
  <si>
    <t>(app) 圖檔路徑：
(app) 檔名：
(pc) 圖檔路徑：
(pc) 檔名：</t>
  </si>
  <si>
    <t>CTA連結
icon1：N/A (該頁面的icon不設置連結)
icon2 LINK：</t>
  </si>
  <si>
    <t>U-2</t>
  </si>
  <si>
    <t>CTA連結
icon1：N/A (該頁面的icon不設置連結)
icon2 LINK：
icon3 LINK：</t>
  </si>
  <si>
    <t>U-3</t>
  </si>
  <si>
    <t>CTA連結
icon1：N/A (該頁面的icon不設置連結)
icon2 LINK：
icon3 LINK：
icon4 LINK：</t>
  </si>
  <si>
    <t>U-4</t>
  </si>
  <si>
    <t>CTA連結
icon1：N/A (該頁面的icon不設置連結)
icon2 LINK：
icon3 LINK：
icon4 LINK：
icon5 LINK：</t>
  </si>
  <si>
    <t>V-1</t>
  </si>
  <si>
    <t>(無mission) BTT高度固定設為：60
(有mission) BTT高度固定設為：45</t>
  </si>
  <si>
    <t>V-2</t>
  </si>
  <si>
    <t>text固定為以下：
※短影音僅支援手機版</t>
  </si>
  <si>
    <t>Total Video Display Number：</t>
  </si>
  <si>
    <t>Video Collection ID：</t>
  </si>
  <si>
    <t>Component#</t>
  </si>
  <si>
    <t>promotion_id</t>
  </si>
  <si>
    <t>voucher 小黃標</t>
  </si>
  <si>
    <t>period</t>
  </si>
  <si>
    <t>title</t>
  </si>
  <si>
    <t>content</t>
  </si>
  <si>
    <t>link</t>
  </si>
  <si>
    <r>
      <rPr>
        <b/>
        <sz val="10"/>
        <color rgb="FFFF0000"/>
        <rFont val="Arial"/>
      </rPr>
      <t>必填</t>
    </r>
    <r>
      <rPr>
        <sz val="10"/>
        <color rgb="FF000000"/>
        <rFont val="Arial"/>
      </rPr>
      <t>(請對應左邊的component填寫)</t>
    </r>
  </si>
  <si>
    <t>tab_name</t>
  </si>
  <si>
    <t>collection_id</t>
  </si>
  <si>
    <t>id</t>
  </si>
  <si>
    <t>start_time</t>
  </si>
  <si>
    <t>end_time</t>
  </si>
  <si>
    <t>(不需提供)</t>
  </si>
  <si>
    <r>
      <rPr>
        <b/>
        <sz val="10"/>
        <color rgb="FFFF0000"/>
        <rFont val="Arial"/>
      </rPr>
      <t>(必填)</t>
    </r>
    <r>
      <rPr>
        <sz val="10"/>
        <color theme="1"/>
        <rFont val="Arial"/>
      </rPr>
      <t>YYYY-MM-DD hh:mm:ss</t>
    </r>
  </si>
  <si>
    <r>
      <rPr>
        <b/>
        <sz val="10"/>
        <color rgb="FFFF0000"/>
        <rFont val="Arial"/>
      </rPr>
      <t>(必填)</t>
    </r>
    <r>
      <rPr>
        <sz val="10"/>
        <color theme="1"/>
        <rFont val="Arial"/>
      </rPr>
      <t>YYYY-MM-DD hh:mm:ss</t>
    </r>
  </si>
  <si>
    <t>左上(不需提供)</t>
  </si>
  <si>
    <t>左中(不需提供)</t>
  </si>
  <si>
    <t>左下(不需提供)</t>
  </si>
  <si>
    <t>右上(不需提供)</t>
  </si>
  <si>
    <t>右中(不需提供)</t>
  </si>
  <si>
    <t>右下(不需提供)</t>
  </si>
  <si>
    <t>display_text</t>
  </si>
  <si>
    <t>custom_anchor_id</t>
  </si>
  <si>
    <t>unselected_tab_image</t>
  </si>
  <si>
    <t>selected_tab_image</t>
  </si>
  <si>
    <t>components</t>
  </si>
  <si>
    <t xml:space="preserve">-label 公版自動匯入步驟-
</t>
  </si>
  <si>
    <t>案型統稱</t>
  </si>
  <si>
    <t>Component Label</t>
  </si>
  <si>
    <t>1.請複製此試算表到美術工單裡面(不是曝光資源大表
2. 若出現#REF!，D1欄位 "允許存取"記得點下去
3.複製B2:C2至版配B、C欄位(不然公式會跑掉</t>
  </si>
  <si>
    <t>Start Time</t>
  </si>
  <si>
    <t>End Time</t>
  </si>
  <si>
    <t>使用者</t>
  </si>
  <si>
    <t>工作表名稱</t>
  </si>
  <si>
    <t>儲存格</t>
  </si>
  <si>
    <t>修改前</t>
  </si>
  <si>
    <t>修改後</t>
  </si>
  <si>
    <t>編輯時間(分)</t>
  </si>
  <si>
    <t>amber.li@shopee.com</t>
  </si>
  <si>
    <t>MS section版配</t>
  </si>
  <si>
    <t>AK9:AL10</t>
  </si>
  <si>
    <t>AP3</t>
  </si>
  <si>
    <t>AO13</t>
  </si>
  <si>
    <t>AP13</t>
  </si>
  <si>
    <t>AO13:AP13</t>
  </si>
  <si>
    <t>wanli.pai@shopee.com</t>
  </si>
  <si>
    <t>AK1</t>
  </si>
  <si>
    <t>入稿總攬→</t>
  </si>
  <si>
    <t>AO10</t>
  </si>
  <si>
    <t>AP10</t>
  </si>
  <si>
    <t>AP29</t>
  </si>
  <si>
    <t>AO29</t>
  </si>
  <si>
    <t>AO11</t>
  </si>
  <si>
    <t>圖</t>
  </si>
  <si>
    <t>AP11</t>
  </si>
  <si>
    <t>AP12</t>
  </si>
  <si>
    <t>AO12</t>
  </si>
  <si>
    <t>DD/18/25 中標</t>
  </si>
  <si>
    <t>AK11</t>
  </si>
  <si>
    <t>A12:BK12</t>
  </si>
  <si>
    <t>AE6:AJ6</t>
  </si>
  <si>
    <t>AE6:AJ7</t>
  </si>
  <si>
    <t>AK2:AL3</t>
  </si>
  <si>
    <t>AL5:AM5</t>
  </si>
  <si>
    <t>B14:F14</t>
  </si>
  <si>
    <t>AM14:BK14</t>
  </si>
  <si>
    <t>AO92</t>
  </si>
  <si>
    <t>AP92</t>
  </si>
  <si>
    <t>AO16</t>
  </si>
  <si>
    <t>AP16</t>
  </si>
  <si>
    <t>AO12:AP12</t>
  </si>
  <si>
    <t>AO14</t>
  </si>
  <si>
    <t>AO15</t>
  </si>
  <si>
    <t>AP15</t>
  </si>
  <si>
    <t>DD/18/25 小標</t>
  </si>
  <si>
    <t>AP14</t>
  </si>
  <si>
    <t>AK16:AL16</t>
  </si>
  <si>
    <t>AZ8</t>
  </si>
  <si>
    <t>AZ9:AZ601</t>
  </si>
  <si>
    <t>AX601</t>
  </si>
  <si>
    <t>AV601</t>
  </si>
  <si>
    <t>AO18</t>
  </si>
  <si>
    <t>優惠券</t>
  </si>
  <si>
    <t>AE10</t>
  </si>
  <si>
    <t>請直接於此欄輸入類標文案</t>
  </si>
  <si>
    <t>AO9</t>
  </si>
  <si>
    <t>BA6</t>
  </si>
  <si>
    <t>BA9:BB9</t>
  </si>
  <si>
    <t>5/18 15</t>
  </si>
  <si>
    <t>BB9</t>
  </si>
  <si>
    <t>BL8</t>
  </si>
  <si>
    <t>5/18 17</t>
  </si>
  <si>
    <t>BA9</t>
  </si>
  <si>
    <t>5/18 16</t>
  </si>
  <si>
    <t>BD9</t>
  </si>
  <si>
    <t>YYYY-MM-DD hh:mm:ss</t>
  </si>
  <si>
    <t>ErrorValue{type=VALUE, messageId=CANNOT_PARSE_TEXT_TO_DATE, arguments=[str:DATEVALUE, str:2025/2025-05-18]}</t>
  </si>
  <si>
    <t>BC10</t>
  </si>
  <si>
    <t>BC10:BD15</t>
  </si>
  <si>
    <t>BA10</t>
  </si>
  <si>
    <t>5/18 00</t>
  </si>
  <si>
    <t>BB10</t>
  </si>
  <si>
    <t>5/18 23</t>
  </si>
  <si>
    <t>BA12</t>
  </si>
  <si>
    <t>BB12</t>
  </si>
  <si>
    <t>BC11:BD15</t>
  </si>
  <si>
    <t>BC11:BD11</t>
  </si>
  <si>
    <t>BC12:BD12</t>
  </si>
  <si>
    <t>BC13:BD13</t>
  </si>
  <si>
    <t>BC14:BD14</t>
  </si>
  <si>
    <t>BC15:BD15</t>
  </si>
  <si>
    <t>5/12 00</t>
  </si>
  <si>
    <t>5/13 23</t>
  </si>
  <si>
    <t>5/13 22</t>
  </si>
  <si>
    <t>BD12</t>
  </si>
  <si>
    <t>5/13 12</t>
  </si>
  <si>
    <t>5/25 12</t>
  </si>
  <si>
    <t>5/25 00</t>
  </si>
  <si>
    <t>5/25 02</t>
  </si>
  <si>
    <t>BC8:BD16</t>
  </si>
  <si>
    <t>ErrorValue{type=VALUE, messageId=CANNOT_PARSE_TEXT_TO_DATE, arguments=[str:DATEVALUE, str:2025/MM/DD]}</t>
  </si>
  <si>
    <t>BA8:BB8</t>
  </si>
  <si>
    <t>系統自動
產出時間格式</t>
  </si>
  <si>
    <t>公式
產出時間格式</t>
  </si>
  <si>
    <t>BA7</t>
  </si>
  <si>
    <t>BB7</t>
  </si>
  <si>
    <t>BB6</t>
  </si>
  <si>
    <t>公式產出
後台時間格式</t>
  </si>
  <si>
    <t>(不需填寫)
後台時間格式</t>
  </si>
  <si>
    <t>BA10:BB601</t>
  </si>
  <si>
    <t>BC601</t>
  </si>
  <si>
    <t>5/1800</t>
  </si>
  <si>
    <t>BD601</t>
  </si>
  <si>
    <t>5/18 24</t>
  </si>
  <si>
    <t>BC601:BD601</t>
  </si>
  <si>
    <t>AW6</t>
  </si>
  <si>
    <t>BA6:BB6</t>
  </si>
  <si>
    <t>BL9</t>
  </si>
  <si>
    <t>BL9:BL601</t>
  </si>
  <si>
    <t>AE4:AG4</t>
  </si>
  <si>
    <t>AY1:BB1</t>
  </si>
  <si>
    <t>BA8</t>
  </si>
  <si>
    <t>BB8</t>
  </si>
  <si>
    <t>BC9</t>
  </si>
  <si>
    <t>BA9:BA601</t>
  </si>
  <si>
    <t>BB9:BB601</t>
  </si>
  <si>
    <t>AO37</t>
  </si>
  <si>
    <t>AO37:AP37</t>
  </si>
  <si>
    <t>AO55</t>
  </si>
  <si>
    <t>AP55</t>
  </si>
  <si>
    <t>GD 模板 - DD/18/25 時間軸(一排2個)</t>
  </si>
  <si>
    <t>AO55:AP55</t>
  </si>
  <si>
    <t>AO19</t>
  </si>
  <si>
    <t>AP19</t>
  </si>
  <si>
    <t>AP18</t>
  </si>
  <si>
    <t>一排1張+ Reminder(單張/多張)(無一鍵領取)</t>
  </si>
  <si>
    <t>AO17:AP19</t>
  </si>
  <si>
    <t>AO22</t>
  </si>
  <si>
    <t>AP22</t>
  </si>
  <si>
    <t>AO26</t>
  </si>
  <si>
    <t>AP26</t>
  </si>
  <si>
    <t>AO28</t>
  </si>
  <si>
    <t>AO31</t>
  </si>
  <si>
    <t>AF10:AJ10</t>
  </si>
  <si>
    <t>AP31</t>
  </si>
  <si>
    <t>AO32</t>
  </si>
  <si>
    <t>AO33</t>
  </si>
  <si>
    <t>AO16:AP109</t>
  </si>
  <si>
    <t>AY7</t>
  </si>
  <si>
    <t>若N欄勾選填則為必填</t>
  </si>
  <si>
    <t>AY8</t>
  </si>
  <si>
    <t>AY9:AY601</t>
  </si>
  <si>
    <t>AO20</t>
  </si>
  <si>
    <t>AO21</t>
  </si>
  <si>
    <t>AO23</t>
  </si>
  <si>
    <t>AO12:AP25</t>
  </si>
  <si>
    <t>GD 模板 - CTA 自行輸入文案(一排1個) Reminder</t>
  </si>
  <si>
    <t>AZ6</t>
  </si>
  <si>
    <t>自定義錨點
Name(未填自動帶J欄Comp. label name)</t>
  </si>
  <si>
    <t>AV8</t>
  </si>
  <si>
    <t>AV9</t>
  </si>
  <si>
    <t>AV10</t>
  </si>
  <si>
    <t>AX9</t>
  </si>
  <si>
    <t>AX10</t>
  </si>
  <si>
    <t>AZ10</t>
  </si>
  <si>
    <t>newuser</t>
  </si>
  <si>
    <t>AV11</t>
  </si>
  <si>
    <t>AV12</t>
  </si>
  <si>
    <t>AX11</t>
  </si>
  <si>
    <t>AX12</t>
  </si>
  <si>
    <t>AX9:AX12</t>
  </si>
  <si>
    <t>AV9:AV13</t>
  </si>
  <si>
    <t>BL16:BL601</t>
  </si>
  <si>
    <t>BF9</t>
  </si>
  <si>
    <t>BE9</t>
  </si>
  <si>
    <t>AV2:AV3</t>
  </si>
  <si>
    <t>AV3</t>
  </si>
  <si>
    <t>AF1</t>
  </si>
  <si>
    <t>step1 創建副本並開啟MS Team「編輯」權限，MS Team名單如下：
amber.li@shopee.com,wanli.pai@shopee.com,lydia.wusy@shopee.com,ann.yang@shopee.com,audrey.chen@shopee.com
step2 帶入系統公式 點選右方「Reset按鈕」執行程式碼，並至「(勿動)Component Label公版」點選允許存取
step3 提供美術工單 選擇「Type」、「組成形式」以帶入版配，並填寫「申請PIC提供資訊_GD_相關資訊」，其中GD做圖品需自行畫版配
step4 提供設定資訊 填寫「申請PIC提供資訊」欄位，其中「Start time 至 特殊備註」欄位，請先複製，並選擇性貼上「值」，將公式改為值後，再進行填寫
※(勿動)MS section公式用、(勿動)Component Label公版(勿動)，該頁籤請勿刪除或異動，否則公式會跑掉</t>
  </si>
  <si>
    <t>step1 創建副本並開啟MS Team「編輯」權限，MS Team名單如下：
amber.li@shopee.com,wanli.pai@shopee.com,lydia.wusy@shopee.com,ann.yang@shopee.com,audrey.chen@shopee.com
step2 帶入系統公式 點選下方「Reset按鈕」執行程式碼，並至「(勿動)Component Label公版」點選允許存取
step3 提供美術工單 選擇「Type」、「組成形式」以帶入版配，並填寫「申請PIC提供資訊_GD_相關資訊」，其中GD做圖品需自行畫版配
step4 提供設定資訊 填寫「申請PIC提供資訊」欄位，其中「Start time 至 特殊備註」欄位，請先複製，並選擇性貼上「值」，將公式改為值後，再進行填寫
※(勿動)MS section公式用、(勿動)Component Label公版(勿動)，該頁籤請勿刪除或異動，否則公式會跑掉</t>
  </si>
  <si>
    <t>AO17</t>
  </si>
  <si>
    <t>AP17</t>
  </si>
  <si>
    <t>【僅限MKT Campaign使用】 中標</t>
  </si>
  <si>
    <t>【僅限MKT Campaign使用】 小標</t>
  </si>
  <si>
    <t>GD 模板 - 【僅限MKT Campaign使用】 時間軸(一排2個)</t>
  </si>
  <si>
    <t>AP20</t>
  </si>
  <si>
    <t>【僅限MKT Campaign使用】 PC：一排兩張；APP：一排1張 + 一鍵領取(多張)</t>
  </si>
  <si>
    <t>AK17</t>
  </si>
  <si>
    <t>AK18</t>
  </si>
  <si>
    <t>AK22</t>
  </si>
  <si>
    <t>AK23</t>
  </si>
  <si>
    <t>AK9</t>
  </si>
  <si>
    <t>AK12:AL12</t>
  </si>
  <si>
    <t>AE11</t>
  </si>
  <si>
    <t>FSV做圖1</t>
  </si>
  <si>
    <t>AF11</t>
  </si>
  <si>
    <t>AH11</t>
  </si>
  <si>
    <t>AG11</t>
  </si>
  <si>
    <t>AI11</t>
  </si>
  <si>
    <t>AJ11</t>
  </si>
  <si>
    <t>AE12</t>
  </si>
  <si>
    <t>FSV做圖2</t>
  </si>
  <si>
    <t>AK12</t>
  </si>
  <si>
    <t>FSV做圖8</t>
  </si>
  <si>
    <t>AL11</t>
  </si>
  <si>
    <t>AE11:AJ11</t>
  </si>
  <si>
    <t>ErrorValue{type=ERROR, messageId=PARSE_ERROR, arguments=[]}</t>
  </si>
  <si>
    <t>AF11:AJ11</t>
  </si>
  <si>
    <t>BL12:BL601</t>
  </si>
  <si>
    <t>AP23</t>
  </si>
  <si>
    <t>GD 模板 - 【僅限MKT Campaign使用】 時間軸(一排3個)</t>
  </si>
  <si>
    <t>GD 模板 - 【僅限MKT Campaign使用】 品名+$(一排3品)</t>
  </si>
  <si>
    <t>AO24</t>
  </si>
  <si>
    <t>AP24</t>
  </si>
  <si>
    <t>AE23:AJ24</t>
  </si>
  <si>
    <t>商品名
瘋搶價 $XXX</t>
  </si>
  <si>
    <t>AK24</t>
  </si>
  <si>
    <t>AL23</t>
  </si>
  <si>
    <t>AL24</t>
  </si>
  <si>
    <t>AK23:AL24</t>
  </si>
  <si>
    <t>AO23:AP25</t>
  </si>
  <si>
    <t>AK19</t>
  </si>
  <si>
    <t>AO76</t>
  </si>
  <si>
    <t>AP76</t>
  </si>
  <si>
    <t>GD 模板 - CTA 自行輸入文案(一排2個) Reminder+Reminder</t>
  </si>
  <si>
    <t>AO76:AP76</t>
  </si>
  <si>
    <t>GD 模板 - 【僅限MKT Campaign使用】 LOGO(一排3品)</t>
  </si>
  <si>
    <t>AO22:AP23</t>
  </si>
  <si>
    <t>GD 模板 - 【供MKT Campaign使用】 時間軸(一排2個)</t>
  </si>
  <si>
    <t>AO50</t>
  </si>
  <si>
    <t>BG14</t>
  </si>
  <si>
    <t>BF14</t>
  </si>
  <si>
    <t>BC15:BE15</t>
  </si>
  <si>
    <t>step1 創建副本並開啟MS Team「編輯」權限，MS Team名單如下：
amber.li@shopee.com,wanli.pai@shopee.com,lydia.wusy@shopee.com,ann.yang@shopee.com,audrey.chen@shopee.com
step2 帶入系統公式 點選下方「Reset按鈕」執行程式碼，並至「(勿動)Component Label公版」頁籤點選允許存取
step3 提供美術工單 選擇「Type」、「組成形式」以帶入版配，並填寫「申請PIC提供資訊_GD_相關資訊」，其中GD做圖品需自行畫版配
step4 提供設定資訊 填寫「申請PIC提供資訊」欄位，其中「Start time 至 特殊備註」欄位，請先複製，並選擇性貼上「值」，將公式改為值後，再進行填寫
※(勿動)MS section公式用、(勿動)Component Label公版(勿動)，該頁籤請勿刪除或異動，否則公式會跑掉</t>
  </si>
  <si>
    <t>AO10:AP34</t>
  </si>
  <si>
    <t>A10:A50</t>
  </si>
  <si>
    <t>AO46</t>
  </si>
  <si>
    <t>AP46</t>
  </si>
  <si>
    <t>AO47</t>
  </si>
  <si>
    <t>AO46:AP47</t>
  </si>
  <si>
    <t>新版+舊版_MS版配</t>
  </si>
  <si>
    <t>I1:N354</t>
  </si>
  <si>
    <t>J8:N8</t>
  </si>
  <si>
    <t>I8</t>
  </si>
  <si>
    <t>I2</t>
  </si>
  <si>
    <t>作圖</t>
  </si>
  <si>
    <t>P5:Q5</t>
  </si>
  <si>
    <t>O1:X354</t>
  </si>
  <si>
    <t>O3</t>
  </si>
  <si>
    <t>P3</t>
  </si>
  <si>
    <t>I7:Z7</t>
  </si>
  <si>
    <t>U1</t>
  </si>
  <si>
    <t>檢查link:https://shopee.tw/m/teaser-6712</t>
  </si>
  <si>
    <t>U3:V4</t>
  </si>
  <si>
    <t>OPS設定備註</t>
  </si>
  <si>
    <t>U4:X4</t>
  </si>
  <si>
    <t>W1</t>
  </si>
  <si>
    <t>後台設定頁</t>
  </si>
  <si>
    <t>W3</t>
  </si>
  <si>
    <t>Y3:Z4</t>
  </si>
  <si>
    <t>U3</t>
  </si>
  <si>
    <t>設定備註</t>
  </si>
  <si>
    <t>W4</t>
  </si>
  <si>
    <t xml:space="preserve">OPS設定備註		</t>
  </si>
  <si>
    <t xml:space="preserve">OPS備註                </t>
  </si>
  <si>
    <t>Y4</t>
  </si>
  <si>
    <t xml:space="preserve">OPS備註 </t>
  </si>
  <si>
    <t>OPS備註</t>
  </si>
  <si>
    <t>設定欄位備註</t>
  </si>
  <si>
    <t>設定資訊</t>
  </si>
  <si>
    <t>U5:V9</t>
  </si>
  <si>
    <t>U4:V4</t>
  </si>
  <si>
    <t>Component type</t>
  </si>
  <si>
    <t>X5:AA5</t>
  </si>
  <si>
    <t>W5:X8</t>
  </si>
  <si>
    <t>Type+組成形式</t>
  </si>
  <si>
    <t>U5:X6</t>
  </si>
  <si>
    <t>U6:X7</t>
  </si>
  <si>
    <t>D4:H4</t>
  </si>
  <si>
    <t>D3</t>
  </si>
  <si>
    <t>A3</t>
  </si>
  <si>
    <t>A5</t>
  </si>
  <si>
    <t>A6:A627</t>
  </si>
  <si>
    <t>A541:A998</t>
  </si>
  <si>
    <t>新版+舊版_MS section版配</t>
  </si>
  <si>
    <t>AR5:AU5</t>
  </si>
  <si>
    <t>AR6:AU15</t>
  </si>
  <si>
    <t>AT4:AU4</t>
  </si>
  <si>
    <t>AT3</t>
  </si>
  <si>
    <t>公式物動</t>
  </si>
  <si>
    <t>AR5</t>
  </si>
  <si>
    <t>AR5:AS5</t>
  </si>
  <si>
    <t>AR6:AS6</t>
  </si>
  <si>
    <t>AR6</t>
  </si>
  <si>
    <t>AS6</t>
  </si>
  <si>
    <t>AT5:AU5</t>
  </si>
  <si>
    <t>AT5</t>
  </si>
  <si>
    <t>AT6:AT352</t>
  </si>
  <si>
    <t>mission計時器固定</t>
  </si>
  <si>
    <t>AU5</t>
  </si>
  <si>
    <t>AU6</t>
  </si>
  <si>
    <t>AT6</t>
  </si>
  <si>
    <t>AR7:AS998</t>
  </si>
  <si>
    <t>AR8:AS998</t>
  </si>
  <si>
    <t>AT7:AU998</t>
  </si>
  <si>
    <t>AR7</t>
  </si>
  <si>
    <t>AS7</t>
  </si>
  <si>
    <t>A6:A21</t>
  </si>
  <si>
    <t>A6:A998</t>
  </si>
  <si>
    <t>A6:A11</t>
  </si>
  <si>
    <t>A12:A998</t>
  </si>
  <si>
    <t>AT9:AT990</t>
  </si>
  <si>
    <t>_</t>
  </si>
  <si>
    <t>AR8</t>
  </si>
  <si>
    <t>A10:A989</t>
  </si>
  <si>
    <t>A24:A988</t>
  </si>
  <si>
    <t>A31:A987</t>
  </si>
  <si>
    <t>A58:A986</t>
  </si>
  <si>
    <t>A107:A985</t>
  </si>
  <si>
    <t>A206:A984</t>
  </si>
  <si>
    <t>A324:A982</t>
  </si>
  <si>
    <t>AR9</t>
  </si>
  <si>
    <t>AS9</t>
  </si>
  <si>
    <t>AR23</t>
  </si>
  <si>
    <t>AS23</t>
  </si>
  <si>
    <t>AR30:AS30</t>
  </si>
  <si>
    <t>AR57:AS57</t>
  </si>
  <si>
    <t>AR106:AS106</t>
  </si>
  <si>
    <t>AR199:AS199</t>
  </si>
  <si>
    <t>AR204:AS204</t>
  </si>
  <si>
    <t>AR255:AS255</t>
  </si>
  <si>
    <t>AR322:AS322</t>
  </si>
  <si>
    <t>AR10</t>
  </si>
  <si>
    <t>AS10</t>
  </si>
  <si>
    <t>AR11</t>
  </si>
  <si>
    <t>AS11</t>
  </si>
  <si>
    <t>AR12:AS12</t>
  </si>
  <si>
    <t>AY4:AZ4</t>
  </si>
  <si>
    <t>AY3</t>
  </si>
  <si>
    <t>AE1:AN598</t>
  </si>
  <si>
    <t>AJ4:AK597</t>
  </si>
  <si>
    <t>AE4</t>
  </si>
  <si>
    <t>AF4</t>
  </si>
  <si>
    <t>IFERROR(VLOOKUP($AV4:$AV, '(勿動)Component Label公版'!$D$1:$E$1000, 2, FALSE), "-")</t>
  </si>
  <si>
    <t>A4:A980</t>
  </si>
  <si>
    <t>BA3:BB3</t>
  </si>
  <si>
    <t>BA3</t>
  </si>
  <si>
    <t>BC3</t>
  </si>
  <si>
    <t>Component Type</t>
  </si>
  <si>
    <t>BA4:BB4</t>
  </si>
  <si>
    <t>BB4</t>
  </si>
  <si>
    <t>anchor_</t>
  </si>
  <si>
    <t>BB5:BB980</t>
  </si>
  <si>
    <t>BA5:BB5</t>
  </si>
  <si>
    <t>BA5:BA980</t>
  </si>
  <si>
    <t>BA5</t>
  </si>
  <si>
    <t>BA7:BB7</t>
  </si>
  <si>
    <t>AY12:BL12</t>
  </si>
  <si>
    <t>新版+舊版_Teaser版配</t>
  </si>
  <si>
    <t>AG4</t>
  </si>
  <si>
    <t>AH4</t>
  </si>
  <si>
    <t>若AX欄有勾選則必填</t>
  </si>
  <si>
    <t>若有勾選則必填</t>
  </si>
  <si>
    <t>AH5:AH73</t>
  </si>
  <si>
    <t>AH5:AH980</t>
  </si>
  <si>
    <t>AG4:AG597</t>
  </si>
  <si>
    <t>ErrorValue{type=REF, messageId=REF_DOES_NOT_EXIST, arguments=[]}</t>
  </si>
  <si>
    <t>anchor</t>
  </si>
  <si>
    <t>AG5:AG597</t>
  </si>
  <si>
    <t>AJ4:AL597</t>
  </si>
  <si>
    <t>AJ3</t>
  </si>
  <si>
    <t>Start time
(格式請填 MM/DD hh)</t>
  </si>
  <si>
    <t>AK3</t>
  </si>
  <si>
    <t>End Time
(格式請填 MM/DD hh)</t>
  </si>
  <si>
    <t>Start Time
(格式請填 MM/DD hh)</t>
  </si>
  <si>
    <t>AL3</t>
  </si>
  <si>
    <t>Rule set Name</t>
  </si>
  <si>
    <t>Rule set 
Name</t>
  </si>
  <si>
    <t>AL8:AL15</t>
  </si>
  <si>
    <t>Rule Set ID : 1503 Growth_pure_new_users_tag = 2</t>
  </si>
  <si>
    <t>AL8</t>
  </si>
  <si>
    <t>AL9:AL21</t>
  </si>
  <si>
    <t>AJ22</t>
  </si>
  <si>
    <t>4/4 00</t>
  </si>
  <si>
    <t>4/424</t>
  </si>
  <si>
    <t>4/4 24</t>
  </si>
  <si>
    <t>AM1:AN597</t>
  </si>
  <si>
    <t>AF2:AM2</t>
  </si>
  <si>
    <t>AE2:AN2</t>
  </si>
  <si>
    <t>AE5:AE597</t>
  </si>
  <si>
    <t>AO1:AO597</t>
  </si>
  <si>
    <t>AO4</t>
  </si>
  <si>
    <t>AJ4</t>
  </si>
  <si>
    <t>AL5:AL597</t>
  </si>
  <si>
    <t>AJ8</t>
  </si>
  <si>
    <t>AM23</t>
  </si>
  <si>
    <t>Voucher Collection=12950565136
app:向左滑動/滑動展示一行1張券/開啟查看更多/開啟一鍵領取/開啟推薦/顯示4張
pc:一行2張，共顯示4張</t>
  </si>
  <si>
    <t>Voucher Collection=12950565136
app:顯示4張
pc:一行2張，共顯示4張</t>
  </si>
  <si>
    <t>AM25</t>
  </si>
  <si>
    <t>Voucher Collection=12950491920
app:向左滑動/滑動展示一行1張券/開啟查看更多/開啟一鍵領取/開啟推薦
pc:一行2張，共顯示9張</t>
  </si>
  <si>
    <t>Voucher Collection=12950491920
app:顯示9張
pc:一行2張，共顯示9張</t>
  </si>
  <si>
    <t>AM27</t>
  </si>
  <si>
    <t>BF4:BF597</t>
  </si>
  <si>
    <t>BH4:BH597</t>
  </si>
  <si>
    <t>BC3:BG597</t>
  </si>
  <si>
    <t>BK4:BK597</t>
  </si>
  <si>
    <t>AF5:AF597</t>
  </si>
  <si>
    <t>AH1:AH597</t>
  </si>
  <si>
    <t>BC1:BD597</t>
  </si>
  <si>
    <t>BA4</t>
  </si>
  <si>
    <t>BB3:BD3</t>
  </si>
  <si>
    <t>BD22</t>
  </si>
  <si>
    <t>BD4:BD21</t>
  </si>
  <si>
    <t>BD4:BD597</t>
  </si>
  <si>
    <t>AW4</t>
  </si>
  <si>
    <t>AX4</t>
  </si>
  <si>
    <t>BA5:BB597</t>
  </si>
  <si>
    <t>AY7:AZ7</t>
  </si>
  <si>
    <t>AY4:AZ8</t>
  </si>
  <si>
    <t>AY23:AZ28</t>
  </si>
  <si>
    <t>AY22</t>
  </si>
  <si>
    <t>3/19 00</t>
  </si>
  <si>
    <t>AY22:AZ22</t>
  </si>
  <si>
    <t>AY23</t>
  </si>
  <si>
    <t>3/4 00</t>
  </si>
  <si>
    <t>AZ23</t>
  </si>
  <si>
    <t>3/4 24</t>
  </si>
  <si>
    <t>AG28:AG596</t>
  </si>
  <si>
    <t>AY24</t>
  </si>
  <si>
    <t>3/5 00</t>
  </si>
  <si>
    <t>AY25</t>
  </si>
  <si>
    <t>AW23</t>
  </si>
  <si>
    <t>AX23</t>
  </si>
  <si>
    <t>【供MKT Campaign使用】 PC：一排兩張；APP：一排1張 + 一鍵領取(多張) + Reminder</t>
  </si>
  <si>
    <t>AW24:AX25</t>
  </si>
  <si>
    <t>AG19:AG591</t>
  </si>
  <si>
    <t>AW12</t>
  </si>
  <si>
    <t>AW13:AX14</t>
  </si>
  <si>
    <t>AU7</t>
  </si>
  <si>
    <t>AW3</t>
  </si>
  <si>
    <t>Component Type (必填)</t>
  </si>
  <si>
    <t>AU15</t>
  </si>
  <si>
    <t>AU16:AU18</t>
  </si>
  <si>
    <t>AW19:AX240</t>
  </si>
  <si>
    <t>AW244:AX328</t>
  </si>
  <si>
    <t>BG5:BH411</t>
  </si>
  <si>
    <t>BG5:BH587</t>
  </si>
  <si>
    <t>BE4:BF587</t>
  </si>
  <si>
    <t>AG21:AG581</t>
  </si>
  <si>
    <t>AG29:AG580</t>
  </si>
  <si>
    <t>AG30:AG574</t>
  </si>
  <si>
    <t>AE19</t>
  </si>
  <si>
    <t>AE33</t>
  </si>
  <si>
    <t>AU33</t>
  </si>
  <si>
    <t>AG3</t>
  </si>
  <si>
    <t>自定義錨點
(自動帶入Component label name)</t>
  </si>
  <si>
    <t>AU19:AU32</t>
  </si>
  <si>
    <t>AU34:AU81</t>
  </si>
  <si>
    <t>AU82</t>
  </si>
  <si>
    <t>AU83:AU174</t>
  </si>
  <si>
    <t>AE35:AE37</t>
  </si>
  <si>
    <t>AG44:AG572</t>
  </si>
  <si>
    <t>AG49:AG566</t>
  </si>
  <si>
    <t>AG40:AG563</t>
  </si>
  <si>
    <t>AG50:AG561</t>
  </si>
  <si>
    <t>AG57:AG559</t>
  </si>
  <si>
    <t>AG57:AG556</t>
  </si>
  <si>
    <t>AG56:AG555</t>
  </si>
  <si>
    <t>AW19:AX19</t>
  </si>
  <si>
    <t>AW20</t>
  </si>
  <si>
    <t>AX20</t>
  </si>
  <si>
    <t>AW21:AX22</t>
  </si>
  <si>
    <t>AW23:AX23</t>
  </si>
  <si>
    <t>AW24</t>
  </si>
  <si>
    <t>AX24</t>
  </si>
  <si>
    <t>AW26</t>
  </si>
  <si>
    <t>AX26</t>
  </si>
  <si>
    <t>AW25</t>
  </si>
  <si>
    <t>AX25</t>
  </si>
  <si>
    <t>AV7</t>
  </si>
  <si>
    <t>AW7</t>
  </si>
  <si>
    <t>AX7</t>
  </si>
  <si>
    <t>AW27</t>
  </si>
  <si>
    <t>AX27</t>
  </si>
  <si>
    <t>AW29</t>
  </si>
  <si>
    <t>AW28:AX29</t>
  </si>
  <si>
    <t>AW30</t>
  </si>
  <si>
    <t>AX30</t>
  </si>
  <si>
    <t>AW31</t>
  </si>
  <si>
    <t>AX31</t>
  </si>
  <si>
    <t>AW32:AX32</t>
  </si>
  <si>
    <t>AU33:AU200</t>
  </si>
  <si>
    <t>AF8</t>
  </si>
  <si>
    <t>AG65:AG550</t>
  </si>
  <si>
    <t>AG80:AG546</t>
  </si>
  <si>
    <t>AG87:AG534</t>
  </si>
  <si>
    <t>AG59:AG522</t>
  </si>
  <si>
    <t>AG90:AG518</t>
  </si>
  <si>
    <t>AG97:AG506</t>
  </si>
  <si>
    <t>AG90:AG493</t>
  </si>
  <si>
    <t>AG93:AG492</t>
  </si>
  <si>
    <t>AG105:AG488</t>
  </si>
  <si>
    <t>AG107:AG482</t>
  </si>
  <si>
    <t>AG133:AG478</t>
  </si>
  <si>
    <t>AG146:AG476</t>
  </si>
  <si>
    <t>AG150:AG469</t>
  </si>
  <si>
    <t>AG155:AG464</t>
  </si>
  <si>
    <t>AG161:AG459</t>
  </si>
  <si>
    <t>AG165:AG453</t>
  </si>
  <si>
    <t>AG171:AG448</t>
  </si>
  <si>
    <t>AG165:AG445</t>
  </si>
  <si>
    <t>AI164:AM164</t>
  </si>
  <si>
    <t>item collection ID：5806284</t>
  </si>
  <si>
    <t>AG171:AG442</t>
  </si>
  <si>
    <t>AG179:AG441</t>
  </si>
  <si>
    <t>(動工中勿使用!!)新版+舊版_Teaser版配</t>
  </si>
  <si>
    <t>BB3:BE3</t>
  </si>
  <si>
    <t>BE4</t>
  </si>
  <si>
    <t>BC4</t>
  </si>
  <si>
    <t>BE5:BE441</t>
  </si>
  <si>
    <t>BH34:BI34</t>
  </si>
  <si>
    <t>BH3:BI3</t>
  </si>
  <si>
    <t>BH1:BI1</t>
  </si>
  <si>
    <t>BI2</t>
  </si>
  <si>
    <t>BH1</t>
  </si>
  <si>
    <t>AU3</t>
  </si>
  <si>
    <t>AH20</t>
  </si>
  <si>
    <t>AY26:BI26</t>
  </si>
  <si>
    <t>AY15:BI15</t>
  </si>
  <si>
    <t>A15:BI15</t>
  </si>
  <si>
    <t>AI15</t>
  </si>
  <si>
    <t>NUZ BN
Image collection:  12942401680</t>
  </si>
  <si>
    <t>AE20:BI20</t>
  </si>
  <si>
    <t>AU15:AX15</t>
  </si>
  <si>
    <t>A20:BI20</t>
  </si>
  <si>
    <t>AW15</t>
  </si>
  <si>
    <t>AX15</t>
  </si>
  <si>
    <t>AI27</t>
  </si>
  <si>
    <t>AJ27</t>
  </si>
  <si>
    <t>AF27:AH27</t>
  </si>
  <si>
    <t>AF29:AH29</t>
  </si>
  <si>
    <t>AE29</t>
  </si>
  <si>
    <t>AI29:AJ29</t>
  </si>
  <si>
    <t>AI33:AJ33</t>
  </si>
  <si>
    <t>AE33:AH33</t>
  </si>
  <si>
    <t>AI33</t>
  </si>
  <si>
    <t>(動工中勿使用!!)_版配_Teaser</t>
  </si>
  <si>
    <t>AE7</t>
  </si>
  <si>
    <t>AE8</t>
  </si>
  <si>
    <t>AE30</t>
  </si>
  <si>
    <t>AE5</t>
  </si>
  <si>
    <t>AI4:AN6</t>
  </si>
  <si>
    <t xml:space="preserve">FALSEFALSE			Anchor	anchor_			
FALSE			Anchor	anchor_			
FALSE			Anchor	anchor_			
FALSE				-			</t>
  </si>
  <si>
    <t>AE4:AL7</t>
  </si>
  <si>
    <t>AF5</t>
  </si>
  <si>
    <t>AO4:AT6</t>
  </si>
  <si>
    <t>AE4:AG8</t>
  </si>
  <si>
    <t>「(動工中勿使用!!)_版配_Teaser」的副本</t>
  </si>
  <si>
    <t>A1:BJ451</t>
  </si>
  <si>
    <t>「(動工中勿使用!!)_版配_暖身</t>
  </si>
  <si>
    <t>AE9</t>
  </si>
  <si>
    <t>AF5:AF9</t>
  </si>
  <si>
    <t>AU11</t>
  </si>
  <si>
    <t>AU10</t>
  </si>
  <si>
    <t>AU12</t>
  </si>
  <si>
    <t>AU13:AU18</t>
  </si>
  <si>
    <t>AV9:AV15</t>
  </si>
  <si>
    <t>AV19:AV31</t>
  </si>
  <si>
    <t>AV23</t>
  </si>
  <si>
    <t>AU18</t>
  </si>
  <si>
    <t>AU34</t>
  </si>
  <si>
    <t>AU35</t>
  </si>
  <si>
    <t>AU12:AV23</t>
  </si>
  <si>
    <t>AU25:AV31</t>
  </si>
  <si>
    <t>AU10:AV14</t>
  </si>
  <si>
    <t>A10:BJ11</t>
  </si>
  <si>
    <t>A12:BJ13</t>
  </si>
  <si>
    <t>A14:BJ15</t>
  </si>
  <si>
    <t>AU16:AV16</t>
  </si>
  <si>
    <t>A16:BJ16</t>
  </si>
  <si>
    <t>AU8</t>
  </si>
  <si>
    <t>AU9</t>
  </si>
  <si>
    <t>AE18</t>
  </si>
  <si>
    <t>(動工中勿使用!!)_版配_XX頁</t>
  </si>
  <si>
    <t>AE189</t>
  </si>
  <si>
    <t>AE188</t>
  </si>
  <si>
    <t>AE187</t>
  </si>
  <si>
    <t>AF187</t>
  </si>
  <si>
    <t>AF188</t>
  </si>
  <si>
    <t>AF189</t>
  </si>
  <si>
    <t>AE187:AG190</t>
  </si>
  <si>
    <t>「(動工中勿使用!!)_版配_XX頁」的副本</t>
  </si>
  <si>
    <t>AE6</t>
  </si>
  <si>
    <t>AU10:AV11</t>
  </si>
  <si>
    <t>AU12:AV13</t>
  </si>
  <si>
    <t>AF7</t>
  </si>
  <si>
    <r>
      <rPr>
        <sz val="10"/>
        <color rgb="FF000000"/>
        <rFont val="微軟正黑體"/>
        <family val="2"/>
        <charset val="136"/>
      </rPr>
      <t>中標</t>
    </r>
    <r>
      <rPr>
        <sz val="10"/>
        <color rgb="FF000000"/>
        <rFont val="Microsoft JhengHei"/>
        <family val="2"/>
      </rPr>
      <t>題</t>
    </r>
    <phoneticPr fontId="91" type="noConversion"/>
  </si>
  <si>
    <t>中標題</t>
    <phoneticPr fontId="91" type="noConversion"/>
  </si>
  <si>
    <r>
      <rPr>
        <sz val="10"/>
        <color rgb="FF000000"/>
        <rFont val="微軟正黑體"/>
        <family val="2"/>
        <charset val="136"/>
      </rPr>
      <t>中標</t>
    </r>
    <r>
      <rPr>
        <sz val="10"/>
        <color rgb="FF000000"/>
        <rFont val="Calibri"/>
        <family val="2"/>
      </rPr>
      <t>_</t>
    </r>
    <r>
      <rPr>
        <sz val="10"/>
        <color rgb="FF000000"/>
        <rFont val="微軟正黑體"/>
        <family val="2"/>
        <charset val="136"/>
      </rPr>
      <t>全橘</t>
    </r>
    <phoneticPr fontId="9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</si>
</sst>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.0"/>
    <numFmt numFmtId="177" formatCode="[$NT$-404]#,##0.00"/>
    <numFmt numFmtId="178" formatCode="0.0"/>
    <numFmt numFmtId="179" formatCode="yyyy/mm/dd\ h:mm:ss"/>
    <numFmt numFmtId="180" formatCode="yyyy\-mm\-dd\ h:mm:ss"/>
    <numFmt numFmtId="181" formatCode="m/d"/>
    <numFmt numFmtId="182" formatCode="m/yyyy"/>
  </numFmts>
  <fonts count="97">
    <font>
      <sz val="10"/>
      <color rgb="FF000000"/>
      <name val="Arial"/>
      <scheme val="minor"/>
    </font>
    <font>
      <b/>
      <sz val="13"/>
      <color rgb="FFFFFFFF"/>
      <name val="Arial"/>
    </font>
    <font>
      <b/>
      <sz val="10"/>
      <color theme="1"/>
      <name val="Arial"/>
    </font>
    <font>
      <sz val="10"/>
      <name val="Arial"/>
    </font>
    <font>
      <b/>
      <sz val="10"/>
      <color rgb="FFFF0000"/>
      <name val="Arial"/>
    </font>
    <font>
      <sz val="10"/>
      <color theme="1"/>
      <name val="Arial"/>
    </font>
    <font>
      <sz val="10"/>
      <color rgb="FF222222"/>
      <name val="Arial"/>
    </font>
    <font>
      <sz val="10"/>
      <color theme="1"/>
      <name val="Calibri"/>
    </font>
    <font>
      <b/>
      <sz val="10"/>
      <color rgb="FF000000"/>
      <name val="Calibri"/>
    </font>
    <font>
      <sz val="16"/>
      <color theme="1"/>
      <name val="Calibri"/>
    </font>
    <font>
      <b/>
      <u/>
      <sz val="16"/>
      <color rgb="FF0000FF"/>
      <name val="Calibri"/>
    </font>
    <font>
      <b/>
      <sz val="14"/>
      <color theme="1"/>
      <name val="Calibri"/>
    </font>
    <font>
      <sz val="14"/>
      <color theme="1"/>
      <name val="Calibri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0"/>
      <color rgb="FFFFFFFF"/>
      <name val="Arial"/>
    </font>
    <font>
      <sz val="10"/>
      <color rgb="FFFF0000"/>
      <name val="Arial"/>
    </font>
    <font>
      <b/>
      <sz val="18"/>
      <color theme="1"/>
      <name val="Arial"/>
    </font>
    <font>
      <b/>
      <sz val="18"/>
      <color rgb="FFFFFFFF"/>
      <name val="Arial"/>
    </font>
    <font>
      <b/>
      <sz val="12"/>
      <color theme="1"/>
      <name val="Arial"/>
    </font>
    <font>
      <b/>
      <sz val="15"/>
      <color theme="1"/>
      <name val="Arial"/>
    </font>
    <font>
      <b/>
      <sz val="10"/>
      <color rgb="FF0000FF"/>
      <name val="Arial"/>
    </font>
    <font>
      <b/>
      <sz val="13"/>
      <color theme="1"/>
      <name val="Arial"/>
    </font>
    <font>
      <b/>
      <u/>
      <sz val="10"/>
      <color rgb="FF0000FF"/>
      <name val="Arial"/>
    </font>
    <font>
      <b/>
      <u/>
      <sz val="12"/>
      <color rgb="FF1155CC"/>
      <name val="Arial"/>
    </font>
    <font>
      <b/>
      <u/>
      <sz val="12"/>
      <color rgb="FF1155CC"/>
      <name val="Arial"/>
    </font>
    <font>
      <b/>
      <u/>
      <sz val="12"/>
      <color rgb="FF1155CC"/>
      <name val="Arial"/>
    </font>
    <font>
      <b/>
      <u/>
      <sz val="12"/>
      <color rgb="FF1155CC"/>
      <name val="Arial"/>
    </font>
    <font>
      <sz val="10"/>
      <color rgb="FF0000FF"/>
      <name val="Arial"/>
    </font>
    <font>
      <u/>
      <sz val="10"/>
      <color theme="1"/>
      <name val="Arial"/>
    </font>
    <font>
      <b/>
      <sz val="10"/>
      <color theme="1"/>
      <name val="Calibri"/>
    </font>
    <font>
      <sz val="10"/>
      <color rgb="FFFFFFFF"/>
      <name val="Calibri"/>
    </font>
    <font>
      <b/>
      <sz val="13"/>
      <color rgb="FFFF0000"/>
      <name val="Calibri"/>
    </font>
    <font>
      <b/>
      <sz val="10"/>
      <color rgb="FFFFFFFF"/>
      <name val="Calibri"/>
    </font>
    <font>
      <sz val="10"/>
      <color rgb="FF000000"/>
      <name val="Calibri"/>
    </font>
    <font>
      <sz val="10"/>
      <color rgb="FFFF0000"/>
      <name val="Calibri"/>
    </font>
    <font>
      <sz val="10"/>
      <color rgb="FF222222"/>
      <name val="Calibri"/>
    </font>
    <font>
      <b/>
      <sz val="18"/>
      <color rgb="FFFFFFFF"/>
      <name val="Calibri"/>
    </font>
    <font>
      <b/>
      <sz val="12"/>
      <color theme="1"/>
      <name val="Calibri"/>
    </font>
    <font>
      <sz val="10"/>
      <color rgb="FF0000FF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b/>
      <sz val="11"/>
      <color theme="1"/>
      <name val="Arial"/>
    </font>
    <font>
      <u/>
      <sz val="10"/>
      <color theme="1"/>
      <name val="Calibri"/>
    </font>
    <font>
      <b/>
      <sz val="10"/>
      <color rgb="FF0000FF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strike/>
      <sz val="10"/>
      <color theme="1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sz val="12"/>
      <color theme="1"/>
      <name val="Calibri"/>
    </font>
    <font>
      <sz val="10"/>
      <color rgb="FFFFFFFF"/>
      <name val="Arial"/>
      <scheme val="minor"/>
    </font>
    <font>
      <sz val="12"/>
      <color rgb="FF000000"/>
      <name val="Calibri"/>
    </font>
    <font>
      <sz val="10"/>
      <color theme="1"/>
      <name val="Arial"/>
      <scheme val="minor"/>
    </font>
    <font>
      <b/>
      <sz val="12"/>
      <color rgb="FF000000"/>
      <name val="Calibri"/>
    </font>
    <font>
      <sz val="12"/>
      <color theme="1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b/>
      <sz val="12"/>
      <color rgb="FF000000"/>
      <name val="Microsoft JhengHei"/>
      <family val="2"/>
      <charset val="136"/>
    </font>
    <font>
      <u/>
      <sz val="10"/>
      <color rgb="FF000000"/>
      <name val="Calibri"/>
    </font>
    <font>
      <u/>
      <sz val="10"/>
      <color rgb="FF000000"/>
      <name val="Calibri"/>
    </font>
    <font>
      <u/>
      <sz val="10"/>
      <color rgb="FF000000"/>
      <name val="Calibri"/>
    </font>
    <font>
      <sz val="10"/>
      <color theme="1"/>
      <name val="Arial"/>
      <scheme val="minor"/>
    </font>
    <font>
      <u/>
      <sz val="10"/>
      <color rgb="FF0000FF"/>
      <name val="Calibri"/>
    </font>
    <font>
      <u/>
      <sz val="10"/>
      <color rgb="FF0000FF"/>
      <name val="Calibri"/>
    </font>
    <font>
      <u/>
      <sz val="10"/>
      <color rgb="FF0000FF"/>
      <name val="Calibri"/>
    </font>
    <font>
      <u/>
      <sz val="10"/>
      <color rgb="FF000000"/>
      <name val="Calibri"/>
    </font>
    <font>
      <b/>
      <sz val="10"/>
      <color rgb="FFFF0000"/>
      <name val="Calibri"/>
    </font>
    <font>
      <sz val="11"/>
      <color rgb="FFFFFFFF"/>
      <name val="Calibri"/>
    </font>
    <font>
      <b/>
      <sz val="11"/>
      <color rgb="FFFFFFFF"/>
      <name val="Calibri"/>
    </font>
    <font>
      <sz val="11"/>
      <color theme="1"/>
      <name val="Calibri"/>
    </font>
    <font>
      <b/>
      <sz val="11"/>
      <color rgb="FF222222"/>
      <name val="Calibri"/>
    </font>
    <font>
      <u/>
      <sz val="11"/>
      <color theme="1"/>
      <name val="Calibri"/>
    </font>
    <font>
      <b/>
      <sz val="11"/>
      <color rgb="FFFF0000"/>
      <name val="Calibri"/>
    </font>
    <font>
      <b/>
      <sz val="13"/>
      <color rgb="FFFF0000"/>
      <name val="Arial"/>
    </font>
    <font>
      <b/>
      <sz val="10"/>
      <color rgb="FF434343"/>
      <name val="Calibri"/>
    </font>
    <font>
      <b/>
      <sz val="14"/>
      <color rgb="FF0000FF"/>
      <name val="Calibri"/>
    </font>
    <font>
      <b/>
      <sz val="10"/>
      <color rgb="FFFFFF00"/>
      <name val="Arial"/>
    </font>
    <font>
      <b/>
      <sz val="12"/>
      <color rgb="FFFF0000"/>
      <name val="Arial"/>
    </font>
    <font>
      <sz val="8"/>
      <color theme="1"/>
      <name val="Arial"/>
    </font>
    <font>
      <strike/>
      <sz val="10"/>
      <color theme="1"/>
      <name val="Arial"/>
    </font>
    <font>
      <b/>
      <sz val="10"/>
      <color rgb="FFFFFF00"/>
      <name val="Calibri"/>
    </font>
    <font>
      <b/>
      <sz val="8"/>
      <color theme="1"/>
      <name val="Calibri"/>
    </font>
    <font>
      <b/>
      <sz val="13"/>
      <color theme="1"/>
      <name val="Calibri"/>
    </font>
    <font>
      <sz val="10"/>
      <name val="Calibri"/>
    </font>
    <font>
      <u/>
      <sz val="10"/>
      <color rgb="FF1155CC"/>
      <name val="Calibri"/>
    </font>
    <font>
      <b/>
      <sz val="12"/>
      <color rgb="FF666666"/>
      <name val="Calibri"/>
    </font>
    <font>
      <b/>
      <sz val="10"/>
      <color rgb="FF000000"/>
      <name val="微軟正黑體"/>
      <family val="2"/>
      <charset val="136"/>
    </font>
    <font>
      <b/>
      <sz val="12"/>
      <color rgb="FF000000"/>
      <name val="細明體"/>
      <family val="3"/>
      <charset val="136"/>
    </font>
    <font>
      <sz val="9"/>
      <name val="Arial"/>
      <family val="3"/>
      <charset val="136"/>
      <scheme val="minor"/>
    </font>
    <font>
      <sz val="10"/>
      <color rgb="FF000000"/>
      <name val="微軟正黑體"/>
      <family val="2"/>
      <charset val="136"/>
    </font>
    <font>
      <sz val="10"/>
      <color rgb="FF000000"/>
      <name val="Microsoft JhengHei"/>
      <family val="2"/>
    </font>
    <font>
      <sz val="10"/>
      <color rgb="FF000000"/>
      <name val="Arial"/>
      <family val="2"/>
      <charset val="136"/>
    </font>
    <font>
      <sz val="10"/>
      <color rgb="FF000000"/>
      <name val="Calibri"/>
      <family val="2"/>
    </font>
    <font>
      <sz val="10"/>
      <color rgb="FF000000"/>
      <name val="Calibri"/>
      <family val="2"/>
      <charset val="136"/>
    </font>
  </fonts>
  <fills count="3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8D9D7"/>
        <bgColor rgb="FFF8D9D7"/>
      </patternFill>
    </fill>
    <fill>
      <patternFill patternType="solid">
        <fgColor rgb="FFEFEFEF"/>
        <bgColor rgb="FFEFEFEF"/>
      </patternFill>
    </fill>
    <fill>
      <patternFill patternType="solid">
        <fgColor rgb="FFF6B26B"/>
        <bgColor rgb="FFF6B26B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CC0000"/>
        <bgColor rgb="FFCC0000"/>
      </patternFill>
    </fill>
    <fill>
      <patternFill patternType="solid">
        <fgColor rgb="FFD9EAD3"/>
        <bgColor rgb="FFD9EAD3"/>
      </patternFill>
    </fill>
    <fill>
      <patternFill patternType="solid">
        <fgColor rgb="FF434343"/>
        <bgColor rgb="FF434343"/>
      </patternFill>
    </fill>
    <fill>
      <patternFill patternType="solid">
        <fgColor theme="5"/>
        <bgColor theme="5"/>
      </patternFill>
    </fill>
    <fill>
      <patternFill patternType="solid">
        <fgColor rgb="FFFF9900"/>
        <bgColor rgb="FFFF9900"/>
      </patternFill>
    </fill>
    <fill>
      <patternFill patternType="solid">
        <fgColor rgb="FF073763"/>
        <bgColor rgb="FF073763"/>
      </patternFill>
    </fill>
    <fill>
      <patternFill patternType="solid">
        <fgColor rgb="FF666666"/>
        <bgColor rgb="FF666666"/>
      </patternFill>
    </fill>
    <fill>
      <patternFill patternType="solid">
        <fgColor rgb="FFF1CCCC"/>
        <bgColor rgb="FFF1CCCC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B7B7B7"/>
        <bgColor rgb="FFB7B7B7"/>
      </patternFill>
    </fill>
    <fill>
      <patternFill patternType="solid">
        <fgColor rgb="FFFFB500"/>
        <bgColor rgb="FFFFB500"/>
      </patternFill>
    </fill>
    <fill>
      <patternFill patternType="solid">
        <fgColor rgb="FF51BDAB"/>
        <bgColor rgb="FF51BDAB"/>
      </patternFill>
    </fill>
    <fill>
      <patternFill patternType="solid">
        <fgColor rgb="FFD0011B"/>
        <bgColor rgb="FFD0011B"/>
      </patternFill>
    </fill>
    <fill>
      <patternFill patternType="solid">
        <fgColor rgb="FFF3F3F3"/>
        <bgColor rgb="FFF3F3F3"/>
      </patternFill>
    </fill>
    <fill>
      <patternFill patternType="solid">
        <fgColor theme="6"/>
        <bgColor theme="6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</fills>
  <borders count="14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000000"/>
      </right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000000"/>
      </right>
      <top/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FFFFFF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FF"/>
      </top>
      <bottom style="thin">
        <color rgb="FF000000"/>
      </bottom>
      <diagonal/>
    </border>
    <border>
      <left style="thin">
        <color rgb="FF000000"/>
      </left>
      <right/>
      <top style="medium">
        <color rgb="FF0000FF"/>
      </top>
      <bottom/>
      <diagonal/>
    </border>
    <border>
      <left/>
      <right/>
      <top style="medium">
        <color rgb="FF0000FF"/>
      </top>
      <bottom/>
      <diagonal/>
    </border>
    <border>
      <left/>
      <right style="thin">
        <color rgb="FF000000"/>
      </right>
      <top style="medium">
        <color rgb="FF0000FF"/>
      </top>
      <bottom/>
      <diagonal/>
    </border>
    <border>
      <left/>
      <right style="medium">
        <color rgb="FF0000FF"/>
      </right>
      <top style="medium">
        <color rgb="FF0000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FF"/>
      </bottom>
      <diagonal/>
    </border>
    <border>
      <left style="thin">
        <color rgb="FF000000"/>
      </left>
      <right/>
      <top/>
      <bottom style="medium">
        <color rgb="FF0000FF"/>
      </bottom>
      <diagonal/>
    </border>
    <border>
      <left/>
      <right/>
      <top/>
      <bottom style="medium">
        <color rgb="FF0000FF"/>
      </bottom>
      <diagonal/>
    </border>
    <border>
      <left/>
      <right style="thin">
        <color rgb="FF000000"/>
      </right>
      <top/>
      <bottom style="medium">
        <color rgb="FF0000FF"/>
      </bottom>
      <diagonal/>
    </border>
    <border>
      <left/>
      <right style="medium">
        <color rgb="FF0000FF"/>
      </right>
      <top/>
      <bottom style="medium">
        <color rgb="FF0000FF"/>
      </bottom>
      <diagonal/>
    </border>
    <border>
      <left style="thin">
        <color rgb="FF000000"/>
      </left>
      <right style="thin">
        <color rgb="FF000000"/>
      </right>
      <top style="medium">
        <color rgb="FF0000FF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FF"/>
      </bottom>
      <diagonal/>
    </border>
    <border>
      <left/>
      <right/>
      <top/>
      <bottom style="medium">
        <color rgb="FF0000FF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FF"/>
      </bottom>
      <diagonal/>
    </border>
    <border>
      <left/>
      <right style="medium">
        <color rgb="FF0000FF"/>
      </right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000000"/>
      </right>
      <top/>
      <bottom style="thin">
        <color rgb="FFFFFFFF"/>
      </bottom>
      <diagonal/>
    </border>
    <border>
      <left style="thin">
        <color rgb="FFFFFFFF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FF"/>
      </left>
      <right style="thin">
        <color rgb="FF000000"/>
      </right>
      <top style="thick">
        <color rgb="FF0000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FF"/>
      </top>
      <bottom style="thin">
        <color rgb="FF000000"/>
      </bottom>
      <diagonal/>
    </border>
    <border>
      <left style="thin">
        <color rgb="FF000000"/>
      </left>
      <right style="thick">
        <color rgb="FF0000FF"/>
      </right>
      <top style="thick">
        <color rgb="FF0000FF"/>
      </top>
      <bottom style="thin">
        <color rgb="FF000000"/>
      </bottom>
      <diagonal/>
    </border>
    <border>
      <left style="thick">
        <color rgb="FF0000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FF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FFFFF"/>
      </right>
      <top/>
      <bottom/>
      <diagonal/>
    </border>
    <border>
      <left/>
      <right style="thick">
        <color rgb="FF0000FF"/>
      </right>
      <top style="thin">
        <color rgb="FF000000"/>
      </top>
      <bottom/>
      <diagonal/>
    </border>
    <border>
      <left style="thick">
        <color rgb="FF0000FF"/>
      </left>
      <right style="thin">
        <color rgb="FF000000"/>
      </right>
      <top style="thin">
        <color rgb="FF000000"/>
      </top>
      <bottom style="thick">
        <color rgb="FF0000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FF"/>
      </bottom>
      <diagonal/>
    </border>
    <border>
      <left style="thin">
        <color rgb="FF000000"/>
      </left>
      <right/>
      <top/>
      <bottom style="thick">
        <color rgb="FF0000FF"/>
      </bottom>
      <diagonal/>
    </border>
    <border>
      <left/>
      <right style="thick">
        <color rgb="FF0000FF"/>
      </right>
      <top/>
      <bottom style="thick">
        <color rgb="FF0000FF"/>
      </bottom>
      <diagonal/>
    </border>
    <border>
      <left style="thin">
        <color rgb="FF000000"/>
      </left>
      <right/>
      <top/>
      <bottom style="thick">
        <color rgb="FF0000FF"/>
      </bottom>
      <diagonal/>
    </border>
    <border>
      <left style="thin">
        <color rgb="FF000000"/>
      </left>
      <right style="thin">
        <color rgb="FFFFFFFF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FF"/>
      </left>
      <right/>
      <top style="medium">
        <color rgb="FF0000FF"/>
      </top>
      <bottom style="thin">
        <color rgb="FF000000"/>
      </bottom>
      <diagonal/>
    </border>
    <border>
      <left/>
      <right/>
      <top style="medium">
        <color rgb="FF0000FF"/>
      </top>
      <bottom style="thin">
        <color rgb="FF000000"/>
      </bottom>
      <diagonal/>
    </border>
    <border>
      <left/>
      <right style="thin">
        <color rgb="FF000000"/>
      </right>
      <top style="medium">
        <color rgb="FF0000FF"/>
      </top>
      <bottom style="thin">
        <color rgb="FF000000"/>
      </bottom>
      <diagonal/>
    </border>
    <border>
      <left style="medium">
        <color rgb="FF0000FF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FF"/>
      </right>
      <top/>
      <bottom style="thin">
        <color rgb="FF000000"/>
      </bottom>
      <diagonal/>
    </border>
    <border>
      <left/>
      <right style="medium">
        <color rgb="FF0000FF"/>
      </right>
      <top style="thin">
        <color rgb="FF000000"/>
      </top>
      <bottom style="thin">
        <color rgb="FF000000"/>
      </bottom>
      <diagonal/>
    </border>
    <border>
      <left style="medium">
        <color rgb="FF0000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FF"/>
      </left>
      <right/>
      <top style="thin">
        <color rgb="FF000000"/>
      </top>
      <bottom style="medium">
        <color rgb="FF0000FF"/>
      </bottom>
      <diagonal/>
    </border>
    <border>
      <left/>
      <right/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 style="thin">
        <color rgb="FF000000"/>
      </top>
      <bottom style="medium">
        <color rgb="FF0000FF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medium">
        <color rgb="FF000000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000000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69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176" fontId="2" fillId="5" borderId="2" xfId="0" applyNumberFormat="1" applyFont="1" applyFill="1" applyBorder="1" applyAlignment="1">
      <alignment horizontal="center" vertical="center" wrapText="1"/>
    </xf>
    <xf numFmtId="176" fontId="2" fillId="5" borderId="9" xfId="0" applyNumberFormat="1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1" fontId="4" fillId="6" borderId="9" xfId="0" applyNumberFormat="1" applyFont="1" applyFill="1" applyBorder="1" applyAlignment="1">
      <alignment horizontal="right" vertical="center" wrapText="1"/>
    </xf>
    <xf numFmtId="0" fontId="5" fillId="7" borderId="2" xfId="0" applyFont="1" applyFill="1" applyBorder="1" applyAlignment="1">
      <alignment vertical="center"/>
    </xf>
    <xf numFmtId="177" fontId="6" fillId="8" borderId="2" xfId="0" applyNumberFormat="1" applyFont="1" applyFill="1" applyBorder="1" applyAlignment="1">
      <alignment horizontal="center" vertical="center" wrapText="1"/>
    </xf>
    <xf numFmtId="178" fontId="6" fillId="8" borderId="2" xfId="0" applyNumberFormat="1" applyFont="1" applyFill="1" applyBorder="1" applyAlignment="1">
      <alignment horizontal="center" vertical="center" wrapText="1"/>
    </xf>
    <xf numFmtId="177" fontId="6" fillId="8" borderId="2" xfId="0" applyNumberFormat="1" applyFont="1" applyFill="1" applyBorder="1" applyAlignment="1">
      <alignment horizontal="left" vertical="center" wrapText="1"/>
    </xf>
    <xf numFmtId="177" fontId="6" fillId="0" borderId="2" xfId="0" applyNumberFormat="1" applyFont="1" applyBorder="1" applyAlignment="1">
      <alignment horizontal="left" vertical="center" wrapText="1"/>
    </xf>
    <xf numFmtId="177" fontId="6" fillId="6" borderId="2" xfId="0" applyNumberFormat="1" applyFont="1" applyFill="1" applyBorder="1" applyAlignment="1">
      <alignment horizontal="left" vertical="center" wrapText="1"/>
    </xf>
    <xf numFmtId="176" fontId="6" fillId="0" borderId="6" xfId="0" applyNumberFormat="1" applyFont="1" applyBorder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6" fillId="8" borderId="12" xfId="0" applyNumberFormat="1" applyFont="1" applyFill="1" applyBorder="1" applyAlignment="1">
      <alignment horizontal="left" vertical="center" wrapText="1"/>
    </xf>
    <xf numFmtId="176" fontId="6" fillId="8" borderId="9" xfId="0" applyNumberFormat="1" applyFont="1" applyFill="1" applyBorder="1" applyAlignment="1">
      <alignment horizontal="left" vertical="center" wrapText="1"/>
    </xf>
    <xf numFmtId="0" fontId="5" fillId="7" borderId="9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9" fillId="0" borderId="0" xfId="0" applyFont="1"/>
    <xf numFmtId="1" fontId="8" fillId="0" borderId="0" xfId="0" applyNumberFormat="1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14" fontId="5" fillId="0" borderId="0" xfId="0" applyNumberFormat="1" applyFont="1"/>
    <xf numFmtId="14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5" fillId="0" borderId="2" xfId="0" applyNumberFormat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/>
    </xf>
    <xf numFmtId="9" fontId="15" fillId="0" borderId="2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/>
    </xf>
    <xf numFmtId="0" fontId="2" fillId="0" borderId="32" xfId="0" applyFont="1" applyBorder="1" applyAlignment="1">
      <alignment horizontal="center" vertical="center" wrapText="1"/>
    </xf>
    <xf numFmtId="176" fontId="2" fillId="0" borderId="27" xfId="0" applyNumberFormat="1" applyFont="1" applyBorder="1" applyAlignment="1">
      <alignment horizontal="center" vertical="center" wrapText="1"/>
    </xf>
    <xf numFmtId="1" fontId="1" fillId="2" borderId="9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 wrapText="1"/>
    </xf>
    <xf numFmtId="3" fontId="2" fillId="5" borderId="2" xfId="0" applyNumberFormat="1" applyFont="1" applyFill="1" applyBorder="1" applyAlignment="1">
      <alignment horizontal="center" vertical="center" wrapText="1"/>
    </xf>
    <xf numFmtId="1" fontId="2" fillId="3" borderId="2" xfId="0" applyNumberFormat="1" applyFont="1" applyFill="1" applyBorder="1" applyAlignment="1">
      <alignment horizontal="center" vertical="center" wrapText="1"/>
    </xf>
    <xf numFmtId="1" fontId="2" fillId="9" borderId="2" xfId="0" applyNumberFormat="1" applyFont="1" applyFill="1" applyBorder="1" applyAlignment="1">
      <alignment horizontal="center" vertical="center" wrapText="1"/>
    </xf>
    <xf numFmtId="176" fontId="2" fillId="9" borderId="2" xfId="0" applyNumberFormat="1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0" fontId="14" fillId="11" borderId="12" xfId="0" applyFont="1" applyFill="1" applyBorder="1" applyAlignment="1">
      <alignment horizontal="center" vertical="center" wrapText="1"/>
    </xf>
    <xf numFmtId="0" fontId="14" fillId="11" borderId="36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49" fontId="2" fillId="7" borderId="2" xfId="0" applyNumberFormat="1" applyFont="1" applyFill="1" applyBorder="1" applyAlignment="1">
      <alignment horizontal="center" vertical="center" wrapText="1"/>
    </xf>
    <xf numFmtId="3" fontId="2" fillId="7" borderId="2" xfId="0" applyNumberFormat="1" applyFont="1" applyFill="1" applyBorder="1" applyAlignment="1">
      <alignment horizontal="center" vertical="center" wrapText="1"/>
    </xf>
    <xf numFmtId="176" fontId="2" fillId="7" borderId="2" xfId="0" applyNumberFormat="1" applyFont="1" applyFill="1" applyBorder="1" applyAlignment="1">
      <alignment horizontal="center" vertical="center" wrapText="1"/>
    </xf>
    <xf numFmtId="1" fontId="15" fillId="12" borderId="9" xfId="0" applyNumberFormat="1" applyFont="1" applyFill="1" applyBorder="1" applyAlignment="1">
      <alignment vertical="center"/>
    </xf>
    <xf numFmtId="1" fontId="15" fillId="12" borderId="9" xfId="0" applyNumberFormat="1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177" fontId="6" fillId="12" borderId="2" xfId="0" applyNumberFormat="1" applyFont="1" applyFill="1" applyBorder="1" applyAlignment="1">
      <alignment horizontal="center" vertical="center" wrapText="1"/>
    </xf>
    <xf numFmtId="177" fontId="5" fillId="12" borderId="2" xfId="0" applyNumberFormat="1" applyFont="1" applyFill="1" applyBorder="1" applyAlignment="1">
      <alignment vertical="center"/>
    </xf>
    <xf numFmtId="176" fontId="6" fillId="12" borderId="2" xfId="0" applyNumberFormat="1" applyFont="1" applyFill="1" applyBorder="1" applyAlignment="1">
      <alignment horizontal="center" vertical="center" wrapText="1"/>
    </xf>
    <xf numFmtId="1" fontId="5" fillId="12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49" fontId="6" fillId="7" borderId="2" xfId="0" applyNumberFormat="1" applyFont="1" applyFill="1" applyBorder="1" applyAlignment="1">
      <alignment horizontal="left" vertical="center" wrapText="1"/>
    </xf>
    <xf numFmtId="49" fontId="5" fillId="0" borderId="2" xfId="0" applyNumberFormat="1" applyFont="1" applyBorder="1" applyAlignment="1">
      <alignment vertical="center"/>
    </xf>
    <xf numFmtId="3" fontId="6" fillId="12" borderId="2" xfId="0" applyNumberFormat="1" applyFont="1" applyFill="1" applyBorder="1" applyAlignment="1">
      <alignment horizontal="center" vertical="center" wrapText="1"/>
    </xf>
    <xf numFmtId="176" fontId="5" fillId="12" borderId="2" xfId="0" applyNumberFormat="1" applyFont="1" applyFill="1" applyBorder="1" applyAlignment="1">
      <alignment vertical="center"/>
    </xf>
    <xf numFmtId="1" fontId="15" fillId="0" borderId="0" xfId="0" applyNumberFormat="1" applyFont="1" applyAlignment="1">
      <alignment vertical="center"/>
    </xf>
    <xf numFmtId="1" fontId="15" fillId="0" borderId="0" xfId="0" applyNumberFormat="1" applyFont="1" applyAlignment="1">
      <alignment horizontal="center" vertical="center" wrapText="1"/>
    </xf>
    <xf numFmtId="177" fontId="6" fillId="0" borderId="2" xfId="0" applyNumberFormat="1" applyFont="1" applyBorder="1" applyAlignment="1">
      <alignment horizontal="center" vertical="center" wrapText="1"/>
    </xf>
    <xf numFmtId="177" fontId="5" fillId="0" borderId="2" xfId="0" applyNumberFormat="1" applyFont="1" applyBorder="1" applyAlignment="1">
      <alignment vertical="center"/>
    </xf>
    <xf numFmtId="176" fontId="6" fillId="0" borderId="2" xfId="0" applyNumberFormat="1" applyFont="1" applyBorder="1" applyAlignment="1">
      <alignment horizontal="center" vertical="center" wrapText="1"/>
    </xf>
    <xf numFmtId="1" fontId="5" fillId="0" borderId="8" xfId="0" applyNumberFormat="1" applyFont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 wrapText="1"/>
    </xf>
    <xf numFmtId="176" fontId="5" fillId="0" borderId="2" xfId="0" applyNumberFormat="1" applyFont="1" applyBorder="1" applyAlignment="1">
      <alignment vertical="center"/>
    </xf>
    <xf numFmtId="1" fontId="15" fillId="0" borderId="0" xfId="0" applyNumberFormat="1" applyFont="1" applyAlignment="1">
      <alignment vertical="center" wrapText="1"/>
    </xf>
    <xf numFmtId="1" fontId="5" fillId="7" borderId="39" xfId="0" applyNumberFormat="1" applyFont="1" applyFill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/>
    </xf>
    <xf numFmtId="0" fontId="15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1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77" fontId="15" fillId="0" borderId="0" xfId="0" applyNumberFormat="1" applyFont="1" applyAlignment="1">
      <alignment horizontal="center" vertical="center"/>
    </xf>
    <xf numFmtId="177" fontId="15" fillId="0" borderId="0" xfId="0" applyNumberFormat="1" applyFont="1" applyAlignment="1">
      <alignment vertical="center"/>
    </xf>
    <xf numFmtId="0" fontId="15" fillId="0" borderId="0" xfId="0" applyFont="1" applyAlignment="1">
      <alignment horizontal="center" vertical="center" wrapText="1"/>
    </xf>
    <xf numFmtId="177" fontId="15" fillId="0" borderId="0" xfId="0" applyNumberFormat="1" applyFont="1" applyAlignment="1">
      <alignment horizontal="center" vertical="center" wrapText="1"/>
    </xf>
    <xf numFmtId="177" fontId="15" fillId="0" borderId="0" xfId="0" applyNumberFormat="1" applyFont="1" applyAlignment="1">
      <alignment vertical="center" wrapText="1"/>
    </xf>
    <xf numFmtId="49" fontId="15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 wrapText="1"/>
    </xf>
    <xf numFmtId="49" fontId="15" fillId="0" borderId="0" xfId="0" applyNumberFormat="1" applyFont="1" applyAlignment="1">
      <alignment horizontal="center" vertical="center"/>
    </xf>
    <xf numFmtId="1" fontId="5" fillId="7" borderId="2" xfId="0" applyNumberFormat="1" applyFont="1" applyFill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 wrapText="1"/>
    </xf>
    <xf numFmtId="0" fontId="16" fillId="1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13" fillId="16" borderId="2" xfId="0" applyFont="1" applyFill="1" applyBorder="1" applyAlignment="1">
      <alignment horizontal="center" vertical="center" wrapText="1"/>
    </xf>
    <xf numFmtId="49" fontId="13" fillId="16" borderId="2" xfId="0" applyNumberFormat="1" applyFont="1" applyFill="1" applyBorder="1" applyAlignment="1">
      <alignment horizontal="center" vertical="center" wrapText="1"/>
    </xf>
    <xf numFmtId="0" fontId="13" fillId="16" borderId="36" xfId="0" applyFont="1" applyFill="1" applyBorder="1" applyAlignment="1">
      <alignment horizontal="center" vertical="center"/>
    </xf>
    <xf numFmtId="0" fontId="13" fillId="16" borderId="12" xfId="0" applyFont="1" applyFill="1" applyBorder="1" applyAlignment="1">
      <alignment horizontal="center" vertical="center"/>
    </xf>
    <xf numFmtId="0" fontId="13" fillId="16" borderId="39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49" fontId="5" fillId="0" borderId="2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49" fontId="5" fillId="7" borderId="2" xfId="0" applyNumberFormat="1" applyFont="1" applyFill="1" applyBorder="1" applyAlignment="1">
      <alignment horizontal="left" vertical="center"/>
    </xf>
    <xf numFmtId="49" fontId="5" fillId="3" borderId="2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53" xfId="0" applyFont="1" applyBorder="1" applyAlignment="1">
      <alignment vertical="center"/>
    </xf>
    <xf numFmtId="0" fontId="5" fillId="0" borderId="54" xfId="0" applyFont="1" applyBorder="1" applyAlignment="1">
      <alignment vertical="center"/>
    </xf>
    <xf numFmtId="0" fontId="5" fillId="0" borderId="55" xfId="0" applyFont="1" applyBorder="1" applyAlignment="1">
      <alignment vertical="center"/>
    </xf>
    <xf numFmtId="0" fontId="17" fillId="0" borderId="53" xfId="0" applyFont="1" applyBorder="1" applyAlignment="1">
      <alignment vertical="center"/>
    </xf>
    <xf numFmtId="0" fontId="17" fillId="0" borderId="55" xfId="0" applyFont="1" applyBorder="1" applyAlignment="1">
      <alignment vertical="center"/>
    </xf>
    <xf numFmtId="0" fontId="5" fillId="0" borderId="58" xfId="0" applyFont="1" applyBorder="1" applyAlignment="1">
      <alignment vertical="center"/>
    </xf>
    <xf numFmtId="0" fontId="5" fillId="0" borderId="59" xfId="0" applyFont="1" applyBorder="1" applyAlignment="1">
      <alignment vertical="center"/>
    </xf>
    <xf numFmtId="0" fontId="5" fillId="0" borderId="60" xfId="0" applyFont="1" applyBorder="1" applyAlignment="1">
      <alignment vertical="center"/>
    </xf>
    <xf numFmtId="1" fontId="5" fillId="0" borderId="2" xfId="0" applyNumberFormat="1" applyFont="1" applyBorder="1" applyAlignment="1">
      <alignment vertical="center"/>
    </xf>
    <xf numFmtId="49" fontId="6" fillId="7" borderId="2" xfId="0" applyNumberFormat="1" applyFont="1" applyFill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0" fontId="5" fillId="3" borderId="2" xfId="0" applyFont="1" applyFill="1" applyBorder="1" applyAlignment="1">
      <alignment vertical="center"/>
    </xf>
    <xf numFmtId="0" fontId="15" fillId="3" borderId="2" xfId="0" applyFont="1" applyFill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5" fillId="0" borderId="0" xfId="0" applyFont="1"/>
    <xf numFmtId="0" fontId="5" fillId="7" borderId="63" xfId="0" applyFont="1" applyFill="1" applyBorder="1" applyAlignment="1">
      <alignment horizontal="center" vertical="center"/>
    </xf>
    <xf numFmtId="177" fontId="5" fillId="7" borderId="40" xfId="0" applyNumberFormat="1" applyFont="1" applyFill="1" applyBorder="1" applyAlignment="1">
      <alignment horizontal="center" vertical="center"/>
    </xf>
    <xf numFmtId="0" fontId="22" fillId="0" borderId="58" xfId="0" applyFont="1" applyBorder="1" applyAlignment="1">
      <alignment vertical="center"/>
    </xf>
    <xf numFmtId="0" fontId="24" fillId="7" borderId="2" xfId="0" applyFont="1" applyFill="1" applyBorder="1" applyAlignment="1">
      <alignment horizontal="center" vertical="center" wrapText="1"/>
    </xf>
    <xf numFmtId="177" fontId="25" fillId="13" borderId="2" xfId="0" applyNumberFormat="1" applyFont="1" applyFill="1" applyBorder="1" applyAlignment="1">
      <alignment horizontal="center" vertical="center" wrapText="1"/>
    </xf>
    <xf numFmtId="177" fontId="26" fillId="13" borderId="40" xfId="0" applyNumberFormat="1" applyFont="1" applyFill="1" applyBorder="1" applyAlignment="1">
      <alignment horizontal="center" vertical="center" wrapText="1"/>
    </xf>
    <xf numFmtId="177" fontId="28" fillId="13" borderId="71" xfId="0" applyNumberFormat="1" applyFont="1" applyFill="1" applyBorder="1" applyAlignment="1">
      <alignment horizontal="center" vertical="center" wrapText="1"/>
    </xf>
    <xf numFmtId="177" fontId="20" fillId="13" borderId="72" xfId="0" applyNumberFormat="1" applyFont="1" applyFill="1" applyBorder="1" applyAlignment="1">
      <alignment horizontal="center" vertical="center" wrapText="1"/>
    </xf>
    <xf numFmtId="177" fontId="20" fillId="13" borderId="12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177" fontId="5" fillId="0" borderId="80" xfId="0" applyNumberFormat="1" applyFont="1" applyBorder="1" applyAlignment="1">
      <alignment vertical="center" wrapText="1"/>
    </xf>
    <xf numFmtId="177" fontId="5" fillId="0" borderId="85" xfId="0" applyNumberFormat="1" applyFont="1" applyBorder="1" applyAlignment="1">
      <alignment horizontal="center" vertical="center" wrapText="1"/>
    </xf>
    <xf numFmtId="177" fontId="5" fillId="0" borderId="2" xfId="0" applyNumberFormat="1" applyFont="1" applyBorder="1" applyAlignment="1">
      <alignment horizontal="center" vertical="center" wrapText="1"/>
    </xf>
    <xf numFmtId="177" fontId="5" fillId="0" borderId="2" xfId="0" applyNumberFormat="1" applyFont="1" applyBorder="1" applyAlignment="1">
      <alignment vertical="center" wrapText="1"/>
    </xf>
    <xf numFmtId="0" fontId="5" fillId="12" borderId="9" xfId="0" applyFont="1" applyFill="1" applyBorder="1" applyAlignment="1">
      <alignment vertical="center"/>
    </xf>
    <xf numFmtId="0" fontId="5" fillId="12" borderId="92" xfId="0" applyFont="1" applyFill="1" applyBorder="1" applyAlignment="1">
      <alignment vertical="center"/>
    </xf>
    <xf numFmtId="177" fontId="5" fillId="7" borderId="72" xfId="0" applyNumberFormat="1" applyFont="1" applyFill="1" applyBorder="1" applyAlignment="1">
      <alignment horizontal="center" vertical="center" wrapText="1"/>
    </xf>
    <xf numFmtId="177" fontId="5" fillId="7" borderId="93" xfId="0" applyNumberFormat="1" applyFont="1" applyFill="1" applyBorder="1" applyAlignment="1">
      <alignment horizontal="center" vertical="center" wrapText="1"/>
    </xf>
    <xf numFmtId="177" fontId="5" fillId="20" borderId="2" xfId="0" applyNumberFormat="1" applyFont="1" applyFill="1" applyBorder="1" applyAlignment="1">
      <alignment vertical="center" wrapText="1"/>
    </xf>
    <xf numFmtId="177" fontId="5" fillId="20" borderId="72" xfId="0" applyNumberFormat="1" applyFont="1" applyFill="1" applyBorder="1" applyAlignment="1">
      <alignment horizontal="center" vertical="center" wrapText="1"/>
    </xf>
    <xf numFmtId="0" fontId="5" fillId="7" borderId="58" xfId="0" applyFont="1" applyFill="1" applyBorder="1" applyAlignment="1">
      <alignment vertical="center"/>
    </xf>
    <xf numFmtId="0" fontId="5" fillId="7" borderId="59" xfId="0" applyFont="1" applyFill="1" applyBorder="1" applyAlignment="1">
      <alignment vertical="center"/>
    </xf>
    <xf numFmtId="0" fontId="5" fillId="7" borderId="60" xfId="0" applyFont="1" applyFill="1" applyBorder="1" applyAlignment="1">
      <alignment vertical="center"/>
    </xf>
    <xf numFmtId="0" fontId="5" fillId="0" borderId="27" xfId="0" applyFont="1" applyBorder="1" applyAlignment="1">
      <alignment vertical="center"/>
    </xf>
    <xf numFmtId="1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32" fillId="14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34" fillId="16" borderId="2" xfId="0" applyFont="1" applyFill="1" applyBorder="1" applyAlignment="1">
      <alignment horizontal="center" vertical="center" wrapText="1"/>
    </xf>
    <xf numFmtId="49" fontId="34" fillId="16" borderId="2" xfId="0" applyNumberFormat="1" applyFont="1" applyFill="1" applyBorder="1" applyAlignment="1">
      <alignment horizontal="center" vertical="center" wrapText="1"/>
    </xf>
    <xf numFmtId="0" fontId="34" fillId="16" borderId="36" xfId="0" applyFont="1" applyFill="1" applyBorder="1" applyAlignment="1">
      <alignment horizontal="center" vertical="center"/>
    </xf>
    <xf numFmtId="0" fontId="34" fillId="16" borderId="12" xfId="0" applyFont="1" applyFill="1" applyBorder="1" applyAlignment="1">
      <alignment horizontal="center" vertical="center"/>
    </xf>
    <xf numFmtId="0" fontId="34" fillId="16" borderId="39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49" fontId="7" fillId="0" borderId="2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49" fontId="7" fillId="7" borderId="2" xfId="0" applyNumberFormat="1" applyFont="1" applyFill="1" applyBorder="1" applyAlignment="1">
      <alignment horizontal="left" vertical="center"/>
    </xf>
    <xf numFmtId="49" fontId="5" fillId="3" borderId="2" xfId="0" applyNumberFormat="1" applyFont="1" applyFill="1" applyBorder="1" applyAlignment="1">
      <alignment vertical="center"/>
    </xf>
    <xf numFmtId="0" fontId="31" fillId="0" borderId="2" xfId="0" applyFont="1" applyBorder="1" applyAlignment="1">
      <alignment horizontal="center" vertical="center" wrapText="1"/>
    </xf>
    <xf numFmtId="0" fontId="31" fillId="20" borderId="2" xfId="0" applyFont="1" applyFill="1" applyBorder="1" applyAlignment="1">
      <alignment horizontal="center" vertical="center" wrapText="1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36" fillId="0" borderId="53" xfId="0" applyFont="1" applyBorder="1" applyAlignment="1">
      <alignment vertical="center"/>
    </xf>
    <xf numFmtId="0" fontId="36" fillId="0" borderId="55" xfId="0" applyFont="1" applyBorder="1" applyAlignment="1">
      <alignment vertical="center"/>
    </xf>
    <xf numFmtId="0" fontId="7" fillId="0" borderId="58" xfId="0" applyFont="1" applyBorder="1" applyAlignment="1">
      <alignment vertical="center"/>
    </xf>
    <xf numFmtId="0" fontId="7" fillId="0" borderId="59" xfId="0" applyFont="1" applyBorder="1" applyAlignment="1">
      <alignment vertical="center"/>
    </xf>
    <xf numFmtId="0" fontId="7" fillId="0" borderId="60" xfId="0" applyFont="1" applyBorder="1" applyAlignment="1">
      <alignment vertical="center"/>
    </xf>
    <xf numFmtId="49" fontId="7" fillId="3" borderId="2" xfId="0" applyNumberFormat="1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7" fillId="3" borderId="72" xfId="0" applyFont="1" applyFill="1" applyBorder="1" applyAlignment="1">
      <alignment vertical="center"/>
    </xf>
    <xf numFmtId="0" fontId="35" fillId="3" borderId="72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1" fontId="7" fillId="0" borderId="2" xfId="0" applyNumberFormat="1" applyFont="1" applyBorder="1" applyAlignment="1">
      <alignment vertical="center"/>
    </xf>
    <xf numFmtId="49" fontId="37" fillId="7" borderId="2" xfId="0" applyNumberFormat="1" applyFont="1" applyFill="1" applyBorder="1" applyAlignment="1">
      <alignment horizontal="left" vertical="center"/>
    </xf>
    <xf numFmtId="49" fontId="37" fillId="0" borderId="1" xfId="0" applyNumberFormat="1" applyFont="1" applyBorder="1" applyAlignment="1">
      <alignment horizontal="center" vertical="center" wrapText="1"/>
    </xf>
    <xf numFmtId="0" fontId="7" fillId="3" borderId="2" xfId="0" applyFont="1" applyFill="1" applyBorder="1" applyAlignment="1">
      <alignment vertical="center"/>
    </xf>
    <xf numFmtId="0" fontId="35" fillId="3" borderId="2" xfId="0" applyFont="1" applyFill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7" fillId="15" borderId="95" xfId="0" applyFont="1" applyFill="1" applyBorder="1" applyAlignment="1">
      <alignment vertical="center"/>
    </xf>
    <xf numFmtId="49" fontId="37" fillId="0" borderId="2" xfId="0" applyNumberFormat="1" applyFont="1" applyBorder="1" applyAlignment="1">
      <alignment horizontal="center" vertical="center" wrapText="1"/>
    </xf>
    <xf numFmtId="49" fontId="5" fillId="20" borderId="2" xfId="0" applyNumberFormat="1" applyFont="1" applyFill="1" applyBorder="1" applyAlignment="1">
      <alignment vertical="center"/>
    </xf>
    <xf numFmtId="0" fontId="5" fillId="20" borderId="2" xfId="0" applyFont="1" applyFill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5" fillId="15" borderId="95" xfId="0" applyFont="1" applyFill="1" applyBorder="1" applyAlignment="1">
      <alignment vertical="center"/>
    </xf>
    <xf numFmtId="0" fontId="7" fillId="12" borderId="96" xfId="0" applyFont="1" applyFill="1" applyBorder="1" applyAlignment="1">
      <alignment vertical="center"/>
    </xf>
    <xf numFmtId="177" fontId="7" fillId="20" borderId="40" xfId="0" applyNumberFormat="1" applyFont="1" applyFill="1" applyBorder="1" applyAlignment="1">
      <alignment horizontal="center" vertical="center"/>
    </xf>
    <xf numFmtId="0" fontId="7" fillId="20" borderId="2" xfId="0" applyFont="1" applyFill="1" applyBorder="1" applyAlignment="1">
      <alignment horizontal="center" vertical="center"/>
    </xf>
    <xf numFmtId="0" fontId="5" fillId="20" borderId="12" xfId="0" applyFont="1" applyFill="1" applyBorder="1" applyAlignment="1">
      <alignment vertical="center"/>
    </xf>
    <xf numFmtId="0" fontId="7" fillId="12" borderId="102" xfId="0" applyFont="1" applyFill="1" applyBorder="1" applyAlignment="1">
      <alignment vertical="center"/>
    </xf>
    <xf numFmtId="0" fontId="7" fillId="7" borderId="40" xfId="0" applyFont="1" applyFill="1" applyBorder="1" applyAlignment="1">
      <alignment horizontal="center" vertical="center"/>
    </xf>
    <xf numFmtId="0" fontId="7" fillId="20" borderId="40" xfId="0" applyFont="1" applyFill="1" applyBorder="1" applyAlignment="1">
      <alignment horizontal="center" vertical="center"/>
    </xf>
    <xf numFmtId="0" fontId="5" fillId="15" borderId="103" xfId="0" applyFont="1" applyFill="1" applyBorder="1" applyAlignment="1">
      <alignment vertical="center"/>
    </xf>
    <xf numFmtId="0" fontId="7" fillId="0" borderId="104" xfId="0" applyFont="1" applyBorder="1" applyAlignment="1">
      <alignment vertical="center"/>
    </xf>
    <xf numFmtId="49" fontId="37" fillId="20" borderId="2" xfId="0" applyNumberFormat="1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/>
    </xf>
    <xf numFmtId="0" fontId="7" fillId="7" borderId="106" xfId="0" applyFont="1" applyFill="1" applyBorder="1" applyAlignment="1">
      <alignment horizontal="center" vertical="center" wrapText="1"/>
    </xf>
    <xf numFmtId="0" fontId="7" fillId="7" borderId="107" xfId="0" applyFont="1" applyFill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0" fontId="7" fillId="7" borderId="108" xfId="0" applyFont="1" applyFill="1" applyBorder="1" applyAlignment="1">
      <alignment horizontal="center" vertical="center" wrapText="1"/>
    </xf>
    <xf numFmtId="0" fontId="31" fillId="20" borderId="39" xfId="0" applyFont="1" applyFill="1" applyBorder="1" applyAlignment="1">
      <alignment horizontal="center" vertical="center" wrapText="1"/>
    </xf>
    <xf numFmtId="0" fontId="7" fillId="7" borderId="109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7" fillId="7" borderId="110" xfId="0" applyFont="1" applyFill="1" applyBorder="1" applyAlignment="1">
      <alignment horizontal="center" vertical="center" wrapText="1"/>
    </xf>
    <xf numFmtId="177" fontId="7" fillId="7" borderId="40" xfId="0" applyNumberFormat="1" applyFont="1" applyFill="1" applyBorder="1" applyAlignment="1">
      <alignment horizontal="center" vertical="center"/>
    </xf>
    <xf numFmtId="0" fontId="7" fillId="7" borderId="113" xfId="0" applyFont="1" applyFill="1" applyBorder="1" applyAlignment="1">
      <alignment horizontal="center" vertical="center" wrapText="1"/>
    </xf>
    <xf numFmtId="0" fontId="7" fillId="7" borderId="114" xfId="0" applyFont="1" applyFill="1" applyBorder="1" applyAlignment="1">
      <alignment horizontal="center" vertical="center" wrapText="1"/>
    </xf>
    <xf numFmtId="0" fontId="7" fillId="0" borderId="114" xfId="0" applyFont="1" applyBorder="1" applyAlignment="1">
      <alignment horizontal="center" vertical="center" wrapText="1"/>
    </xf>
    <xf numFmtId="0" fontId="41" fillId="7" borderId="109" xfId="0" applyFont="1" applyFill="1" applyBorder="1" applyAlignment="1">
      <alignment horizontal="center" vertical="center" wrapText="1"/>
    </xf>
    <xf numFmtId="0" fontId="7" fillId="24" borderId="2" xfId="0" applyFont="1" applyFill="1" applyBorder="1" applyAlignment="1">
      <alignment horizontal="center" vertical="center" wrapText="1"/>
    </xf>
    <xf numFmtId="0" fontId="42" fillId="7" borderId="113" xfId="0" applyFont="1" applyFill="1" applyBorder="1" applyAlignment="1">
      <alignment horizontal="center" vertical="center" wrapText="1"/>
    </xf>
    <xf numFmtId="0" fontId="7" fillId="24" borderId="117" xfId="0" applyFont="1" applyFill="1" applyBorder="1" applyAlignment="1">
      <alignment horizontal="center" vertical="center" wrapText="1"/>
    </xf>
    <xf numFmtId="0" fontId="7" fillId="25" borderId="2" xfId="0" applyFont="1" applyFill="1" applyBorder="1" applyAlignment="1">
      <alignment horizontal="center" vertical="center" wrapText="1"/>
    </xf>
    <xf numFmtId="0" fontId="31" fillId="7" borderId="2" xfId="0" applyFont="1" applyFill="1" applyBorder="1" applyAlignment="1">
      <alignment horizontal="center" vertical="center" wrapText="1"/>
    </xf>
    <xf numFmtId="0" fontId="7" fillId="12" borderId="95" xfId="0" applyFont="1" applyFill="1" applyBorder="1" applyAlignment="1">
      <alignment vertical="center"/>
    </xf>
    <xf numFmtId="49" fontId="5" fillId="20" borderId="9" xfId="0" applyNumberFormat="1" applyFont="1" applyFill="1" applyBorder="1" applyAlignment="1">
      <alignment vertical="center"/>
    </xf>
    <xf numFmtId="49" fontId="37" fillId="7" borderId="2" xfId="0" applyNumberFormat="1" applyFont="1" applyFill="1" applyBorder="1" applyAlignment="1">
      <alignment horizontal="center" vertical="center" wrapText="1"/>
    </xf>
    <xf numFmtId="49" fontId="2" fillId="13" borderId="2" xfId="0" applyNumberFormat="1" applyFont="1" applyFill="1" applyBorder="1" applyAlignment="1">
      <alignment horizontal="center" vertical="center"/>
    </xf>
    <xf numFmtId="49" fontId="7" fillId="7" borderId="72" xfId="0" applyNumberFormat="1" applyFont="1" applyFill="1" applyBorder="1" applyAlignment="1">
      <alignment horizontal="left" vertical="center"/>
    </xf>
    <xf numFmtId="0" fontId="7" fillId="20" borderId="96" xfId="0" applyFont="1" applyFill="1" applyBorder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45" fillId="0" borderId="53" xfId="0" applyFont="1" applyBorder="1" applyAlignment="1">
      <alignment vertical="center"/>
    </xf>
    <xf numFmtId="0" fontId="5" fillId="12" borderId="96" xfId="0" applyFont="1" applyFill="1" applyBorder="1" applyAlignment="1">
      <alignment vertical="center"/>
    </xf>
    <xf numFmtId="49" fontId="7" fillId="0" borderId="2" xfId="0" applyNumberFormat="1" applyFont="1" applyBorder="1" applyAlignment="1">
      <alignment horizontal="left" vertical="center"/>
    </xf>
    <xf numFmtId="0" fontId="31" fillId="0" borderId="8" xfId="0" applyFont="1" applyBorder="1" applyAlignment="1">
      <alignment horizontal="center" vertical="center" wrapText="1"/>
    </xf>
    <xf numFmtId="1" fontId="7" fillId="13" borderId="126" xfId="0" applyNumberFormat="1" applyFont="1" applyFill="1" applyBorder="1" applyAlignment="1">
      <alignment horizontal="center" vertical="center" wrapText="1"/>
    </xf>
    <xf numFmtId="0" fontId="7" fillId="15" borderId="103" xfId="0" applyFont="1" applyFill="1" applyBorder="1" applyAlignment="1">
      <alignment vertical="center"/>
    </xf>
    <xf numFmtId="0" fontId="7" fillId="12" borderId="96" xfId="0" applyFont="1" applyFill="1" applyBorder="1" applyAlignment="1">
      <alignment vertical="center" wrapText="1"/>
    </xf>
    <xf numFmtId="0" fontId="35" fillId="0" borderId="6" xfId="0" applyFont="1" applyBorder="1" applyAlignment="1">
      <alignment horizontal="center" vertical="center"/>
    </xf>
    <xf numFmtId="49" fontId="48" fillId="26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/>
    </xf>
    <xf numFmtId="0" fontId="49" fillId="13" borderId="2" xfId="0" applyFont="1" applyFill="1" applyBorder="1" applyAlignment="1">
      <alignment horizontal="center" vertical="center" wrapText="1"/>
    </xf>
    <xf numFmtId="0" fontId="7" fillId="25" borderId="2" xfId="0" applyFont="1" applyFill="1" applyBorder="1" applyAlignment="1">
      <alignment horizontal="left" vertical="center"/>
    </xf>
    <xf numFmtId="0" fontId="7" fillId="2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51" fillId="25" borderId="2" xfId="0" applyFont="1" applyFill="1" applyBorder="1" applyAlignment="1">
      <alignment horizontal="center" vertical="center" wrapText="1"/>
    </xf>
    <xf numFmtId="49" fontId="35" fillId="6" borderId="9" xfId="0" applyNumberFormat="1" applyFont="1" applyFill="1" applyBorder="1" applyAlignment="1">
      <alignment horizontal="center" vertical="center" wrapText="1"/>
    </xf>
    <xf numFmtId="49" fontId="40" fillId="6" borderId="9" xfId="0" applyNumberFormat="1" applyFont="1" applyFill="1" applyBorder="1" applyAlignment="1">
      <alignment horizontal="left" vertical="center" wrapText="1"/>
    </xf>
    <xf numFmtId="49" fontId="32" fillId="7" borderId="9" xfId="0" applyNumberFormat="1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/>
    </xf>
    <xf numFmtId="49" fontId="53" fillId="7" borderId="9" xfId="0" applyNumberFormat="1" applyFont="1" applyFill="1" applyBorder="1" applyAlignment="1">
      <alignment horizontal="center" vertical="center" wrapText="1"/>
    </xf>
    <xf numFmtId="49" fontId="32" fillId="7" borderId="130" xfId="0" applyNumberFormat="1" applyFont="1" applyFill="1" applyBorder="1" applyAlignment="1">
      <alignment horizontal="center" vertical="center" wrapText="1"/>
    </xf>
    <xf numFmtId="49" fontId="54" fillId="7" borderId="131" xfId="0" applyNumberFormat="1" applyFont="1" applyFill="1" applyBorder="1" applyAlignment="1">
      <alignment horizontal="center" vertical="center" wrapText="1"/>
    </xf>
    <xf numFmtId="0" fontId="32" fillId="7" borderId="9" xfId="0" applyFont="1" applyFill="1" applyBorder="1" applyAlignment="1">
      <alignment horizontal="center" vertical="center"/>
    </xf>
    <xf numFmtId="49" fontId="53" fillId="2" borderId="9" xfId="0" applyNumberFormat="1" applyFont="1" applyFill="1" applyBorder="1" applyAlignment="1">
      <alignment horizontal="center" vertical="center" wrapText="1"/>
    </xf>
    <xf numFmtId="49" fontId="32" fillId="2" borderId="9" xfId="0" applyNumberFormat="1" applyFont="1" applyFill="1" applyBorder="1" applyAlignment="1">
      <alignment horizontal="center" vertical="center" wrapText="1"/>
    </xf>
    <xf numFmtId="49" fontId="32" fillId="2" borderId="130" xfId="0" applyNumberFormat="1" applyFont="1" applyFill="1" applyBorder="1" applyAlignment="1">
      <alignment horizontal="center" vertical="center"/>
    </xf>
    <xf numFmtId="0" fontId="32" fillId="2" borderId="9" xfId="0" applyFont="1" applyFill="1" applyBorder="1" applyAlignment="1">
      <alignment horizontal="center" vertical="center" wrapText="1"/>
    </xf>
    <xf numFmtId="49" fontId="55" fillId="3" borderId="9" xfId="0" applyNumberFormat="1" applyFont="1" applyFill="1" applyBorder="1" applyAlignment="1">
      <alignment horizontal="center" vertical="center" wrapText="1"/>
    </xf>
    <xf numFmtId="49" fontId="7" fillId="3" borderId="130" xfId="0" applyNumberFormat="1" applyFont="1" applyFill="1" applyBorder="1" applyAlignment="1">
      <alignment horizontal="center" vertical="center"/>
    </xf>
    <xf numFmtId="49" fontId="7" fillId="3" borderId="9" xfId="0" applyNumberFormat="1" applyFont="1" applyFill="1" applyBorder="1" applyAlignment="1">
      <alignment horizontal="center" vertical="center" wrapText="1"/>
    </xf>
    <xf numFmtId="0" fontId="0" fillId="27" borderId="59" xfId="0" applyFill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7" fillId="0" borderId="0" xfId="0" applyFont="1" applyAlignment="1">
      <alignment horizontal="left" vertical="center"/>
    </xf>
    <xf numFmtId="0" fontId="7" fillId="0" borderId="136" xfId="0" applyFont="1" applyBorder="1" applyAlignment="1">
      <alignment vertical="center"/>
    </xf>
    <xf numFmtId="49" fontId="7" fillId="7" borderId="9" xfId="0" applyNumberFormat="1" applyFont="1" applyFill="1" applyBorder="1" applyAlignment="1">
      <alignment vertical="center"/>
    </xf>
    <xf numFmtId="49" fontId="7" fillId="0" borderId="0" xfId="0" applyNumberFormat="1" applyFont="1" applyAlignment="1">
      <alignment vertical="center"/>
    </xf>
    <xf numFmtId="0" fontId="7" fillId="0" borderId="138" xfId="0" applyFont="1" applyBorder="1" applyAlignment="1">
      <alignment vertical="center"/>
    </xf>
    <xf numFmtId="0" fontId="0" fillId="13" borderId="59" xfId="0" applyFill="1" applyBorder="1" applyAlignment="1">
      <alignment horizontal="center" vertical="center"/>
    </xf>
    <xf numFmtId="1" fontId="0" fillId="27" borderId="59" xfId="0" applyNumberFormat="1" applyFill="1" applyBorder="1" applyAlignment="1">
      <alignment horizontal="center" vertical="center"/>
    </xf>
    <xf numFmtId="1" fontId="35" fillId="27" borderId="59" xfId="0" applyNumberFormat="1" applyFont="1" applyFill="1" applyBorder="1" applyAlignment="1">
      <alignment horizontal="center" vertical="center"/>
    </xf>
    <xf numFmtId="1" fontId="0" fillId="13" borderId="59" xfId="0" applyNumberFormat="1" applyFill="1" applyBorder="1" applyAlignment="1">
      <alignment horizontal="center" vertical="center"/>
    </xf>
    <xf numFmtId="0" fontId="35" fillId="27" borderId="59" xfId="0" applyFont="1" applyFill="1" applyBorder="1" applyAlignment="1">
      <alignment horizontal="center" vertical="center"/>
    </xf>
    <xf numFmtId="0" fontId="0" fillId="28" borderId="59" xfId="0" applyFill="1" applyBorder="1" applyAlignment="1">
      <alignment horizontal="center" vertical="center"/>
    </xf>
    <xf numFmtId="1" fontId="14" fillId="28" borderId="59" xfId="0" applyNumberFormat="1" applyFont="1" applyFill="1" applyBorder="1" applyAlignment="1">
      <alignment horizontal="center" vertical="center"/>
    </xf>
    <xf numFmtId="1" fontId="0" fillId="28" borderId="59" xfId="0" applyNumberFormat="1" applyFill="1" applyBorder="1" applyAlignment="1">
      <alignment horizontal="center" vertical="center"/>
    </xf>
    <xf numFmtId="1" fontId="35" fillId="28" borderId="59" xfId="0" applyNumberFormat="1" applyFont="1" applyFill="1" applyBorder="1" applyAlignment="1">
      <alignment horizontal="center" vertical="center"/>
    </xf>
    <xf numFmtId="49" fontId="7" fillId="0" borderId="136" xfId="0" applyNumberFormat="1" applyFont="1" applyBorder="1" applyAlignment="1">
      <alignment vertical="center"/>
    </xf>
    <xf numFmtId="0" fontId="0" fillId="29" borderId="59" xfId="0" applyFill="1" applyBorder="1" applyAlignment="1">
      <alignment horizontal="center" vertical="center"/>
    </xf>
    <xf numFmtId="1" fontId="35" fillId="29" borderId="59" xfId="0" applyNumberFormat="1" applyFont="1" applyFill="1" applyBorder="1" applyAlignment="1">
      <alignment horizontal="center" vertical="center"/>
    </xf>
    <xf numFmtId="1" fontId="35" fillId="13" borderId="59" xfId="0" applyNumberFormat="1" applyFont="1" applyFill="1" applyBorder="1" applyAlignment="1">
      <alignment horizontal="center" vertical="center"/>
    </xf>
    <xf numFmtId="0" fontId="35" fillId="13" borderId="59" xfId="0" applyFont="1" applyFill="1" applyBorder="1" applyAlignment="1">
      <alignment horizontal="center" vertical="center"/>
    </xf>
    <xf numFmtId="0" fontId="57" fillId="6" borderId="9" xfId="0" applyFont="1" applyFill="1" applyBorder="1" applyAlignment="1">
      <alignment horizontal="center" vertical="center"/>
    </xf>
    <xf numFmtId="0" fontId="63" fillId="13" borderId="59" xfId="0" applyFont="1" applyFill="1" applyBorder="1" applyAlignment="1">
      <alignment horizontal="center" vertical="center"/>
    </xf>
    <xf numFmtId="0" fontId="35" fillId="13" borderId="59" xfId="0" applyFont="1" applyFill="1" applyBorder="1" applyAlignment="1">
      <alignment horizontal="left" vertical="center"/>
    </xf>
    <xf numFmtId="0" fontId="0" fillId="12" borderId="59" xfId="0" applyFill="1" applyBorder="1" applyAlignment="1">
      <alignment horizontal="center" vertical="center"/>
    </xf>
    <xf numFmtId="0" fontId="35" fillId="12" borderId="59" xfId="0" applyFont="1" applyFill="1" applyBorder="1" applyAlignment="1">
      <alignment horizontal="center" vertical="center"/>
    </xf>
    <xf numFmtId="0" fontId="55" fillId="0" borderId="0" xfId="0" applyFont="1"/>
    <xf numFmtId="0" fontId="5" fillId="0" borderId="0" xfId="0" applyFont="1" applyAlignment="1">
      <alignment horizontal="center"/>
    </xf>
    <xf numFmtId="0" fontId="7" fillId="7" borderId="9" xfId="0" applyFont="1" applyFill="1" applyBorder="1" applyAlignment="1">
      <alignment vertical="center" wrapText="1"/>
    </xf>
    <xf numFmtId="0" fontId="55" fillId="7" borderId="9" xfId="0" applyFont="1" applyFill="1" applyBorder="1" applyAlignment="1">
      <alignment vertical="center" wrapText="1"/>
    </xf>
    <xf numFmtId="0" fontId="7" fillId="7" borderId="9" xfId="0" applyFont="1" applyFill="1" applyBorder="1" applyAlignment="1">
      <alignment horizontal="center" vertical="center" wrapText="1"/>
    </xf>
    <xf numFmtId="0" fontId="7" fillId="7" borderId="130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64" fillId="0" borderId="0" xfId="0" applyFont="1" applyAlignment="1">
      <alignment horizontal="center"/>
    </xf>
    <xf numFmtId="0" fontId="35" fillId="0" borderId="0" xfId="0" applyFont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34" fillId="2" borderId="9" xfId="0" applyFont="1" applyFill="1" applyBorder="1" applyAlignment="1">
      <alignment horizontal="center" wrapText="1"/>
    </xf>
    <xf numFmtId="0" fontId="34" fillId="0" borderId="0" xfId="0" applyFont="1" applyAlignment="1">
      <alignment horizontal="center" vertical="center" wrapText="1"/>
    </xf>
    <xf numFmtId="0" fontId="65" fillId="30" borderId="2" xfId="0" applyFont="1" applyFill="1" applyBorder="1"/>
    <xf numFmtId="0" fontId="66" fillId="30" borderId="2" xfId="0" applyFont="1" applyFill="1" applyBorder="1" applyAlignment="1">
      <alignment horizontal="left" vertical="center"/>
    </xf>
    <xf numFmtId="0" fontId="67" fillId="30" borderId="40" xfId="0" applyFont="1" applyFill="1" applyBorder="1"/>
    <xf numFmtId="0" fontId="34" fillId="0" borderId="0" xfId="0" applyFont="1" applyAlignment="1">
      <alignment horizontal="center" wrapText="1"/>
    </xf>
    <xf numFmtId="0" fontId="8" fillId="0" borderId="2" xfId="0" applyFont="1" applyBorder="1" applyAlignment="1">
      <alignment horizontal="center" vertical="center" wrapText="1"/>
    </xf>
    <xf numFmtId="0" fontId="34" fillId="20" borderId="2" xfId="0" applyFont="1" applyFill="1" applyBorder="1" applyAlignment="1">
      <alignment horizontal="center" vertical="center" wrapText="1"/>
    </xf>
    <xf numFmtId="0" fontId="31" fillId="3" borderId="2" xfId="0" applyFont="1" applyFill="1" applyBorder="1" applyAlignment="1">
      <alignment horizontal="center" vertical="center" wrapText="1"/>
    </xf>
    <xf numFmtId="1" fontId="31" fillId="3" borderId="2" xfId="0" applyNumberFormat="1" applyFont="1" applyFill="1" applyBorder="1" applyAlignment="1">
      <alignment horizontal="center" vertical="center" wrapText="1"/>
    </xf>
    <xf numFmtId="0" fontId="35" fillId="0" borderId="2" xfId="0" applyFont="1" applyBorder="1" applyAlignment="1">
      <alignment vertical="center"/>
    </xf>
    <xf numFmtId="177" fontId="35" fillId="0" borderId="2" xfId="0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left" vertical="center"/>
    </xf>
    <xf numFmtId="0" fontId="35" fillId="0" borderId="2" xfId="0" applyFont="1" applyBorder="1" applyAlignment="1">
      <alignment vertical="center" wrapText="1"/>
    </xf>
    <xf numFmtId="177" fontId="35" fillId="0" borderId="2" xfId="0" applyNumberFormat="1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35" fillId="31" borderId="2" xfId="0" applyFont="1" applyFill="1" applyBorder="1" applyAlignment="1">
      <alignment vertical="center"/>
    </xf>
    <xf numFmtId="0" fontId="7" fillId="6" borderId="2" xfId="0" applyFont="1" applyFill="1" applyBorder="1"/>
    <xf numFmtId="0" fontId="7" fillId="32" borderId="2" xfId="0" applyFont="1" applyFill="1" applyBorder="1"/>
    <xf numFmtId="0" fontId="7" fillId="0" borderId="2" xfId="0" applyFont="1" applyBorder="1"/>
    <xf numFmtId="0" fontId="7" fillId="0" borderId="2" xfId="0" applyFont="1" applyBorder="1" applyAlignment="1">
      <alignment horizontal="center"/>
    </xf>
    <xf numFmtId="177" fontId="7" fillId="0" borderId="2" xfId="0" applyNumberFormat="1" applyFont="1" applyBorder="1" applyAlignment="1">
      <alignment wrapText="1"/>
    </xf>
    <xf numFmtId="0" fontId="7" fillId="0" borderId="2" xfId="0" applyFont="1" applyBorder="1" applyAlignment="1">
      <alignment wrapText="1"/>
    </xf>
    <xf numFmtId="0" fontId="32" fillId="0" borderId="2" xfId="0" applyFont="1" applyBorder="1" applyAlignment="1">
      <alignment horizontal="center" vertical="center"/>
    </xf>
    <xf numFmtId="0" fontId="35" fillId="6" borderId="2" xfId="0" applyFont="1" applyFill="1" applyBorder="1" applyAlignment="1">
      <alignment vertical="center"/>
    </xf>
    <xf numFmtId="0" fontId="32" fillId="0" borderId="2" xfId="0" applyFont="1" applyBorder="1" applyAlignment="1">
      <alignment horizontal="left" vertical="center"/>
    </xf>
    <xf numFmtId="0" fontId="35" fillId="32" borderId="2" xfId="0" applyFont="1" applyFill="1" applyBorder="1" applyAlignment="1">
      <alignment vertical="center"/>
    </xf>
    <xf numFmtId="0" fontId="7" fillId="33" borderId="2" xfId="0" applyFont="1" applyFill="1" applyBorder="1"/>
    <xf numFmtId="0" fontId="68" fillId="0" borderId="2" xfId="0" applyFont="1" applyBorder="1" applyAlignment="1">
      <alignment vertical="center" wrapText="1"/>
    </xf>
    <xf numFmtId="0" fontId="35" fillId="0" borderId="0" xfId="0" applyFont="1" applyAlignment="1">
      <alignment horizontal="center" vertical="center"/>
    </xf>
    <xf numFmtId="0" fontId="35" fillId="7" borderId="9" xfId="0" applyFont="1" applyFill="1" applyBorder="1" applyAlignment="1">
      <alignment horizontal="center" vertical="center"/>
    </xf>
    <xf numFmtId="0" fontId="35" fillId="7" borderId="9" xfId="0" applyFont="1" applyFill="1" applyBorder="1" applyAlignment="1">
      <alignment vertical="center"/>
    </xf>
    <xf numFmtId="0" fontId="16" fillId="2" borderId="9" xfId="0" applyFont="1" applyFill="1" applyBorder="1" applyAlignment="1">
      <alignment horizontal="center" vertical="center"/>
    </xf>
    <xf numFmtId="0" fontId="16" fillId="2" borderId="9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64" fillId="0" borderId="0" xfId="0" applyFont="1"/>
    <xf numFmtId="0" fontId="16" fillId="2" borderId="9" xfId="0" applyFont="1" applyFill="1" applyBorder="1" applyAlignment="1">
      <alignment horizontal="left" vertical="center"/>
    </xf>
    <xf numFmtId="0" fontId="4" fillId="3" borderId="9" xfId="0" applyFont="1" applyFill="1" applyBorder="1" applyAlignment="1">
      <alignment horizontal="center"/>
    </xf>
    <xf numFmtId="0" fontId="5" fillId="26" borderId="9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32" fillId="2" borderId="9" xfId="0" applyFont="1" applyFill="1" applyBorder="1" applyAlignment="1">
      <alignment horizontal="left" vertical="center"/>
    </xf>
    <xf numFmtId="0" fontId="69" fillId="0" borderId="0" xfId="0" applyFont="1"/>
    <xf numFmtId="0" fontId="7" fillId="0" borderId="0" xfId="0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49" fontId="7" fillId="0" borderId="0" xfId="0" applyNumberFormat="1" applyFont="1" applyAlignment="1">
      <alignment horizontal="left" vertical="center"/>
    </xf>
    <xf numFmtId="1" fontId="33" fillId="6" borderId="9" xfId="0" applyNumberFormat="1" applyFont="1" applyFill="1" applyBorder="1" applyAlignment="1">
      <alignment horizontal="center" vertical="center"/>
    </xf>
    <xf numFmtId="1" fontId="70" fillId="2" borderId="9" xfId="0" applyNumberFormat="1" applyFont="1" applyFill="1" applyBorder="1" applyAlignment="1">
      <alignment horizontal="center" vertical="center"/>
    </xf>
    <xf numFmtId="1" fontId="71" fillId="2" borderId="9" xfId="0" applyNumberFormat="1" applyFont="1" applyFill="1" applyBorder="1" applyAlignment="1">
      <alignment vertical="center"/>
    </xf>
    <xf numFmtId="1" fontId="7" fillId="34" borderId="9" xfId="0" applyNumberFormat="1" applyFont="1" applyFill="1" applyBorder="1" applyAlignment="1">
      <alignment vertical="center"/>
    </xf>
    <xf numFmtId="1" fontId="72" fillId="7" borderId="9" xfId="0" applyNumberFormat="1" applyFont="1" applyFill="1" applyBorder="1" applyAlignment="1">
      <alignment vertical="center"/>
    </xf>
    <xf numFmtId="1" fontId="33" fillId="6" borderId="9" xfId="0" applyNumberFormat="1" applyFont="1" applyFill="1" applyBorder="1" applyAlignment="1">
      <alignment vertical="center"/>
    </xf>
    <xf numFmtId="1" fontId="72" fillId="7" borderId="9" xfId="0" applyNumberFormat="1" applyFont="1" applyFill="1" applyBorder="1" applyAlignment="1">
      <alignment horizontal="center" vertical="center"/>
    </xf>
    <xf numFmtId="177" fontId="73" fillId="7" borderId="9" xfId="0" applyNumberFormat="1" applyFont="1" applyFill="1" applyBorder="1" applyAlignment="1">
      <alignment vertical="center"/>
    </xf>
    <xf numFmtId="1" fontId="7" fillId="0" borderId="0" xfId="0" applyNumberFormat="1" applyFont="1" applyAlignment="1">
      <alignment vertical="center"/>
    </xf>
    <xf numFmtId="1" fontId="7" fillId="7" borderId="9" xfId="0" applyNumberFormat="1" applyFont="1" applyFill="1" applyBorder="1"/>
    <xf numFmtId="1" fontId="7" fillId="0" borderId="0" xfId="0" applyNumberFormat="1" applyFont="1"/>
    <xf numFmtId="1" fontId="7" fillId="7" borderId="9" xfId="0" applyNumberFormat="1" applyFont="1" applyFill="1" applyBorder="1" applyAlignment="1">
      <alignment vertical="center"/>
    </xf>
    <xf numFmtId="1" fontId="74" fillId="7" borderId="9" xfId="0" applyNumberFormat="1" applyFont="1" applyFill="1" applyBorder="1" applyAlignment="1">
      <alignment vertical="center"/>
    </xf>
    <xf numFmtId="1" fontId="72" fillId="7" borderId="9" xfId="0" applyNumberFormat="1" applyFont="1" applyFill="1" applyBorder="1" applyAlignment="1">
      <alignment vertical="center" wrapText="1"/>
    </xf>
    <xf numFmtId="0" fontId="7" fillId="7" borderId="9" xfId="0" applyFont="1" applyFill="1" applyBorder="1"/>
    <xf numFmtId="49" fontId="72" fillId="7" borderId="9" xfId="0" applyNumberFormat="1" applyFont="1" applyFill="1" applyBorder="1" applyAlignment="1">
      <alignment vertical="center"/>
    </xf>
    <xf numFmtId="1" fontId="75" fillId="7" borderId="9" xfId="0" applyNumberFormat="1" applyFont="1" applyFill="1" applyBorder="1" applyAlignment="1">
      <alignment vertical="center" wrapText="1"/>
    </xf>
    <xf numFmtId="179" fontId="5" fillId="0" borderId="0" xfId="0" applyNumberFormat="1" applyFont="1"/>
    <xf numFmtId="180" fontId="5" fillId="0" borderId="0" xfId="0" applyNumberFormat="1" applyFont="1"/>
    <xf numFmtId="181" fontId="5" fillId="0" borderId="0" xfId="0" applyNumberFormat="1" applyFont="1"/>
    <xf numFmtId="182" fontId="5" fillId="0" borderId="0" xfId="0" applyNumberFormat="1" applyFont="1"/>
    <xf numFmtId="1" fontId="1" fillId="2" borderId="1" xfId="0" applyNumberFormat="1" applyFont="1" applyFill="1" applyBorder="1" applyAlignment="1">
      <alignment horizontal="center" vertical="center"/>
    </xf>
    <xf numFmtId="0" fontId="3" fillId="0" borderId="10" xfId="0" applyFont="1" applyBorder="1"/>
    <xf numFmtId="0" fontId="2" fillId="4" borderId="3" xfId="0" applyFont="1" applyFill="1" applyBorder="1" applyAlignment="1">
      <alignment horizontal="center" vertical="center" wrapText="1"/>
    </xf>
    <xf numFmtId="0" fontId="3" fillId="0" borderId="4" xfId="0" applyFont="1" applyBorder="1"/>
    <xf numFmtId="0" fontId="3" fillId="0" borderId="5" xfId="0" applyFont="1" applyBorder="1"/>
    <xf numFmtId="0" fontId="2" fillId="3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1" fontId="4" fillId="9" borderId="11" xfId="0" applyNumberFormat="1" applyFont="1" applyFill="1" applyBorder="1" applyAlignment="1">
      <alignment vertical="center" wrapText="1"/>
    </xf>
    <xf numFmtId="0" fontId="3" fillId="0" borderId="13" xfId="0" applyFont="1" applyBorder="1"/>
    <xf numFmtId="0" fontId="3" fillId="0" borderId="14" xfId="0" applyFont="1" applyBorder="1"/>
    <xf numFmtId="1" fontId="8" fillId="10" borderId="15" xfId="0" applyNumberFormat="1" applyFont="1" applyFill="1" applyBorder="1" applyAlignment="1">
      <alignment vertical="center" wrapText="1"/>
    </xf>
    <xf numFmtId="0" fontId="3" fillId="0" borderId="16" xfId="0" applyFont="1" applyBorder="1"/>
    <xf numFmtId="0" fontId="3" fillId="0" borderId="17" xfId="0" applyFont="1" applyBorder="1"/>
    <xf numFmtId="0" fontId="3" fillId="0" borderId="18" xfId="0" applyFont="1" applyBorder="1"/>
    <xf numFmtId="0" fontId="3" fillId="0" borderId="19" xfId="0" applyFont="1" applyBorder="1"/>
    <xf numFmtId="0" fontId="3" fillId="0" borderId="20" xfId="0" applyFont="1" applyBorder="1"/>
    <xf numFmtId="0" fontId="10" fillId="3" borderId="11" xfId="0" applyFont="1" applyFill="1" applyBorder="1" applyAlignment="1">
      <alignment vertical="center"/>
    </xf>
    <xf numFmtId="0" fontId="3" fillId="0" borderId="21" xfId="0" applyFont="1" applyBorder="1"/>
    <xf numFmtId="1" fontId="5" fillId="7" borderId="6" xfId="0" applyNumberFormat="1" applyFont="1" applyFill="1" applyBorder="1" applyAlignment="1">
      <alignment horizontal="center" vertical="center" wrapText="1"/>
    </xf>
    <xf numFmtId="1" fontId="14" fillId="0" borderId="23" xfId="0" applyNumberFormat="1" applyFont="1" applyBorder="1" applyAlignment="1">
      <alignment horizontal="center" vertical="center" wrapText="1"/>
    </xf>
    <xf numFmtId="0" fontId="3" fillId="0" borderId="24" xfId="0" applyFont="1" applyBorder="1"/>
    <xf numFmtId="0" fontId="3" fillId="0" borderId="29" xfId="0" applyFont="1" applyBorder="1"/>
    <xf numFmtId="0" fontId="3" fillId="0" borderId="30" xfId="0" applyFont="1" applyBorder="1"/>
    <xf numFmtId="0" fontId="1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9" borderId="6" xfId="0" applyFont="1" applyFill="1" applyBorder="1" applyAlignment="1">
      <alignment horizontal="center" vertical="center" wrapText="1"/>
    </xf>
    <xf numFmtId="0" fontId="3" fillId="0" borderId="35" xfId="0" applyFont="1" applyBorder="1"/>
    <xf numFmtId="0" fontId="14" fillId="11" borderId="6" xfId="0" applyFont="1" applyFill="1" applyBorder="1" applyAlignment="1">
      <alignment horizontal="center" vertical="center" wrapText="1"/>
    </xf>
    <xf numFmtId="0" fontId="13" fillId="2" borderId="22" xfId="0" applyFont="1" applyFill="1" applyBorder="1" applyAlignment="1">
      <alignment horizontal="center" vertical="center"/>
    </xf>
    <xf numFmtId="0" fontId="3" fillId="0" borderId="26" xfId="0" applyFont="1" applyBorder="1"/>
    <xf numFmtId="0" fontId="3" fillId="0" borderId="28" xfId="0" applyFont="1" applyBorder="1"/>
    <xf numFmtId="0" fontId="13" fillId="2" borderId="23" xfId="0" applyFont="1" applyFill="1" applyBorder="1" applyAlignment="1">
      <alignment horizontal="center" vertical="center" wrapText="1"/>
    </xf>
    <xf numFmtId="0" fontId="3" fillId="0" borderId="25" xfId="0" applyFont="1" applyBorder="1"/>
    <xf numFmtId="0" fontId="3" fillId="0" borderId="27" xfId="0" applyFont="1" applyBorder="1"/>
    <xf numFmtId="0" fontId="3" fillId="0" borderId="31" xfId="0" applyFont="1" applyBorder="1"/>
    <xf numFmtId="1" fontId="14" fillId="0" borderId="6" xfId="0" applyNumberFormat="1" applyFont="1" applyBorder="1" applyAlignment="1">
      <alignment horizontal="center" vertical="center" wrapText="1"/>
    </xf>
    <xf numFmtId="1" fontId="2" fillId="0" borderId="23" xfId="0" applyNumberFormat="1" applyFont="1" applyBorder="1" applyAlignment="1">
      <alignment vertical="center" wrapText="1"/>
    </xf>
    <xf numFmtId="0" fontId="0" fillId="0" borderId="0" xfId="0"/>
    <xf numFmtId="1" fontId="2" fillId="0" borderId="23" xfId="0" applyNumberFormat="1" applyFont="1" applyBorder="1" applyAlignment="1">
      <alignment horizontal="center" wrapText="1"/>
    </xf>
    <xf numFmtId="1" fontId="13" fillId="2" borderId="15" xfId="0" applyNumberFormat="1" applyFont="1" applyFill="1" applyBorder="1" applyAlignment="1">
      <alignment horizontal="center" vertical="center"/>
    </xf>
    <xf numFmtId="0" fontId="3" fillId="0" borderId="33" xfId="0" applyFont="1" applyBorder="1"/>
    <xf numFmtId="0" fontId="3" fillId="0" borderId="37" xfId="0" applyFont="1" applyBorder="1"/>
    <xf numFmtId="1" fontId="14" fillId="3" borderId="23" xfId="0" applyNumberFormat="1" applyFont="1" applyFill="1" applyBorder="1" applyAlignment="1">
      <alignment horizontal="center" vertical="center"/>
    </xf>
    <xf numFmtId="0" fontId="3" fillId="0" borderId="34" xfId="0" applyFont="1" applyBorder="1"/>
    <xf numFmtId="0" fontId="3" fillId="0" borderId="32" xfId="0" applyFont="1" applyBorder="1"/>
    <xf numFmtId="0" fontId="3" fillId="0" borderId="38" xfId="0" applyFont="1" applyBorder="1"/>
    <xf numFmtId="0" fontId="2" fillId="4" borderId="6" xfId="0" applyFont="1" applyFill="1" applyBorder="1" applyAlignment="1">
      <alignment horizontal="center" vertical="center" wrapText="1"/>
    </xf>
    <xf numFmtId="1" fontId="5" fillId="12" borderId="6" xfId="0" applyNumberFormat="1" applyFont="1" applyFill="1" applyBorder="1" applyAlignment="1">
      <alignment horizontal="center" vertical="center" wrapText="1"/>
    </xf>
    <xf numFmtId="177" fontId="5" fillId="0" borderId="90" xfId="0" applyNumberFormat="1" applyFont="1" applyBorder="1" applyAlignment="1">
      <alignment horizontal="center" vertical="center" wrapText="1"/>
    </xf>
    <xf numFmtId="177" fontId="5" fillId="0" borderId="1" xfId="0" applyNumberFormat="1" applyFont="1" applyBorder="1" applyAlignment="1">
      <alignment horizontal="center" vertical="center" wrapText="1"/>
    </xf>
    <xf numFmtId="0" fontId="3" fillId="0" borderId="91" xfId="0" applyFont="1" applyBorder="1"/>
    <xf numFmtId="177" fontId="5" fillId="0" borderId="81" xfId="0" applyNumberFormat="1" applyFont="1" applyBorder="1" applyAlignment="1">
      <alignment horizontal="center" vertical="center" wrapText="1"/>
    </xf>
    <xf numFmtId="0" fontId="3" fillId="0" borderId="86" xfId="0" applyFont="1" applyBorder="1"/>
    <xf numFmtId="177" fontId="5" fillId="0" borderId="23" xfId="0" applyNumberFormat="1" applyFont="1" applyBorder="1" applyAlignment="1">
      <alignment horizontal="center" vertical="center" wrapText="1"/>
    </xf>
    <xf numFmtId="177" fontId="5" fillId="20" borderId="1" xfId="0" applyNumberFormat="1" applyFont="1" applyFill="1" applyBorder="1" applyAlignment="1">
      <alignment horizontal="center" vertical="center" wrapText="1"/>
    </xf>
    <xf numFmtId="177" fontId="5" fillId="20" borderId="22" xfId="0" applyNumberFormat="1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20" borderId="6" xfId="0" applyFont="1" applyFill="1" applyBorder="1" applyAlignment="1">
      <alignment horizontal="center" vertical="center" wrapText="1"/>
    </xf>
    <xf numFmtId="0" fontId="5" fillId="13" borderId="6" xfId="0" applyFont="1" applyFill="1" applyBorder="1" applyAlignment="1">
      <alignment horizontal="center" vertical="center" wrapText="1"/>
    </xf>
    <xf numFmtId="0" fontId="5" fillId="0" borderId="64" xfId="0" applyFont="1" applyBorder="1" applyAlignment="1">
      <alignment vertical="center"/>
    </xf>
    <xf numFmtId="0" fontId="3" fillId="0" borderId="43" xfId="0" applyFont="1" applyBorder="1"/>
    <xf numFmtId="0" fontId="3" fillId="0" borderId="44" xfId="0" applyFont="1" applyBorder="1"/>
    <xf numFmtId="0" fontId="3" fillId="0" borderId="68" xfId="0" applyFont="1" applyBorder="1"/>
    <xf numFmtId="0" fontId="3" fillId="0" borderId="49" xfId="0" applyFont="1" applyBorder="1"/>
    <xf numFmtId="0" fontId="3" fillId="0" borderId="50" xfId="0" applyFont="1" applyBorder="1"/>
    <xf numFmtId="0" fontId="29" fillId="0" borderId="64" xfId="0" applyFont="1" applyBorder="1" applyAlignment="1">
      <alignment vertical="center"/>
    </xf>
    <xf numFmtId="0" fontId="5" fillId="3" borderId="6" xfId="0" applyFont="1" applyFill="1" applyBorder="1" applyAlignment="1">
      <alignment vertical="center" wrapText="1"/>
    </xf>
    <xf numFmtId="0" fontId="5" fillId="4" borderId="45" xfId="0" applyFont="1" applyFill="1" applyBorder="1" applyAlignment="1">
      <alignment horizontal="center" vertical="center" wrapText="1"/>
    </xf>
    <xf numFmtId="0" fontId="3" fillId="0" borderId="46" xfId="0" applyFont="1" applyBorder="1"/>
    <xf numFmtId="0" fontId="3" fillId="0" borderId="77" xfId="0" applyFont="1" applyBorder="1"/>
    <xf numFmtId="0" fontId="5" fillId="15" borderId="6" xfId="0" applyFont="1" applyFill="1" applyBorder="1" applyAlignment="1">
      <alignment horizontal="center" vertical="center"/>
    </xf>
    <xf numFmtId="0" fontId="16" fillId="14" borderId="6" xfId="0" applyFont="1" applyFill="1" applyBorder="1" applyAlignment="1">
      <alignment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61" xfId="0" applyFont="1" applyBorder="1" applyAlignment="1">
      <alignment vertical="center"/>
    </xf>
    <xf numFmtId="0" fontId="3" fillId="0" borderId="76" xfId="0" applyFont="1" applyBorder="1"/>
    <xf numFmtId="177" fontId="5" fillId="5" borderId="6" xfId="0" applyNumberFormat="1" applyFont="1" applyFill="1" applyBorder="1" applyAlignment="1">
      <alignment vertical="center" wrapText="1"/>
    </xf>
    <xf numFmtId="0" fontId="16" fillId="19" borderId="6" xfId="0" applyFont="1" applyFill="1" applyBorder="1" applyAlignment="1">
      <alignment horizontal="center" vertical="center" wrapText="1"/>
    </xf>
    <xf numFmtId="0" fontId="5" fillId="0" borderId="3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77" fontId="5" fillId="3" borderId="78" xfId="0" applyNumberFormat="1" applyFont="1" applyFill="1" applyBorder="1" applyAlignment="1">
      <alignment vertical="center" wrapText="1"/>
    </xf>
    <xf numFmtId="0" fontId="3" fillId="0" borderId="79" xfId="0" applyFont="1" applyBorder="1"/>
    <xf numFmtId="0" fontId="3" fillId="0" borderId="82" xfId="0" applyFont="1" applyBorder="1"/>
    <xf numFmtId="0" fontId="3" fillId="0" borderId="83" xfId="0" applyFont="1" applyBorder="1"/>
    <xf numFmtId="0" fontId="3" fillId="0" borderId="87" xfId="0" applyFont="1" applyBorder="1"/>
    <xf numFmtId="0" fontId="3" fillId="0" borderId="88" xfId="0" applyFont="1" applyBorder="1"/>
    <xf numFmtId="0" fontId="3" fillId="0" borderId="84" xfId="0" applyFont="1" applyBorder="1"/>
    <xf numFmtId="0" fontId="3" fillId="0" borderId="89" xfId="0" applyFont="1" applyBorder="1"/>
    <xf numFmtId="177" fontId="5" fillId="12" borderId="23" xfId="0" applyNumberFormat="1" applyFont="1" applyFill="1" applyBorder="1" applyAlignment="1">
      <alignment vertical="center"/>
    </xf>
    <xf numFmtId="0" fontId="3" fillId="0" borderId="94" xfId="0" applyFont="1" applyBorder="1"/>
    <xf numFmtId="177" fontId="5" fillId="21" borderId="65" xfId="0" applyNumberFormat="1" applyFont="1" applyFill="1" applyBorder="1" applyAlignment="1">
      <alignment vertical="center" wrapText="1"/>
    </xf>
    <xf numFmtId="0" fontId="3" fillId="0" borderId="66" xfId="0" applyFont="1" applyBorder="1"/>
    <xf numFmtId="0" fontId="3" fillId="0" borderId="67" xfId="0" applyFont="1" applyBorder="1"/>
    <xf numFmtId="177" fontId="5" fillId="7" borderId="65" xfId="0" applyNumberFormat="1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vertical="center" wrapText="1"/>
    </xf>
    <xf numFmtId="0" fontId="16" fillId="14" borderId="65" xfId="0" applyFont="1" applyFill="1" applyBorder="1" applyAlignment="1">
      <alignment vertical="center" wrapText="1"/>
    </xf>
    <xf numFmtId="0" fontId="18" fillId="13" borderId="6" xfId="0" applyFont="1" applyFill="1" applyBorder="1" applyAlignment="1">
      <alignment horizontal="center" vertical="center" wrapText="1"/>
    </xf>
    <xf numFmtId="0" fontId="20" fillId="13" borderId="6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30" fillId="7" borderId="6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 wrapText="1"/>
    </xf>
    <xf numFmtId="0" fontId="5" fillId="0" borderId="6" xfId="0" applyFont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/>
    </xf>
    <xf numFmtId="0" fontId="13" fillId="17" borderId="6" xfId="0" applyFont="1" applyFill="1" applyBorder="1" applyAlignment="1">
      <alignment horizontal="center" vertical="center"/>
    </xf>
    <xf numFmtId="49" fontId="6" fillId="7" borderId="1" xfId="0" applyNumberFormat="1" applyFont="1" applyFill="1" applyBorder="1" applyAlignment="1">
      <alignment horizontal="left" vertical="center"/>
    </xf>
    <xf numFmtId="0" fontId="3" fillId="0" borderId="57" xfId="0" applyFont="1" applyBorder="1"/>
    <xf numFmtId="0" fontId="5" fillId="0" borderId="29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3" fillId="0" borderId="48" xfId="0" applyFont="1" applyBorder="1"/>
    <xf numFmtId="0" fontId="2" fillId="0" borderId="43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5" fillId="15" borderId="45" xfId="0" applyFont="1" applyFill="1" applyBorder="1" applyAlignment="1">
      <alignment horizontal="center" vertical="center" wrapText="1"/>
    </xf>
    <xf numFmtId="0" fontId="3" fillId="0" borderId="47" xfId="0" applyFont="1" applyBorder="1"/>
    <xf numFmtId="0" fontId="5" fillId="0" borderId="23" xfId="0" applyFont="1" applyBorder="1" applyAlignment="1">
      <alignment horizontal="center" vertical="center" wrapText="1"/>
    </xf>
    <xf numFmtId="0" fontId="16" fillId="2" borderId="51" xfId="0" applyFont="1" applyFill="1" applyBorder="1" applyAlignment="1">
      <alignment horizontal="center" vertical="center"/>
    </xf>
    <xf numFmtId="0" fontId="3" fillId="0" borderId="52" xfId="0" applyFont="1" applyBorder="1"/>
    <xf numFmtId="0" fontId="5" fillId="0" borderId="1" xfId="0" applyFont="1" applyBorder="1" applyAlignment="1">
      <alignment vertical="center"/>
    </xf>
    <xf numFmtId="0" fontId="5" fillId="3" borderId="56" xfId="0" applyFont="1" applyFill="1" applyBorder="1" applyAlignment="1">
      <alignment vertical="center"/>
    </xf>
    <xf numFmtId="0" fontId="15" fillId="3" borderId="56" xfId="0" applyFont="1" applyFill="1" applyBorder="1" applyAlignment="1">
      <alignment horizontal="center" vertical="center"/>
    </xf>
    <xf numFmtId="0" fontId="15" fillId="0" borderId="57" xfId="0" applyFont="1" applyBorder="1" applyAlignment="1">
      <alignment horizontal="center" vertical="center"/>
    </xf>
    <xf numFmtId="0" fontId="13" fillId="16" borderId="6" xfId="0" applyFont="1" applyFill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6" fillId="18" borderId="6" xfId="0" applyFont="1" applyFill="1" applyBorder="1" applyAlignment="1">
      <alignment vertical="center" wrapText="1"/>
    </xf>
    <xf numFmtId="0" fontId="19" fillId="18" borderId="6" xfId="0" applyFont="1" applyFill="1" applyBorder="1" applyAlignment="1">
      <alignment horizontal="center" vertical="center" wrapText="1"/>
    </xf>
    <xf numFmtId="0" fontId="16" fillId="14" borderId="6" xfId="0" applyFont="1" applyFill="1" applyBorder="1" applyAlignment="1">
      <alignment vertical="center"/>
    </xf>
    <xf numFmtId="0" fontId="3" fillId="0" borderId="41" xfId="0" applyFont="1" applyBorder="1"/>
    <xf numFmtId="0" fontId="3" fillId="0" borderId="62" xfId="0" applyFont="1" applyBorder="1"/>
    <xf numFmtId="0" fontId="5" fillId="5" borderId="6" xfId="0" applyFont="1" applyFill="1" applyBorder="1" applyAlignment="1">
      <alignment vertical="center"/>
    </xf>
    <xf numFmtId="0" fontId="5" fillId="7" borderId="6" xfId="0" applyFont="1" applyFill="1" applyBorder="1" applyAlignment="1">
      <alignment horizontal="center" vertical="center"/>
    </xf>
    <xf numFmtId="177" fontId="20" fillId="13" borderId="6" xfId="0" applyNumberFormat="1" applyFont="1" applyFill="1" applyBorder="1" applyAlignment="1">
      <alignment horizontal="center" vertical="center" wrapText="1"/>
    </xf>
    <xf numFmtId="177" fontId="5" fillId="4" borderId="6" xfId="0" applyNumberFormat="1" applyFont="1" applyFill="1" applyBorder="1" applyAlignment="1">
      <alignment horizontal="center" vertical="center"/>
    </xf>
    <xf numFmtId="177" fontId="23" fillId="13" borderId="6" xfId="0" applyNumberFormat="1" applyFont="1" applyFill="1" applyBorder="1" applyAlignment="1">
      <alignment horizontal="center" vertical="center" wrapText="1"/>
    </xf>
    <xf numFmtId="177" fontId="20" fillId="13" borderId="65" xfId="0" applyNumberFormat="1" applyFont="1" applyFill="1" applyBorder="1" applyAlignment="1">
      <alignment horizontal="center" vertical="center" wrapText="1"/>
    </xf>
    <xf numFmtId="0" fontId="3" fillId="0" borderId="73" xfId="0" applyFont="1" applyBorder="1"/>
    <xf numFmtId="177" fontId="20" fillId="13" borderId="23" xfId="0" applyNumberFormat="1" applyFont="1" applyFill="1" applyBorder="1" applyAlignment="1">
      <alignment horizontal="center" vertical="center" wrapText="1"/>
    </xf>
    <xf numFmtId="177" fontId="27" fillId="13" borderId="1" xfId="0" applyNumberFormat="1" applyFont="1" applyFill="1" applyBorder="1" applyAlignment="1">
      <alignment horizontal="center" vertical="center" wrapText="1"/>
    </xf>
    <xf numFmtId="0" fontId="5" fillId="3" borderId="65" xfId="0" applyFont="1" applyFill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7" borderId="23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3" fillId="0" borderId="69" xfId="0" applyFont="1" applyBorder="1"/>
    <xf numFmtId="0" fontId="3" fillId="0" borderId="70" xfId="0" applyFont="1" applyBorder="1"/>
    <xf numFmtId="177" fontId="5" fillId="0" borderId="6" xfId="0" applyNumberFormat="1" applyFont="1" applyBorder="1" applyAlignment="1">
      <alignment horizontal="center" vertical="center" wrapText="1"/>
    </xf>
    <xf numFmtId="177" fontId="5" fillId="0" borderId="6" xfId="0" applyNumberFormat="1" applyFont="1" applyBorder="1" applyAlignment="1">
      <alignment horizontal="center" vertical="center"/>
    </xf>
    <xf numFmtId="0" fontId="21" fillId="13" borderId="6" xfId="0" applyFont="1" applyFill="1" applyBorder="1" applyAlignment="1">
      <alignment horizontal="center" vertical="center" wrapText="1"/>
    </xf>
    <xf numFmtId="0" fontId="5" fillId="13" borderId="45" xfId="0" applyFont="1" applyFill="1" applyBorder="1" applyAlignment="1">
      <alignment horizontal="center" vertical="center" wrapText="1"/>
    </xf>
    <xf numFmtId="0" fontId="29" fillId="7" borderId="61" xfId="0" applyFont="1" applyFill="1" applyBorder="1" applyAlignment="1">
      <alignment vertical="center"/>
    </xf>
    <xf numFmtId="0" fontId="5" fillId="12" borderId="15" xfId="0" applyFont="1" applyFill="1" applyBorder="1" applyAlignment="1">
      <alignment vertical="center"/>
    </xf>
    <xf numFmtId="0" fontId="3" fillId="0" borderId="74" xfId="0" applyFont="1" applyBorder="1"/>
    <xf numFmtId="0" fontId="3" fillId="0" borderId="75" xfId="0" applyFont="1" applyBorder="1"/>
    <xf numFmtId="0" fontId="7" fillId="0" borderId="6" xfId="0" applyFont="1" applyBorder="1" applyAlignment="1">
      <alignment horizontal="center" vertical="center" wrapText="1"/>
    </xf>
    <xf numFmtId="0" fontId="7" fillId="12" borderId="98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5" borderId="51" xfId="0" applyFont="1" applyFill="1" applyBorder="1" applyAlignment="1">
      <alignment horizontal="left" vertical="center" wrapText="1"/>
    </xf>
    <xf numFmtId="49" fontId="2" fillId="13" borderId="1" xfId="0" applyNumberFormat="1" applyFont="1" applyFill="1" applyBorder="1" applyAlignment="1">
      <alignment horizontal="center" vertical="center"/>
    </xf>
    <xf numFmtId="1" fontId="39" fillId="13" borderId="6" xfId="0" applyNumberFormat="1" applyFont="1" applyFill="1" applyBorder="1" applyAlignment="1">
      <alignment horizontal="center" vertical="center" wrapText="1"/>
    </xf>
    <xf numFmtId="1" fontId="7" fillId="7" borderId="6" xfId="0" applyNumberFormat="1" applyFont="1" applyFill="1" applyBorder="1" applyAlignment="1">
      <alignment horizontal="center" vertical="center" wrapText="1"/>
    </xf>
    <xf numFmtId="49" fontId="39" fillId="13" borderId="6" xfId="0" applyNumberFormat="1" applyFont="1" applyFill="1" applyBorder="1" applyAlignment="1">
      <alignment horizontal="center" vertical="center" wrapText="1"/>
    </xf>
    <xf numFmtId="49" fontId="20" fillId="13" borderId="23" xfId="0" applyNumberFormat="1" applyFont="1" applyFill="1" applyBorder="1" applyAlignment="1">
      <alignment horizontal="center" vertical="center"/>
    </xf>
    <xf numFmtId="49" fontId="20" fillId="13" borderId="6" xfId="0" applyNumberFormat="1" applyFont="1" applyFill="1" applyBorder="1" applyAlignment="1">
      <alignment horizontal="center" vertical="center"/>
    </xf>
    <xf numFmtId="49" fontId="2" fillId="13" borderId="23" xfId="0" applyNumberFormat="1" applyFont="1" applyFill="1" applyBorder="1" applyAlignment="1">
      <alignment horizontal="center" vertical="center"/>
    </xf>
    <xf numFmtId="49" fontId="43" fillId="13" borderId="23" xfId="0" applyNumberFormat="1" applyFont="1" applyFill="1" applyBorder="1" applyAlignment="1">
      <alignment horizontal="center" vertical="center"/>
    </xf>
    <xf numFmtId="49" fontId="2" fillId="13" borderId="6" xfId="0" applyNumberFormat="1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20" borderId="6" xfId="0" applyFont="1" applyFill="1" applyBorder="1" applyAlignment="1">
      <alignment horizontal="center" vertical="center"/>
    </xf>
    <xf numFmtId="0" fontId="44" fillId="0" borderId="6" xfId="0" applyFont="1" applyBorder="1" applyAlignment="1">
      <alignment horizontal="center" vertical="center"/>
    </xf>
    <xf numFmtId="0" fontId="7" fillId="12" borderId="51" xfId="0" applyFont="1" applyFill="1" applyBorder="1" applyAlignment="1">
      <alignment horizontal="center" vertical="center"/>
    </xf>
    <xf numFmtId="0" fontId="7" fillId="0" borderId="123" xfId="0" applyFont="1" applyBorder="1" applyAlignment="1">
      <alignment horizontal="center" vertical="center"/>
    </xf>
    <xf numFmtId="0" fontId="3" fillId="0" borderId="125" xfId="0" applyFont="1" applyBorder="1"/>
    <xf numFmtId="1" fontId="7" fillId="13" borderId="123" xfId="0" applyNumberFormat="1" applyFont="1" applyFill="1" applyBorder="1" applyAlignment="1">
      <alignment horizontal="center" vertical="center" wrapText="1"/>
    </xf>
    <xf numFmtId="1" fontId="7" fillId="13" borderId="23" xfId="0" applyNumberFormat="1" applyFont="1" applyFill="1" applyBorder="1" applyAlignment="1">
      <alignment horizontal="center" vertical="center" wrapText="1"/>
    </xf>
    <xf numFmtId="0" fontId="3" fillId="0" borderId="124" xfId="0" applyFont="1" applyBorder="1"/>
    <xf numFmtId="1" fontId="7" fillId="13" borderId="6" xfId="0" applyNumberFormat="1" applyFont="1" applyFill="1" applyBorder="1" applyAlignment="1">
      <alignment horizontal="center" vertical="center" wrapText="1"/>
    </xf>
    <xf numFmtId="1" fontId="46" fillId="13" borderId="6" xfId="0" applyNumberFormat="1" applyFont="1" applyFill="1" applyBorder="1" applyAlignment="1">
      <alignment horizontal="center" vertical="center" wrapText="1"/>
    </xf>
    <xf numFmtId="0" fontId="7" fillId="0" borderId="127" xfId="0" applyFont="1" applyBorder="1" applyAlignment="1">
      <alignment horizontal="center" vertical="center"/>
    </xf>
    <xf numFmtId="0" fontId="3" fillId="0" borderId="128" xfId="0" applyFont="1" applyBorder="1"/>
    <xf numFmtId="0" fontId="3" fillId="0" borderId="129" xfId="0" applyFont="1" applyBorder="1"/>
    <xf numFmtId="1" fontId="7" fillId="13" borderId="120" xfId="0" applyNumberFormat="1" applyFont="1" applyFill="1" applyBorder="1" applyAlignment="1">
      <alignment horizontal="center" vertical="center" wrapText="1"/>
    </xf>
    <xf numFmtId="0" fontId="3" fillId="0" borderId="121" xfId="0" applyFont="1" applyBorder="1"/>
    <xf numFmtId="0" fontId="3" fillId="0" borderId="122" xfId="0" applyFont="1" applyBorder="1"/>
    <xf numFmtId="1" fontId="7" fillId="13" borderId="81" xfId="0" applyNumberFormat="1" applyFont="1" applyFill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/>
    </xf>
    <xf numFmtId="1" fontId="39" fillId="13" borderId="6" xfId="0" applyNumberFormat="1" applyFont="1" applyFill="1" applyBorder="1" applyAlignment="1">
      <alignment horizontal="left" vertical="center" wrapText="1"/>
    </xf>
    <xf numFmtId="49" fontId="7" fillId="6" borderId="1" xfId="0" applyNumberFormat="1" applyFont="1" applyFill="1" applyBorder="1" applyAlignment="1">
      <alignment horizontal="left" vertical="center"/>
    </xf>
    <xf numFmtId="0" fontId="3" fillId="0" borderId="105" xfId="0" applyFont="1" applyBorder="1"/>
    <xf numFmtId="0" fontId="7" fillId="20" borderId="23" xfId="0" applyFont="1" applyFill="1" applyBorder="1" applyAlignment="1">
      <alignment vertical="center"/>
    </xf>
    <xf numFmtId="0" fontId="7" fillId="12" borderId="78" xfId="0" applyFont="1" applyFill="1" applyBorder="1" applyAlignment="1">
      <alignment horizontal="center" vertical="center"/>
    </xf>
    <xf numFmtId="0" fontId="7" fillId="13" borderId="6" xfId="0" applyFont="1" applyFill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/>
    </xf>
    <xf numFmtId="0" fontId="7" fillId="20" borderId="99" xfId="0" applyFont="1" applyFill="1" applyBorder="1" applyAlignment="1">
      <alignment vertical="center"/>
    </xf>
    <xf numFmtId="0" fontId="3" fillId="0" borderId="119" xfId="0" applyFont="1" applyBorder="1"/>
    <xf numFmtId="0" fontId="39" fillId="13" borderId="6" xfId="0" applyFont="1" applyFill="1" applyBorder="1" applyAlignment="1">
      <alignment horizontal="center" vertical="center" wrapText="1"/>
    </xf>
    <xf numFmtId="1" fontId="32" fillId="12" borderId="6" xfId="0" applyNumberFormat="1" applyFont="1" applyFill="1" applyBorder="1" applyAlignment="1">
      <alignment vertical="center" wrapText="1"/>
    </xf>
    <xf numFmtId="0" fontId="7" fillId="12" borderId="99" xfId="0" applyFont="1" applyFill="1" applyBorder="1" applyAlignment="1">
      <alignment horizontal="center" vertical="center"/>
    </xf>
    <xf numFmtId="0" fontId="7" fillId="12" borderId="6" xfId="0" applyFont="1" applyFill="1" applyBorder="1" applyAlignment="1">
      <alignment horizontal="center" vertical="center"/>
    </xf>
    <xf numFmtId="0" fontId="39" fillId="13" borderId="45" xfId="0" applyFont="1" applyFill="1" applyBorder="1" applyAlignment="1">
      <alignment horizontal="center" vertical="center" wrapText="1"/>
    </xf>
    <xf numFmtId="0" fontId="7" fillId="7" borderId="123" xfId="0" applyFont="1" applyFill="1" applyBorder="1" applyAlignment="1">
      <alignment horizontal="center" vertical="center"/>
    </xf>
    <xf numFmtId="49" fontId="37" fillId="0" borderId="1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vertical="center"/>
    </xf>
    <xf numFmtId="0" fontId="7" fillId="0" borderId="0" xfId="0" applyFont="1" applyAlignment="1">
      <alignment vertical="center"/>
    </xf>
    <xf numFmtId="49" fontId="7" fillId="7" borderId="56" xfId="0" applyNumberFormat="1" applyFont="1" applyFill="1" applyBorder="1" applyAlignment="1">
      <alignment vertical="center"/>
    </xf>
    <xf numFmtId="49" fontId="37" fillId="7" borderId="1" xfId="0" applyNumberFormat="1" applyFont="1" applyFill="1" applyBorder="1" applyAlignment="1">
      <alignment horizontal="left" vertical="center"/>
    </xf>
    <xf numFmtId="49" fontId="7" fillId="7" borderId="1" xfId="0" applyNumberFormat="1" applyFont="1" applyFill="1" applyBorder="1" applyAlignment="1">
      <alignment vertical="center"/>
    </xf>
    <xf numFmtId="49" fontId="40" fillId="23" borderId="1" xfId="0" applyNumberFormat="1" applyFont="1" applyFill="1" applyBorder="1" applyAlignment="1">
      <alignment horizontal="left" vertical="center"/>
    </xf>
    <xf numFmtId="49" fontId="40" fillId="4" borderId="1" xfId="0" applyNumberFormat="1" applyFont="1" applyFill="1" applyBorder="1" applyAlignment="1">
      <alignment horizontal="left" vertical="center"/>
    </xf>
    <xf numFmtId="0" fontId="7" fillId="12" borderId="97" xfId="0" applyFont="1" applyFill="1" applyBorder="1" applyAlignment="1">
      <alignment vertical="center"/>
    </xf>
    <xf numFmtId="0" fontId="3" fillId="0" borderId="55" xfId="0" applyFont="1" applyBorder="1"/>
    <xf numFmtId="0" fontId="7" fillId="20" borderId="97" xfId="0" applyFont="1" applyFill="1" applyBorder="1" applyAlignment="1">
      <alignment vertical="center"/>
    </xf>
    <xf numFmtId="0" fontId="5" fillId="15" borderId="100" xfId="0" applyFont="1" applyFill="1" applyBorder="1" applyAlignment="1">
      <alignment vertical="center"/>
    </xf>
    <xf numFmtId="0" fontId="3" fillId="0" borderId="53" xfId="0" applyFont="1" applyBorder="1"/>
    <xf numFmtId="0" fontId="5" fillId="22" borderId="100" xfId="0" applyFont="1" applyFill="1" applyBorder="1" applyAlignment="1">
      <alignment vertical="center"/>
    </xf>
    <xf numFmtId="0" fontId="7" fillId="0" borderId="104" xfId="0" applyFont="1" applyBorder="1" applyAlignment="1">
      <alignment vertical="center"/>
    </xf>
    <xf numFmtId="0" fontId="7" fillId="12" borderId="100" xfId="0" applyFont="1" applyFill="1" applyBorder="1" applyAlignment="1">
      <alignment vertical="center"/>
    </xf>
    <xf numFmtId="0" fontId="3" fillId="0" borderId="111" xfId="0" applyFont="1" applyBorder="1"/>
    <xf numFmtId="0" fontId="7" fillId="15" borderId="100" xfId="0" applyFont="1" applyFill="1" applyBorder="1" applyAlignment="1">
      <alignment vertical="center"/>
    </xf>
    <xf numFmtId="0" fontId="3" fillId="0" borderId="118" xfId="0" applyFont="1" applyBorder="1"/>
    <xf numFmtId="0" fontId="7" fillId="0" borderId="111" xfId="0" applyFont="1" applyBorder="1" applyAlignment="1">
      <alignment vertical="center"/>
    </xf>
    <xf numFmtId="0" fontId="47" fillId="15" borderId="100" xfId="0" applyFont="1" applyFill="1" applyBorder="1" applyAlignment="1">
      <alignment vertical="center"/>
    </xf>
    <xf numFmtId="0" fontId="7" fillId="12" borderId="97" xfId="0" applyFont="1" applyFill="1" applyBorder="1" applyAlignment="1">
      <alignment vertical="center" wrapText="1"/>
    </xf>
    <xf numFmtId="0" fontId="50" fillId="12" borderId="97" xfId="0" applyFont="1" applyFill="1" applyBorder="1" applyAlignment="1">
      <alignment vertical="center"/>
    </xf>
    <xf numFmtId="0" fontId="3" fillId="0" borderId="104" xfId="0" applyFont="1" applyBorder="1"/>
    <xf numFmtId="0" fontId="31" fillId="0" borderId="42" xfId="0" applyFont="1" applyBorder="1" applyAlignment="1">
      <alignment horizontal="center" vertical="center"/>
    </xf>
    <xf numFmtId="0" fontId="33" fillId="0" borderId="43" xfId="0" applyFont="1" applyBorder="1" applyAlignment="1">
      <alignment horizontal="center" vertical="center"/>
    </xf>
    <xf numFmtId="14" fontId="8" fillId="0" borderId="27" xfId="0" applyNumberFormat="1" applyFont="1" applyBorder="1" applyAlignment="1">
      <alignment horizontal="center" vertical="center"/>
    </xf>
    <xf numFmtId="0" fontId="7" fillId="15" borderId="45" xfId="0" applyFont="1" applyFill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32" fillId="2" borderId="51" xfId="0" applyFont="1" applyFill="1" applyBorder="1" applyAlignment="1">
      <alignment horizontal="center" vertical="center"/>
    </xf>
    <xf numFmtId="0" fontId="34" fillId="16" borderId="6" xfId="0" applyFont="1" applyFill="1" applyBorder="1" applyAlignment="1">
      <alignment horizontal="center" vertical="center"/>
    </xf>
    <xf numFmtId="0" fontId="34" fillId="17" borderId="6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31" fillId="0" borderId="1" xfId="0" applyFont="1" applyBorder="1" applyAlignment="1">
      <alignment horizontal="center" vertical="center" wrapText="1"/>
    </xf>
    <xf numFmtId="0" fontId="7" fillId="3" borderId="56" xfId="0" applyFont="1" applyFill="1" applyBorder="1" applyAlignment="1">
      <alignment vertical="center"/>
    </xf>
    <xf numFmtId="0" fontId="35" fillId="3" borderId="56" xfId="0" applyFont="1" applyFill="1" applyBorder="1" applyAlignment="1">
      <alignment horizontal="center" vertical="center"/>
    </xf>
    <xf numFmtId="0" fontId="35" fillId="0" borderId="57" xfId="0" applyFont="1" applyBorder="1" applyAlignment="1">
      <alignment horizontal="center" vertical="center"/>
    </xf>
    <xf numFmtId="0" fontId="34" fillId="16" borderId="6" xfId="0" applyFont="1" applyFill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2" fillId="18" borderId="6" xfId="0" applyFont="1" applyFill="1" applyBorder="1" applyAlignment="1">
      <alignment vertical="center" wrapText="1"/>
    </xf>
    <xf numFmtId="0" fontId="38" fillId="18" borderId="6" xfId="0" applyFont="1" applyFill="1" applyBorder="1" applyAlignment="1">
      <alignment horizontal="center" vertical="center" wrapText="1"/>
    </xf>
    <xf numFmtId="0" fontId="7" fillId="13" borderId="65" xfId="0" applyFont="1" applyFill="1" applyBorder="1" applyAlignment="1">
      <alignment horizontal="center" vertical="center"/>
    </xf>
    <xf numFmtId="0" fontId="7" fillId="13" borderId="45" xfId="0" applyFont="1" applyFill="1" applyBorder="1" applyAlignment="1">
      <alignment horizontal="left" vertical="center"/>
    </xf>
    <xf numFmtId="1" fontId="7" fillId="0" borderId="6" xfId="0" applyNumberFormat="1" applyFont="1" applyBorder="1" applyAlignment="1">
      <alignment horizontal="center" vertical="center" wrapText="1"/>
    </xf>
    <xf numFmtId="0" fontId="7" fillId="12" borderId="23" xfId="0" applyFont="1" applyFill="1" applyBorder="1" applyAlignment="1">
      <alignment horizontal="center" vertical="center" wrapText="1"/>
    </xf>
    <xf numFmtId="0" fontId="3" fillId="0" borderId="112" xfId="0" applyFont="1" applyBorder="1"/>
    <xf numFmtId="0" fontId="3" fillId="0" borderId="115" xfId="0" applyFont="1" applyBorder="1"/>
    <xf numFmtId="0" fontId="3" fillId="0" borderId="116" xfId="0" applyFont="1" applyBorder="1"/>
    <xf numFmtId="0" fontId="32" fillId="14" borderId="6" xfId="0" applyFont="1" applyFill="1" applyBorder="1" applyAlignment="1">
      <alignment vertical="center"/>
    </xf>
    <xf numFmtId="0" fontId="7" fillId="13" borderId="98" xfId="0" applyFont="1" applyFill="1" applyBorder="1" applyAlignment="1">
      <alignment horizontal="left" vertical="center"/>
    </xf>
    <xf numFmtId="0" fontId="7" fillId="13" borderId="99" xfId="0" applyFont="1" applyFill="1" applyBorder="1" applyAlignment="1">
      <alignment horizontal="center" vertical="center"/>
    </xf>
    <xf numFmtId="0" fontId="3" fillId="0" borderId="101" xfId="0" applyFont="1" applyBorder="1"/>
    <xf numFmtId="0" fontId="32" fillId="20" borderId="6" xfId="0" applyFont="1" applyFill="1" applyBorder="1" applyAlignment="1">
      <alignment vertical="center"/>
    </xf>
    <xf numFmtId="1" fontId="7" fillId="20" borderId="6" xfId="0" applyNumberFormat="1" applyFont="1" applyFill="1" applyBorder="1" applyAlignment="1">
      <alignment horizontal="center" vertical="center" wrapText="1"/>
    </xf>
    <xf numFmtId="0" fontId="32" fillId="14" borderId="45" xfId="0" applyFont="1" applyFill="1" applyBorder="1" applyAlignment="1">
      <alignment vertical="center"/>
    </xf>
    <xf numFmtId="0" fontId="7" fillId="7" borderId="6" xfId="0" applyFont="1" applyFill="1" applyBorder="1" applyAlignment="1">
      <alignment horizontal="center" vertical="center" wrapText="1"/>
    </xf>
    <xf numFmtId="49" fontId="7" fillId="0" borderId="27" xfId="0" applyNumberFormat="1" applyFont="1" applyBorder="1" applyAlignment="1">
      <alignment horizontal="center" vertical="center"/>
    </xf>
    <xf numFmtId="1" fontId="39" fillId="13" borderId="65" xfId="0" applyNumberFormat="1" applyFont="1" applyFill="1" applyBorder="1" applyAlignment="1">
      <alignment horizontal="center" vertical="center" wrapText="1"/>
    </xf>
    <xf numFmtId="49" fontId="40" fillId="0" borderId="1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56" fillId="27" borderId="134" xfId="0" applyFont="1" applyFill="1" applyBorder="1" applyAlignment="1">
      <alignment horizontal="center" vertical="center"/>
    </xf>
    <xf numFmtId="49" fontId="32" fillId="2" borderId="3" xfId="0" applyNumberFormat="1" applyFont="1" applyFill="1" applyBorder="1" applyAlignment="1">
      <alignment horizontal="center" vertical="center" wrapText="1"/>
    </xf>
    <xf numFmtId="0" fontId="32" fillId="2" borderId="132" xfId="0" applyFont="1" applyFill="1" applyBorder="1" applyAlignment="1">
      <alignment horizontal="center" vertical="center"/>
    </xf>
    <xf numFmtId="0" fontId="3" fillId="0" borderId="133" xfId="0" applyFont="1" applyBorder="1"/>
    <xf numFmtId="0" fontId="32" fillId="2" borderId="11" xfId="0" applyFont="1" applyFill="1" applyBorder="1" applyAlignment="1">
      <alignment horizontal="center" vertical="center"/>
    </xf>
    <xf numFmtId="49" fontId="7" fillId="3" borderId="3" xfId="0" applyNumberFormat="1" applyFont="1" applyFill="1" applyBorder="1" applyAlignment="1">
      <alignment horizontal="center" vertical="center" wrapText="1"/>
    </xf>
    <xf numFmtId="0" fontId="35" fillId="27" borderId="135" xfId="0" applyFont="1" applyFill="1" applyBorder="1" applyAlignment="1">
      <alignment horizontal="center" vertical="center"/>
    </xf>
    <xf numFmtId="0" fontId="3" fillId="0" borderId="137" xfId="0" applyFont="1" applyBorder="1"/>
    <xf numFmtId="0" fontId="3" fillId="0" borderId="54" xfId="0" applyFont="1" applyBorder="1"/>
    <xf numFmtId="0" fontId="35" fillId="13" borderId="135" xfId="0" applyFont="1" applyFill="1" applyBorder="1" applyAlignment="1">
      <alignment horizontal="center" vertical="center"/>
    </xf>
    <xf numFmtId="0" fontId="7" fillId="0" borderId="138" xfId="0" applyFont="1" applyBorder="1" applyAlignment="1">
      <alignment vertical="center"/>
    </xf>
    <xf numFmtId="0" fontId="3" fillId="0" borderId="140" xfId="0" applyFont="1" applyBorder="1"/>
    <xf numFmtId="0" fontId="3" fillId="0" borderId="136" xfId="0" applyFont="1" applyBorder="1"/>
    <xf numFmtId="0" fontId="35" fillId="13" borderId="42" xfId="0" applyFont="1" applyFill="1" applyBorder="1" applyAlignment="1">
      <alignment horizontal="left" vertical="center" wrapText="1"/>
    </xf>
    <xf numFmtId="0" fontId="3" fillId="0" borderId="139" xfId="0" applyFont="1" applyBorder="1"/>
    <xf numFmtId="0" fontId="3" fillId="0" borderId="141" xfId="0" applyFont="1" applyBorder="1"/>
    <xf numFmtId="1" fontId="35" fillId="13" borderId="134" xfId="0" applyNumberFormat="1" applyFont="1" applyFill="1" applyBorder="1" applyAlignment="1">
      <alignment horizontal="center" vertical="center"/>
    </xf>
    <xf numFmtId="1" fontId="56" fillId="27" borderId="134" xfId="0" applyNumberFormat="1" applyFont="1" applyFill="1" applyBorder="1" applyAlignment="1">
      <alignment horizontal="center" vertical="center"/>
    </xf>
    <xf numFmtId="1" fontId="35" fillId="13" borderId="135" xfId="0" applyNumberFormat="1" applyFont="1" applyFill="1" applyBorder="1" applyAlignment="1">
      <alignment horizontal="center" vertical="center"/>
    </xf>
    <xf numFmtId="1" fontId="35" fillId="27" borderId="135" xfId="0" applyNumberFormat="1" applyFont="1" applyFill="1" applyBorder="1" applyAlignment="1">
      <alignment horizontal="center" vertical="center"/>
    </xf>
    <xf numFmtId="0" fontId="57" fillId="0" borderId="0" xfId="0" applyFont="1" applyAlignment="1">
      <alignment horizontal="left" vertical="center"/>
    </xf>
    <xf numFmtId="1" fontId="15" fillId="28" borderId="135" xfId="0" applyNumberFormat="1" applyFont="1" applyFill="1" applyBorder="1" applyAlignment="1">
      <alignment horizontal="center" vertical="center"/>
    </xf>
    <xf numFmtId="1" fontId="0" fillId="28" borderId="135" xfId="0" applyNumberFormat="1" applyFill="1" applyBorder="1" applyAlignment="1">
      <alignment horizontal="center" vertical="center"/>
    </xf>
    <xf numFmtId="49" fontId="7" fillId="18" borderId="132" xfId="0" applyNumberFormat="1" applyFont="1" applyFill="1" applyBorder="1" applyAlignment="1">
      <alignment vertical="center"/>
    </xf>
    <xf numFmtId="0" fontId="3" fillId="0" borderId="144" xfId="0" applyFont="1" applyBorder="1"/>
    <xf numFmtId="0" fontId="35" fillId="13" borderId="137" xfId="0" applyFont="1" applyFill="1" applyBorder="1" applyAlignment="1">
      <alignment horizontal="center" vertical="center"/>
    </xf>
    <xf numFmtId="1" fontId="35" fillId="29" borderId="135" xfId="0" applyNumberFormat="1" applyFont="1" applyFill="1" applyBorder="1" applyAlignment="1">
      <alignment horizontal="center" vertical="center"/>
    </xf>
    <xf numFmtId="0" fontId="35" fillId="12" borderId="135" xfId="0" applyFont="1" applyFill="1" applyBorder="1" applyAlignment="1">
      <alignment horizontal="center" vertical="center"/>
    </xf>
    <xf numFmtId="49" fontId="7" fillId="3" borderId="11" xfId="0" applyNumberFormat="1" applyFont="1" applyFill="1" applyBorder="1" applyAlignment="1">
      <alignment vertical="center"/>
    </xf>
    <xf numFmtId="1" fontId="35" fillId="13" borderId="134" xfId="0" applyNumberFormat="1" applyFont="1" applyFill="1" applyBorder="1" applyAlignment="1">
      <alignment horizontal="left" vertical="center"/>
    </xf>
    <xf numFmtId="1" fontId="35" fillId="13" borderId="42" xfId="0" applyNumberFormat="1" applyFont="1" applyFill="1" applyBorder="1" applyAlignment="1">
      <alignment horizontal="left" vertical="center"/>
    </xf>
    <xf numFmtId="0" fontId="35" fillId="13" borderId="134" xfId="0" applyFont="1" applyFill="1" applyBorder="1" applyAlignment="1">
      <alignment horizontal="left" vertical="center"/>
    </xf>
    <xf numFmtId="0" fontId="35" fillId="13" borderId="134" xfId="0" applyFont="1" applyFill="1" applyBorder="1" applyAlignment="1">
      <alignment horizontal="center" vertical="center"/>
    </xf>
    <xf numFmtId="1" fontId="59" fillId="28" borderId="42" xfId="0" applyNumberFormat="1" applyFont="1" applyFill="1" applyBorder="1" applyAlignment="1">
      <alignment horizontal="center" vertical="center"/>
    </xf>
    <xf numFmtId="1" fontId="14" fillId="28" borderId="135" xfId="0" applyNumberFormat="1" applyFont="1" applyFill="1" applyBorder="1" applyAlignment="1">
      <alignment horizontal="center" vertical="center"/>
    </xf>
    <xf numFmtId="1" fontId="56" fillId="27" borderId="134" xfId="0" applyNumberFormat="1" applyFont="1" applyFill="1" applyBorder="1" applyAlignment="1">
      <alignment horizontal="center"/>
    </xf>
    <xf numFmtId="1" fontId="58" fillId="28" borderId="134" xfId="0" applyNumberFormat="1" applyFont="1" applyFill="1" applyBorder="1" applyAlignment="1">
      <alignment horizontal="center" vertical="center"/>
    </xf>
    <xf numFmtId="1" fontId="58" fillId="28" borderId="42" xfId="0" applyNumberFormat="1" applyFont="1" applyFill="1" applyBorder="1" applyAlignment="1">
      <alignment horizontal="center" vertical="center"/>
    </xf>
    <xf numFmtId="0" fontId="3" fillId="0" borderId="142" xfId="0" applyFont="1" applyBorder="1"/>
    <xf numFmtId="0" fontId="3" fillId="0" borderId="143" xfId="0" applyFont="1" applyBorder="1"/>
    <xf numFmtId="1" fontId="14" fillId="28" borderId="42" xfId="0" applyNumberFormat="1" applyFont="1" applyFill="1" applyBorder="1" applyAlignment="1">
      <alignment horizontal="center" vertical="center"/>
    </xf>
    <xf numFmtId="1" fontId="14" fillId="28" borderId="134" xfId="0" applyNumberFormat="1" applyFont="1" applyFill="1" applyBorder="1" applyAlignment="1">
      <alignment horizontal="center" vertical="center"/>
    </xf>
    <xf numFmtId="1" fontId="56" fillId="28" borderId="134" xfId="0" applyNumberFormat="1" applyFont="1" applyFill="1" applyBorder="1" applyAlignment="1">
      <alignment horizontal="center" vertical="center"/>
    </xf>
    <xf numFmtId="1" fontId="56" fillId="29" borderId="134" xfId="0" applyNumberFormat="1" applyFont="1" applyFill="1" applyBorder="1" applyAlignment="1">
      <alignment horizontal="center" vertical="center"/>
    </xf>
    <xf numFmtId="1" fontId="60" fillId="29" borderId="134" xfId="0" applyNumberFormat="1" applyFont="1" applyFill="1" applyBorder="1" applyAlignment="1">
      <alignment horizontal="center" vertical="center"/>
    </xf>
    <xf numFmtId="1" fontId="56" fillId="13" borderId="134" xfId="0" applyNumberFormat="1" applyFont="1" applyFill="1" applyBorder="1" applyAlignment="1">
      <alignment horizontal="center" vertical="center"/>
    </xf>
    <xf numFmtId="1" fontId="60" fillId="13" borderId="134" xfId="0" applyNumberFormat="1" applyFont="1" applyFill="1" applyBorder="1" applyAlignment="1">
      <alignment horizontal="center" vertical="center" wrapText="1"/>
    </xf>
    <xf numFmtId="1" fontId="58" fillId="13" borderId="134" xfId="0" applyNumberFormat="1" applyFont="1" applyFill="1" applyBorder="1" applyAlignment="1">
      <alignment horizontal="center" vertical="center"/>
    </xf>
    <xf numFmtId="1" fontId="60" fillId="13" borderId="134" xfId="0" applyNumberFormat="1" applyFont="1" applyFill="1" applyBorder="1" applyAlignment="1">
      <alignment horizontal="center" vertical="center"/>
    </xf>
    <xf numFmtId="0" fontId="56" fillId="13" borderId="134" xfId="0" applyFont="1" applyFill="1" applyBorder="1" applyAlignment="1">
      <alignment horizontal="center" vertical="center"/>
    </xf>
    <xf numFmtId="0" fontId="61" fillId="13" borderId="134" xfId="0" applyFont="1" applyFill="1" applyBorder="1" applyAlignment="1">
      <alignment horizontal="center" vertical="center"/>
    </xf>
    <xf numFmtId="0" fontId="62" fillId="13" borderId="42" xfId="0" applyFont="1" applyFill="1" applyBorder="1" applyAlignment="1">
      <alignment horizontal="center" vertical="center"/>
    </xf>
    <xf numFmtId="0" fontId="56" fillId="13" borderId="134" xfId="0" applyFont="1" applyFill="1" applyBorder="1" applyAlignment="1">
      <alignment horizontal="left" vertical="center"/>
    </xf>
    <xf numFmtId="0" fontId="35" fillId="12" borderId="42" xfId="0" applyFont="1" applyFill="1" applyBorder="1" applyAlignment="1">
      <alignment horizontal="center" vertical="center"/>
    </xf>
    <xf numFmtId="0" fontId="34" fillId="2" borderId="3" xfId="0" applyFont="1" applyFill="1" applyBorder="1" applyAlignment="1">
      <alignment horizontal="center" wrapText="1"/>
    </xf>
    <xf numFmtId="0" fontId="34" fillId="2" borderId="6" xfId="0" applyFont="1" applyFill="1" applyBorder="1" applyAlignment="1">
      <alignment horizontal="center" wrapText="1"/>
    </xf>
    <xf numFmtId="0" fontId="8" fillId="0" borderId="6" xfId="0" applyFont="1" applyBorder="1" applyAlignment="1">
      <alignment horizontal="center" vertical="center" wrapText="1"/>
    </xf>
    <xf numFmtId="0" fontId="34" fillId="2" borderId="6" xfId="0" applyFont="1" applyFill="1" applyBorder="1" applyAlignment="1">
      <alignment horizontal="center" vertical="center" wrapText="1"/>
    </xf>
    <xf numFmtId="1" fontId="72" fillId="7" borderId="11" xfId="0" applyNumberFormat="1" applyFont="1" applyFill="1" applyBorder="1" applyAlignment="1">
      <alignment vertical="center"/>
    </xf>
    <xf numFmtId="0" fontId="94" fillId="13" borderId="59" xfId="0" applyFont="1" applyFill="1" applyBorder="1" applyAlignment="1">
      <alignment horizontal="center" vertical="center"/>
    </xf>
    <xf numFmtId="0" fontId="92" fillId="13" borderId="59" xfId="0" applyFont="1" applyFill="1" applyBorder="1" applyAlignment="1">
      <alignment horizontal="center" vertical="center"/>
    </xf>
    <xf numFmtId="0" fontId="96" fillId="13" borderId="59" xfId="0" applyFont="1" applyFill="1" applyBorder="1" applyAlignment="1">
      <alignment horizontal="center" vertical="center"/>
    </xf>
  </cellXfs>
  <cellStyles count="1">
    <cellStyle name="一般" xfId="0" builtinId="0"/>
  </cellStyles>
  <dxfs count="32">
    <dxf>
      <fill>
        <patternFill patternType="solid">
          <fgColor rgb="FFB7B7B7"/>
          <bgColor rgb="FFB7B7B7"/>
        </patternFill>
      </fill>
    </dxf>
    <dxf>
      <fill>
        <patternFill patternType="solid">
          <fgColor rgb="FF00FFFF"/>
          <bgColor rgb="FF00FFFF"/>
        </patternFill>
      </fill>
    </dxf>
    <dxf>
      <font>
        <color rgb="FFFF0000"/>
      </font>
      <fill>
        <patternFill patternType="solid">
          <fgColor rgb="FFFFFF00"/>
          <bgColor rgb="FFFFFF00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666666"/>
          <bgColor rgb="FF66666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666666"/>
          <bgColor rgb="FF666666"/>
        </patternFill>
      </fill>
    </dxf>
    <dxf>
      <fill>
        <patternFill patternType="solid">
          <fgColor rgb="FF00FFFF"/>
          <bgColor rgb="FF00FFF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666666"/>
          <bgColor rgb="FF66666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666666"/>
          <bgColor rgb="FF666666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CC0000"/>
          <bgColor rgb="FFCC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5.jpg"/><Relationship Id="rId1" Type="http://schemas.openxmlformats.org/officeDocument/2006/relationships/image" Target="../media/image14.jp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png"/><Relationship Id="rId21" Type="http://schemas.openxmlformats.org/officeDocument/2006/relationships/image" Target="../media/image31.png"/><Relationship Id="rId42" Type="http://schemas.openxmlformats.org/officeDocument/2006/relationships/image" Target="../media/image52.png"/><Relationship Id="rId63" Type="http://schemas.openxmlformats.org/officeDocument/2006/relationships/image" Target="../media/image73.jpg"/><Relationship Id="rId84" Type="http://schemas.openxmlformats.org/officeDocument/2006/relationships/image" Target="../media/image92.png"/><Relationship Id="rId138" Type="http://schemas.openxmlformats.org/officeDocument/2006/relationships/image" Target="../media/image145.jpg"/><Relationship Id="rId107" Type="http://schemas.openxmlformats.org/officeDocument/2006/relationships/image" Target="../media/image114.png"/><Relationship Id="rId11" Type="http://schemas.openxmlformats.org/officeDocument/2006/relationships/image" Target="../media/image8.png"/><Relationship Id="rId32" Type="http://schemas.openxmlformats.org/officeDocument/2006/relationships/image" Target="../media/image42.png"/><Relationship Id="rId37" Type="http://schemas.openxmlformats.org/officeDocument/2006/relationships/image" Target="../media/image47.png"/><Relationship Id="rId53" Type="http://schemas.openxmlformats.org/officeDocument/2006/relationships/image" Target="../media/image63.png"/><Relationship Id="rId58" Type="http://schemas.openxmlformats.org/officeDocument/2006/relationships/image" Target="../media/image68.png"/><Relationship Id="rId74" Type="http://schemas.openxmlformats.org/officeDocument/2006/relationships/image" Target="../media/image82.png"/><Relationship Id="rId79" Type="http://schemas.openxmlformats.org/officeDocument/2006/relationships/image" Target="../media/image87.png"/><Relationship Id="rId102" Type="http://schemas.openxmlformats.org/officeDocument/2006/relationships/image" Target="../media/image110.png"/><Relationship Id="rId123" Type="http://schemas.openxmlformats.org/officeDocument/2006/relationships/image" Target="../media/image130.png"/><Relationship Id="rId128" Type="http://schemas.openxmlformats.org/officeDocument/2006/relationships/image" Target="../media/image135.png"/><Relationship Id="rId5" Type="http://schemas.openxmlformats.org/officeDocument/2006/relationships/image" Target="../media/image18.png"/><Relationship Id="rId90" Type="http://schemas.openxmlformats.org/officeDocument/2006/relationships/image" Target="../media/image98.png"/><Relationship Id="rId95" Type="http://schemas.openxmlformats.org/officeDocument/2006/relationships/image" Target="../media/image103.png"/><Relationship Id="rId22" Type="http://schemas.openxmlformats.org/officeDocument/2006/relationships/image" Target="../media/image32.png"/><Relationship Id="rId27" Type="http://schemas.openxmlformats.org/officeDocument/2006/relationships/image" Target="../media/image37.png"/><Relationship Id="rId43" Type="http://schemas.openxmlformats.org/officeDocument/2006/relationships/image" Target="../media/image53.png"/><Relationship Id="rId48" Type="http://schemas.openxmlformats.org/officeDocument/2006/relationships/image" Target="../media/image58.png"/><Relationship Id="rId64" Type="http://schemas.openxmlformats.org/officeDocument/2006/relationships/image" Target="../media/image74.png"/><Relationship Id="rId69" Type="http://schemas.openxmlformats.org/officeDocument/2006/relationships/image" Target="../media/image79.png"/><Relationship Id="rId113" Type="http://schemas.openxmlformats.org/officeDocument/2006/relationships/image" Target="../media/image120.png"/><Relationship Id="rId118" Type="http://schemas.openxmlformats.org/officeDocument/2006/relationships/image" Target="../media/image125.png"/><Relationship Id="rId134" Type="http://schemas.openxmlformats.org/officeDocument/2006/relationships/image" Target="../media/image141.png"/><Relationship Id="rId139" Type="http://schemas.openxmlformats.org/officeDocument/2006/relationships/image" Target="../media/image146.jpg"/><Relationship Id="rId80" Type="http://schemas.openxmlformats.org/officeDocument/2006/relationships/image" Target="../media/image88.png"/><Relationship Id="rId85" Type="http://schemas.openxmlformats.org/officeDocument/2006/relationships/image" Target="../media/image93.png"/><Relationship Id="rId12" Type="http://schemas.openxmlformats.org/officeDocument/2006/relationships/image" Target="../media/image23.png"/><Relationship Id="rId17" Type="http://schemas.openxmlformats.org/officeDocument/2006/relationships/image" Target="../media/image27.png"/><Relationship Id="rId33" Type="http://schemas.openxmlformats.org/officeDocument/2006/relationships/image" Target="../media/image43.png"/><Relationship Id="rId38" Type="http://schemas.openxmlformats.org/officeDocument/2006/relationships/image" Target="../media/image48.png"/><Relationship Id="rId59" Type="http://schemas.openxmlformats.org/officeDocument/2006/relationships/image" Target="../media/image69.png"/><Relationship Id="rId103" Type="http://schemas.openxmlformats.org/officeDocument/2006/relationships/image" Target="../media/image111.png"/><Relationship Id="rId108" Type="http://schemas.openxmlformats.org/officeDocument/2006/relationships/image" Target="../media/image115.pn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4.jpg"/><Relationship Id="rId70" Type="http://schemas.openxmlformats.org/officeDocument/2006/relationships/image" Target="../media/image4.png"/><Relationship Id="rId75" Type="http://schemas.openxmlformats.org/officeDocument/2006/relationships/image" Target="../media/image83.png"/><Relationship Id="rId91" Type="http://schemas.openxmlformats.org/officeDocument/2006/relationships/image" Target="../media/image99.png"/><Relationship Id="rId96" Type="http://schemas.openxmlformats.org/officeDocument/2006/relationships/image" Target="../media/image104.png"/><Relationship Id="rId140" Type="http://schemas.openxmlformats.org/officeDocument/2006/relationships/image" Target="../media/image147.jpg"/><Relationship Id="rId1" Type="http://schemas.openxmlformats.org/officeDocument/2006/relationships/image" Target="../media/image2.png"/><Relationship Id="rId6" Type="http://schemas.openxmlformats.org/officeDocument/2006/relationships/image" Target="../media/image19.png"/><Relationship Id="rId23" Type="http://schemas.openxmlformats.org/officeDocument/2006/relationships/image" Target="../media/image33.png"/><Relationship Id="rId28" Type="http://schemas.openxmlformats.org/officeDocument/2006/relationships/image" Target="../media/image38.png"/><Relationship Id="rId49" Type="http://schemas.openxmlformats.org/officeDocument/2006/relationships/image" Target="../media/image59.png"/><Relationship Id="rId114" Type="http://schemas.openxmlformats.org/officeDocument/2006/relationships/image" Target="../media/image121.png"/><Relationship Id="rId119" Type="http://schemas.openxmlformats.org/officeDocument/2006/relationships/image" Target="../media/image126.png"/><Relationship Id="rId44" Type="http://schemas.openxmlformats.org/officeDocument/2006/relationships/image" Target="../media/image54.png"/><Relationship Id="rId60" Type="http://schemas.openxmlformats.org/officeDocument/2006/relationships/image" Target="../media/image70.png"/><Relationship Id="rId65" Type="http://schemas.openxmlformats.org/officeDocument/2006/relationships/image" Target="../media/image75.png"/><Relationship Id="rId81" Type="http://schemas.openxmlformats.org/officeDocument/2006/relationships/image" Target="../media/image89.png"/><Relationship Id="rId86" Type="http://schemas.openxmlformats.org/officeDocument/2006/relationships/image" Target="../media/image94.png"/><Relationship Id="rId130" Type="http://schemas.openxmlformats.org/officeDocument/2006/relationships/image" Target="../media/image137.png"/><Relationship Id="rId135" Type="http://schemas.openxmlformats.org/officeDocument/2006/relationships/image" Target="../media/image142.jpg"/><Relationship Id="rId13" Type="http://schemas.openxmlformats.org/officeDocument/2006/relationships/image" Target="../media/image9.png"/><Relationship Id="rId18" Type="http://schemas.openxmlformats.org/officeDocument/2006/relationships/image" Target="../media/image28.png"/><Relationship Id="rId39" Type="http://schemas.openxmlformats.org/officeDocument/2006/relationships/image" Target="../media/image49.png"/><Relationship Id="rId109" Type="http://schemas.openxmlformats.org/officeDocument/2006/relationships/image" Target="../media/image116.png"/><Relationship Id="rId34" Type="http://schemas.openxmlformats.org/officeDocument/2006/relationships/image" Target="../media/image44.png"/><Relationship Id="rId50" Type="http://schemas.openxmlformats.org/officeDocument/2006/relationships/image" Target="../media/image60.png"/><Relationship Id="rId55" Type="http://schemas.openxmlformats.org/officeDocument/2006/relationships/image" Target="../media/image65.png"/><Relationship Id="rId76" Type="http://schemas.openxmlformats.org/officeDocument/2006/relationships/image" Target="../media/image84.png"/><Relationship Id="rId97" Type="http://schemas.openxmlformats.org/officeDocument/2006/relationships/image" Target="../media/image105.png"/><Relationship Id="rId104" Type="http://schemas.openxmlformats.org/officeDocument/2006/relationships/image" Target="../media/image112.png"/><Relationship Id="rId120" Type="http://schemas.openxmlformats.org/officeDocument/2006/relationships/image" Target="../media/image127.png"/><Relationship Id="rId125" Type="http://schemas.openxmlformats.org/officeDocument/2006/relationships/image" Target="../media/image132.png"/><Relationship Id="rId141" Type="http://schemas.openxmlformats.org/officeDocument/2006/relationships/image" Target="../media/image148.jpg"/><Relationship Id="rId7" Type="http://schemas.openxmlformats.org/officeDocument/2006/relationships/image" Target="../media/image7.png"/><Relationship Id="rId71" Type="http://schemas.openxmlformats.org/officeDocument/2006/relationships/image" Target="../media/image80.png"/><Relationship Id="rId92" Type="http://schemas.openxmlformats.org/officeDocument/2006/relationships/image" Target="../media/image100.png"/><Relationship Id="rId2" Type="http://schemas.openxmlformats.org/officeDocument/2006/relationships/image" Target="../media/image16.png"/><Relationship Id="rId29" Type="http://schemas.openxmlformats.org/officeDocument/2006/relationships/image" Target="../media/image39.png"/><Relationship Id="rId24" Type="http://schemas.openxmlformats.org/officeDocument/2006/relationships/image" Target="../media/image34.png"/><Relationship Id="rId40" Type="http://schemas.openxmlformats.org/officeDocument/2006/relationships/image" Target="../media/image50.png"/><Relationship Id="rId45" Type="http://schemas.openxmlformats.org/officeDocument/2006/relationships/image" Target="../media/image55.png"/><Relationship Id="rId66" Type="http://schemas.openxmlformats.org/officeDocument/2006/relationships/image" Target="../media/image76.png"/><Relationship Id="rId87" Type="http://schemas.openxmlformats.org/officeDocument/2006/relationships/image" Target="../media/image95.png"/><Relationship Id="rId110" Type="http://schemas.openxmlformats.org/officeDocument/2006/relationships/image" Target="../media/image117.png"/><Relationship Id="rId115" Type="http://schemas.openxmlformats.org/officeDocument/2006/relationships/image" Target="../media/image122.png"/><Relationship Id="rId131" Type="http://schemas.openxmlformats.org/officeDocument/2006/relationships/image" Target="../media/image138.png"/><Relationship Id="rId136" Type="http://schemas.openxmlformats.org/officeDocument/2006/relationships/image" Target="../media/image143.jpg"/><Relationship Id="rId61" Type="http://schemas.openxmlformats.org/officeDocument/2006/relationships/image" Target="../media/image71.png"/><Relationship Id="rId82" Type="http://schemas.openxmlformats.org/officeDocument/2006/relationships/image" Target="../media/image90.png"/><Relationship Id="rId19" Type="http://schemas.openxmlformats.org/officeDocument/2006/relationships/image" Target="../media/image29.png"/><Relationship Id="rId14" Type="http://schemas.openxmlformats.org/officeDocument/2006/relationships/image" Target="../media/image24.png"/><Relationship Id="rId30" Type="http://schemas.openxmlformats.org/officeDocument/2006/relationships/image" Target="../media/image40.png"/><Relationship Id="rId35" Type="http://schemas.openxmlformats.org/officeDocument/2006/relationships/image" Target="../media/image45.png"/><Relationship Id="rId56" Type="http://schemas.openxmlformats.org/officeDocument/2006/relationships/image" Target="../media/image66.jpg"/><Relationship Id="rId77" Type="http://schemas.openxmlformats.org/officeDocument/2006/relationships/image" Target="../media/image85.png"/><Relationship Id="rId100" Type="http://schemas.openxmlformats.org/officeDocument/2006/relationships/image" Target="../media/image108.png"/><Relationship Id="rId105" Type="http://schemas.openxmlformats.org/officeDocument/2006/relationships/image" Target="../media/image3.png"/><Relationship Id="rId126" Type="http://schemas.openxmlformats.org/officeDocument/2006/relationships/image" Target="../media/image133.png"/><Relationship Id="rId8" Type="http://schemas.openxmlformats.org/officeDocument/2006/relationships/image" Target="../media/image20.png"/><Relationship Id="rId51" Type="http://schemas.openxmlformats.org/officeDocument/2006/relationships/image" Target="../media/image61.png"/><Relationship Id="rId72" Type="http://schemas.openxmlformats.org/officeDocument/2006/relationships/image" Target="../media/image5.png"/><Relationship Id="rId93" Type="http://schemas.openxmlformats.org/officeDocument/2006/relationships/image" Target="../media/image101.png"/><Relationship Id="rId98" Type="http://schemas.openxmlformats.org/officeDocument/2006/relationships/image" Target="../media/image106.png"/><Relationship Id="rId121" Type="http://schemas.openxmlformats.org/officeDocument/2006/relationships/image" Target="../media/image128.png"/><Relationship Id="rId142" Type="http://schemas.openxmlformats.org/officeDocument/2006/relationships/image" Target="../media/image149.jpg"/><Relationship Id="rId3" Type="http://schemas.openxmlformats.org/officeDocument/2006/relationships/image" Target="../media/image17.png"/><Relationship Id="rId25" Type="http://schemas.openxmlformats.org/officeDocument/2006/relationships/image" Target="../media/image35.png"/><Relationship Id="rId46" Type="http://schemas.openxmlformats.org/officeDocument/2006/relationships/image" Target="../media/image56.png"/><Relationship Id="rId67" Type="http://schemas.openxmlformats.org/officeDocument/2006/relationships/image" Target="../media/image77.png"/><Relationship Id="rId116" Type="http://schemas.openxmlformats.org/officeDocument/2006/relationships/image" Target="../media/image123.png"/><Relationship Id="rId137" Type="http://schemas.openxmlformats.org/officeDocument/2006/relationships/image" Target="../media/image144.jpg"/><Relationship Id="rId20" Type="http://schemas.openxmlformats.org/officeDocument/2006/relationships/image" Target="../media/image30.png"/><Relationship Id="rId41" Type="http://schemas.openxmlformats.org/officeDocument/2006/relationships/image" Target="../media/image51.png"/><Relationship Id="rId62" Type="http://schemas.openxmlformats.org/officeDocument/2006/relationships/image" Target="../media/image72.png"/><Relationship Id="rId83" Type="http://schemas.openxmlformats.org/officeDocument/2006/relationships/image" Target="../media/image91.png"/><Relationship Id="rId88" Type="http://schemas.openxmlformats.org/officeDocument/2006/relationships/image" Target="../media/image96.png"/><Relationship Id="rId111" Type="http://schemas.openxmlformats.org/officeDocument/2006/relationships/image" Target="../media/image118.png"/><Relationship Id="rId132" Type="http://schemas.openxmlformats.org/officeDocument/2006/relationships/image" Target="../media/image139.jpg"/><Relationship Id="rId15" Type="http://schemas.openxmlformats.org/officeDocument/2006/relationships/image" Target="../media/image25.png"/><Relationship Id="rId36" Type="http://schemas.openxmlformats.org/officeDocument/2006/relationships/image" Target="../media/image46.png"/><Relationship Id="rId57" Type="http://schemas.openxmlformats.org/officeDocument/2006/relationships/image" Target="../media/image67.png"/><Relationship Id="rId106" Type="http://schemas.openxmlformats.org/officeDocument/2006/relationships/image" Target="../media/image113.png"/><Relationship Id="rId127" Type="http://schemas.openxmlformats.org/officeDocument/2006/relationships/image" Target="../media/image134.png"/><Relationship Id="rId10" Type="http://schemas.openxmlformats.org/officeDocument/2006/relationships/image" Target="../media/image22.png"/><Relationship Id="rId31" Type="http://schemas.openxmlformats.org/officeDocument/2006/relationships/image" Target="../media/image41.png"/><Relationship Id="rId52" Type="http://schemas.openxmlformats.org/officeDocument/2006/relationships/image" Target="../media/image62.png"/><Relationship Id="rId73" Type="http://schemas.openxmlformats.org/officeDocument/2006/relationships/image" Target="../media/image81.png"/><Relationship Id="rId78" Type="http://schemas.openxmlformats.org/officeDocument/2006/relationships/image" Target="../media/image86.png"/><Relationship Id="rId94" Type="http://schemas.openxmlformats.org/officeDocument/2006/relationships/image" Target="../media/image102.png"/><Relationship Id="rId99" Type="http://schemas.openxmlformats.org/officeDocument/2006/relationships/image" Target="../media/image107.png"/><Relationship Id="rId101" Type="http://schemas.openxmlformats.org/officeDocument/2006/relationships/image" Target="../media/image109.png"/><Relationship Id="rId122" Type="http://schemas.openxmlformats.org/officeDocument/2006/relationships/image" Target="../media/image129.png"/><Relationship Id="rId143" Type="http://schemas.openxmlformats.org/officeDocument/2006/relationships/image" Target="../media/image10.png"/><Relationship Id="rId4" Type="http://schemas.openxmlformats.org/officeDocument/2006/relationships/image" Target="../media/image6.png"/><Relationship Id="rId9" Type="http://schemas.openxmlformats.org/officeDocument/2006/relationships/image" Target="../media/image21.png"/><Relationship Id="rId26" Type="http://schemas.openxmlformats.org/officeDocument/2006/relationships/image" Target="../media/image36.png"/><Relationship Id="rId47" Type="http://schemas.openxmlformats.org/officeDocument/2006/relationships/image" Target="../media/image57.png"/><Relationship Id="rId68" Type="http://schemas.openxmlformats.org/officeDocument/2006/relationships/image" Target="../media/image78.png"/><Relationship Id="rId89" Type="http://schemas.openxmlformats.org/officeDocument/2006/relationships/image" Target="../media/image97.png"/><Relationship Id="rId112" Type="http://schemas.openxmlformats.org/officeDocument/2006/relationships/image" Target="../media/image119.png"/><Relationship Id="rId133" Type="http://schemas.openxmlformats.org/officeDocument/2006/relationships/image" Target="../media/image140.jpg"/><Relationship Id="rId16" Type="http://schemas.openxmlformats.org/officeDocument/2006/relationships/image" Target="../media/image2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30</xdr:col>
      <xdr:colOff>76200</xdr:colOff>
      <xdr:row>4</xdr:row>
      <xdr:rowOff>123825</xdr:rowOff>
    </xdr:from>
    <xdr:ext cx="733425" cy="7620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76200" y="323850"/>
          <a:ext cx="733425" cy="762000"/>
          <a:chOff x="4979288" y="3399000"/>
          <a:chExt cx="733425" cy="762000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GrpSpPr/>
        </xdr:nvGrpSpPr>
        <xdr:grpSpPr>
          <a:xfrm>
            <a:off x="4979288" y="3399000"/>
            <a:ext cx="733425" cy="762000"/>
            <a:chOff x="4979288" y="3399000"/>
            <a:chExt cx="733425" cy="762000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SpPr/>
          </xdr:nvSpPr>
          <xdr:spPr>
            <a:xfrm>
              <a:off x="4979288" y="3399000"/>
              <a:ext cx="733425" cy="762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300-000005000000}"/>
                </a:ext>
              </a:extLst>
            </xdr:cNvPr>
            <xdr:cNvGrpSpPr/>
          </xdr:nvGrpSpPr>
          <xdr:grpSpPr>
            <a:xfrm>
              <a:off x="4979288" y="3399000"/>
              <a:ext cx="733425" cy="762000"/>
              <a:chOff x="4979288" y="3399000"/>
              <a:chExt cx="733425" cy="762000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300-000006000000}"/>
                  </a:ext>
                </a:extLst>
              </xdr:cNvPr>
              <xdr:cNvSpPr/>
            </xdr:nvSpPr>
            <xdr:spPr>
              <a:xfrm>
                <a:off x="4979288" y="3399000"/>
                <a:ext cx="733425" cy="762000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7" name="Shape 7">
                <a:extLst>
                  <a:ext uri="{FF2B5EF4-FFF2-40B4-BE49-F238E27FC236}">
                    <a16:creationId xmlns:a16="http://schemas.microsoft.com/office/drawing/2014/main" id="{00000000-0008-0000-0300-000007000000}"/>
                  </a:ext>
                </a:extLst>
              </xdr:cNvPr>
              <xdr:cNvGrpSpPr/>
            </xdr:nvGrpSpPr>
            <xdr:grpSpPr>
              <a:xfrm>
                <a:off x="4979288" y="3399000"/>
                <a:ext cx="733425" cy="762000"/>
                <a:chOff x="4979289" y="3399000"/>
                <a:chExt cx="733425" cy="762000"/>
              </a:xfrm>
            </xdr:grpSpPr>
            <xdr:sp macro="" textlink="">
              <xdr:nvSpPr>
                <xdr:cNvPr id="8" name="Shape 8">
                  <a:extLst>
                    <a:ext uri="{FF2B5EF4-FFF2-40B4-BE49-F238E27FC236}">
                      <a16:creationId xmlns:a16="http://schemas.microsoft.com/office/drawing/2014/main" id="{00000000-0008-0000-0300-000008000000}"/>
                    </a:ext>
                  </a:extLst>
                </xdr:cNvPr>
                <xdr:cNvSpPr/>
              </xdr:nvSpPr>
              <xdr:spPr>
                <a:xfrm>
                  <a:off x="4979289" y="3399000"/>
                  <a:ext cx="733425" cy="762000"/>
                </a:xfrm>
                <a:prstGeom prst="rect">
                  <a:avLst/>
                </a:prstGeom>
                <a:noFill/>
                <a:ln>
                  <a:noFill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grpSp>
              <xdr:nvGrpSpPr>
                <xdr:cNvPr id="9" name="Shape 9">
                  <a:extLst>
                    <a:ext uri="{FF2B5EF4-FFF2-40B4-BE49-F238E27FC236}">
                      <a16:creationId xmlns:a16="http://schemas.microsoft.com/office/drawing/2014/main" id="{00000000-0008-0000-0300-000009000000}"/>
                    </a:ext>
                  </a:extLst>
                </xdr:cNvPr>
                <xdr:cNvGrpSpPr/>
              </xdr:nvGrpSpPr>
              <xdr:grpSpPr>
                <a:xfrm>
                  <a:off x="4979289" y="3399000"/>
                  <a:ext cx="733425" cy="762000"/>
                  <a:chOff x="4979289" y="3399000"/>
                  <a:chExt cx="733425" cy="762000"/>
                </a:xfrm>
              </xdr:grpSpPr>
              <xdr:sp macro="" textlink="">
                <xdr:nvSpPr>
                  <xdr:cNvPr id="10" name="Shape 10">
                    <a:extLst>
                      <a:ext uri="{FF2B5EF4-FFF2-40B4-BE49-F238E27FC236}">
                        <a16:creationId xmlns:a16="http://schemas.microsoft.com/office/drawing/2014/main" id="{00000000-0008-0000-0300-00000A000000}"/>
                      </a:ext>
                    </a:extLst>
                  </xdr:cNvPr>
                  <xdr:cNvSpPr/>
                </xdr:nvSpPr>
                <xdr:spPr>
                  <a:xfrm>
                    <a:off x="4979289" y="3399000"/>
                    <a:ext cx="733425" cy="762000"/>
                  </a:xfrm>
                  <a:prstGeom prst="rect">
                    <a:avLst/>
                  </a:prstGeom>
                  <a:noFill/>
                  <a:ln>
                    <a:noFill/>
                  </a:ln>
                </xdr:spPr>
                <xdr:txBody>
                  <a:bodyPr spcFirstLastPara="1" wrap="square" lIns="90800" tIns="90800" rIns="90800" bIns="90800" anchor="ctr" anchorCtr="0">
                    <a:noAutofit/>
                  </a:bodyPr>
                  <a:lstStyle/>
                  <a:p>
                    <a:pPr marL="0" lvl="0" indent="0" algn="l" rtl="0">
                      <a:spcBef>
                        <a:spcPts val="0"/>
                      </a:spcBef>
                      <a:spcAft>
                        <a:spcPts val="0"/>
                      </a:spcAft>
                      <a:buSzPts val="1400"/>
                      <a:buFont typeface="Arial"/>
                      <a:buNone/>
                    </a:pPr>
                    <a:endParaRPr sz="1400"/>
                  </a:p>
                </xdr:txBody>
              </xdr:sp>
              <xdr:grpSp>
                <xdr:nvGrpSpPr>
                  <xdr:cNvPr id="11" name="Shape 11" title="繪圖">
                    <a:extLst>
                      <a:ext uri="{FF2B5EF4-FFF2-40B4-BE49-F238E27FC236}">
                        <a16:creationId xmlns:a16="http://schemas.microsoft.com/office/drawing/2014/main" id="{00000000-0008-0000-0300-00000B000000}"/>
                      </a:ext>
                    </a:extLst>
                  </xdr:cNvPr>
                  <xdr:cNvGrpSpPr/>
                </xdr:nvGrpSpPr>
                <xdr:grpSpPr>
                  <a:xfrm>
                    <a:off x="4979289" y="3399000"/>
                    <a:ext cx="733425" cy="762000"/>
                    <a:chOff x="152400" y="152400"/>
                    <a:chExt cx="3857625" cy="3962400"/>
                  </a:xfrm>
                </xdr:grpSpPr>
                <xdr:sp macro="" textlink="">
                  <xdr:nvSpPr>
                    <xdr:cNvPr id="12" name="Shape 12">
                      <a:extLst>
                        <a:ext uri="{FF2B5EF4-FFF2-40B4-BE49-F238E27FC236}">
                          <a16:creationId xmlns:a16="http://schemas.microsoft.com/office/drawing/2014/main" id="{00000000-0008-0000-0300-00000C000000}"/>
                        </a:ext>
                      </a:extLst>
                    </xdr:cNvPr>
                    <xdr:cNvSpPr/>
                  </xdr:nvSpPr>
                  <xdr:spPr>
                    <a:xfrm>
                      <a:off x="152400" y="152400"/>
                      <a:ext cx="3857625" cy="396240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  <xdr:txBody>
                    <a:bodyPr spcFirstLastPara="1" wrap="square" lIns="90800" tIns="90800" rIns="90800" bIns="90800" anchor="ctr" anchorCtr="0">
                      <a:noAutofit/>
                    </a:bodyPr>
                    <a:lstStyle/>
                    <a:p>
                      <a:pPr marL="0" lvl="0" indent="0" algn="l" rtl="0">
                        <a:spcBef>
                          <a:spcPts val="0"/>
                        </a:spcBef>
                        <a:spcAft>
                          <a:spcPts val="0"/>
                        </a:spcAft>
                        <a:buSzPts val="1400"/>
                        <a:buFont typeface="Arial"/>
                        <a:buNone/>
                      </a:pPr>
                      <a:endParaRPr sz="1400"/>
                    </a:p>
                  </xdr:txBody>
                </xdr:sp>
                <xdr:pic>
                  <xdr:nvPicPr>
                    <xdr:cNvPr id="13" name="Shape 13">
                      <a:extLst>
                        <a:ext uri="{FF2B5EF4-FFF2-40B4-BE49-F238E27FC236}">
                          <a16:creationId xmlns:a16="http://schemas.microsoft.com/office/drawing/2014/main" id="{00000000-0008-0000-0300-00000D000000}"/>
                        </a:ext>
                      </a:extLst>
                    </xdr:cNvPr>
                    <xdr:cNvPicPr preferRelativeResize="0"/>
                  </xdr:nvPicPr>
                  <xdr:blipFill rotWithShape="1">
                    <a:blip xmlns:r="http://schemas.openxmlformats.org/officeDocument/2006/relationships" r:embed="rId1">
                      <a:alphaModFix/>
                    </a:blip>
                    <a:srcRect/>
                    <a:stretch/>
                  </xdr:blipFill>
                  <xdr:spPr>
                    <a:xfrm>
                      <a:off x="152400" y="152400"/>
                      <a:ext cx="3857625" cy="3962400"/>
                    </a:xfrm>
                    <a:prstGeom prst="rect">
                      <a:avLst/>
                    </a:prstGeom>
                    <a:noFill/>
                    <a:ln>
                      <a:noFill/>
                    </a:ln>
                  </xdr:spPr>
                </xdr:pic>
              </xdr:grpSp>
            </xdr:grpSp>
          </xdr:grpSp>
        </xdr:grpSp>
      </xdr:grpSp>
    </xdr:grpSp>
    <xdr:clientData fLocksWithSheet="0"/>
  </xdr:oneCellAnchor>
  <xdr:oneCellAnchor>
    <xdr:from>
      <xdr:col>44</xdr:col>
      <xdr:colOff>0</xdr:colOff>
      <xdr:row>8</xdr:row>
      <xdr:rowOff>0</xdr:rowOff>
    </xdr:from>
    <xdr:ext cx="771525" cy="123825"/>
    <xdr:pic>
      <xdr:nvPicPr>
        <xdr:cNvPr id="14" name="image1.png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44</xdr:col>
      <xdr:colOff>0</xdr:colOff>
      <xdr:row>10</xdr:row>
      <xdr:rowOff>0</xdr:rowOff>
    </xdr:from>
    <xdr:ext cx="771525" cy="238125"/>
    <xdr:pic>
      <xdr:nvPicPr>
        <xdr:cNvPr id="15" name="image2.png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44</xdr:col>
      <xdr:colOff>0</xdr:colOff>
      <xdr:row>11</xdr:row>
      <xdr:rowOff>0</xdr:rowOff>
    </xdr:from>
    <xdr:ext cx="771525" cy="161925"/>
    <xdr:pic>
      <xdr:nvPicPr>
        <xdr:cNvPr id="16" name="image3.png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44</xdr:col>
      <xdr:colOff>0</xdr:colOff>
      <xdr:row>12</xdr:row>
      <xdr:rowOff>0</xdr:rowOff>
    </xdr:from>
    <xdr:ext cx="762000" cy="381000"/>
    <xdr:pic>
      <xdr:nvPicPr>
        <xdr:cNvPr id="17" name="image8.png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44</xdr:col>
      <xdr:colOff>0</xdr:colOff>
      <xdr:row>13</xdr:row>
      <xdr:rowOff>0</xdr:rowOff>
    </xdr:from>
    <xdr:ext cx="771525" cy="104775"/>
    <xdr:pic>
      <xdr:nvPicPr>
        <xdr:cNvPr id="18" name="image4.png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44</xdr:col>
      <xdr:colOff>0</xdr:colOff>
      <xdr:row>14</xdr:row>
      <xdr:rowOff>0</xdr:rowOff>
    </xdr:from>
    <xdr:ext cx="771525" cy="95250"/>
    <xdr:pic>
      <xdr:nvPicPr>
        <xdr:cNvPr id="19" name="image9.png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44</xdr:col>
      <xdr:colOff>0</xdr:colOff>
      <xdr:row>16</xdr:row>
      <xdr:rowOff>0</xdr:rowOff>
    </xdr:from>
    <xdr:ext cx="771525" cy="123825"/>
    <xdr:pic>
      <xdr:nvPicPr>
        <xdr:cNvPr id="20" name="image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44</xdr:col>
      <xdr:colOff>0</xdr:colOff>
      <xdr:row>17</xdr:row>
      <xdr:rowOff>0</xdr:rowOff>
    </xdr:from>
    <xdr:ext cx="771525" cy="123825"/>
    <xdr:pic>
      <xdr:nvPicPr>
        <xdr:cNvPr id="21" name="image5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44</xdr:col>
      <xdr:colOff>0</xdr:colOff>
      <xdr:row>9</xdr:row>
      <xdr:rowOff>0</xdr:rowOff>
    </xdr:from>
    <xdr:ext cx="381000" cy="381000"/>
    <xdr:pic>
      <xdr:nvPicPr>
        <xdr:cNvPr id="22" name="image6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48</xdr:col>
      <xdr:colOff>0</xdr:colOff>
      <xdr:row>227</xdr:row>
      <xdr:rowOff>0</xdr:rowOff>
    </xdr:from>
    <xdr:ext cx="276225" cy="171450"/>
    <xdr:pic>
      <xdr:nvPicPr>
        <xdr:cNvPr id="2" name="image109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49</xdr:col>
      <xdr:colOff>0</xdr:colOff>
      <xdr:row>227</xdr:row>
      <xdr:rowOff>0</xdr:rowOff>
    </xdr:from>
    <xdr:ext cx="257175" cy="171450"/>
    <xdr:pic>
      <xdr:nvPicPr>
        <xdr:cNvPr id="3" name="image10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50</xdr:col>
      <xdr:colOff>0</xdr:colOff>
      <xdr:row>227</xdr:row>
      <xdr:rowOff>0</xdr:rowOff>
    </xdr:from>
    <xdr:ext cx="228600" cy="171450"/>
    <xdr:pic>
      <xdr:nvPicPr>
        <xdr:cNvPr id="4" name="image11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229</xdr:row>
      <xdr:rowOff>0</xdr:rowOff>
    </xdr:from>
    <xdr:ext cx="323850" cy="200025"/>
    <xdr:pic>
      <xdr:nvPicPr>
        <xdr:cNvPr id="5" name="image109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49</xdr:col>
      <xdr:colOff>0</xdr:colOff>
      <xdr:row>229</xdr:row>
      <xdr:rowOff>0</xdr:rowOff>
    </xdr:from>
    <xdr:ext cx="304800" cy="200025"/>
    <xdr:pic>
      <xdr:nvPicPr>
        <xdr:cNvPr id="6" name="image10.png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50</xdr:col>
      <xdr:colOff>0</xdr:colOff>
      <xdr:row>229</xdr:row>
      <xdr:rowOff>0</xdr:rowOff>
    </xdr:from>
    <xdr:ext cx="266700" cy="200025"/>
    <xdr:pic>
      <xdr:nvPicPr>
        <xdr:cNvPr id="7" name="image11.png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231</xdr:row>
      <xdr:rowOff>0</xdr:rowOff>
    </xdr:from>
    <xdr:ext cx="323850" cy="200025"/>
    <xdr:pic>
      <xdr:nvPicPr>
        <xdr:cNvPr id="8" name="image109.png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49</xdr:col>
      <xdr:colOff>0</xdr:colOff>
      <xdr:row>231</xdr:row>
      <xdr:rowOff>0</xdr:rowOff>
    </xdr:from>
    <xdr:ext cx="304800" cy="200025"/>
    <xdr:pic>
      <xdr:nvPicPr>
        <xdr:cNvPr id="9" name="image10.png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50</xdr:col>
      <xdr:colOff>0</xdr:colOff>
      <xdr:row>231</xdr:row>
      <xdr:rowOff>0</xdr:rowOff>
    </xdr:from>
    <xdr:ext cx="266700" cy="200025"/>
    <xdr:pic>
      <xdr:nvPicPr>
        <xdr:cNvPr id="10" name="image11.png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233</xdr:row>
      <xdr:rowOff>0</xdr:rowOff>
    </xdr:from>
    <xdr:ext cx="323850" cy="200025"/>
    <xdr:pic>
      <xdr:nvPicPr>
        <xdr:cNvPr id="11" name="image109.png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49</xdr:col>
      <xdr:colOff>0</xdr:colOff>
      <xdr:row>233</xdr:row>
      <xdr:rowOff>0</xdr:rowOff>
    </xdr:from>
    <xdr:ext cx="304800" cy="200025"/>
    <xdr:pic>
      <xdr:nvPicPr>
        <xdr:cNvPr id="12" name="image10.png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50</xdr:col>
      <xdr:colOff>0</xdr:colOff>
      <xdr:row>233</xdr:row>
      <xdr:rowOff>0</xdr:rowOff>
    </xdr:from>
    <xdr:ext cx="266700" cy="200025"/>
    <xdr:pic>
      <xdr:nvPicPr>
        <xdr:cNvPr id="13" name="image11.png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48</xdr:col>
      <xdr:colOff>0</xdr:colOff>
      <xdr:row>235</xdr:row>
      <xdr:rowOff>0</xdr:rowOff>
    </xdr:from>
    <xdr:ext cx="323850" cy="200025"/>
    <xdr:pic>
      <xdr:nvPicPr>
        <xdr:cNvPr id="14" name="image109.png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49</xdr:col>
      <xdr:colOff>0</xdr:colOff>
      <xdr:row>235</xdr:row>
      <xdr:rowOff>0</xdr:rowOff>
    </xdr:from>
    <xdr:ext cx="304800" cy="200025"/>
    <xdr:pic>
      <xdr:nvPicPr>
        <xdr:cNvPr id="15" name="image10.png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50</xdr:col>
      <xdr:colOff>0</xdr:colOff>
      <xdr:row>235</xdr:row>
      <xdr:rowOff>0</xdr:rowOff>
    </xdr:from>
    <xdr:ext cx="266700" cy="200025"/>
    <xdr:pic>
      <xdr:nvPicPr>
        <xdr:cNvPr id="16" name="image11.png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33</xdr:row>
      <xdr:rowOff>0</xdr:rowOff>
    </xdr:from>
    <xdr:ext cx="685800" cy="200025"/>
    <xdr:pic>
      <xdr:nvPicPr>
        <xdr:cNvPr id="2" name="image26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36</xdr:row>
      <xdr:rowOff>0</xdr:rowOff>
    </xdr:from>
    <xdr:ext cx="600075" cy="200025"/>
    <xdr:pic>
      <xdr:nvPicPr>
        <xdr:cNvPr id="3" name="image12.jp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114</xdr:row>
      <xdr:rowOff>0</xdr:rowOff>
    </xdr:from>
    <xdr:ext cx="323850" cy="200025"/>
    <xdr:pic>
      <xdr:nvPicPr>
        <xdr:cNvPr id="4" name="image109.png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304800" cy="200025"/>
    <xdr:pic>
      <xdr:nvPicPr>
        <xdr:cNvPr id="5" name="image10.png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114</xdr:row>
      <xdr:rowOff>0</xdr:rowOff>
    </xdr:from>
    <xdr:ext cx="266700" cy="200025"/>
    <xdr:pic>
      <xdr:nvPicPr>
        <xdr:cNvPr id="6" name="image11.png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116</xdr:row>
      <xdr:rowOff>0</xdr:rowOff>
    </xdr:from>
    <xdr:ext cx="323850" cy="200025"/>
    <xdr:pic>
      <xdr:nvPicPr>
        <xdr:cNvPr id="7" name="image109.png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304800" cy="200025"/>
    <xdr:pic>
      <xdr:nvPicPr>
        <xdr:cNvPr id="8" name="image10.png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116</xdr:row>
      <xdr:rowOff>0</xdr:rowOff>
    </xdr:from>
    <xdr:ext cx="266700" cy="200025"/>
    <xdr:pic>
      <xdr:nvPicPr>
        <xdr:cNvPr id="9" name="image11.png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118</xdr:row>
      <xdr:rowOff>0</xdr:rowOff>
    </xdr:from>
    <xdr:ext cx="323850" cy="200025"/>
    <xdr:pic>
      <xdr:nvPicPr>
        <xdr:cNvPr id="10" name="image109.png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304800" cy="200025"/>
    <xdr:pic>
      <xdr:nvPicPr>
        <xdr:cNvPr id="11" name="image10.png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118</xdr:row>
      <xdr:rowOff>0</xdr:rowOff>
    </xdr:from>
    <xdr:ext cx="266700" cy="200025"/>
    <xdr:pic>
      <xdr:nvPicPr>
        <xdr:cNvPr id="12" name="image11.png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120</xdr:row>
      <xdr:rowOff>0</xdr:rowOff>
    </xdr:from>
    <xdr:ext cx="323850" cy="200025"/>
    <xdr:pic>
      <xdr:nvPicPr>
        <xdr:cNvPr id="13" name="image109.png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304800" cy="200025"/>
    <xdr:pic>
      <xdr:nvPicPr>
        <xdr:cNvPr id="14" name="image10.png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120</xdr:row>
      <xdr:rowOff>0</xdr:rowOff>
    </xdr:from>
    <xdr:ext cx="266700" cy="200025"/>
    <xdr:pic>
      <xdr:nvPicPr>
        <xdr:cNvPr id="15" name="image11.png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122</xdr:row>
      <xdr:rowOff>0</xdr:rowOff>
    </xdr:from>
    <xdr:ext cx="323850" cy="200025"/>
    <xdr:pic>
      <xdr:nvPicPr>
        <xdr:cNvPr id="16" name="image109.png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304800" cy="200025"/>
    <xdr:pic>
      <xdr:nvPicPr>
        <xdr:cNvPr id="17" name="image10.png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122</xdr:row>
      <xdr:rowOff>0</xdr:rowOff>
    </xdr:from>
    <xdr:ext cx="266700" cy="20002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15</xdr:row>
      <xdr:rowOff>0</xdr:rowOff>
    </xdr:from>
    <xdr:ext cx="1152525" cy="190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19</xdr:row>
      <xdr:rowOff>0</xdr:rowOff>
    </xdr:from>
    <xdr:ext cx="1962150" cy="171450"/>
    <xdr:pic>
      <xdr:nvPicPr>
        <xdr:cNvPr id="3" name="image106.png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21</xdr:row>
      <xdr:rowOff>0</xdr:rowOff>
    </xdr:from>
    <xdr:ext cx="1152525" cy="114300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23</xdr:row>
      <xdr:rowOff>0</xdr:rowOff>
    </xdr:from>
    <xdr:ext cx="1152525" cy="161925"/>
    <xdr:pic>
      <xdr:nvPicPr>
        <xdr:cNvPr id="5" name="image4.png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23</xdr:row>
      <xdr:rowOff>0</xdr:rowOff>
    </xdr:from>
    <xdr:ext cx="1962150" cy="171450"/>
    <xdr:pic>
      <xdr:nvPicPr>
        <xdr:cNvPr id="6" name="image17.png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24</xdr:row>
      <xdr:rowOff>0</xdr:rowOff>
    </xdr:from>
    <xdr:ext cx="1152525" cy="133350"/>
    <xdr:pic>
      <xdr:nvPicPr>
        <xdr:cNvPr id="7" name="image34.png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24</xdr:row>
      <xdr:rowOff>0</xdr:rowOff>
    </xdr:from>
    <xdr:ext cx="1962150" cy="171450"/>
    <xdr:pic>
      <xdr:nvPicPr>
        <xdr:cNvPr id="8" name="image17.png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25</xdr:row>
      <xdr:rowOff>0</xdr:rowOff>
    </xdr:from>
    <xdr:ext cx="1152525" cy="142875"/>
    <xdr:pic>
      <xdr:nvPicPr>
        <xdr:cNvPr id="9" name="image9.png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25</xdr:row>
      <xdr:rowOff>0</xdr:rowOff>
    </xdr:from>
    <xdr:ext cx="1962150" cy="171450"/>
    <xdr:pic>
      <xdr:nvPicPr>
        <xdr:cNvPr id="10" name="image84.png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26</xdr:row>
      <xdr:rowOff>0</xdr:rowOff>
    </xdr:from>
    <xdr:ext cx="1152525" cy="114300"/>
    <xdr:pic>
      <xdr:nvPicPr>
        <xdr:cNvPr id="11" name="image15.png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26</xdr:row>
      <xdr:rowOff>0</xdr:rowOff>
    </xdr:from>
    <xdr:ext cx="1962150" cy="171450"/>
    <xdr:pic>
      <xdr:nvPicPr>
        <xdr:cNvPr id="12" name="image84.png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27</xdr:row>
      <xdr:rowOff>0</xdr:rowOff>
    </xdr:from>
    <xdr:ext cx="1133475" cy="200025"/>
    <xdr:pic>
      <xdr:nvPicPr>
        <xdr:cNvPr id="13" name="image20.png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29</xdr:row>
      <xdr:rowOff>0</xdr:rowOff>
    </xdr:from>
    <xdr:ext cx="1152525" cy="190500"/>
    <xdr:pic>
      <xdr:nvPicPr>
        <xdr:cNvPr id="14" name="image7.png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29</xdr:row>
      <xdr:rowOff>0</xdr:rowOff>
    </xdr:from>
    <xdr:ext cx="1962150" cy="171450"/>
    <xdr:pic>
      <xdr:nvPicPr>
        <xdr:cNvPr id="15" name="image90.png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30</xdr:row>
      <xdr:rowOff>0</xdr:rowOff>
    </xdr:from>
    <xdr:ext cx="1152525" cy="190500"/>
    <xdr:pic>
      <xdr:nvPicPr>
        <xdr:cNvPr id="16" name="image5.png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30</xdr:row>
      <xdr:rowOff>0</xdr:rowOff>
    </xdr:from>
    <xdr:ext cx="1962150" cy="171450"/>
    <xdr:pic>
      <xdr:nvPicPr>
        <xdr:cNvPr id="17" name="image47.png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37</xdr:row>
      <xdr:rowOff>0</xdr:rowOff>
    </xdr:from>
    <xdr:ext cx="1962150" cy="180975"/>
    <xdr:pic>
      <xdr:nvPicPr>
        <xdr:cNvPr id="18" name="image30.png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38</xdr:row>
      <xdr:rowOff>0</xdr:rowOff>
    </xdr:from>
    <xdr:ext cx="1962150" cy="180975"/>
    <xdr:pic>
      <xdr:nvPicPr>
        <xdr:cNvPr id="19" name="image30.png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39</xdr:row>
      <xdr:rowOff>0</xdr:rowOff>
    </xdr:from>
    <xdr:ext cx="1962150" cy="180975"/>
    <xdr:pic>
      <xdr:nvPicPr>
        <xdr:cNvPr id="20" name="image30.png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42</xdr:row>
      <xdr:rowOff>0</xdr:rowOff>
    </xdr:from>
    <xdr:ext cx="1962150" cy="180975"/>
    <xdr:pic>
      <xdr:nvPicPr>
        <xdr:cNvPr id="21" name="image65.png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43</xdr:row>
      <xdr:rowOff>0</xdr:rowOff>
    </xdr:from>
    <xdr:ext cx="1962150" cy="180975"/>
    <xdr:pic>
      <xdr:nvPicPr>
        <xdr:cNvPr id="22" name="image65.png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44</xdr:row>
      <xdr:rowOff>0</xdr:rowOff>
    </xdr:from>
    <xdr:ext cx="1962150" cy="180975"/>
    <xdr:pic>
      <xdr:nvPicPr>
        <xdr:cNvPr id="23" name="image65.png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47</xdr:row>
      <xdr:rowOff>0</xdr:rowOff>
    </xdr:from>
    <xdr:ext cx="1962150" cy="180975"/>
    <xdr:pic>
      <xdr:nvPicPr>
        <xdr:cNvPr id="24" name="image65.png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48</xdr:row>
      <xdr:rowOff>0</xdr:rowOff>
    </xdr:from>
    <xdr:ext cx="1962150" cy="180975"/>
    <xdr:pic>
      <xdr:nvPicPr>
        <xdr:cNvPr id="25" name="image65.png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49</xdr:row>
      <xdr:rowOff>0</xdr:rowOff>
    </xdr:from>
    <xdr:ext cx="1962150" cy="180975"/>
    <xdr:pic>
      <xdr:nvPicPr>
        <xdr:cNvPr id="26" name="image65.png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50</xdr:row>
      <xdr:rowOff>0</xdr:rowOff>
    </xdr:from>
    <xdr:ext cx="1962150" cy="180975"/>
    <xdr:pic>
      <xdr:nvPicPr>
        <xdr:cNvPr id="27" name="image65.png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51</xdr:row>
      <xdr:rowOff>0</xdr:rowOff>
    </xdr:from>
    <xdr:ext cx="1962150" cy="180975"/>
    <xdr:pic>
      <xdr:nvPicPr>
        <xdr:cNvPr id="28" name="image65.png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52</xdr:row>
      <xdr:rowOff>0</xdr:rowOff>
    </xdr:from>
    <xdr:ext cx="1962150" cy="180975"/>
    <xdr:pic>
      <xdr:nvPicPr>
        <xdr:cNvPr id="29" name="image65.png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54</xdr:row>
      <xdr:rowOff>0</xdr:rowOff>
    </xdr:from>
    <xdr:ext cx="1962150" cy="171450"/>
    <xdr:pic>
      <xdr:nvPicPr>
        <xdr:cNvPr id="30" name="image53.png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55</xdr:row>
      <xdr:rowOff>0</xdr:rowOff>
    </xdr:from>
    <xdr:ext cx="1962150" cy="171450"/>
    <xdr:pic>
      <xdr:nvPicPr>
        <xdr:cNvPr id="31" name="image50.png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63</xdr:row>
      <xdr:rowOff>0</xdr:rowOff>
    </xdr:from>
    <xdr:ext cx="1152525" cy="142875"/>
    <xdr:pic>
      <xdr:nvPicPr>
        <xdr:cNvPr id="32" name="image100.png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92</xdr:row>
      <xdr:rowOff>0</xdr:rowOff>
    </xdr:from>
    <xdr:ext cx="1152525" cy="114300"/>
    <xdr:pic>
      <xdr:nvPicPr>
        <xdr:cNvPr id="33" name="image22.png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92</xdr:row>
      <xdr:rowOff>0</xdr:rowOff>
    </xdr:from>
    <xdr:ext cx="1962150" cy="171450"/>
    <xdr:pic>
      <xdr:nvPicPr>
        <xdr:cNvPr id="34" name="image83.png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93</xdr:row>
      <xdr:rowOff>0</xdr:rowOff>
    </xdr:from>
    <xdr:ext cx="1152525" cy="104775"/>
    <xdr:pic>
      <xdr:nvPicPr>
        <xdr:cNvPr id="35" name="image69.png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93</xdr:row>
      <xdr:rowOff>0</xdr:rowOff>
    </xdr:from>
    <xdr:ext cx="1962150" cy="171450"/>
    <xdr:pic>
      <xdr:nvPicPr>
        <xdr:cNvPr id="36" name="image16.png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94</xdr:row>
      <xdr:rowOff>0</xdr:rowOff>
    </xdr:from>
    <xdr:ext cx="1152525" cy="114300"/>
    <xdr:pic>
      <xdr:nvPicPr>
        <xdr:cNvPr id="37" name="image13.png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94</xdr:row>
      <xdr:rowOff>0</xdr:rowOff>
    </xdr:from>
    <xdr:ext cx="1962150" cy="171450"/>
    <xdr:pic>
      <xdr:nvPicPr>
        <xdr:cNvPr id="38" name="image14.png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96</xdr:row>
      <xdr:rowOff>0</xdr:rowOff>
    </xdr:from>
    <xdr:ext cx="1152525" cy="152400"/>
    <xdr:pic>
      <xdr:nvPicPr>
        <xdr:cNvPr id="39" name="image36.png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98</xdr:row>
      <xdr:rowOff>0</xdr:rowOff>
    </xdr:from>
    <xdr:ext cx="1152525" cy="152400"/>
    <xdr:pic>
      <xdr:nvPicPr>
        <xdr:cNvPr id="40" name="image52.png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99</xdr:row>
      <xdr:rowOff>0</xdr:rowOff>
    </xdr:from>
    <xdr:ext cx="1152525" cy="85725"/>
    <xdr:pic>
      <xdr:nvPicPr>
        <xdr:cNvPr id="41" name="image49.png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99</xdr:row>
      <xdr:rowOff>0</xdr:rowOff>
    </xdr:from>
    <xdr:ext cx="1962150" cy="171450"/>
    <xdr:pic>
      <xdr:nvPicPr>
        <xdr:cNvPr id="42" name="image68.png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100</xdr:row>
      <xdr:rowOff>0</xdr:rowOff>
    </xdr:from>
    <xdr:ext cx="1152525" cy="66675"/>
    <xdr:pic>
      <xdr:nvPicPr>
        <xdr:cNvPr id="43" name="image29.png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100</xdr:row>
      <xdr:rowOff>0</xdr:rowOff>
    </xdr:from>
    <xdr:ext cx="1962150" cy="171450"/>
    <xdr:pic>
      <xdr:nvPicPr>
        <xdr:cNvPr id="44" name="image23.png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101</xdr:row>
      <xdr:rowOff>0</xdr:rowOff>
    </xdr:from>
    <xdr:ext cx="1152525" cy="38100"/>
    <xdr:pic>
      <xdr:nvPicPr>
        <xdr:cNvPr id="45" name="image60.png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103</xdr:row>
      <xdr:rowOff>0</xdr:rowOff>
    </xdr:from>
    <xdr:ext cx="1152525" cy="114300"/>
    <xdr:pic>
      <xdr:nvPicPr>
        <xdr:cNvPr id="46" name="image51.png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103</xdr:row>
      <xdr:rowOff>0</xdr:rowOff>
    </xdr:from>
    <xdr:ext cx="1962150" cy="171450"/>
    <xdr:pic>
      <xdr:nvPicPr>
        <xdr:cNvPr id="47" name="image68.png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104</xdr:row>
      <xdr:rowOff>0</xdr:rowOff>
    </xdr:from>
    <xdr:ext cx="1152525" cy="123825"/>
    <xdr:pic>
      <xdr:nvPicPr>
        <xdr:cNvPr id="48" name="image70.png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104</xdr:row>
      <xdr:rowOff>0</xdr:rowOff>
    </xdr:from>
    <xdr:ext cx="1962150" cy="171450"/>
    <xdr:pic>
      <xdr:nvPicPr>
        <xdr:cNvPr id="49" name="image23.png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105</xdr:row>
      <xdr:rowOff>0</xdr:rowOff>
    </xdr:from>
    <xdr:ext cx="1152525" cy="28575"/>
    <xdr:pic>
      <xdr:nvPicPr>
        <xdr:cNvPr id="50" name="image21.png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108</xdr:row>
      <xdr:rowOff>0</xdr:rowOff>
    </xdr:from>
    <xdr:ext cx="1152525" cy="85725"/>
    <xdr:pic>
      <xdr:nvPicPr>
        <xdr:cNvPr id="51" name="image32.png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108</xdr:row>
      <xdr:rowOff>0</xdr:rowOff>
    </xdr:from>
    <xdr:ext cx="1962150" cy="171450"/>
    <xdr:pic>
      <xdr:nvPicPr>
        <xdr:cNvPr id="52" name="image40.png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109</xdr:row>
      <xdr:rowOff>0</xdr:rowOff>
    </xdr:from>
    <xdr:ext cx="1152525" cy="85725"/>
    <xdr:pic>
      <xdr:nvPicPr>
        <xdr:cNvPr id="53" name="image19.png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109</xdr:row>
      <xdr:rowOff>0</xdr:rowOff>
    </xdr:from>
    <xdr:ext cx="1962150" cy="171450"/>
    <xdr:pic>
      <xdr:nvPicPr>
        <xdr:cNvPr id="54" name="image77.png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110</xdr:row>
      <xdr:rowOff>0</xdr:rowOff>
    </xdr:from>
    <xdr:ext cx="1152525" cy="85725"/>
    <xdr:pic>
      <xdr:nvPicPr>
        <xdr:cNvPr id="55" name="image108.png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110</xdr:row>
      <xdr:rowOff>0</xdr:rowOff>
    </xdr:from>
    <xdr:ext cx="1962150" cy="171450"/>
    <xdr:pic>
      <xdr:nvPicPr>
        <xdr:cNvPr id="56" name="image73.png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111</xdr:row>
      <xdr:rowOff>0</xdr:rowOff>
    </xdr:from>
    <xdr:ext cx="1152525" cy="95250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111</xdr:row>
      <xdr:rowOff>0</xdr:rowOff>
    </xdr:from>
    <xdr:ext cx="1962150" cy="171450"/>
    <xdr:pic>
      <xdr:nvPicPr>
        <xdr:cNvPr id="58" name="image35.png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112</xdr:row>
      <xdr:rowOff>0</xdr:rowOff>
    </xdr:from>
    <xdr:ext cx="1152525" cy="95250"/>
    <xdr:pic>
      <xdr:nvPicPr>
        <xdr:cNvPr id="59" name="image25.png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112</xdr:row>
      <xdr:rowOff>0</xdr:rowOff>
    </xdr:from>
    <xdr:ext cx="1962150" cy="171450"/>
    <xdr:pic>
      <xdr:nvPicPr>
        <xdr:cNvPr id="60" name="image24.png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113</xdr:row>
      <xdr:rowOff>0</xdr:rowOff>
    </xdr:from>
    <xdr:ext cx="1152525" cy="152400"/>
    <xdr:pic>
      <xdr:nvPicPr>
        <xdr:cNvPr id="61" name="image28.png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114</xdr:row>
      <xdr:rowOff>0</xdr:rowOff>
    </xdr:from>
    <xdr:ext cx="1152525" cy="76200"/>
    <xdr:pic>
      <xdr:nvPicPr>
        <xdr:cNvPr id="62" name="image58.png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114</xdr:row>
      <xdr:rowOff>0</xdr:rowOff>
    </xdr:from>
    <xdr:ext cx="1962150" cy="171450"/>
    <xdr:pic>
      <xdr:nvPicPr>
        <xdr:cNvPr id="63" name="image14.png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116</xdr:row>
      <xdr:rowOff>0</xdr:rowOff>
    </xdr:from>
    <xdr:ext cx="1152525" cy="152400"/>
    <xdr:pic>
      <xdr:nvPicPr>
        <xdr:cNvPr id="64" name="image27.png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117</xdr:row>
      <xdr:rowOff>0</xdr:rowOff>
    </xdr:from>
    <xdr:ext cx="1152525" cy="85725"/>
    <xdr:pic>
      <xdr:nvPicPr>
        <xdr:cNvPr id="65" name="image31.png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117</xdr:row>
      <xdr:rowOff>0</xdr:rowOff>
    </xdr:from>
    <xdr:ext cx="1962150" cy="171450"/>
    <xdr:pic>
      <xdr:nvPicPr>
        <xdr:cNvPr id="66" name="image68.png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118</xdr:row>
      <xdr:rowOff>0</xdr:rowOff>
    </xdr:from>
    <xdr:ext cx="1152525" cy="76200"/>
    <xdr:pic>
      <xdr:nvPicPr>
        <xdr:cNvPr id="67" name="image38.png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118</xdr:row>
      <xdr:rowOff>0</xdr:rowOff>
    </xdr:from>
    <xdr:ext cx="1962150" cy="171450"/>
    <xdr:pic>
      <xdr:nvPicPr>
        <xdr:cNvPr id="68" name="image44.png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119</xdr:row>
      <xdr:rowOff>0</xdr:rowOff>
    </xdr:from>
    <xdr:ext cx="1152525" cy="57150"/>
    <xdr:pic>
      <xdr:nvPicPr>
        <xdr:cNvPr id="69" name="image37.png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125</xdr:row>
      <xdr:rowOff>0</xdr:rowOff>
    </xdr:from>
    <xdr:ext cx="1152525" cy="114300"/>
    <xdr:pic>
      <xdr:nvPicPr>
        <xdr:cNvPr id="70" name="image54.png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129</xdr:row>
      <xdr:rowOff>0</xdr:rowOff>
    </xdr:from>
    <xdr:ext cx="1152525" cy="114300"/>
    <xdr:pic>
      <xdr:nvPicPr>
        <xdr:cNvPr id="71" name="image33.jpg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129</xdr:row>
      <xdr:rowOff>0</xdr:rowOff>
    </xdr:from>
    <xdr:ext cx="1962150" cy="171450"/>
    <xdr:pic>
      <xdr:nvPicPr>
        <xdr:cNvPr id="72" name="image80.png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130</xdr:row>
      <xdr:rowOff>0</xdr:rowOff>
    </xdr:from>
    <xdr:ext cx="1152525" cy="114300"/>
    <xdr:pic>
      <xdr:nvPicPr>
        <xdr:cNvPr id="73" name="image62.jpg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131</xdr:row>
      <xdr:rowOff>0</xdr:rowOff>
    </xdr:from>
    <xdr:ext cx="1962150" cy="171450"/>
    <xdr:pic>
      <xdr:nvPicPr>
        <xdr:cNvPr id="74" name="image42.png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132</xdr:row>
      <xdr:rowOff>0</xdr:rowOff>
    </xdr:from>
    <xdr:ext cx="1962150" cy="171450"/>
    <xdr:pic>
      <xdr:nvPicPr>
        <xdr:cNvPr id="75" name="image42.png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135</xdr:row>
      <xdr:rowOff>0</xdr:rowOff>
    </xdr:from>
    <xdr:ext cx="1962150" cy="171450"/>
    <xdr:pic>
      <xdr:nvPicPr>
        <xdr:cNvPr id="76" name="image39.png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136</xdr:row>
      <xdr:rowOff>0</xdr:rowOff>
    </xdr:from>
    <xdr:ext cx="1152525" cy="133350"/>
    <xdr:pic>
      <xdr:nvPicPr>
        <xdr:cNvPr id="77" name="image66.png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136</xdr:row>
      <xdr:rowOff>0</xdr:rowOff>
    </xdr:from>
    <xdr:ext cx="1962150" cy="171450"/>
    <xdr:pic>
      <xdr:nvPicPr>
        <xdr:cNvPr id="78" name="image41.png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137</xdr:row>
      <xdr:rowOff>0</xdr:rowOff>
    </xdr:from>
    <xdr:ext cx="1962150" cy="171450"/>
    <xdr:pic>
      <xdr:nvPicPr>
        <xdr:cNvPr id="79" name="image86.png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138</xdr:row>
      <xdr:rowOff>0</xdr:rowOff>
    </xdr:from>
    <xdr:ext cx="1962150" cy="171450"/>
    <xdr:pic>
      <xdr:nvPicPr>
        <xdr:cNvPr id="80" name="image95.png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140</xdr:row>
      <xdr:rowOff>0</xdr:rowOff>
    </xdr:from>
    <xdr:ext cx="1152525" cy="180975"/>
    <xdr:pic>
      <xdr:nvPicPr>
        <xdr:cNvPr id="81" name="image55.jpg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28</xdr:row>
      <xdr:rowOff>0</xdr:rowOff>
    </xdr:from>
    <xdr:ext cx="1009650" cy="180975"/>
    <xdr:pic>
      <xdr:nvPicPr>
        <xdr:cNvPr id="82" name="image67.png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97</xdr:row>
      <xdr:rowOff>0</xdr:rowOff>
    </xdr:from>
    <xdr:ext cx="1009650" cy="190500"/>
    <xdr:pic>
      <xdr:nvPicPr>
        <xdr:cNvPr id="83" name="image43.png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135</xdr:row>
      <xdr:rowOff>0</xdr:rowOff>
    </xdr:from>
    <xdr:ext cx="981075" cy="200025"/>
    <xdr:pic>
      <xdr:nvPicPr>
        <xdr:cNvPr id="84" name="image45.png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137</xdr:row>
      <xdr:rowOff>0</xdr:rowOff>
    </xdr:from>
    <xdr:ext cx="981075" cy="200025"/>
    <xdr:pic>
      <xdr:nvPicPr>
        <xdr:cNvPr id="85" name="image64.png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138</xdr:row>
      <xdr:rowOff>0</xdr:rowOff>
    </xdr:from>
    <xdr:ext cx="1009650" cy="190500"/>
    <xdr:pic>
      <xdr:nvPicPr>
        <xdr:cNvPr id="86" name="image48.png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14</xdr:row>
      <xdr:rowOff>0</xdr:rowOff>
    </xdr:from>
    <xdr:ext cx="247650" cy="200025"/>
    <xdr:pic>
      <xdr:nvPicPr>
        <xdr:cNvPr id="87" name="image71.png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16</xdr:row>
      <xdr:rowOff>0</xdr:rowOff>
    </xdr:from>
    <xdr:ext cx="885825" cy="180975"/>
    <xdr:pic>
      <xdr:nvPicPr>
        <xdr:cNvPr id="88" name="image3.png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18</xdr:row>
      <xdr:rowOff>0</xdr:rowOff>
    </xdr:from>
    <xdr:ext cx="161925" cy="200025"/>
    <xdr:pic>
      <xdr:nvPicPr>
        <xdr:cNvPr id="89" name="image104.png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19</xdr:row>
      <xdr:rowOff>0</xdr:rowOff>
    </xdr:from>
    <xdr:ext cx="400050" cy="200025"/>
    <xdr:pic>
      <xdr:nvPicPr>
        <xdr:cNvPr id="90" name="image8.png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20</xdr:row>
      <xdr:rowOff>0</xdr:rowOff>
    </xdr:from>
    <xdr:ext cx="400050" cy="200025"/>
    <xdr:pic>
      <xdr:nvPicPr>
        <xdr:cNvPr id="91" name="image8.png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22</xdr:row>
      <xdr:rowOff>0</xdr:rowOff>
    </xdr:from>
    <xdr:ext cx="762000" cy="200025"/>
    <xdr:pic>
      <xdr:nvPicPr>
        <xdr:cNvPr id="92" name="image57.png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31</xdr:row>
      <xdr:rowOff>0</xdr:rowOff>
    </xdr:from>
    <xdr:ext cx="523875" cy="200025"/>
    <xdr:pic>
      <xdr:nvPicPr>
        <xdr:cNvPr id="93" name="image127.png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32</xdr:row>
      <xdr:rowOff>0</xdr:rowOff>
    </xdr:from>
    <xdr:ext cx="590550" cy="200025"/>
    <xdr:pic>
      <xdr:nvPicPr>
        <xdr:cNvPr id="94" name="image61.png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33</xdr:row>
      <xdr:rowOff>0</xdr:rowOff>
    </xdr:from>
    <xdr:ext cx="476250" cy="200025"/>
    <xdr:pic>
      <xdr:nvPicPr>
        <xdr:cNvPr id="95" name="image56.png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34</xdr:row>
      <xdr:rowOff>0</xdr:rowOff>
    </xdr:from>
    <xdr:ext cx="152400" cy="200025"/>
    <xdr:pic>
      <xdr:nvPicPr>
        <xdr:cNvPr id="96" name="image75.png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35</xdr:row>
      <xdr:rowOff>0</xdr:rowOff>
    </xdr:from>
    <xdr:ext cx="152400" cy="200025"/>
    <xdr:pic>
      <xdr:nvPicPr>
        <xdr:cNvPr id="97" name="image63.png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36</xdr:row>
      <xdr:rowOff>0</xdr:rowOff>
    </xdr:from>
    <xdr:ext cx="209550" cy="200025"/>
    <xdr:pic>
      <xdr:nvPicPr>
        <xdr:cNvPr id="98" name="image74.png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37</xdr:row>
      <xdr:rowOff>0</xdr:rowOff>
    </xdr:from>
    <xdr:ext cx="504825" cy="200025"/>
    <xdr:pic>
      <xdr:nvPicPr>
        <xdr:cNvPr id="99" name="image59.png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38</xdr:row>
      <xdr:rowOff>0</xdr:rowOff>
    </xdr:from>
    <xdr:ext cx="476250" cy="200025"/>
    <xdr:pic>
      <xdr:nvPicPr>
        <xdr:cNvPr id="100" name="image107.png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39</xdr:row>
      <xdr:rowOff>0</xdr:rowOff>
    </xdr:from>
    <xdr:ext cx="400050" cy="200025"/>
    <xdr:pic>
      <xdr:nvPicPr>
        <xdr:cNvPr id="101" name="image89.png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40</xdr:row>
      <xdr:rowOff>0</xdr:rowOff>
    </xdr:from>
    <xdr:ext cx="676275" cy="200025"/>
    <xdr:pic>
      <xdr:nvPicPr>
        <xdr:cNvPr id="102" name="image81.png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41</xdr:row>
      <xdr:rowOff>0</xdr:rowOff>
    </xdr:from>
    <xdr:ext cx="695325" cy="200025"/>
    <xdr:pic>
      <xdr:nvPicPr>
        <xdr:cNvPr id="103" name="image103.png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42</xdr:row>
      <xdr:rowOff>0</xdr:rowOff>
    </xdr:from>
    <xdr:ext cx="561975" cy="200025"/>
    <xdr:pic>
      <xdr:nvPicPr>
        <xdr:cNvPr id="104" name="image123.png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43</xdr:row>
      <xdr:rowOff>0</xdr:rowOff>
    </xdr:from>
    <xdr:ext cx="561975" cy="200025"/>
    <xdr:pic>
      <xdr:nvPicPr>
        <xdr:cNvPr id="105" name="image121.png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44</xdr:row>
      <xdr:rowOff>0</xdr:rowOff>
    </xdr:from>
    <xdr:ext cx="571500" cy="200025"/>
    <xdr:pic>
      <xdr:nvPicPr>
        <xdr:cNvPr id="106" name="image117.png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45</xdr:row>
      <xdr:rowOff>0</xdr:rowOff>
    </xdr:from>
    <xdr:ext cx="676275" cy="200025"/>
    <xdr:pic>
      <xdr:nvPicPr>
        <xdr:cNvPr id="107" name="image140.png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46</xdr:row>
      <xdr:rowOff>0</xdr:rowOff>
    </xdr:from>
    <xdr:ext cx="685800" cy="200025"/>
    <xdr:pic>
      <xdr:nvPicPr>
        <xdr:cNvPr id="108" name="image92.png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47</xdr:row>
      <xdr:rowOff>0</xdr:rowOff>
    </xdr:from>
    <xdr:ext cx="561975" cy="200025"/>
    <xdr:pic>
      <xdr:nvPicPr>
        <xdr:cNvPr id="109" name="image94.png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48</xdr:row>
      <xdr:rowOff>0</xdr:rowOff>
    </xdr:from>
    <xdr:ext cx="571500" cy="200025"/>
    <xdr:pic>
      <xdr:nvPicPr>
        <xdr:cNvPr id="110" name="image88.png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49</xdr:row>
      <xdr:rowOff>0</xdr:rowOff>
    </xdr:from>
    <xdr:ext cx="552450" cy="200025"/>
    <xdr:pic>
      <xdr:nvPicPr>
        <xdr:cNvPr id="111" name="image72.png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50</xdr:row>
      <xdr:rowOff>0</xdr:rowOff>
    </xdr:from>
    <xdr:ext cx="571500" cy="200025"/>
    <xdr:pic>
      <xdr:nvPicPr>
        <xdr:cNvPr id="112" name="image122.png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51</xdr:row>
      <xdr:rowOff>0</xdr:rowOff>
    </xdr:from>
    <xdr:ext cx="561975" cy="200025"/>
    <xdr:pic>
      <xdr:nvPicPr>
        <xdr:cNvPr id="113" name="image115.png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52</xdr:row>
      <xdr:rowOff>0</xdr:rowOff>
    </xdr:from>
    <xdr:ext cx="561975" cy="200025"/>
    <xdr:pic>
      <xdr:nvPicPr>
        <xdr:cNvPr id="114" name="image79.png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53</xdr:row>
      <xdr:rowOff>0</xdr:rowOff>
    </xdr:from>
    <xdr:ext cx="476250" cy="200025"/>
    <xdr:pic>
      <xdr:nvPicPr>
        <xdr:cNvPr id="115" name="image85.png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54</xdr:row>
      <xdr:rowOff>0</xdr:rowOff>
    </xdr:from>
    <xdr:ext cx="238125" cy="190500"/>
    <xdr:pic>
      <xdr:nvPicPr>
        <xdr:cNvPr id="116" name="image76.png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55</xdr:row>
      <xdr:rowOff>0</xdr:rowOff>
    </xdr:from>
    <xdr:ext cx="295275" cy="200025"/>
    <xdr:pic>
      <xdr:nvPicPr>
        <xdr:cNvPr id="117" name="image93.png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56</xdr:row>
      <xdr:rowOff>0</xdr:rowOff>
    </xdr:from>
    <xdr:ext cx="276225" cy="200025"/>
    <xdr:pic>
      <xdr:nvPicPr>
        <xdr:cNvPr id="118" name="image125.png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57</xdr:row>
      <xdr:rowOff>0</xdr:rowOff>
    </xdr:from>
    <xdr:ext cx="219075" cy="200025"/>
    <xdr:pic>
      <xdr:nvPicPr>
        <xdr:cNvPr id="119" name="image110.png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58</xdr:row>
      <xdr:rowOff>0</xdr:rowOff>
    </xdr:from>
    <xdr:ext cx="523875" cy="200025"/>
    <xdr:pic>
      <xdr:nvPicPr>
        <xdr:cNvPr id="120" name="image129.png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59</xdr:row>
      <xdr:rowOff>0</xdr:rowOff>
    </xdr:from>
    <xdr:ext cx="657225" cy="200025"/>
    <xdr:pic>
      <xdr:nvPicPr>
        <xdr:cNvPr id="121" name="image133.png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60</xdr:row>
      <xdr:rowOff>0</xdr:rowOff>
    </xdr:from>
    <xdr:ext cx="523875" cy="200025"/>
    <xdr:pic>
      <xdr:nvPicPr>
        <xdr:cNvPr id="122" name="image148.png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61</xdr:row>
      <xdr:rowOff>0</xdr:rowOff>
    </xdr:from>
    <xdr:ext cx="342900" cy="200025"/>
    <xdr:pic>
      <xdr:nvPicPr>
        <xdr:cNvPr id="123" name="image136.png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62</xdr:row>
      <xdr:rowOff>0</xdr:rowOff>
    </xdr:from>
    <xdr:ext cx="638175" cy="200025"/>
    <xdr:pic>
      <xdr:nvPicPr>
        <xdr:cNvPr id="124" name="image2.png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64</xdr:row>
      <xdr:rowOff>0</xdr:rowOff>
    </xdr:from>
    <xdr:ext cx="600075" cy="200025"/>
    <xdr:pic>
      <xdr:nvPicPr>
        <xdr:cNvPr id="125" name="image78.png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65</xdr:row>
      <xdr:rowOff>0</xdr:rowOff>
    </xdr:from>
    <xdr:ext cx="361950" cy="200025"/>
    <xdr:pic>
      <xdr:nvPicPr>
        <xdr:cNvPr id="126" name="image82.png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66</xdr:row>
      <xdr:rowOff>0</xdr:rowOff>
    </xdr:from>
    <xdr:ext cx="571500" cy="200025"/>
    <xdr:pic>
      <xdr:nvPicPr>
        <xdr:cNvPr id="127" name="image119.png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67</xdr:row>
      <xdr:rowOff>0</xdr:rowOff>
    </xdr:from>
    <xdr:ext cx="676275" cy="200025"/>
    <xdr:pic>
      <xdr:nvPicPr>
        <xdr:cNvPr id="128" name="image149.png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68</xdr:row>
      <xdr:rowOff>0</xdr:rowOff>
    </xdr:from>
    <xdr:ext cx="628650" cy="200025"/>
    <xdr:pic>
      <xdr:nvPicPr>
        <xdr:cNvPr id="129" name="image111.png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69</xdr:row>
      <xdr:rowOff>0</xdr:rowOff>
    </xdr:from>
    <xdr:ext cx="333375" cy="200025"/>
    <xdr:pic>
      <xdr:nvPicPr>
        <xdr:cNvPr id="130" name="image113.png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70</xdr:row>
      <xdr:rowOff>0</xdr:rowOff>
    </xdr:from>
    <xdr:ext cx="276225" cy="200025"/>
    <xdr:pic>
      <xdr:nvPicPr>
        <xdr:cNvPr id="131" name="image98.png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71</xdr:row>
      <xdr:rowOff>0</xdr:rowOff>
    </xdr:from>
    <xdr:ext cx="276225" cy="200025"/>
    <xdr:pic>
      <xdr:nvPicPr>
        <xdr:cNvPr id="132" name="image87.png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72</xdr:row>
      <xdr:rowOff>0</xdr:rowOff>
    </xdr:from>
    <xdr:ext cx="638175" cy="200025"/>
    <xdr:pic>
      <xdr:nvPicPr>
        <xdr:cNvPr id="133" name="image96.png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73</xdr:row>
      <xdr:rowOff>0</xdr:rowOff>
    </xdr:from>
    <xdr:ext cx="571500" cy="200025"/>
    <xdr:pic>
      <xdr:nvPicPr>
        <xdr:cNvPr id="134" name="image99.png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74</xdr:row>
      <xdr:rowOff>0</xdr:rowOff>
    </xdr:from>
    <xdr:ext cx="590550" cy="200025"/>
    <xdr:pic>
      <xdr:nvPicPr>
        <xdr:cNvPr id="135" name="image134.png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75</xdr:row>
      <xdr:rowOff>0</xdr:rowOff>
    </xdr:from>
    <xdr:ext cx="485775" cy="200025"/>
    <xdr:pic>
      <xdr:nvPicPr>
        <xdr:cNvPr id="136" name="image101.png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76</xdr:row>
      <xdr:rowOff>0</xdr:rowOff>
    </xdr:from>
    <xdr:ext cx="552450" cy="200025"/>
    <xdr:pic>
      <xdr:nvPicPr>
        <xdr:cNvPr id="137" name="image97.png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77</xdr:row>
      <xdr:rowOff>0</xdr:rowOff>
    </xdr:from>
    <xdr:ext cx="495300" cy="200025"/>
    <xdr:pic>
      <xdr:nvPicPr>
        <xdr:cNvPr id="138" name="image91.png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78</xdr:row>
      <xdr:rowOff>0</xdr:rowOff>
    </xdr:from>
    <xdr:ext cx="485775" cy="200025"/>
    <xdr:pic>
      <xdr:nvPicPr>
        <xdr:cNvPr id="139" name="image118.png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79</xdr:row>
      <xdr:rowOff>0</xdr:rowOff>
    </xdr:from>
    <xdr:ext cx="552450" cy="200025"/>
    <xdr:pic>
      <xdr:nvPicPr>
        <xdr:cNvPr id="140" name="image128.png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80</xdr:row>
      <xdr:rowOff>0</xdr:rowOff>
    </xdr:from>
    <xdr:ext cx="495300" cy="200025"/>
    <xdr:pic>
      <xdr:nvPicPr>
        <xdr:cNvPr id="141" name="image132.png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81</xdr:row>
      <xdr:rowOff>0</xdr:rowOff>
    </xdr:from>
    <xdr:ext cx="361950" cy="200025"/>
    <xdr:pic>
      <xdr:nvPicPr>
        <xdr:cNvPr id="142" name="image130.png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82</xdr:row>
      <xdr:rowOff>0</xdr:rowOff>
    </xdr:from>
    <xdr:ext cx="361950" cy="200025"/>
    <xdr:pic>
      <xdr:nvPicPr>
        <xdr:cNvPr id="143" name="image130.png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83</xdr:row>
      <xdr:rowOff>0</xdr:rowOff>
    </xdr:from>
    <xdr:ext cx="361950" cy="200025"/>
    <xdr:pic>
      <xdr:nvPicPr>
        <xdr:cNvPr id="144" name="image130.png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84</xdr:row>
      <xdr:rowOff>0</xdr:rowOff>
    </xdr:from>
    <xdr:ext cx="361950" cy="200025"/>
    <xdr:pic>
      <xdr:nvPicPr>
        <xdr:cNvPr id="145" name="image130.png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85</xdr:row>
      <xdr:rowOff>0</xdr:rowOff>
    </xdr:from>
    <xdr:ext cx="361950" cy="200025"/>
    <xdr:pic>
      <xdr:nvPicPr>
        <xdr:cNvPr id="146" name="image130.png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86</xdr:row>
      <xdr:rowOff>0</xdr:rowOff>
    </xdr:from>
    <xdr:ext cx="361950" cy="200025"/>
    <xdr:pic>
      <xdr:nvPicPr>
        <xdr:cNvPr id="147" name="image130.png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87</xdr:row>
      <xdr:rowOff>0</xdr:rowOff>
    </xdr:from>
    <xdr:ext cx="361950" cy="200025"/>
    <xdr:pic>
      <xdr:nvPicPr>
        <xdr:cNvPr id="148" name="image130.png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88</xdr:row>
      <xdr:rowOff>0</xdr:rowOff>
    </xdr:from>
    <xdr:ext cx="361950" cy="200025"/>
    <xdr:pic>
      <xdr:nvPicPr>
        <xdr:cNvPr id="149" name="image130.png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89</xdr:row>
      <xdr:rowOff>0</xdr:rowOff>
    </xdr:from>
    <xdr:ext cx="361950" cy="200025"/>
    <xdr:pic>
      <xdr:nvPicPr>
        <xdr:cNvPr id="150" name="image130.png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90</xdr:row>
      <xdr:rowOff>0</xdr:rowOff>
    </xdr:from>
    <xdr:ext cx="123825" cy="200025"/>
    <xdr:pic>
      <xdr:nvPicPr>
        <xdr:cNvPr id="151" name="image138.png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91</xdr:row>
      <xdr:rowOff>0</xdr:rowOff>
    </xdr:from>
    <xdr:ext cx="600075" cy="200025"/>
    <xdr:pic>
      <xdr:nvPicPr>
        <xdr:cNvPr id="152" name="image102.png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95</xdr:row>
      <xdr:rowOff>0</xdr:rowOff>
    </xdr:from>
    <xdr:ext cx="771525" cy="200025"/>
    <xdr:pic>
      <xdr:nvPicPr>
        <xdr:cNvPr id="153" name="image141.png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102</xdr:row>
      <xdr:rowOff>0</xdr:rowOff>
    </xdr:from>
    <xdr:ext cx="419100" cy="200025"/>
    <xdr:pic>
      <xdr:nvPicPr>
        <xdr:cNvPr id="154" name="image112.png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106</xdr:row>
      <xdr:rowOff>0</xdr:rowOff>
    </xdr:from>
    <xdr:ext cx="552450" cy="200025"/>
    <xdr:pic>
      <xdr:nvPicPr>
        <xdr:cNvPr id="155" name="image144.png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107</xdr:row>
      <xdr:rowOff>0</xdr:rowOff>
    </xdr:from>
    <xdr:ext cx="533400" cy="200025"/>
    <xdr:pic>
      <xdr:nvPicPr>
        <xdr:cNvPr id="156" name="image137.png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115</xdr:row>
      <xdr:rowOff>0</xdr:rowOff>
    </xdr:from>
    <xdr:ext cx="762000" cy="200025"/>
    <xdr:pic>
      <xdr:nvPicPr>
        <xdr:cNvPr id="157" name="image143.png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120</xdr:row>
      <xdr:rowOff>0</xdr:rowOff>
    </xdr:from>
    <xdr:ext cx="257175" cy="200025"/>
    <xdr:pic>
      <xdr:nvPicPr>
        <xdr:cNvPr id="158" name="image114.png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121</xdr:row>
      <xdr:rowOff>0</xdr:rowOff>
    </xdr:from>
    <xdr:ext cx="885825" cy="190500"/>
    <xdr:pic>
      <xdr:nvPicPr>
        <xdr:cNvPr id="159" name="image105.jpg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122</xdr:row>
      <xdr:rowOff>0</xdr:rowOff>
    </xdr:from>
    <xdr:ext cx="371475" cy="200025"/>
    <xdr:pic>
      <xdr:nvPicPr>
        <xdr:cNvPr id="160" name="image146.jpg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123</xdr:row>
      <xdr:rowOff>0</xdr:rowOff>
    </xdr:from>
    <xdr:ext cx="219075" cy="200025"/>
    <xdr:pic>
      <xdr:nvPicPr>
        <xdr:cNvPr id="161" name="image139.png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124</xdr:row>
      <xdr:rowOff>0</xdr:rowOff>
    </xdr:from>
    <xdr:ext cx="219075" cy="200025"/>
    <xdr:pic>
      <xdr:nvPicPr>
        <xdr:cNvPr id="162" name="image139.png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126</xdr:row>
      <xdr:rowOff>0</xdr:rowOff>
    </xdr:from>
    <xdr:ext cx="304800" cy="200025"/>
    <xdr:pic>
      <xdr:nvPicPr>
        <xdr:cNvPr id="163" name="image145.jpg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127</xdr:row>
      <xdr:rowOff>0</xdr:rowOff>
    </xdr:from>
    <xdr:ext cx="609600" cy="200025"/>
    <xdr:pic>
      <xdr:nvPicPr>
        <xdr:cNvPr id="164" name="image131.jpg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128</xdr:row>
      <xdr:rowOff>0</xdr:rowOff>
    </xdr:from>
    <xdr:ext cx="314325" cy="200025"/>
    <xdr:pic>
      <xdr:nvPicPr>
        <xdr:cNvPr id="165" name="image124.jpg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131</xdr:row>
      <xdr:rowOff>0</xdr:rowOff>
    </xdr:from>
    <xdr:ext cx="828675" cy="200025"/>
    <xdr:pic>
      <xdr:nvPicPr>
        <xdr:cNvPr id="166" name="image120.jpg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132</xdr:row>
      <xdr:rowOff>0</xdr:rowOff>
    </xdr:from>
    <xdr:ext cx="847725" cy="200025"/>
    <xdr:pic>
      <xdr:nvPicPr>
        <xdr:cNvPr id="167" name="image116.jpg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133</xdr:row>
      <xdr:rowOff>0</xdr:rowOff>
    </xdr:from>
    <xdr:ext cx="381000" cy="200025"/>
    <xdr:pic>
      <xdr:nvPicPr>
        <xdr:cNvPr id="168" name="image135.jpg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134</xdr:row>
      <xdr:rowOff>0</xdr:rowOff>
    </xdr:from>
    <xdr:ext cx="704850" cy="200025"/>
    <xdr:pic>
      <xdr:nvPicPr>
        <xdr:cNvPr id="169" name="image126.jpg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139</xdr:row>
      <xdr:rowOff>0</xdr:rowOff>
    </xdr:from>
    <xdr:ext cx="533400" cy="200025"/>
    <xdr:pic>
      <xdr:nvPicPr>
        <xdr:cNvPr id="170" name="image142.jpg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141</xdr:row>
      <xdr:rowOff>0</xdr:rowOff>
    </xdr:from>
    <xdr:ext cx="200025" cy="200025"/>
    <xdr:pic>
      <xdr:nvPicPr>
        <xdr:cNvPr id="171" name="image6.png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sF543Wj2O3J-VCH-OTItrIZWRuZwYq3K/view?usp=drive_link" TargetMode="External"/><Relationship Id="rId13" Type="http://schemas.openxmlformats.org/officeDocument/2006/relationships/hyperlink" Target="https://docs.google.com/document/d/1nW3q1KeigZr7Vl9FetBQoLPfz-81HjID53e25Als_vQ/edit?usp=sharing" TargetMode="External"/><Relationship Id="rId3" Type="http://schemas.openxmlformats.org/officeDocument/2006/relationships/hyperlink" Target="https://drive.google.com/file/d/1sF543Wj2O3J-VCH-OTItrIZWRuZwYq3K/view?usp=drive_link" TargetMode="External"/><Relationship Id="rId7" Type="http://schemas.openxmlformats.org/officeDocument/2006/relationships/hyperlink" Target="https://drive.google.com/file/d/13ZvFOJ_xNd1JooQ0Sv_PGWVr-qjOWNVQ/view?usp=drive_link" TargetMode="External"/><Relationship Id="rId12" Type="http://schemas.openxmlformats.org/officeDocument/2006/relationships/hyperlink" Target="https://docs.google.com/document/d/1mjHnmAp9fkbcVdAc3QER0fhB1j4UP2cOKfkrQG09Hig/edit?usp=sharing" TargetMode="External"/><Relationship Id="rId2" Type="http://schemas.openxmlformats.org/officeDocument/2006/relationships/hyperlink" Target="https://drive.google.com/file/d/13ZvFOJ_xNd1JooQ0Sv_PGWVr-qjOWNVQ/view?usp=drive_link" TargetMode="External"/><Relationship Id="rId1" Type="http://schemas.openxmlformats.org/officeDocument/2006/relationships/hyperlink" Target="https://drive.google.com/file/d/1m0uXKz3Ii39tkC-gG9Z8GCDaUKzjwibW/view?usp=drive_link" TargetMode="External"/><Relationship Id="rId6" Type="http://schemas.openxmlformats.org/officeDocument/2006/relationships/hyperlink" Target="https://drive.google.com/file/d/1xo4X1FU57jfMgXFduyzV7lEUXkckvXEW/view?usp=drive_link" TargetMode="External"/><Relationship Id="rId11" Type="http://schemas.openxmlformats.org/officeDocument/2006/relationships/hyperlink" Target="https://docs.google.com/document/d/1D_V2tqRliDTanfArrgENuSBwW56sv62EUbEUTP0DKb4/edit?tab=t.0" TargetMode="External"/><Relationship Id="rId5" Type="http://schemas.openxmlformats.org/officeDocument/2006/relationships/hyperlink" Target="https://drive.google.com/file/d/1QUVOUM41xvyF4HQxG1Q_B21iB1BOR2nt/view?usp=drive_link" TargetMode="External"/><Relationship Id="rId15" Type="http://schemas.openxmlformats.org/officeDocument/2006/relationships/comments" Target="../comments2.xml"/><Relationship Id="rId10" Type="http://schemas.openxmlformats.org/officeDocument/2006/relationships/hyperlink" Target="https://drive.google.com/file/d/1QUVOUM41xvyF4HQxG1Q_B21iB1BOR2nt/view?usp=drive_link" TargetMode="External"/><Relationship Id="rId4" Type="http://schemas.openxmlformats.org/officeDocument/2006/relationships/hyperlink" Target="https://drive.google.com/file/d/1qZasXevMiEN1z54t0J4XlyqYYg49a1Hk/view?usp=drive_link" TargetMode="External"/><Relationship Id="rId9" Type="http://schemas.openxmlformats.org/officeDocument/2006/relationships/hyperlink" Target="https://drive.google.com/file/d/1qZasXevMiEN1z54t0J4XlyqYYg49a1Hk/view?usp=drive_link" TargetMode="External"/><Relationship Id="rId14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shopee.tw/product-i.28944793.56402147922" TargetMode="External"/><Relationship Id="rId18" Type="http://schemas.openxmlformats.org/officeDocument/2006/relationships/hyperlink" Target="https://shopee.tw/collections/6837236" TargetMode="External"/><Relationship Id="rId26" Type="http://schemas.openxmlformats.org/officeDocument/2006/relationships/hyperlink" Target="https://shopee.tw/m/shopeevip" TargetMode="External"/><Relationship Id="rId39" Type="http://schemas.openxmlformats.org/officeDocument/2006/relationships/hyperlink" Target="https://shopee.tw/m/shopeevip" TargetMode="External"/><Relationship Id="rId21" Type="http://schemas.openxmlformats.org/officeDocument/2006/relationships/hyperlink" Target="https://docs.google.com/spreadsheets/d/1YI-DTvb0XnRPOxavHBGwUjBuQyIzEruYWBjRPkoXvZo/edit?gid=353288673" TargetMode="External"/><Relationship Id="rId34" Type="http://schemas.openxmlformats.org/officeDocument/2006/relationships/hyperlink" Target="https://shopee.tw/m/shopeevip" TargetMode="External"/><Relationship Id="rId42" Type="http://schemas.openxmlformats.org/officeDocument/2006/relationships/hyperlink" Target="https://shopee.tw/m/mid-month-sale" TargetMode="External"/><Relationship Id="rId47" Type="http://schemas.openxmlformats.org/officeDocument/2006/relationships/drawing" Target="../drawings/drawing2.xml"/><Relationship Id="rId7" Type="http://schemas.openxmlformats.org/officeDocument/2006/relationships/hyperlink" Target="https://shopee.tw/product-i.19788054.29957428096" TargetMode="External"/><Relationship Id="rId2" Type="http://schemas.openxmlformats.org/officeDocument/2006/relationships/hyperlink" Target="https://docs.google.com/spreadsheets/d/1F6p5ZGcUH0Rozk-HNpQWQK2h7ZrCjBE7gRkdwLerbGs/edit?gid=852372230" TargetMode="External"/><Relationship Id="rId16" Type="http://schemas.openxmlformats.org/officeDocument/2006/relationships/hyperlink" Target="https://shopee.tw/collections/6837236" TargetMode="External"/><Relationship Id="rId29" Type="http://schemas.openxmlformats.org/officeDocument/2006/relationships/hyperlink" Target="https://shopee.tw/m/shopeevip" TargetMode="External"/><Relationship Id="rId11" Type="http://schemas.openxmlformats.org/officeDocument/2006/relationships/hyperlink" Target="https://shopee.tw/product-i.108078562.26186841327" TargetMode="External"/><Relationship Id="rId24" Type="http://schemas.openxmlformats.org/officeDocument/2006/relationships/hyperlink" Target="https://shopee.tw/m/user-livestream" TargetMode="External"/><Relationship Id="rId32" Type="http://schemas.openxmlformats.org/officeDocument/2006/relationships/hyperlink" Target="https://shopee.tw/m/mid-month-sale" TargetMode="External"/><Relationship Id="rId37" Type="http://schemas.openxmlformats.org/officeDocument/2006/relationships/hyperlink" Target="https://shopee.tw/m/mid-month-sale" TargetMode="External"/><Relationship Id="rId40" Type="http://schemas.openxmlformats.org/officeDocument/2006/relationships/hyperlink" Target="https://shopee.tw/m/lingeriefestiv" TargetMode="External"/><Relationship Id="rId45" Type="http://schemas.openxmlformats.org/officeDocument/2006/relationships/hyperlink" Target="https://shopee.tw/m/lingeriefestiv" TargetMode="External"/><Relationship Id="rId5" Type="http://schemas.openxmlformats.org/officeDocument/2006/relationships/hyperlink" Target="https://shopee.tw/product-i.19788054.29962846868" TargetMode="External"/><Relationship Id="rId15" Type="http://schemas.openxmlformats.org/officeDocument/2006/relationships/hyperlink" Target="https://shopee.tw/product-i.28944793.56302147921" TargetMode="External"/><Relationship Id="rId23" Type="http://schemas.openxmlformats.org/officeDocument/2006/relationships/hyperlink" Target="https://shopee.tw/m/free-shipping" TargetMode="External"/><Relationship Id="rId28" Type="http://schemas.openxmlformats.org/officeDocument/2006/relationships/hyperlink" Target="https://shopee.tw/m/free-shipping" TargetMode="External"/><Relationship Id="rId36" Type="http://schemas.openxmlformats.org/officeDocument/2006/relationships/hyperlink" Target="https://shopee.tw/m/LG-0418-Spikeday" TargetMode="External"/><Relationship Id="rId49" Type="http://schemas.openxmlformats.org/officeDocument/2006/relationships/comments" Target="../comments3.xml"/><Relationship Id="rId10" Type="http://schemas.openxmlformats.org/officeDocument/2006/relationships/hyperlink" Target="https://shopee.tw/collections/6837236" TargetMode="External"/><Relationship Id="rId19" Type="http://schemas.openxmlformats.org/officeDocument/2006/relationships/hyperlink" Target="https://shopee.tw/product-i.36633869.2661638096" TargetMode="External"/><Relationship Id="rId31" Type="http://schemas.openxmlformats.org/officeDocument/2006/relationships/hyperlink" Target="https://shopee.tw/m/AMART20260418" TargetMode="External"/><Relationship Id="rId44" Type="http://schemas.openxmlformats.org/officeDocument/2006/relationships/hyperlink" Target="https://shopee.tw/m/shopeevip" TargetMode="External"/><Relationship Id="rId4" Type="http://schemas.openxmlformats.org/officeDocument/2006/relationships/hyperlink" Target="https://docs.google.com/spreadsheets/d/1SdNjpx0o_arTY2T4WTID_xzdKfEI55AVuRtoP4yw_HU/edit?gid=526563231" TargetMode="External"/><Relationship Id="rId9" Type="http://schemas.openxmlformats.org/officeDocument/2006/relationships/hyperlink" Target="https://shopee.tw/product-i.108078562.57651827608" TargetMode="External"/><Relationship Id="rId14" Type="http://schemas.openxmlformats.org/officeDocument/2006/relationships/hyperlink" Target="https://shopee.tw/collections/6837236" TargetMode="External"/><Relationship Id="rId22" Type="http://schemas.openxmlformats.org/officeDocument/2006/relationships/hyperlink" Target="https://shopee.tw/m/mid-month-sale" TargetMode="External"/><Relationship Id="rId27" Type="http://schemas.openxmlformats.org/officeDocument/2006/relationships/hyperlink" Target="https://shopee.tw/m/mid-month-sale" TargetMode="External"/><Relationship Id="rId30" Type="http://schemas.openxmlformats.org/officeDocument/2006/relationships/hyperlink" Target="https://shopee.tw/m/lingeriefestival" TargetMode="External"/><Relationship Id="rId35" Type="http://schemas.openxmlformats.org/officeDocument/2006/relationships/hyperlink" Target="https://shopee.tw/m/lingeriefestiv" TargetMode="External"/><Relationship Id="rId43" Type="http://schemas.openxmlformats.org/officeDocument/2006/relationships/hyperlink" Target="https://shopee.tw/m/free-shipping" TargetMode="External"/><Relationship Id="rId48" Type="http://schemas.openxmlformats.org/officeDocument/2006/relationships/vmlDrawing" Target="../drawings/vmlDrawing3.vml"/><Relationship Id="rId8" Type="http://schemas.openxmlformats.org/officeDocument/2006/relationships/hyperlink" Target="https://shopee.tw/collections/6837236" TargetMode="External"/><Relationship Id="rId3" Type="http://schemas.openxmlformats.org/officeDocument/2006/relationships/hyperlink" Target="https://docs.google.com/spreadsheets/d/1SdNjpx0o_arTY2T4WTID_xzdKfEI55AVuRtoP4yw_HU/edit?gid=526563231" TargetMode="External"/><Relationship Id="rId12" Type="http://schemas.openxmlformats.org/officeDocument/2006/relationships/hyperlink" Target="https://shopee.tw/collections/6837236" TargetMode="External"/><Relationship Id="rId17" Type="http://schemas.openxmlformats.org/officeDocument/2006/relationships/hyperlink" Target="https://shopee.tw/product-i.36633869.2661638096" TargetMode="External"/><Relationship Id="rId25" Type="http://schemas.openxmlformats.org/officeDocument/2006/relationships/hyperlink" Target="https://shopee.tw/m/shopeevip" TargetMode="External"/><Relationship Id="rId33" Type="http://schemas.openxmlformats.org/officeDocument/2006/relationships/hyperlink" Target="https://shopee.tw/m/free-shipping" TargetMode="External"/><Relationship Id="rId38" Type="http://schemas.openxmlformats.org/officeDocument/2006/relationships/hyperlink" Target="https://shopee.tw/m/free-shipping" TargetMode="External"/><Relationship Id="rId46" Type="http://schemas.openxmlformats.org/officeDocument/2006/relationships/hyperlink" Target="https://shopee.tw/m/unicharm20260418" TargetMode="External"/><Relationship Id="rId20" Type="http://schemas.openxmlformats.org/officeDocument/2006/relationships/hyperlink" Target="https://shopee.tw/collections/6837236" TargetMode="External"/><Relationship Id="rId41" Type="http://schemas.openxmlformats.org/officeDocument/2006/relationships/hyperlink" Target="https://shopee.tw/m/watsons260418" TargetMode="External"/><Relationship Id="rId1" Type="http://schemas.openxmlformats.org/officeDocument/2006/relationships/hyperlink" Target="https://docs.google.com/spreadsheets/d/1vsKnm5lGxX1j8S3wI9LlwKBDocD0tqilc4essrMm9OQ/edit?gid=77663665" TargetMode="External"/><Relationship Id="rId6" Type="http://schemas.openxmlformats.org/officeDocument/2006/relationships/hyperlink" Target="https://shopee.tw/collections/6837236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BRQzvqqs8BPH9gn4bKwtyEoJyljKyjR0/view?usp=drive_link" TargetMode="External"/><Relationship Id="rId13" Type="http://schemas.openxmlformats.org/officeDocument/2006/relationships/hyperlink" Target="https://drive.google.com/file/d/1gLVV6MMME_LRKlj1aqVcrQuoMyLA_yz6/view?usp=drive_link" TargetMode="External"/><Relationship Id="rId18" Type="http://schemas.openxmlformats.org/officeDocument/2006/relationships/hyperlink" Target="https://drive.google.com/file/d/1gLVV6MMME_LRKlj1aqVcrQuoMyLA_yz6/view?usp=drive_link" TargetMode="External"/><Relationship Id="rId26" Type="http://schemas.openxmlformats.org/officeDocument/2006/relationships/hyperlink" Target="https://drive.google.com/file/d/1agIeU7YmVK93R9UXUC06w2hUsj6PkJID/view?usp=drive_link" TargetMode="External"/><Relationship Id="rId3" Type="http://schemas.openxmlformats.org/officeDocument/2006/relationships/hyperlink" Target="https://drive.google.com/file/d/1fopijr16hysKtDUPEisoql5iOt1Z3MCj/view?usp=drive_link" TargetMode="External"/><Relationship Id="rId21" Type="http://schemas.openxmlformats.org/officeDocument/2006/relationships/hyperlink" Target="https://drive.google.com/file/d/1LwCikPUxgag8IuIIHIvsw3M2eK8VzsNo/view?usp=drive_link" TargetMode="External"/><Relationship Id="rId7" Type="http://schemas.openxmlformats.org/officeDocument/2006/relationships/hyperlink" Target="https://drive.google.com/file/d/1agIeU7YmVK93R9UXUC06w2hUsj6PkJID/view?usp=drive_link" TargetMode="External"/><Relationship Id="rId12" Type="http://schemas.openxmlformats.org/officeDocument/2006/relationships/hyperlink" Target="https://drive.google.com/file/d/1agIeU7YmVK93R9UXUC06w2hUsj6PkJID/view?usp=drive_link" TargetMode="External"/><Relationship Id="rId17" Type="http://schemas.openxmlformats.org/officeDocument/2006/relationships/hyperlink" Target="https://drive.google.com/file/d/1S-VUf9zwhYIMseJ69kR9Alozzegd2WMn/view?usp=drive_link" TargetMode="External"/><Relationship Id="rId25" Type="http://schemas.openxmlformats.org/officeDocument/2006/relationships/hyperlink" Target="https://drive.google.com/file/d/1fopijr16hysKtDUPEisoql5iOt1Z3MCj/view?usp=drive_link" TargetMode="External"/><Relationship Id="rId2" Type="http://schemas.openxmlformats.org/officeDocument/2006/relationships/hyperlink" Target="https://drive.google.com/file/d/1-WPJxzh9_lNIlFpmeqYcgPIldtq9m-O9/view?usp=drive_link" TargetMode="External"/><Relationship Id="rId16" Type="http://schemas.openxmlformats.org/officeDocument/2006/relationships/hyperlink" Target="https://drive.google.com/file/d/1gLVV6MMME_LRKlj1aqVcrQuoMyLA_yz6/view?usp=drive_link" TargetMode="External"/><Relationship Id="rId20" Type="http://schemas.openxmlformats.org/officeDocument/2006/relationships/hyperlink" Target="https://drive.google.com/file/d/1sqGjr-hDSbPVSTTQgb34gvpFSZlEbCI8/view?usp=drive_link" TargetMode="External"/><Relationship Id="rId29" Type="http://schemas.openxmlformats.org/officeDocument/2006/relationships/drawing" Target="../drawings/drawing3.xml"/><Relationship Id="rId1" Type="http://schemas.openxmlformats.org/officeDocument/2006/relationships/hyperlink" Target="https://drive.google.com/file/d/1fopijr16hysKtDUPEisoql5iOt1Z3MCj/view?usp=drive_link" TargetMode="External"/><Relationship Id="rId6" Type="http://schemas.openxmlformats.org/officeDocument/2006/relationships/hyperlink" Target="https://drive.google.com/file/d/1fopijr16hysKtDUPEisoql5iOt1Z3MCj/view?usp=drive_link" TargetMode="External"/><Relationship Id="rId11" Type="http://schemas.openxmlformats.org/officeDocument/2006/relationships/hyperlink" Target="https://drive.google.com/file/d/1Ur5R85qQHXcQsQjdioebHNXl_0TJF2Pq/view?usp=drive_link" TargetMode="External"/><Relationship Id="rId24" Type="http://schemas.openxmlformats.org/officeDocument/2006/relationships/hyperlink" Target="https://drive.google.com/file/d/1LwCikPUxgag8IuIIHIvsw3M2eK8VzsNo/view?usp=drive_link" TargetMode="External"/><Relationship Id="rId5" Type="http://schemas.openxmlformats.org/officeDocument/2006/relationships/hyperlink" Target="https://drive.google.com/file/d/1nZBPH4kZ8pvpv2y0cI9Z_5_c1XxpM6da/view?usp=drive_link" TargetMode="External"/><Relationship Id="rId15" Type="http://schemas.openxmlformats.org/officeDocument/2006/relationships/hyperlink" Target="https://drive.google.com/file/d/1gLVV6MMME_LRKlj1aqVcrQuoMyLA_yz6/view?usp=drive_link" TargetMode="External"/><Relationship Id="rId23" Type="http://schemas.openxmlformats.org/officeDocument/2006/relationships/hyperlink" Target="https://drive.google.com/file/d/1evv92nd9AiVPxUm8kYIPaViSy9C3lcJJ/view?usp=drive_link" TargetMode="External"/><Relationship Id="rId28" Type="http://schemas.openxmlformats.org/officeDocument/2006/relationships/hyperlink" Target="https://drive.google.com/file/d/1LwCikPUxgag8IuIIHIvsw3M2eK8VzsNo/view?usp=drive_link" TargetMode="External"/><Relationship Id="rId10" Type="http://schemas.openxmlformats.org/officeDocument/2006/relationships/hyperlink" Target="https://drive.google.com/file/d/1agIeU7YmVK93R9UXUC06w2hUsj6PkJID/view?usp=drive_link" TargetMode="External"/><Relationship Id="rId19" Type="http://schemas.openxmlformats.org/officeDocument/2006/relationships/hyperlink" Target="https://drive.google.com/file/d/1LwCikPUxgag8IuIIHIvsw3M2eK8VzsNo/view?usp=drive_link" TargetMode="External"/><Relationship Id="rId4" Type="http://schemas.openxmlformats.org/officeDocument/2006/relationships/hyperlink" Target="https://drive.google.com/file/d/1fopijr16hysKtDUPEisoql5iOt1Z3MCj/view?usp=drive_link" TargetMode="External"/><Relationship Id="rId9" Type="http://schemas.openxmlformats.org/officeDocument/2006/relationships/hyperlink" Target="https://drive.google.com/file/d/1agIeU7YmVK93R9UXUC06w2hUsj6PkJID/view?usp=drive_link" TargetMode="External"/><Relationship Id="rId14" Type="http://schemas.openxmlformats.org/officeDocument/2006/relationships/hyperlink" Target="https://drive.google.com/file/d/1PvvfiGQsFpI2CtU1_lZoAKUbCw_hYp1T/view?usp=drive_link" TargetMode="External"/><Relationship Id="rId22" Type="http://schemas.openxmlformats.org/officeDocument/2006/relationships/hyperlink" Target="https://drive.google.com/file/d/1LwCikPUxgag8IuIIHIvsw3M2eK8VzsNo/view?usp=drive_link" TargetMode="External"/><Relationship Id="rId27" Type="http://schemas.openxmlformats.org/officeDocument/2006/relationships/hyperlink" Target="https://drive.google.com/file/d/1gLVV6MMME_LRKlj1aqVcrQuoMyLA_yz6/view?usp=drive_link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google.com/presentation/d/1XK8yDSsmucqsh5udVncCQoHkr3TnYTxCfZyRJU7OeOE/edit" TargetMode="External"/><Relationship Id="rId2" Type="http://schemas.openxmlformats.org/officeDocument/2006/relationships/hyperlink" Target="https://docs.google.com/presentation/d/1XK8yDSsmucqsh5udVncCQoHkr3TnYTxCfZyRJU7OeOE/edit" TargetMode="External"/><Relationship Id="rId1" Type="http://schemas.openxmlformats.org/officeDocument/2006/relationships/hyperlink" Target="https://docs.google.com/presentation/d/1yJoTHSJKuOlKzcJ4yROB3re-khhQ_bgQbgSg6p7zn3E/edit?pli=1&amp;slide=id.g1026e68fc13_7_56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workbookViewId="0">
      <pane ySplit="3" topLeftCell="A4" activePane="bottomLeft" state="frozen"/>
      <selection pane="bottomLeft" activeCell="B5" sqref="B5"/>
    </sheetView>
  </sheetViews>
  <sheetFormatPr defaultColWidth="12.5703125" defaultRowHeight="15" customHeight="1"/>
  <cols>
    <col min="1" max="1" width="37.5703125" customWidth="1"/>
    <col min="2" max="2" width="27" customWidth="1"/>
    <col min="3" max="5" width="9.5703125" customWidth="1"/>
    <col min="6" max="6" width="39.140625" customWidth="1"/>
    <col min="7" max="7" width="10.85546875" customWidth="1"/>
    <col min="8" max="13" width="14.42578125" customWidth="1"/>
    <col min="14" max="15" width="10.140625" customWidth="1"/>
    <col min="16" max="26" width="11" customWidth="1"/>
  </cols>
  <sheetData>
    <row r="1" spans="1:15" ht="15.75" customHeight="1">
      <c r="A1" s="378" t="s">
        <v>0</v>
      </c>
      <c r="B1" s="1" t="s">
        <v>1</v>
      </c>
      <c r="C1" s="380"/>
      <c r="D1" s="381"/>
      <c r="E1" s="381"/>
      <c r="F1" s="382"/>
      <c r="G1" s="383" t="s">
        <v>1</v>
      </c>
      <c r="H1" s="384"/>
      <c r="I1" s="384"/>
      <c r="J1" s="384"/>
      <c r="K1" s="384"/>
      <c r="L1" s="384"/>
      <c r="M1" s="385"/>
      <c r="N1" s="2" t="s">
        <v>2</v>
      </c>
      <c r="O1" s="3"/>
    </row>
    <row r="2" spans="1:15" ht="15.75" customHeight="1">
      <c r="A2" s="379"/>
      <c r="B2" s="1" t="s">
        <v>3</v>
      </c>
      <c r="C2" s="4" t="s">
        <v>4</v>
      </c>
      <c r="D2" s="5" t="s">
        <v>5</v>
      </c>
      <c r="E2" s="4" t="s">
        <v>6</v>
      </c>
      <c r="F2" s="4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2" t="s">
        <v>15</v>
      </c>
      <c r="O2" s="3"/>
    </row>
    <row r="3" spans="1:15" ht="15.75" customHeight="1">
      <c r="A3" s="6" t="s">
        <v>16</v>
      </c>
      <c r="B3" s="7" t="s">
        <v>17</v>
      </c>
      <c r="C3" s="8" t="str">
        <f>IFERROR(VLOOKUP($B3,'(勿動)組件目錄表'!$D$15:$R$1094,2,FALSE),"-")</f>
        <v>-</v>
      </c>
      <c r="D3" s="8" t="str">
        <f>IFERROR(VLOOKUP($B3,'(勿動)組件目錄表'!$D$15:$R$1094,3,FALSE),"-")</f>
        <v>-</v>
      </c>
      <c r="E3" s="9" t="str">
        <f>IFERROR(VLOOKUP($B3,'(勿動)組件目錄表'!$D$15:$R$1094,4,FALSE),"-")</f>
        <v>-</v>
      </c>
      <c r="F3" s="10" t="str">
        <f>IFERROR(VLOOKUP($B3,'(勿動)組件目錄表'!$D$15:$R$1094,5,FALSE),"-")</f>
        <v>-</v>
      </c>
      <c r="G3" s="11" t="str">
        <f>IFERROR(VLOOKUP($B3,'(勿動)組件目錄表'!$D$15:$R$1094,8,FALSE),"-")</f>
        <v>-</v>
      </c>
      <c r="H3" s="11" t="str">
        <f>IFERROR(VLOOKUP($B3,'(勿動)組件目錄表'!$D$15:$R$1094,9,FALSE),"-")</f>
        <v>-</v>
      </c>
      <c r="I3" s="11" t="str">
        <f>IFERROR(VLOOKUP($B3,'(勿動)組件目錄表'!$D$15:$R$1094,10,FALSE),"-")</f>
        <v>-</v>
      </c>
      <c r="J3" s="12" t="str">
        <f>IFERROR(VLOOKUP($B3,'(勿動)組件目錄表'!$D$15:$R$1094,11,FALSE),"-")</f>
        <v>-</v>
      </c>
      <c r="K3" s="11" t="str">
        <f>IFERROR(VLOOKUP($B3,'(勿動)組件目錄表'!$D$15:$R$1094,12,FALSE),"-")</f>
        <v>-</v>
      </c>
      <c r="L3" s="11" t="str">
        <f>IFERROR(VLOOKUP($B3,'(勿動)組件目錄表'!$D$15:$R$1094,13,FALSE),"-")</f>
        <v>-</v>
      </c>
      <c r="M3" s="11" t="str">
        <f>IFERROR(VLOOKUP($B3,'(勿動)組件目錄表'!$D$15:$R$1094,14,FALSE),"-")</f>
        <v>-</v>
      </c>
      <c r="N3" s="13">
        <f t="shared" ref="N3:N111" ca="1" si="0">SUMPRODUCT((G3:M3&lt;&gt;"-") * ISNUMBER(SEARCH("VLOOKUP", _xludf.FORMULATEXT(G3:M3))))</f>
        <v>0</v>
      </c>
      <c r="O3" s="14"/>
    </row>
    <row r="4" spans="1:15" ht="15.75" customHeight="1">
      <c r="A4" s="386" t="s">
        <v>18</v>
      </c>
      <c r="B4" s="7" t="s">
        <v>19</v>
      </c>
      <c r="C4" s="8"/>
      <c r="D4" s="8" t="s">
        <v>20</v>
      </c>
      <c r="E4" s="9" t="str">
        <f>IFERROR(VLOOKUP($B4,'(勿動)組件目錄表'!$D$15:$R$1094,4,FALSE),"-")</f>
        <v>Background Color</v>
      </c>
      <c r="F4" s="10">
        <f>IFERROR(VLOOKUP($B4,'(勿動)組件目錄表'!$D$15:$R$1094,5,FALSE),"-")</f>
        <v>0.5</v>
      </c>
      <c r="G4" s="11" t="str">
        <f>IFERROR(VLOOKUP($B4,'(勿動)組件目錄表'!$D$15:$R$1094,8,FALSE),"-")</f>
        <v>MM/DD hh (若全走期都需曝光，請清空此欄毋需填寫)</v>
      </c>
      <c r="H4" s="11" t="str">
        <f>IFERROR(VLOOKUP($B4,'(勿動)組件目錄表'!$D$15:$R$1094,9,FALSE),"-")</f>
        <v>Rule Set Name：</v>
      </c>
      <c r="I4" s="11" t="str">
        <f>IFERROR(VLOOKUP($B4,'(勿動)組件目錄表'!$D$15:$R$1094,10,FALSE),"-")</f>
        <v>Page Background Color：# (請填色碼)</v>
      </c>
      <c r="J4" s="11" t="str">
        <f>IFERROR(VLOOKUP($B4,'(勿動)組件目錄表'!$D$15:$R$1094,11,FALSE),"-")</f>
        <v>-</v>
      </c>
      <c r="K4" s="11" t="str">
        <f>IFERROR(VLOOKUP($B4,'(勿動)組件目錄表'!$D$15:$R$1094,12,FALSE),"-")</f>
        <v>-</v>
      </c>
      <c r="L4" s="11" t="str">
        <f>IFERROR(VLOOKUP($B4,'(勿動)組件目錄表'!$D$15:$R$1094,13,FALSE),"-")</f>
        <v>-</v>
      </c>
      <c r="M4" s="11" t="str">
        <f>IFERROR(VLOOKUP($B4,'(勿動)組件目錄表'!$D$15:$R$1094,14,FALSE),"-")</f>
        <v>-</v>
      </c>
      <c r="N4" s="15">
        <f t="shared" ca="1" si="0"/>
        <v>0</v>
      </c>
      <c r="O4" s="16"/>
    </row>
    <row r="5" spans="1:15" ht="15.75" customHeight="1">
      <c r="A5" s="387"/>
      <c r="B5" s="7" t="s">
        <v>21</v>
      </c>
      <c r="C5" s="8" t="s">
        <v>22</v>
      </c>
      <c r="D5" s="8"/>
      <c r="E5" s="9" t="str">
        <f>IFERROR(VLOOKUP($B5,'(勿動)組件目錄表'!$D$15:$R$1094,4,FALSE),"-")</f>
        <v>頭巾</v>
      </c>
      <c r="F5" s="10">
        <f>IFERROR(VLOOKUP($B5,'(勿動)組件目錄表'!$D$15:$R$1094,5,FALSE),"-")</f>
        <v>0.5</v>
      </c>
      <c r="G5" s="11" t="str">
        <f>IFERROR(VLOOKUP($B5,'(勿動)組件目錄表'!$D$15:$R$1094,8,FALSE),"-")</f>
        <v>MM/DD hh (若全走期都需曝光，請清空此欄毋需填寫)</v>
      </c>
      <c r="H5" s="11" t="str">
        <f>IFERROR(VLOOKUP($B5,'(勿動)組件目錄表'!$D$15:$R$1094,9,FALSE),"-")</f>
        <v>Rule Set Name：</v>
      </c>
      <c r="I5" s="11" t="str">
        <f>IFERROR(VLOOKUP($B5,'(勿動)組件目錄表'!$D$15:$R$1094,10,FALSE),"-")</f>
        <v>由MKT更新，此欄位固定格式，不需提供資訊
(Voucher CID：12917705872)</v>
      </c>
      <c r="J5" s="11" t="str">
        <f>IFERROR(VLOOKUP($B5,'(勿動)組件目錄表'!$D$15:$R$1094,11,FALSE),"-")</f>
        <v>-</v>
      </c>
      <c r="K5" s="11" t="str">
        <f>IFERROR(VLOOKUP($B5,'(勿動)組件目錄表'!$D$15:$R$1094,12,FALSE),"-")</f>
        <v>-</v>
      </c>
      <c r="L5" s="11" t="str">
        <f>IFERROR(VLOOKUP($B5,'(勿動)組件目錄表'!$D$15:$R$1094,13,FALSE),"-")</f>
        <v>-</v>
      </c>
      <c r="M5" s="11" t="str">
        <f>IFERROR(VLOOKUP($B5,'(勿動)組件目錄表'!$D$15:$R$1094,14,FALSE),"-")</f>
        <v>-</v>
      </c>
      <c r="N5" s="15">
        <f t="shared" ca="1" si="0"/>
        <v>0</v>
      </c>
      <c r="O5" s="16"/>
    </row>
    <row r="6" spans="1:15" ht="15.75" customHeight="1">
      <c r="A6" s="387"/>
      <c r="B6" s="7" t="s">
        <v>23</v>
      </c>
      <c r="C6" s="8" t="str">
        <f>IFERROR(VLOOKUP($B6,'(勿動)組件目錄表'!$D$15:$R$1094,2,FALSE),"-")</f>
        <v>A-2</v>
      </c>
      <c r="D6" s="8" t="s">
        <v>24</v>
      </c>
      <c r="E6" s="9">
        <f>IFERROR(VLOOKUP($B6,'(勿動)組件目錄表'!$D$15:$R$1094,4,FALSE),"-")</f>
        <v>0</v>
      </c>
      <c r="F6" s="10">
        <f>IFERROR(VLOOKUP($B6,'(勿動)組件目錄表'!$D$15:$R$1094,5,FALSE),"-")</f>
        <v>0.5</v>
      </c>
      <c r="G6" s="11">
        <f>IFERROR(VLOOKUP($B6,'(勿動)組件目錄表'!$D$15:$R$1094,8,FALSE),"-")</f>
        <v>0</v>
      </c>
      <c r="H6" s="11">
        <f>IFERROR(VLOOKUP($B6,'(勿動)組件目錄表'!$D$15:$R$1094,9,FALSE),"-")</f>
        <v>0</v>
      </c>
      <c r="I6" s="11">
        <f>IFERROR(VLOOKUP($B6,'(勿動)組件目錄表'!$D$15:$R$1094,10,FALSE),"-")</f>
        <v>0</v>
      </c>
      <c r="J6" s="11">
        <f>IFERROR(VLOOKUP($B6,'(勿動)組件目錄表'!$D$15:$R$1094,11,FALSE),"-")</f>
        <v>0</v>
      </c>
      <c r="K6" s="11">
        <f>IFERROR(VLOOKUP($B6,'(勿動)組件目錄表'!$D$15:$R$1094,12,FALSE),"-")</f>
        <v>0</v>
      </c>
      <c r="L6" s="11">
        <f>IFERROR(VLOOKUP($B6,'(勿動)組件目錄表'!$D$15:$R$1094,13,FALSE),"-")</f>
        <v>0</v>
      </c>
      <c r="M6" s="11">
        <f>IFERROR(VLOOKUP($B6,'(勿動)組件目錄表'!$D$15:$R$1094,14,FALSE),"-")</f>
        <v>0</v>
      </c>
      <c r="N6" s="15">
        <f t="shared" ca="1" si="0"/>
        <v>0</v>
      </c>
      <c r="O6" s="16"/>
    </row>
    <row r="7" spans="1:15" ht="15.75" customHeight="1">
      <c r="A7" s="387"/>
      <c r="B7" s="7" t="s">
        <v>25</v>
      </c>
      <c r="C7" s="8"/>
      <c r="D7" s="8"/>
      <c r="E7" s="9" t="str">
        <f>IFERROR(VLOOKUP($B7,'(勿動)組件目錄表'!$D$15:$R$1094,4,FALSE),"-")</f>
        <v>Game Time Tracker</v>
      </c>
      <c r="F7" s="10">
        <f>IFERROR(VLOOKUP($B7,'(勿動)組件目錄表'!$D$15:$R$1094,5,FALSE),"-")</f>
        <v>0.5</v>
      </c>
      <c r="G7" s="11" t="str">
        <f>IFERROR(VLOOKUP($B7,'(勿動)組件目錄表'!$D$15:$R$1094,8,FALSE),"-")</f>
        <v>MM/DD hh (若全走期都需曝光，請清空此欄毋需填寫)</v>
      </c>
      <c r="H7" s="11" t="str">
        <f>IFERROR(VLOOKUP($B7,'(勿動)組件目錄表'!$D$15:$R$1094,9,FALSE),"-")</f>
        <v>Rule Set Name：</v>
      </c>
      <c r="I7" s="11" t="str">
        <f>IFERROR(VLOOKUP($B7,'(勿動)組件目錄表'!$D$15:$R$1094,10,FALSE),"-")</f>
        <v>固定格式，不需提供資訊</v>
      </c>
      <c r="J7" s="11" t="str">
        <f>IFERROR(VLOOKUP($B7,'(勿動)組件目錄表'!$D$15:$R$1094,11,FALSE),"-")</f>
        <v>-</v>
      </c>
      <c r="K7" s="11" t="str">
        <f>IFERROR(VLOOKUP($B7,'(勿動)組件目錄表'!$D$15:$R$1094,12,FALSE),"-")</f>
        <v>-</v>
      </c>
      <c r="L7" s="11" t="str">
        <f>IFERROR(VLOOKUP($B7,'(勿動)組件目錄表'!$D$15:$R$1094,13,FALSE),"-")</f>
        <v>-</v>
      </c>
      <c r="M7" s="11" t="str">
        <f>IFERROR(VLOOKUP($B7,'(勿動)組件目錄表'!$D$15:$R$1094,14,FALSE),"-")</f>
        <v>-</v>
      </c>
      <c r="N7" s="15">
        <f t="shared" ca="1" si="0"/>
        <v>0</v>
      </c>
      <c r="O7" s="16"/>
    </row>
    <row r="8" spans="1:15" ht="15.75" customHeight="1">
      <c r="A8" s="387"/>
      <c r="B8" s="7" t="s">
        <v>26</v>
      </c>
      <c r="C8" s="8" t="s">
        <v>27</v>
      </c>
      <c r="D8" s="8" t="s">
        <v>28</v>
      </c>
      <c r="E8" s="9" t="str">
        <f>IFERROR(VLOOKUP($B8,'(勿動)組件目錄表'!$D$15:$R$1094,4,FALSE),"-")</f>
        <v>-</v>
      </c>
      <c r="F8" s="10" t="str">
        <f>IFERROR(VLOOKUP($B8,'(勿動)組件目錄表'!$D$15:$R$1094,5,FALSE),"-")</f>
        <v>-</v>
      </c>
      <c r="G8" s="11" t="str">
        <f>IFERROR(VLOOKUP($B8,'(勿動)組件目錄表'!$D$15:$R$1094,8,FALSE),"-")</f>
        <v>-</v>
      </c>
      <c r="H8" s="11"/>
      <c r="I8" s="11" t="str">
        <f>IFERROR(VLOOKUP($B8,'(勿動)組件目錄表'!$D$15:$R$1094,10,FALSE),"-")</f>
        <v>-</v>
      </c>
      <c r="J8" s="11" t="str">
        <f>IFERROR(VLOOKUP($B8,'(勿動)組件目錄表'!$D$15:$R$1094,11,FALSE),"-")</f>
        <v>-</v>
      </c>
      <c r="K8" s="11" t="str">
        <f>IFERROR(VLOOKUP($B8,'(勿動)組件目錄表'!$D$15:$R$1094,12,FALSE),"-")</f>
        <v>-</v>
      </c>
      <c r="L8" s="11" t="str">
        <f>IFERROR(VLOOKUP($B8,'(勿動)組件目錄表'!$D$15:$R$1094,13,FALSE),"-")</f>
        <v>-</v>
      </c>
      <c r="M8" s="11" t="str">
        <f>IFERROR(VLOOKUP($B8,'(勿動)組件目錄表'!$D$15:$R$1094,14,FALSE),"-")</f>
        <v>-</v>
      </c>
      <c r="N8" s="15">
        <f t="shared" ca="1" si="0"/>
        <v>0</v>
      </c>
      <c r="O8" s="16"/>
    </row>
    <row r="9" spans="1:15" ht="15.75" customHeight="1">
      <c r="A9" s="387"/>
      <c r="B9" s="7" t="s">
        <v>29</v>
      </c>
      <c r="C9" s="8"/>
      <c r="D9" s="8"/>
      <c r="E9" s="9">
        <f>IFERROR(VLOOKUP($B9,'(勿動)組件目錄表'!$D$15:$R$1094,4,FALSE),"-")</f>
        <v>0</v>
      </c>
      <c r="F9" s="10">
        <f>IFERROR(VLOOKUP($B9,'(勿動)組件目錄表'!$D$15:$R$1094,5,FALSE),"-")</f>
        <v>0.5</v>
      </c>
      <c r="G9" s="11" t="str">
        <f>IFERROR(VLOOKUP($B9,'(勿動)組件目錄表'!$D$15:$R$1094,8,FALSE),"-")</f>
        <v>MM/DD hh (若全走期都需曝光，請清空此欄毋需填寫)</v>
      </c>
      <c r="H9" s="11" t="str">
        <f>IFERROR(VLOOKUP($B9,'(勿動)組件目錄表'!$D$15:$R$1094,9,FALSE),"-")</f>
        <v>Rule Set Name：</v>
      </c>
      <c r="I9" s="11" t="str">
        <f>IFERROR(VLOOKUP($B9,'(勿動)組件目錄表'!$D$15:$R$1094,10,FALSE),"-")</f>
        <v>Header Text Color：# (請填色碼)</v>
      </c>
      <c r="J9" s="11" t="str">
        <f>IFERROR(VLOOKUP($B9,'(勿動)組件目錄表'!$D$15:$R$1094,11,FALSE),"-")</f>
        <v>Header Background Color：# (請填色碼)</v>
      </c>
      <c r="K9" s="11" t="str">
        <f>IFERROR(VLOOKUP($B9,'(勿動)組件目錄表'!$D$15:$R$1094,12,FALSE),"-")</f>
        <v>-</v>
      </c>
      <c r="L9" s="11" t="str">
        <f>IFERROR(VLOOKUP($B9,'(勿動)組件目錄表'!$D$15:$R$1094,13,FALSE),"-")</f>
        <v>-</v>
      </c>
      <c r="M9" s="11" t="str">
        <f>IFERROR(VLOOKUP($B9,'(勿動)組件目錄表'!$D$15:$R$1094,14,FALSE),"-")</f>
        <v>-</v>
      </c>
      <c r="N9" s="15">
        <f t="shared" ca="1" si="0"/>
        <v>0</v>
      </c>
      <c r="O9" s="16"/>
    </row>
    <row r="10" spans="1:15" ht="15.75" customHeight="1">
      <c r="A10" s="387"/>
      <c r="B10" s="7" t="s">
        <v>30</v>
      </c>
      <c r="C10" s="8" t="str">
        <f>IFERROR(VLOOKUP($B10,'(勿動)組件目錄表'!$D$15:$R$1094,2,FALSE),"-")</f>
        <v>-</v>
      </c>
      <c r="D10" s="8" t="s">
        <v>31</v>
      </c>
      <c r="E10" s="9" t="str">
        <f>IFERROR(VLOOKUP($B10,'(勿動)組件目錄表'!$D$15:$R$1094,4,FALSE),"-")</f>
        <v>-</v>
      </c>
      <c r="F10" s="10" t="str">
        <f>IFERROR(VLOOKUP($B10,'(勿動)組件目錄表'!$D$15:$R$1094,5,FALSE),"-")</f>
        <v>-</v>
      </c>
      <c r="G10" s="11" t="str">
        <f>IFERROR(VLOOKUP($B10,'(勿動)組件目錄表'!$D$15:$R$1094,8,FALSE),"-")</f>
        <v>-</v>
      </c>
      <c r="H10" s="11" t="str">
        <f>IFERROR(VLOOKUP($B10,'(勿動)組件目錄表'!$D$15:$R$1094,9,FALSE),"-")</f>
        <v>-</v>
      </c>
      <c r="I10" s="11" t="str">
        <f>IFERROR(VLOOKUP($B10,'(勿動)組件目錄表'!$D$15:$R$1094,10,FALSE),"-")</f>
        <v>-</v>
      </c>
      <c r="J10" s="11" t="str">
        <f>IFERROR(VLOOKUP($B10,'(勿動)組件目錄表'!$D$15:$R$1094,11,FALSE),"-")</f>
        <v>-</v>
      </c>
      <c r="K10" s="11" t="str">
        <f>IFERROR(VLOOKUP($B10,'(勿動)組件目錄表'!$D$15:$R$1094,12,FALSE),"-")</f>
        <v>-</v>
      </c>
      <c r="L10" s="11" t="str">
        <f>IFERROR(VLOOKUP($B10,'(勿動)組件目錄表'!$D$15:$R$1094,13,FALSE),"-")</f>
        <v>-</v>
      </c>
      <c r="M10" s="11" t="str">
        <f>IFERROR(VLOOKUP($B10,'(勿動)組件目錄表'!$D$15:$R$1094,14,FALSE),"-")</f>
        <v>-</v>
      </c>
      <c r="N10" s="15">
        <f t="shared" ca="1" si="0"/>
        <v>0</v>
      </c>
      <c r="O10" s="16"/>
    </row>
    <row r="11" spans="1:15" ht="15.75" customHeight="1">
      <c r="A11" s="387"/>
      <c r="B11" s="7" t="s">
        <v>32</v>
      </c>
      <c r="C11" s="8" t="str">
        <f>IFERROR(VLOOKUP($B11,'(勿動)組件目錄表'!$D$15:$R$1094,2,FALSE),"-")</f>
        <v>E-1</v>
      </c>
      <c r="D11" s="8">
        <f>IFERROR(VLOOKUP($B11,'(勿動)組件目錄表'!$D$15:$R$1094,3,FALSE),"-")</f>
        <v>0</v>
      </c>
      <c r="E11" s="9" t="str">
        <f>IFERROR(VLOOKUP($B11,'(勿動)組件目錄表'!$D$15:$R$1094,4,FALSE),"-")</f>
        <v>說明文字</v>
      </c>
      <c r="F11" s="10">
        <f>IFERROR(VLOOKUP($B11,'(勿動)組件目錄表'!$D$15:$R$1094,5,FALSE),"-")</f>
        <v>0.5</v>
      </c>
      <c r="G11" s="11" t="str">
        <f>IFERROR(VLOOKUP($B11,'(勿動)組件目錄表'!$D$15:$R$1094,8,FALSE),"-")</f>
        <v>MM/DD hh (若全走期都需曝光，請清空此欄毋需填寫)</v>
      </c>
      <c r="H11" s="11" t="str">
        <f>IFERROR(VLOOKUP($B11,'(勿動)組件目錄表'!$D$15:$R$1094,9,FALSE),"-")</f>
        <v>Rule Set Name：</v>
      </c>
      <c r="I11" s="11" t="str">
        <f>IFERROR(VLOOKUP($B11,'(勿動)組件目錄表'!$D$15:$R$1094,10,FALSE),"-")</f>
        <v>Text Color：# (請填色碼)</v>
      </c>
      <c r="J11" s="11" t="str">
        <f>IFERROR(VLOOKUP($B11,'(勿動)組件目錄表'!$D$15:$R$1094,11,FALSE),"-")</f>
        <v>文案：</v>
      </c>
      <c r="K11" s="11" t="str">
        <f>IFERROR(VLOOKUP($B11,'(勿動)組件目錄表'!$D$15:$R$1094,12,FALSE),"-")</f>
        <v>-</v>
      </c>
      <c r="L11" s="11" t="str">
        <f>IFERROR(VLOOKUP($B11,'(勿動)組件目錄表'!$D$15:$R$1094,13,FALSE),"-")</f>
        <v>-</v>
      </c>
      <c r="M11" s="11" t="str">
        <f>IFERROR(VLOOKUP($B11,'(勿動)組件目錄表'!$D$15:$R$1094,14,FALSE),"-")</f>
        <v>-</v>
      </c>
      <c r="N11" s="15">
        <f t="shared" ca="1" si="0"/>
        <v>0</v>
      </c>
      <c r="O11" s="16"/>
    </row>
    <row r="12" spans="1:15" ht="15.75" customHeight="1">
      <c r="A12" s="388"/>
      <c r="B12" s="7" t="s">
        <v>17</v>
      </c>
      <c r="C12" s="8" t="str">
        <f>IFERROR(VLOOKUP($B12,'(勿動)組件目錄表'!$D$15:$R$1094,2,FALSE),"-")</f>
        <v>-</v>
      </c>
      <c r="D12" s="8" t="str">
        <f>IFERROR(VLOOKUP($B12,'(勿動)組件目錄表'!$D$15:$R$1094,3,FALSE),"-")</f>
        <v>-</v>
      </c>
      <c r="E12" s="9" t="str">
        <f>IFERROR(VLOOKUP($B12,'(勿動)組件目錄表'!$D$15:$R$1094,4,FALSE),"-")</f>
        <v>-</v>
      </c>
      <c r="F12" s="10" t="str">
        <f>IFERROR(VLOOKUP($B12,'(勿動)組件目錄表'!$D$15:$R$1094,5,FALSE),"-")</f>
        <v>-</v>
      </c>
      <c r="G12" s="11" t="str">
        <f>IFERROR(VLOOKUP($B12,'(勿動)組件目錄表'!$D$15:$R$1094,8,FALSE),"-")</f>
        <v>-</v>
      </c>
      <c r="H12" s="11" t="str">
        <f>IFERROR(VLOOKUP($B12,'(勿動)組件目錄表'!$D$15:$R$1094,9,FALSE),"-")</f>
        <v>-</v>
      </c>
      <c r="I12" s="11" t="str">
        <f>IFERROR(VLOOKUP($B12,'(勿動)組件目錄表'!$D$15:$R$1094,10,FALSE),"-")</f>
        <v>-</v>
      </c>
      <c r="J12" s="11" t="str">
        <f>IFERROR(VLOOKUP($B12,'(勿動)組件目錄表'!$D$15:$R$1094,11,FALSE),"-")</f>
        <v>-</v>
      </c>
      <c r="K12" s="11" t="str">
        <f>IFERROR(VLOOKUP($B12,'(勿動)組件目錄表'!$D$15:$R$1094,12,FALSE),"-")</f>
        <v>-</v>
      </c>
      <c r="L12" s="11" t="str">
        <f>IFERROR(VLOOKUP($B12,'(勿動)組件目錄表'!$D$15:$R$1094,13,FALSE),"-")</f>
        <v>-</v>
      </c>
      <c r="M12" s="11" t="str">
        <f>IFERROR(VLOOKUP($B12,'(勿動)組件目錄表'!$D$15:$R$1094,14,FALSE),"-")</f>
        <v>-</v>
      </c>
      <c r="N12" s="15">
        <f t="shared" ca="1" si="0"/>
        <v>0</v>
      </c>
      <c r="O12" s="16"/>
    </row>
    <row r="13" spans="1:15" ht="15.75" customHeight="1">
      <c r="A13" s="17"/>
      <c r="B13" s="7" t="s">
        <v>33</v>
      </c>
      <c r="C13" s="8" t="str">
        <f>IFERROR(VLOOKUP($B13,'(勿動)組件目錄表'!$D$15:$R$1094,2,FALSE),"-")</f>
        <v>-</v>
      </c>
      <c r="D13" s="8" t="str">
        <f>IFERROR(VLOOKUP($B13,'(勿動)組件目錄表'!$D$15:$R$1094,3,FALSE),"-")</f>
        <v>-</v>
      </c>
      <c r="E13" s="9" t="str">
        <f>IFERROR(VLOOKUP($B13,'(勿動)組件目錄表'!$D$15:$R$1094,4,FALSE),"-")</f>
        <v>-</v>
      </c>
      <c r="F13" s="10" t="str">
        <f>IFERROR(VLOOKUP($B13,'(勿動)組件目錄表'!$D$15:$R$1094,5,FALSE),"-")</f>
        <v>-</v>
      </c>
      <c r="G13" s="11" t="str">
        <f>IFERROR(VLOOKUP($B13,'(勿動)組件目錄表'!$D$15:$R$1094,8,FALSE),"-")</f>
        <v>-</v>
      </c>
      <c r="H13" s="11" t="str">
        <f>IFERROR(VLOOKUP($B13,'(勿動)組件目錄表'!$D$15:$R$1094,9,FALSE),"-")</f>
        <v>-</v>
      </c>
      <c r="I13" s="11" t="str">
        <f>IFERROR(VLOOKUP($B13,'(勿動)組件目錄表'!$D$15:$R$1094,10,FALSE),"-")</f>
        <v>-</v>
      </c>
      <c r="J13" s="11" t="str">
        <f>IFERROR(VLOOKUP($B13,'(勿動)組件目錄表'!$D$15:$R$1094,11,FALSE),"-")</f>
        <v>-</v>
      </c>
      <c r="K13" s="11" t="str">
        <f>IFERROR(VLOOKUP($B13,'(勿動)組件目錄表'!$D$15:$R$1094,12,FALSE),"-")</f>
        <v>-</v>
      </c>
      <c r="L13" s="11" t="str">
        <f>IFERROR(VLOOKUP($B13,'(勿動)組件目錄表'!$D$15:$R$1094,13,FALSE),"-")</f>
        <v>-</v>
      </c>
      <c r="M13" s="11" t="str">
        <f>IFERROR(VLOOKUP($B13,'(勿動)組件目錄表'!$D$15:$R$1094,14,FALSE),"-")</f>
        <v>-</v>
      </c>
      <c r="N13" s="15">
        <f t="shared" ca="1" si="0"/>
        <v>0</v>
      </c>
      <c r="O13" s="16"/>
    </row>
    <row r="14" spans="1:15" ht="15.75" customHeight="1">
      <c r="A14" s="17"/>
      <c r="B14" s="7" t="s">
        <v>34</v>
      </c>
      <c r="C14" s="8" t="str">
        <f>IFERROR(VLOOKUP($B14,'(勿動)組件目錄表'!$D$15:$R$1094,2,FALSE),"-")</f>
        <v>-</v>
      </c>
      <c r="D14" s="8" t="str">
        <f>IFERROR(VLOOKUP($B14,'(勿動)組件目錄表'!$D$15:$R$1094,3,FALSE),"-")</f>
        <v>-</v>
      </c>
      <c r="E14" s="9" t="str">
        <f>IFERROR(VLOOKUP($B14,'(勿動)組件目錄表'!$D$15:$R$1094,4,FALSE),"-")</f>
        <v>-</v>
      </c>
      <c r="F14" s="10" t="str">
        <f>IFERROR(VLOOKUP($B14,'(勿動)組件目錄表'!$D$15:$R$1094,5,FALSE),"-")</f>
        <v>-</v>
      </c>
      <c r="G14" s="11" t="str">
        <f>IFERROR(VLOOKUP($B14,'(勿動)組件目錄表'!$D$15:$R$1094,8,FALSE),"-")</f>
        <v>-</v>
      </c>
      <c r="H14" s="11" t="str">
        <f>IFERROR(VLOOKUP($B14,'(勿動)組件目錄表'!$D$15:$R$1094,9,FALSE),"-")</f>
        <v>-</v>
      </c>
      <c r="I14" s="11" t="str">
        <f>IFERROR(VLOOKUP($B14,'(勿動)組件目錄表'!$D$15:$R$1094,10,FALSE),"-")</f>
        <v>-</v>
      </c>
      <c r="J14" s="11" t="str">
        <f>IFERROR(VLOOKUP($B14,'(勿動)組件目錄表'!$D$15:$R$1094,11,FALSE),"-")</f>
        <v>-</v>
      </c>
      <c r="K14" s="11" t="str">
        <f>IFERROR(VLOOKUP($B14,'(勿動)組件目錄表'!$D$15:$R$1094,12,FALSE),"-")</f>
        <v>-</v>
      </c>
      <c r="L14" s="11" t="str">
        <f>IFERROR(VLOOKUP($B14,'(勿動)組件目錄表'!$D$15:$R$1094,13,FALSE),"-")</f>
        <v>-</v>
      </c>
      <c r="M14" s="11" t="str">
        <f>IFERROR(VLOOKUP($B14,'(勿動)組件目錄表'!$D$15:$R$1094,14,FALSE),"-")</f>
        <v>-</v>
      </c>
      <c r="N14" s="15">
        <f t="shared" ca="1" si="0"/>
        <v>0</v>
      </c>
      <c r="O14" s="16"/>
    </row>
    <row r="15" spans="1:15" ht="15.75" customHeight="1">
      <c r="A15" s="17"/>
      <c r="B15" s="7" t="s">
        <v>35</v>
      </c>
      <c r="C15" s="8" t="str">
        <f>IFERROR(VLOOKUP($B15,'(勿動)組件目錄表'!$D$15:$R$1094,2,FALSE),"-")</f>
        <v>G-1</v>
      </c>
      <c r="D15" s="8">
        <f>IFERROR(VLOOKUP($B15,'(勿動)組件目錄表'!$D$15:$R$1094,3,FALSE),"-")</f>
        <v>0</v>
      </c>
      <c r="E15" s="9" t="str">
        <f>IFERROR(VLOOKUP($B15,'(勿動)組件目錄表'!$D$15:$R$1094,4,FALSE),"-")</f>
        <v>品</v>
      </c>
      <c r="F15" s="10">
        <f>IFERROR(VLOOKUP($B15,'(勿動)組件目錄表'!$D$15:$R$1094,5,FALSE),"-")</f>
        <v>1</v>
      </c>
      <c r="G15" s="11" t="str">
        <f>IFERROR(VLOOKUP($B15,'(勿動)組件目錄表'!$D$15:$R$1094,8,FALSE),"-")</f>
        <v>MM/DD hh (若全走期都需曝光，請清空此欄毋需填寫)</v>
      </c>
      <c r="H15" s="11" t="str">
        <f>IFERROR(VLOOKUP($B15,'(勿動)組件目錄表'!$D$15:$R$1094,9,FALSE),"-")</f>
        <v>Rule Set Name：</v>
      </c>
      <c r="I15" s="11" t="str">
        <f>IFERROR(VLOOKUP($B15,'(勿動)組件目錄表'!$D$15:$R$1094,10,FALSE),"-")</f>
        <v>需展示的商品數量：</v>
      </c>
      <c r="J15" s="11" t="str">
        <f>IFERROR(VLOOKUP($B15,'(勿動)組件目錄表'!$D$15:$R$1094,11,FALSE),"-")</f>
        <v>Product Collection ID：
*campaign賣版僅提供AD入稿表即可</v>
      </c>
      <c r="K15" s="11" t="str">
        <f>IFERROR(VLOOKUP($B15,'(勿動)組件目錄表'!$D$15:$R$1094,12,FALSE),"-")</f>
        <v>-</v>
      </c>
      <c r="L15" s="11" t="str">
        <f>IFERROR(VLOOKUP($B15,'(勿動)組件目錄表'!$D$15:$R$1094,13,FALSE),"-")</f>
        <v>-</v>
      </c>
      <c r="M15" s="11" t="str">
        <f>IFERROR(VLOOKUP($B15,'(勿動)組件目錄表'!$D$15:$R$1094,14,FALSE),"-")</f>
        <v>-</v>
      </c>
      <c r="N15" s="15">
        <f t="shared" ca="1" si="0"/>
        <v>0</v>
      </c>
      <c r="O15" s="16"/>
    </row>
    <row r="16" spans="1:15" ht="15.75" customHeight="1">
      <c r="A16" s="17"/>
      <c r="B16" s="7" t="s">
        <v>36</v>
      </c>
      <c r="C16" s="8"/>
      <c r="D16" s="8">
        <f>IFERROR(VLOOKUP($B16,'(勿動)組件目錄表'!$D$15:$R$1094,3,FALSE),"-")</f>
        <v>0</v>
      </c>
      <c r="E16" s="9">
        <f>IFERROR(VLOOKUP($B16,'(勿動)組件目錄表'!$D$15:$R$1094,4,FALSE),"-")</f>
        <v>0</v>
      </c>
      <c r="F16" s="10">
        <f>IFERROR(VLOOKUP($B16,'(勿動)組件目錄表'!$D$15:$R$1094,5,FALSE),"-")</f>
        <v>1</v>
      </c>
      <c r="G16" s="11" t="str">
        <f>IFERROR(VLOOKUP($B16,'(勿動)組件目錄表'!$D$15:$R$1094,8,FALSE),"-")</f>
        <v>MM/DD hh (若全走期都需曝光，請清空此欄毋需填寫)</v>
      </c>
      <c r="H16" s="11" t="str">
        <f>IFERROR(VLOOKUP($B16,'(勿動)組件目錄表'!$D$15:$R$1094,9,FALSE),"-")</f>
        <v>Rule Set Name：</v>
      </c>
      <c r="I16" s="11" t="str">
        <f>IFERROR(VLOOKUP($B16,'(勿動)組件目錄表'!$D$15:$R$1094,10,FALSE),"-")</f>
        <v>需展示的商品數量：</v>
      </c>
      <c r="J16" s="11" t="str">
        <f>IFERROR(VLOOKUP($B16,'(勿動)組件目錄表'!$D$15:$R$1094,11,FALSE),"-")</f>
        <v>Product Collection ID：
*campaign賣版僅提供AD入稿表即可</v>
      </c>
      <c r="K16" s="11" t="str">
        <f>IFERROR(VLOOKUP($B16,'(勿動)組件目錄表'!$D$15:$R$1094,12,FALSE),"-")</f>
        <v>-</v>
      </c>
      <c r="L16" s="11" t="str">
        <f>IFERROR(VLOOKUP($B16,'(勿動)組件目錄表'!$D$15:$R$1094,13,FALSE),"-")</f>
        <v>-</v>
      </c>
      <c r="M16" s="11" t="str">
        <f>IFERROR(VLOOKUP($B16,'(勿動)組件目錄表'!$D$15:$R$1094,14,FALSE),"-")</f>
        <v>-</v>
      </c>
      <c r="N16" s="15">
        <f t="shared" ca="1" si="0"/>
        <v>0</v>
      </c>
      <c r="O16" s="16"/>
    </row>
    <row r="17" spans="1:15" ht="15.75" customHeight="1">
      <c r="A17" s="17"/>
      <c r="B17" s="7" t="s">
        <v>37</v>
      </c>
      <c r="C17" s="8" t="str">
        <f>IFERROR(VLOOKUP($B17,'(勿動)組件目錄表'!$D$15:$R$1094,2,FALSE),"-")</f>
        <v>G-3</v>
      </c>
      <c r="D17" s="8">
        <f>IFERROR(VLOOKUP($B17,'(勿動)組件目錄表'!$D$15:$R$1094,3,FALSE),"-")</f>
        <v>0</v>
      </c>
      <c r="E17" s="9">
        <f>IFERROR(VLOOKUP($B17,'(勿動)組件目錄表'!$D$15:$R$1094,4,FALSE),"-")</f>
        <v>0</v>
      </c>
      <c r="F17" s="10">
        <f>IFERROR(VLOOKUP($B17,'(勿動)組件目錄表'!$D$15:$R$1094,5,FALSE),"-")</f>
        <v>1</v>
      </c>
      <c r="G17" s="11" t="str">
        <f>IFERROR(VLOOKUP($B17,'(勿動)組件目錄表'!$D$15:$R$1094,8,FALSE),"-")</f>
        <v>MM/DD hh (若全走期都需曝光，請清空此欄毋需填寫)</v>
      </c>
      <c r="H17" s="11" t="str">
        <f>IFERROR(VLOOKUP($B17,'(勿動)組件目錄表'!$D$15:$R$1094,9,FALSE),"-")</f>
        <v>Rule Set Name：</v>
      </c>
      <c r="I17" s="11" t="str">
        <f>IFERROR(VLOOKUP($B17,'(勿動)組件目錄表'!$D$15:$R$1094,10,FALSE),"-")</f>
        <v>需展示的商品數量：</v>
      </c>
      <c r="J17" s="11" t="str">
        <f>IFERROR(VLOOKUP($B17,'(勿動)組件目錄表'!$D$15:$R$1094,11,FALSE),"-")</f>
        <v>Product Collection ID：
*campaign賣版僅提供AD入稿表即可</v>
      </c>
      <c r="K17" s="11" t="str">
        <f>IFERROR(VLOOKUP($B17,'(勿動)組件目錄表'!$D$15:$R$1094,12,FALSE),"-")</f>
        <v>-</v>
      </c>
      <c r="L17" s="11" t="str">
        <f>IFERROR(VLOOKUP($B17,'(勿動)組件目錄表'!$D$15:$R$1094,13,FALSE),"-")</f>
        <v>-</v>
      </c>
      <c r="M17" s="11" t="str">
        <f>IFERROR(VLOOKUP($B17,'(勿動)組件目錄表'!$D$15:$R$1094,14,FALSE),"-")</f>
        <v>-</v>
      </c>
      <c r="N17" s="15">
        <f t="shared" ca="1" si="0"/>
        <v>0</v>
      </c>
      <c r="O17" s="16"/>
    </row>
    <row r="18" spans="1:15" ht="15.75" customHeight="1">
      <c r="A18" s="17"/>
      <c r="B18" s="7" t="s">
        <v>38</v>
      </c>
      <c r="C18" s="8" t="str">
        <f>IFERROR(VLOOKUP($B18,'(勿動)組件目錄表'!$D$15:$R$1094,2,FALSE),"-")</f>
        <v>G-4</v>
      </c>
      <c r="D18" s="8">
        <f>IFERROR(VLOOKUP($B18,'(勿動)組件目錄表'!$D$15:$R$1094,3,FALSE),"-")</f>
        <v>0</v>
      </c>
      <c r="E18" s="9" t="str">
        <f>IFERROR(VLOOKUP($B18,'(勿動)組件目錄表'!$D$15:$R$1094,4,FALSE),"-")</f>
        <v>Product Collection</v>
      </c>
      <c r="F18" s="10">
        <f>IFERROR(VLOOKUP($B18,'(勿動)組件目錄表'!$D$15:$R$1094,5,FALSE),"-")</f>
        <v>0.5</v>
      </c>
      <c r="G18" s="11" t="str">
        <f>IFERROR(VLOOKUP($B18,'(勿動)組件目錄表'!$D$15:$R$1094,8,FALSE),"-")</f>
        <v>MM/DD hh (若全走期都需曝光，請清空此欄毋需填寫)</v>
      </c>
      <c r="H18" s="11" t="str">
        <f>IFERROR(VLOOKUP($B18,'(勿動)組件目錄表'!$D$15:$R$1094,9,FALSE),"-")</f>
        <v>Rule Set Name：</v>
      </c>
      <c r="I18" s="11" t="str">
        <f>IFERROR(VLOOKUP($B18,'(勿動)組件目錄表'!$D$15:$R$1094,10,FALSE),"-")</f>
        <v>Product Collection ID：</v>
      </c>
      <c r="J18" s="11" t="str">
        <f>IFERROR(VLOOKUP($B18,'(勿動)組件目錄表'!$D$15:$R$1094,11,FALSE),"-")</f>
        <v>-</v>
      </c>
      <c r="K18" s="11" t="str">
        <f>IFERROR(VLOOKUP($B18,'(勿動)組件目錄表'!$D$15:$R$1094,12,FALSE),"-")</f>
        <v>-</v>
      </c>
      <c r="L18" s="11" t="str">
        <f>IFERROR(VLOOKUP($B18,'(勿動)組件目錄表'!$D$15:$R$1094,13,FALSE),"-")</f>
        <v>-</v>
      </c>
      <c r="M18" s="11" t="str">
        <f>IFERROR(VLOOKUP($B18,'(勿動)組件目錄表'!$D$15:$R$1094,14,FALSE),"-")</f>
        <v>-</v>
      </c>
      <c r="N18" s="15">
        <f t="shared" ca="1" si="0"/>
        <v>0</v>
      </c>
      <c r="O18" s="16"/>
    </row>
    <row r="19" spans="1:15" ht="15.75" customHeight="1">
      <c r="A19" s="17"/>
      <c r="B19" s="7" t="s">
        <v>39</v>
      </c>
      <c r="C19" s="8" t="str">
        <f>IFERROR(VLOOKUP($B19,'(勿動)組件目錄表'!$D$15:$R$1094,2,FALSE),"-")</f>
        <v>G-5</v>
      </c>
      <c r="D19" s="8">
        <f>IFERROR(VLOOKUP($B19,'(勿動)組件目錄表'!$D$15:$R$1094,3,FALSE),"-")</f>
        <v>0</v>
      </c>
      <c r="E19" s="9" t="str">
        <f>IFERROR(VLOOKUP($B19,'(勿動)組件目錄表'!$D$15:$R$1094,4,FALSE),"-")</f>
        <v>Product Collection</v>
      </c>
      <c r="F19" s="10">
        <f>IFERROR(VLOOKUP($B19,'(勿動)組件目錄表'!$D$15:$R$1094,5,FALSE),"-")</f>
        <v>0.5</v>
      </c>
      <c r="G19" s="11" t="str">
        <f>IFERROR(VLOOKUP($B19,'(勿動)組件目錄表'!$D$15:$R$1094,8,FALSE),"-")</f>
        <v>MM/DD hh (若全走期都需曝光，請清空此欄毋需填寫)</v>
      </c>
      <c r="H19" s="11" t="str">
        <f>IFERROR(VLOOKUP($B19,'(勿動)組件目錄表'!$D$15:$R$1094,9,FALSE),"-")</f>
        <v>Rule Set Name：</v>
      </c>
      <c r="I19" s="11" t="str">
        <f>IFERROR(VLOOKUP($B19,'(勿動)組件目錄表'!$D$15:$R$1094,10,FALSE),"-")</f>
        <v>Product Collection ID：</v>
      </c>
      <c r="J19" s="11" t="str">
        <f>IFERROR(VLOOKUP($B19,'(勿動)組件目錄表'!$D$15:$R$1094,11,FALSE),"-")</f>
        <v>(查看全部預設導collection集合頁，如要導其他頁面請提供URL)</v>
      </c>
      <c r="K19" s="11" t="str">
        <f>IFERROR(VLOOKUP($B19,'(勿動)組件目錄表'!$D$15:$R$1094,12,FALSE),"-")</f>
        <v>-</v>
      </c>
      <c r="L19" s="11" t="str">
        <f>IFERROR(VLOOKUP($B19,'(勿動)組件目錄表'!$D$15:$R$1094,13,FALSE),"-")</f>
        <v>-</v>
      </c>
      <c r="M19" s="11" t="str">
        <f>IFERROR(VLOOKUP($B19,'(勿動)組件目錄表'!$D$15:$R$1094,14,FALSE),"-")</f>
        <v>-</v>
      </c>
      <c r="N19" s="15">
        <f t="shared" ca="1" si="0"/>
        <v>0</v>
      </c>
      <c r="O19" s="16"/>
    </row>
    <row r="20" spans="1:15" ht="15.75" customHeight="1">
      <c r="A20" s="17"/>
      <c r="B20" s="7" t="s">
        <v>40</v>
      </c>
      <c r="C20" s="8" t="str">
        <f>IFERROR(VLOOKUP($B20,'(勿動)組件目錄表'!$D$15:$R$1094,2,FALSE),"-")</f>
        <v>-</v>
      </c>
      <c r="D20" s="8" t="str">
        <f>IFERROR(VLOOKUP($B20,'(勿動)組件目錄表'!$D$15:$R$1094,3,FALSE),"-")</f>
        <v>-</v>
      </c>
      <c r="E20" s="9" t="str">
        <f>IFERROR(VLOOKUP($B20,'(勿動)組件目錄表'!$D$15:$R$1094,4,FALSE),"-")</f>
        <v>-</v>
      </c>
      <c r="F20" s="10" t="str">
        <f>IFERROR(VLOOKUP($B20,'(勿動)組件目錄表'!$D$15:$R$1094,5,FALSE),"-")</f>
        <v>-</v>
      </c>
      <c r="G20" s="11" t="str">
        <f>IFERROR(VLOOKUP($B20,'(勿動)組件目錄表'!$D$15:$R$1094,8,FALSE),"-")</f>
        <v>-</v>
      </c>
      <c r="H20" s="11" t="str">
        <f>IFERROR(VLOOKUP($B20,'(勿動)組件目錄表'!$D$15:$R$1094,9,FALSE),"-")</f>
        <v>-</v>
      </c>
      <c r="I20" s="11" t="str">
        <f>IFERROR(VLOOKUP($B20,'(勿動)組件目錄表'!$D$15:$R$1094,10,FALSE),"-")</f>
        <v>-</v>
      </c>
      <c r="J20" s="11" t="str">
        <f>IFERROR(VLOOKUP($B20,'(勿動)組件目錄表'!$D$15:$R$1094,11,FALSE),"-")</f>
        <v>-</v>
      </c>
      <c r="K20" s="11" t="str">
        <f>IFERROR(VLOOKUP($B20,'(勿動)組件目錄表'!$D$15:$R$1094,12,FALSE),"-")</f>
        <v>-</v>
      </c>
      <c r="L20" s="11" t="str">
        <f>IFERROR(VLOOKUP($B20,'(勿動)組件目錄表'!$D$15:$R$1094,13,FALSE),"-")</f>
        <v>-</v>
      </c>
      <c r="M20" s="11" t="str">
        <f>IFERROR(VLOOKUP($B20,'(勿動)組件目錄表'!$D$15:$R$1094,14,FALSE),"-")</f>
        <v>-</v>
      </c>
      <c r="N20" s="15">
        <f t="shared" ca="1" si="0"/>
        <v>0</v>
      </c>
      <c r="O20" s="16"/>
    </row>
    <row r="21" spans="1:15" ht="15.75" customHeight="1">
      <c r="A21" s="17"/>
      <c r="B21" s="7" t="s">
        <v>41</v>
      </c>
      <c r="C21" s="8" t="str">
        <f>IFERROR(VLOOKUP($B21,'(勿動)組件目錄表'!$D$15:$R$1094,2,FALSE),"-")</f>
        <v>-</v>
      </c>
      <c r="D21" s="8" t="str">
        <f>IFERROR(VLOOKUP($B21,'(勿動)組件目錄表'!$D$15:$R$1094,3,FALSE),"-")</f>
        <v>-</v>
      </c>
      <c r="E21" s="9" t="str">
        <f>IFERROR(VLOOKUP($B21,'(勿動)組件目錄表'!$D$15:$R$1094,4,FALSE),"-")</f>
        <v>-</v>
      </c>
      <c r="F21" s="10" t="str">
        <f>IFERROR(VLOOKUP($B21,'(勿動)組件目錄表'!$D$15:$R$1094,5,FALSE),"-")</f>
        <v>-</v>
      </c>
      <c r="G21" s="11" t="str">
        <f>IFERROR(VLOOKUP($B21,'(勿動)組件目錄表'!$D$15:$R$1094,8,FALSE),"-")</f>
        <v>-</v>
      </c>
      <c r="H21" s="11" t="str">
        <f>IFERROR(VLOOKUP($B21,'(勿動)組件目錄表'!$D$15:$R$1094,9,FALSE),"-")</f>
        <v>-</v>
      </c>
      <c r="I21" s="11" t="str">
        <f>IFERROR(VLOOKUP($B21,'(勿動)組件目錄表'!$D$15:$R$1094,10,FALSE),"-")</f>
        <v>-</v>
      </c>
      <c r="J21" s="11" t="str">
        <f>IFERROR(VLOOKUP($B21,'(勿動)組件目錄表'!$D$15:$R$1094,11,FALSE),"-")</f>
        <v>-</v>
      </c>
      <c r="K21" s="11" t="str">
        <f>IFERROR(VLOOKUP($B21,'(勿動)組件目錄表'!$D$15:$R$1094,12,FALSE),"-")</f>
        <v>-</v>
      </c>
      <c r="L21" s="11" t="str">
        <f>IFERROR(VLOOKUP($B21,'(勿動)組件目錄表'!$D$15:$R$1094,13,FALSE),"-")</f>
        <v>-</v>
      </c>
      <c r="M21" s="11" t="str">
        <f>IFERROR(VLOOKUP($B21,'(勿動)組件目錄表'!$D$15:$R$1094,14,FALSE),"-")</f>
        <v>-</v>
      </c>
      <c r="N21" s="15">
        <f t="shared" ca="1" si="0"/>
        <v>0</v>
      </c>
      <c r="O21" s="16"/>
    </row>
    <row r="22" spans="1:15" ht="15.75" customHeight="1">
      <c r="A22" s="17"/>
      <c r="B22" s="7" t="s">
        <v>42</v>
      </c>
      <c r="C22" s="8" t="str">
        <f>IFERROR(VLOOKUP($B22,'(勿動)組件目錄表'!$D$15:$R$1094,2,FALSE),"-")</f>
        <v>-</v>
      </c>
      <c r="D22" s="8" t="s">
        <v>39</v>
      </c>
      <c r="E22" s="9" t="str">
        <f>IFERROR(VLOOKUP($B22,'(勿動)組件目錄表'!$D$15:$R$1094,4,FALSE),"-")</f>
        <v>-</v>
      </c>
      <c r="F22" s="10" t="str">
        <f>IFERROR(VLOOKUP($B22,'(勿動)組件目錄表'!$D$15:$R$1094,5,FALSE),"-")</f>
        <v>-</v>
      </c>
      <c r="G22" s="11" t="str">
        <f>IFERROR(VLOOKUP($B22,'(勿動)組件目錄表'!$D$15:$R$1094,8,FALSE),"-")</f>
        <v>-</v>
      </c>
      <c r="H22" s="11" t="str">
        <f>IFERROR(VLOOKUP($B22,'(勿動)組件目錄表'!$D$15:$R$1094,9,FALSE),"-")</f>
        <v>-</v>
      </c>
      <c r="I22" s="11" t="str">
        <f>IFERROR(VLOOKUP($B22,'(勿動)組件目錄表'!$D$15:$R$1094,10,FALSE),"-")</f>
        <v>-</v>
      </c>
      <c r="J22" s="11" t="str">
        <f>IFERROR(VLOOKUP($B22,'(勿動)組件目錄表'!$D$15:$R$1094,11,FALSE),"-")</f>
        <v>-</v>
      </c>
      <c r="K22" s="11" t="str">
        <f>IFERROR(VLOOKUP($B22,'(勿動)組件目錄表'!$D$15:$R$1094,12,FALSE),"-")</f>
        <v>-</v>
      </c>
      <c r="L22" s="11" t="str">
        <f>IFERROR(VLOOKUP($B22,'(勿動)組件目錄表'!$D$15:$R$1094,13,FALSE),"-")</f>
        <v>-</v>
      </c>
      <c r="M22" s="11" t="str">
        <f>IFERROR(VLOOKUP($B22,'(勿動)組件目錄表'!$D$15:$R$1094,14,FALSE),"-")</f>
        <v>-</v>
      </c>
      <c r="N22" s="15">
        <f t="shared" ca="1" si="0"/>
        <v>0</v>
      </c>
      <c r="O22" s="16"/>
    </row>
    <row r="23" spans="1:15" ht="15.75" customHeight="1">
      <c r="A23" s="17"/>
      <c r="B23" s="7" t="s">
        <v>43</v>
      </c>
      <c r="C23" s="8" t="str">
        <f>IFERROR(VLOOKUP($B23,'(勿動)組件目錄表'!$D$15:$R$1094,2,FALSE),"-")</f>
        <v>-</v>
      </c>
      <c r="D23" s="8" t="str">
        <f>IFERROR(VLOOKUP($B23,'(勿動)組件目錄表'!$D$15:$R$1094,3,FALSE),"-")</f>
        <v>-</v>
      </c>
      <c r="E23" s="9" t="str">
        <f>IFERROR(VLOOKUP($B23,'(勿動)組件目錄表'!$D$15:$R$1094,4,FALSE),"-")</f>
        <v>-</v>
      </c>
      <c r="F23" s="10" t="str">
        <f>IFERROR(VLOOKUP($B23,'(勿動)組件目錄表'!$D$15:$R$1094,5,FALSE),"-")</f>
        <v>-</v>
      </c>
      <c r="G23" s="11" t="str">
        <f>IFERROR(VLOOKUP($B23,'(勿動)組件目錄表'!$D$15:$R$1094,8,FALSE),"-")</f>
        <v>-</v>
      </c>
      <c r="H23" s="11" t="str">
        <f>IFERROR(VLOOKUP($B23,'(勿動)組件目錄表'!$D$15:$R$1094,9,FALSE),"-")</f>
        <v>-</v>
      </c>
      <c r="I23" s="11" t="str">
        <f>IFERROR(VLOOKUP($B23,'(勿動)組件目錄表'!$D$15:$R$1094,10,FALSE),"-")</f>
        <v>-</v>
      </c>
      <c r="J23" s="11" t="str">
        <f>IFERROR(VLOOKUP($B23,'(勿動)組件目錄表'!$D$15:$R$1094,11,FALSE),"-")</f>
        <v>-</v>
      </c>
      <c r="K23" s="11" t="str">
        <f>IFERROR(VLOOKUP($B23,'(勿動)組件目錄表'!$D$15:$R$1094,12,FALSE),"-")</f>
        <v>-</v>
      </c>
      <c r="L23" s="11" t="str">
        <f>IFERROR(VLOOKUP($B23,'(勿動)組件目錄表'!$D$15:$R$1094,13,FALSE),"-")</f>
        <v>-</v>
      </c>
      <c r="M23" s="11" t="str">
        <f>IFERROR(VLOOKUP($B23,'(勿動)組件目錄表'!$D$15:$R$1094,14,FALSE),"-")</f>
        <v>-</v>
      </c>
      <c r="N23" s="15">
        <f t="shared" ca="1" si="0"/>
        <v>0</v>
      </c>
      <c r="O23" s="16"/>
    </row>
    <row r="24" spans="1:15" ht="15.75" customHeight="1">
      <c r="A24" s="17"/>
      <c r="B24" s="7" t="s">
        <v>44</v>
      </c>
      <c r="C24" s="8" t="str">
        <f>IFERROR(VLOOKUP($B24,'(勿動)組件目錄表'!$D$15:$R$1094,2,FALSE),"-")</f>
        <v>-</v>
      </c>
      <c r="D24" s="8" t="str">
        <f>IFERROR(VLOOKUP($B24,'(勿動)組件目錄表'!$D$15:$R$1094,3,FALSE),"-")</f>
        <v>-</v>
      </c>
      <c r="E24" s="9" t="str">
        <f>IFERROR(VLOOKUP($B24,'(勿動)組件目錄表'!$D$15:$R$1094,4,FALSE),"-")</f>
        <v>-</v>
      </c>
      <c r="F24" s="10" t="str">
        <f>IFERROR(VLOOKUP($B24,'(勿動)組件目錄表'!$D$15:$R$1094,5,FALSE),"-")</f>
        <v>-</v>
      </c>
      <c r="G24" s="11" t="str">
        <f>IFERROR(VLOOKUP($B24,'(勿動)組件目錄表'!$D$15:$R$1094,8,FALSE),"-")</f>
        <v>-</v>
      </c>
      <c r="H24" s="11" t="str">
        <f>IFERROR(VLOOKUP($B24,'(勿動)組件目錄表'!$D$15:$R$1094,9,FALSE),"-")</f>
        <v>-</v>
      </c>
      <c r="I24" s="11" t="str">
        <f>IFERROR(VLOOKUP($B24,'(勿動)組件目錄表'!$D$15:$R$1094,10,FALSE),"-")</f>
        <v>-</v>
      </c>
      <c r="J24" s="11" t="str">
        <f>IFERROR(VLOOKUP($B24,'(勿動)組件目錄表'!$D$15:$R$1094,11,FALSE),"-")</f>
        <v>-</v>
      </c>
      <c r="K24" s="11" t="str">
        <f>IFERROR(VLOOKUP($B24,'(勿動)組件目錄表'!$D$15:$R$1094,12,FALSE),"-")</f>
        <v>-</v>
      </c>
      <c r="L24" s="11" t="str">
        <f>IFERROR(VLOOKUP($B24,'(勿動)組件目錄表'!$D$15:$R$1094,13,FALSE),"-")</f>
        <v>-</v>
      </c>
      <c r="M24" s="11" t="str">
        <f>IFERROR(VLOOKUP($B24,'(勿動)組件目錄表'!$D$15:$R$1094,14,FALSE),"-")</f>
        <v>-</v>
      </c>
      <c r="N24" s="15">
        <f t="shared" ca="1" si="0"/>
        <v>0</v>
      </c>
      <c r="O24" s="16"/>
    </row>
    <row r="25" spans="1:15" ht="15.75" customHeight="1">
      <c r="A25" s="17"/>
      <c r="B25" s="7" t="s">
        <v>45</v>
      </c>
      <c r="C25" s="8" t="str">
        <f>IFERROR(VLOOKUP($B25,'(勿動)組件目錄表'!$D$15:$R$1094,2,FALSE),"-")</f>
        <v>-</v>
      </c>
      <c r="D25" s="8" t="str">
        <f>IFERROR(VLOOKUP($B25,'(勿動)組件目錄表'!$D$15:$R$1094,3,FALSE),"-")</f>
        <v>-</v>
      </c>
      <c r="E25" s="9" t="str">
        <f>IFERROR(VLOOKUP($B25,'(勿動)組件目錄表'!$D$15:$R$1094,4,FALSE),"-")</f>
        <v>-</v>
      </c>
      <c r="F25" s="10" t="str">
        <f>IFERROR(VLOOKUP($B25,'(勿動)組件目錄表'!$D$15:$R$1094,5,FALSE),"-")</f>
        <v>-</v>
      </c>
      <c r="G25" s="11" t="str">
        <f>IFERROR(VLOOKUP($B25,'(勿動)組件目錄表'!$D$15:$R$1094,8,FALSE),"-")</f>
        <v>-</v>
      </c>
      <c r="H25" s="11" t="str">
        <f>IFERROR(VLOOKUP($B25,'(勿動)組件目錄表'!$D$15:$R$1094,9,FALSE),"-")</f>
        <v>-</v>
      </c>
      <c r="I25" s="11" t="str">
        <f>IFERROR(VLOOKUP($B25,'(勿動)組件目錄表'!$D$15:$R$1094,10,FALSE),"-")</f>
        <v>-</v>
      </c>
      <c r="J25" s="11" t="str">
        <f>IFERROR(VLOOKUP($B25,'(勿動)組件目錄表'!$D$15:$R$1094,11,FALSE),"-")</f>
        <v>-</v>
      </c>
      <c r="K25" s="11" t="str">
        <f>IFERROR(VLOOKUP($B25,'(勿動)組件目錄表'!$D$15:$R$1094,12,FALSE),"-")</f>
        <v>-</v>
      </c>
      <c r="L25" s="11" t="str">
        <f>IFERROR(VLOOKUP($B25,'(勿動)組件目錄表'!$D$15:$R$1094,13,FALSE),"-")</f>
        <v>-</v>
      </c>
      <c r="M25" s="11" t="str">
        <f>IFERROR(VLOOKUP($B25,'(勿動)組件目錄表'!$D$15:$R$1094,14,FALSE),"-")</f>
        <v>-</v>
      </c>
      <c r="N25" s="15">
        <f t="shared" ca="1" si="0"/>
        <v>0</v>
      </c>
      <c r="O25" s="16"/>
    </row>
    <row r="26" spans="1:15" ht="15.75" customHeight="1">
      <c r="A26" s="17"/>
      <c r="B26" s="7" t="s">
        <v>46</v>
      </c>
      <c r="C26" s="8" t="str">
        <f>IFERROR(VLOOKUP($B26,'(勿動)組件目錄表'!$D$15:$R$1094,2,FALSE),"-")</f>
        <v>-</v>
      </c>
      <c r="D26" s="8" t="str">
        <f>IFERROR(VLOOKUP($B26,'(勿動)組件目錄表'!$D$15:$R$1094,3,FALSE),"-")</f>
        <v>-</v>
      </c>
      <c r="E26" s="9" t="str">
        <f>IFERROR(VLOOKUP($B26,'(勿動)組件目錄表'!$D$15:$R$1094,4,FALSE),"-")</f>
        <v>-</v>
      </c>
      <c r="F26" s="10" t="str">
        <f>IFERROR(VLOOKUP($B26,'(勿動)組件目錄表'!$D$15:$R$1094,5,FALSE),"-")</f>
        <v>-</v>
      </c>
      <c r="G26" s="11" t="str">
        <f>IFERROR(VLOOKUP($B26,'(勿動)組件目錄表'!$D$15:$R$1094,8,FALSE),"-")</f>
        <v>-</v>
      </c>
      <c r="H26" s="11" t="str">
        <f>IFERROR(VLOOKUP($B26,'(勿動)組件目錄表'!$D$15:$R$1094,9,FALSE),"-")</f>
        <v>-</v>
      </c>
      <c r="I26" s="11" t="str">
        <f>IFERROR(VLOOKUP($B26,'(勿動)組件目錄表'!$D$15:$R$1094,10,FALSE),"-")</f>
        <v>-</v>
      </c>
      <c r="J26" s="11" t="str">
        <f>IFERROR(VLOOKUP($B26,'(勿動)組件目錄表'!$D$15:$R$1094,11,FALSE),"-")</f>
        <v>-</v>
      </c>
      <c r="K26" s="11" t="str">
        <f>IFERROR(VLOOKUP($B26,'(勿動)組件目錄表'!$D$15:$R$1094,12,FALSE),"-")</f>
        <v>-</v>
      </c>
      <c r="L26" s="11" t="str">
        <f>IFERROR(VLOOKUP($B26,'(勿動)組件目錄表'!$D$15:$R$1094,13,FALSE),"-")</f>
        <v>-</v>
      </c>
      <c r="M26" s="11" t="str">
        <f>IFERROR(VLOOKUP($B26,'(勿動)組件目錄表'!$D$15:$R$1094,14,FALSE),"-")</f>
        <v>-</v>
      </c>
      <c r="N26" s="15">
        <f t="shared" ca="1" si="0"/>
        <v>0</v>
      </c>
      <c r="O26" s="16"/>
    </row>
    <row r="27" spans="1:15" ht="15.75" customHeight="1">
      <c r="A27" s="17"/>
      <c r="B27" s="7" t="s">
        <v>47</v>
      </c>
      <c r="C27" s="8" t="str">
        <f>IFERROR(VLOOKUP($B27,'(勿動)組件目錄表'!$D$15:$R$1094,2,FALSE),"-")</f>
        <v>-</v>
      </c>
      <c r="D27" s="8" t="str">
        <f>IFERROR(VLOOKUP($B27,'(勿動)組件目錄表'!$D$15:$R$1094,3,FALSE),"-")</f>
        <v>-</v>
      </c>
      <c r="E27" s="9" t="str">
        <f>IFERROR(VLOOKUP($B27,'(勿動)組件目錄表'!$D$15:$R$1094,4,FALSE),"-")</f>
        <v>-</v>
      </c>
      <c r="F27" s="10" t="str">
        <f>IFERROR(VLOOKUP($B27,'(勿動)組件目錄表'!$D$15:$R$1094,5,FALSE),"-")</f>
        <v>-</v>
      </c>
      <c r="G27" s="11" t="str">
        <f>IFERROR(VLOOKUP($B27,'(勿動)組件目錄表'!$D$15:$R$1094,8,FALSE),"-")</f>
        <v>-</v>
      </c>
      <c r="H27" s="11" t="str">
        <f>IFERROR(VLOOKUP($B27,'(勿動)組件目錄表'!$D$15:$R$1094,9,FALSE),"-")</f>
        <v>-</v>
      </c>
      <c r="I27" s="11" t="str">
        <f>IFERROR(VLOOKUP($B27,'(勿動)組件目錄表'!$D$15:$R$1094,10,FALSE),"-")</f>
        <v>-</v>
      </c>
      <c r="J27" s="11" t="str">
        <f>IFERROR(VLOOKUP($B27,'(勿動)組件目錄表'!$D$15:$R$1094,11,FALSE),"-")</f>
        <v>-</v>
      </c>
      <c r="K27" s="11" t="str">
        <f>IFERROR(VLOOKUP($B27,'(勿動)組件目錄表'!$D$15:$R$1094,12,FALSE),"-")</f>
        <v>-</v>
      </c>
      <c r="L27" s="11" t="str">
        <f>IFERROR(VLOOKUP($B27,'(勿動)組件目錄表'!$D$15:$R$1094,13,FALSE),"-")</f>
        <v>-</v>
      </c>
      <c r="M27" s="11" t="str">
        <f>IFERROR(VLOOKUP($B27,'(勿動)組件目錄表'!$D$15:$R$1094,14,FALSE),"-")</f>
        <v>-</v>
      </c>
      <c r="N27" s="15">
        <f t="shared" ca="1" si="0"/>
        <v>0</v>
      </c>
      <c r="O27" s="16"/>
    </row>
    <row r="28" spans="1:15" ht="15.75" customHeight="1">
      <c r="A28" s="17"/>
      <c r="B28" s="7" t="s">
        <v>48</v>
      </c>
      <c r="C28" s="8" t="str">
        <f>IFERROR(VLOOKUP($B28,'(勿動)組件目錄表'!$D$15:$R$1094,2,FALSE),"-")</f>
        <v>-</v>
      </c>
      <c r="D28" s="8" t="str">
        <f>IFERROR(VLOOKUP($B28,'(勿動)組件目錄表'!$D$15:$R$1094,3,FALSE),"-")</f>
        <v>-</v>
      </c>
      <c r="E28" s="9" t="str">
        <f>IFERROR(VLOOKUP($B28,'(勿動)組件目錄表'!$D$15:$R$1094,4,FALSE),"-")</f>
        <v>-</v>
      </c>
      <c r="F28" s="10" t="str">
        <f>IFERROR(VLOOKUP($B28,'(勿動)組件目錄表'!$D$15:$R$1094,5,FALSE),"-")</f>
        <v>-</v>
      </c>
      <c r="G28" s="11" t="str">
        <f>IFERROR(VLOOKUP($B28,'(勿動)組件目錄表'!$D$15:$R$1094,8,FALSE),"-")</f>
        <v>-</v>
      </c>
      <c r="H28" s="11" t="str">
        <f>IFERROR(VLOOKUP($B28,'(勿動)組件目錄表'!$D$15:$R$1094,9,FALSE),"-")</f>
        <v>-</v>
      </c>
      <c r="I28" s="11" t="str">
        <f>IFERROR(VLOOKUP($B28,'(勿動)組件目錄表'!$D$15:$R$1094,10,FALSE),"-")</f>
        <v>-</v>
      </c>
      <c r="J28" s="11" t="str">
        <f>IFERROR(VLOOKUP($B28,'(勿動)組件目錄表'!$D$15:$R$1094,11,FALSE),"-")</f>
        <v>-</v>
      </c>
      <c r="K28" s="11" t="str">
        <f>IFERROR(VLOOKUP($B28,'(勿動)組件目錄表'!$D$15:$R$1094,12,FALSE),"-")</f>
        <v>-</v>
      </c>
      <c r="L28" s="11" t="str">
        <f>IFERROR(VLOOKUP($B28,'(勿動)組件目錄表'!$D$15:$R$1094,13,FALSE),"-")</f>
        <v>-</v>
      </c>
      <c r="M28" s="11" t="str">
        <f>IFERROR(VLOOKUP($B28,'(勿動)組件目錄表'!$D$15:$R$1094,14,FALSE),"-")</f>
        <v>-</v>
      </c>
      <c r="N28" s="15">
        <f t="shared" ca="1" si="0"/>
        <v>0</v>
      </c>
      <c r="O28" s="16"/>
    </row>
    <row r="29" spans="1:15" ht="15.75" customHeight="1">
      <c r="A29" s="17"/>
      <c r="B29" s="7" t="s">
        <v>49</v>
      </c>
      <c r="C29" s="8" t="str">
        <f>IFERROR(VLOOKUP($B29,'(勿動)組件目錄表'!$D$15:$R$1094,2,FALSE),"-")</f>
        <v>-</v>
      </c>
      <c r="D29" s="8" t="str">
        <f>IFERROR(VLOOKUP($B29,'(勿動)組件目錄表'!$D$15:$R$1094,3,FALSE),"-")</f>
        <v>-</v>
      </c>
      <c r="E29" s="9" t="str">
        <f>IFERROR(VLOOKUP($B29,'(勿動)組件目錄表'!$D$15:$R$1094,4,FALSE),"-")</f>
        <v>-</v>
      </c>
      <c r="F29" s="10" t="str">
        <f>IFERROR(VLOOKUP($B29,'(勿動)組件目錄表'!$D$15:$R$1094,5,FALSE),"-")</f>
        <v>-</v>
      </c>
      <c r="G29" s="11" t="str">
        <f>IFERROR(VLOOKUP($B29,'(勿動)組件目錄表'!$D$15:$R$1094,8,FALSE),"-")</f>
        <v>-</v>
      </c>
      <c r="H29" s="11" t="str">
        <f>IFERROR(VLOOKUP($B29,'(勿動)組件目錄表'!$D$15:$R$1094,9,FALSE),"-")</f>
        <v>-</v>
      </c>
      <c r="I29" s="11" t="str">
        <f>IFERROR(VLOOKUP($B29,'(勿動)組件目錄表'!$D$15:$R$1094,10,FALSE),"-")</f>
        <v>-</v>
      </c>
      <c r="J29" s="11" t="str">
        <f>IFERROR(VLOOKUP($B29,'(勿動)組件目錄表'!$D$15:$R$1094,11,FALSE),"-")</f>
        <v>-</v>
      </c>
      <c r="K29" s="11" t="str">
        <f>IFERROR(VLOOKUP($B29,'(勿動)組件目錄表'!$D$15:$R$1094,12,FALSE),"-")</f>
        <v>-</v>
      </c>
      <c r="L29" s="11" t="str">
        <f>IFERROR(VLOOKUP($B29,'(勿動)組件目錄表'!$D$15:$R$1094,13,FALSE),"-")</f>
        <v>-</v>
      </c>
      <c r="M29" s="11" t="str">
        <f>IFERROR(VLOOKUP($B29,'(勿動)組件目錄表'!$D$15:$R$1094,14,FALSE),"-")</f>
        <v>-</v>
      </c>
      <c r="N29" s="15">
        <f t="shared" ca="1" si="0"/>
        <v>0</v>
      </c>
      <c r="O29" s="16"/>
    </row>
    <row r="30" spans="1:15" ht="15.75" customHeight="1">
      <c r="A30" s="17"/>
      <c r="B30" s="7" t="s">
        <v>50</v>
      </c>
      <c r="C30" s="8" t="str">
        <f>IFERROR(VLOOKUP($B30,'(勿動)組件目錄表'!$D$15:$R$1094,2,FALSE),"-")</f>
        <v>-</v>
      </c>
      <c r="D30" s="8" t="str">
        <f>IFERROR(VLOOKUP($B30,'(勿動)組件目錄表'!$D$15:$R$1094,3,FALSE),"-")</f>
        <v>-</v>
      </c>
      <c r="E30" s="9" t="str">
        <f>IFERROR(VLOOKUP($B30,'(勿動)組件目錄表'!$D$15:$R$1094,4,FALSE),"-")</f>
        <v>-</v>
      </c>
      <c r="F30" s="10" t="str">
        <f>IFERROR(VLOOKUP($B30,'(勿動)組件目錄表'!$D$15:$R$1094,5,FALSE),"-")</f>
        <v>-</v>
      </c>
      <c r="G30" s="11" t="str">
        <f>IFERROR(VLOOKUP($B30,'(勿動)組件目錄表'!$D$15:$R$1094,8,FALSE),"-")</f>
        <v>-</v>
      </c>
      <c r="H30" s="11" t="str">
        <f>IFERROR(VLOOKUP($B30,'(勿動)組件目錄表'!$D$15:$R$1094,9,FALSE),"-")</f>
        <v>-</v>
      </c>
      <c r="I30" s="11" t="str">
        <f>IFERROR(VLOOKUP($B30,'(勿動)組件目錄表'!$D$15:$R$1094,10,FALSE),"-")</f>
        <v>-</v>
      </c>
      <c r="J30" s="11" t="str">
        <f>IFERROR(VLOOKUP($B30,'(勿動)組件目錄表'!$D$15:$R$1094,11,FALSE),"-")</f>
        <v>-</v>
      </c>
      <c r="K30" s="11" t="str">
        <f>IFERROR(VLOOKUP($B30,'(勿動)組件目錄表'!$D$15:$R$1094,12,FALSE),"-")</f>
        <v>-</v>
      </c>
      <c r="L30" s="11" t="str">
        <f>IFERROR(VLOOKUP($B30,'(勿動)組件目錄表'!$D$15:$R$1094,13,FALSE),"-")</f>
        <v>-</v>
      </c>
      <c r="M30" s="11" t="str">
        <f>IFERROR(VLOOKUP($B30,'(勿動)組件目錄表'!$D$15:$R$1094,14,FALSE),"-")</f>
        <v>-</v>
      </c>
      <c r="N30" s="15">
        <f t="shared" ca="1" si="0"/>
        <v>0</v>
      </c>
      <c r="O30" s="16"/>
    </row>
    <row r="31" spans="1:15" ht="15.75" customHeight="1">
      <c r="A31" s="17"/>
      <c r="B31" s="7" t="s">
        <v>51</v>
      </c>
      <c r="C31" s="8" t="str">
        <f>IFERROR(VLOOKUP($B31,'(勿動)組件目錄表'!$D$15:$R$1094,2,FALSE),"-")</f>
        <v>-</v>
      </c>
      <c r="D31" s="8" t="str">
        <f>IFERROR(VLOOKUP($B31,'(勿動)組件目錄表'!$D$15:$R$1094,3,FALSE),"-")</f>
        <v>-</v>
      </c>
      <c r="E31" s="9" t="str">
        <f>IFERROR(VLOOKUP($B31,'(勿動)組件目錄表'!$D$15:$R$1094,4,FALSE),"-")</f>
        <v>-</v>
      </c>
      <c r="F31" s="10" t="str">
        <f>IFERROR(VLOOKUP($B31,'(勿動)組件目錄表'!$D$15:$R$1094,5,FALSE),"-")</f>
        <v>-</v>
      </c>
      <c r="G31" s="11" t="str">
        <f>IFERROR(VLOOKUP($B31,'(勿動)組件目錄表'!$D$15:$R$1094,8,FALSE),"-")</f>
        <v>-</v>
      </c>
      <c r="H31" s="11" t="str">
        <f>IFERROR(VLOOKUP($B31,'(勿動)組件目錄表'!$D$15:$R$1094,9,FALSE),"-")</f>
        <v>-</v>
      </c>
      <c r="I31" s="11" t="str">
        <f>IFERROR(VLOOKUP($B31,'(勿動)組件目錄表'!$D$15:$R$1094,10,FALSE),"-")</f>
        <v>-</v>
      </c>
      <c r="J31" s="11" t="str">
        <f>IFERROR(VLOOKUP($B31,'(勿動)組件目錄表'!$D$15:$R$1094,11,FALSE),"-")</f>
        <v>-</v>
      </c>
      <c r="K31" s="11" t="str">
        <f>IFERROR(VLOOKUP($B31,'(勿動)組件目錄表'!$D$15:$R$1094,12,FALSE),"-")</f>
        <v>-</v>
      </c>
      <c r="L31" s="11" t="str">
        <f>IFERROR(VLOOKUP($B31,'(勿動)組件目錄表'!$D$15:$R$1094,13,FALSE),"-")</f>
        <v>-</v>
      </c>
      <c r="M31" s="11" t="str">
        <f>IFERROR(VLOOKUP($B31,'(勿動)組件目錄表'!$D$15:$R$1094,14,FALSE),"-")</f>
        <v>-</v>
      </c>
      <c r="N31" s="15">
        <f t="shared" ca="1" si="0"/>
        <v>0</v>
      </c>
      <c r="O31" s="16"/>
    </row>
    <row r="32" spans="1:15" ht="15.75" customHeight="1">
      <c r="A32" s="17"/>
      <c r="B32" s="7" t="s">
        <v>52</v>
      </c>
      <c r="C32" s="8" t="str">
        <f>IFERROR(VLOOKUP($B32,'(勿動)組件目錄表'!$D$15:$R$1094,2,FALSE),"-")</f>
        <v>-</v>
      </c>
      <c r="D32" s="8" t="str">
        <f>IFERROR(VLOOKUP($B32,'(勿動)組件目錄表'!$D$15:$R$1094,3,FALSE),"-")</f>
        <v>-</v>
      </c>
      <c r="E32" s="9" t="str">
        <f>IFERROR(VLOOKUP($B32,'(勿動)組件目錄表'!$D$15:$R$1094,4,FALSE),"-")</f>
        <v>-</v>
      </c>
      <c r="F32" s="10" t="str">
        <f>IFERROR(VLOOKUP($B32,'(勿動)組件目錄表'!$D$15:$R$1094,5,FALSE),"-")</f>
        <v>-</v>
      </c>
      <c r="G32" s="11" t="str">
        <f>IFERROR(VLOOKUP($B32,'(勿動)組件目錄表'!$D$15:$R$1094,8,FALSE),"-")</f>
        <v>-</v>
      </c>
      <c r="H32" s="11" t="str">
        <f>IFERROR(VLOOKUP($B32,'(勿動)組件目錄表'!$D$15:$R$1094,9,FALSE),"-")</f>
        <v>-</v>
      </c>
      <c r="I32" s="11" t="str">
        <f>IFERROR(VLOOKUP($B32,'(勿動)組件目錄表'!$D$15:$R$1094,10,FALSE),"-")</f>
        <v>-</v>
      </c>
      <c r="J32" s="11" t="str">
        <f>IFERROR(VLOOKUP($B32,'(勿動)組件目錄表'!$D$15:$R$1094,11,FALSE),"-")</f>
        <v>-</v>
      </c>
      <c r="K32" s="11" t="str">
        <f>IFERROR(VLOOKUP($B32,'(勿動)組件目錄表'!$D$15:$R$1094,12,FALSE),"-")</f>
        <v>-</v>
      </c>
      <c r="L32" s="11" t="str">
        <f>IFERROR(VLOOKUP($B32,'(勿動)組件目錄表'!$D$15:$R$1094,13,FALSE),"-")</f>
        <v>-</v>
      </c>
      <c r="M32" s="11" t="str">
        <f>IFERROR(VLOOKUP($B32,'(勿動)組件目錄表'!$D$15:$R$1094,14,FALSE),"-")</f>
        <v>-</v>
      </c>
      <c r="N32" s="15">
        <f t="shared" ca="1" si="0"/>
        <v>0</v>
      </c>
      <c r="O32" s="16"/>
    </row>
    <row r="33" spans="1:15" ht="15.75" customHeight="1">
      <c r="A33" s="17"/>
      <c r="B33" s="7" t="s">
        <v>53</v>
      </c>
      <c r="C33" s="8" t="str">
        <f>IFERROR(VLOOKUP($B33,'(勿動)組件目錄表'!$D$15:$R$1094,2,FALSE),"-")</f>
        <v>-</v>
      </c>
      <c r="D33" s="8" t="str">
        <f>IFERROR(VLOOKUP($B33,'(勿動)組件目錄表'!$D$15:$R$1094,3,FALSE),"-")</f>
        <v>-</v>
      </c>
      <c r="E33" s="9" t="str">
        <f>IFERROR(VLOOKUP($B33,'(勿動)組件目錄表'!$D$15:$R$1094,4,FALSE),"-")</f>
        <v>-</v>
      </c>
      <c r="F33" s="10" t="str">
        <f>IFERROR(VLOOKUP($B33,'(勿動)組件目錄表'!$D$15:$R$1094,5,FALSE),"-")</f>
        <v>-</v>
      </c>
      <c r="G33" s="11" t="str">
        <f>IFERROR(VLOOKUP($B33,'(勿動)組件目錄表'!$D$15:$R$1094,8,FALSE),"-")</f>
        <v>-</v>
      </c>
      <c r="H33" s="11" t="str">
        <f>IFERROR(VLOOKUP($B33,'(勿動)組件目錄表'!$D$15:$R$1094,9,FALSE),"-")</f>
        <v>-</v>
      </c>
      <c r="I33" s="11" t="str">
        <f>IFERROR(VLOOKUP($B33,'(勿動)組件目錄表'!$D$15:$R$1094,10,FALSE),"-")</f>
        <v>-</v>
      </c>
      <c r="J33" s="11" t="str">
        <f>IFERROR(VLOOKUP($B33,'(勿動)組件目錄表'!$D$15:$R$1094,11,FALSE),"-")</f>
        <v>-</v>
      </c>
      <c r="K33" s="11" t="str">
        <f>IFERROR(VLOOKUP($B33,'(勿動)組件目錄表'!$D$15:$R$1094,12,FALSE),"-")</f>
        <v>-</v>
      </c>
      <c r="L33" s="11" t="str">
        <f>IFERROR(VLOOKUP($B33,'(勿動)組件目錄表'!$D$15:$R$1094,13,FALSE),"-")</f>
        <v>-</v>
      </c>
      <c r="M33" s="11" t="str">
        <f>IFERROR(VLOOKUP($B33,'(勿動)組件目錄表'!$D$15:$R$1094,14,FALSE),"-")</f>
        <v>-</v>
      </c>
      <c r="N33" s="15">
        <f t="shared" ca="1" si="0"/>
        <v>0</v>
      </c>
      <c r="O33" s="16"/>
    </row>
    <row r="34" spans="1:15" ht="15.75" customHeight="1">
      <c r="A34" s="17"/>
      <c r="B34" s="7" t="s">
        <v>54</v>
      </c>
      <c r="C34" s="8" t="str">
        <f>IFERROR(VLOOKUP($B34,'(勿動)組件目錄表'!$D$15:$R$1094,2,FALSE),"-")</f>
        <v>-</v>
      </c>
      <c r="D34" s="8" t="str">
        <f>IFERROR(VLOOKUP($B34,'(勿動)組件目錄表'!$D$15:$R$1094,3,FALSE),"-")</f>
        <v>-</v>
      </c>
      <c r="E34" s="9" t="str">
        <f>IFERROR(VLOOKUP($B34,'(勿動)組件目錄表'!$D$15:$R$1094,4,FALSE),"-")</f>
        <v>-</v>
      </c>
      <c r="F34" s="10" t="str">
        <f>IFERROR(VLOOKUP($B34,'(勿動)組件目錄表'!$D$15:$R$1094,5,FALSE),"-")</f>
        <v>-</v>
      </c>
      <c r="G34" s="11" t="str">
        <f>IFERROR(VLOOKUP($B34,'(勿動)組件目錄表'!$D$15:$R$1094,8,FALSE),"-")</f>
        <v>-</v>
      </c>
      <c r="H34" s="11" t="str">
        <f>IFERROR(VLOOKUP($B34,'(勿動)組件目錄表'!$D$15:$R$1094,9,FALSE),"-")</f>
        <v>-</v>
      </c>
      <c r="I34" s="11" t="str">
        <f>IFERROR(VLOOKUP($B34,'(勿動)組件目錄表'!$D$15:$R$1094,10,FALSE),"-")</f>
        <v>-</v>
      </c>
      <c r="J34" s="11" t="str">
        <f>IFERROR(VLOOKUP($B34,'(勿動)組件目錄表'!$D$15:$R$1094,11,FALSE),"-")</f>
        <v>-</v>
      </c>
      <c r="K34" s="11" t="str">
        <f>IFERROR(VLOOKUP($B34,'(勿動)組件目錄表'!$D$15:$R$1094,12,FALSE),"-")</f>
        <v>-</v>
      </c>
      <c r="L34" s="11" t="str">
        <f>IFERROR(VLOOKUP($B34,'(勿動)組件目錄表'!$D$15:$R$1094,13,FALSE),"-")</f>
        <v>-</v>
      </c>
      <c r="M34" s="11" t="str">
        <f>IFERROR(VLOOKUP($B34,'(勿動)組件目錄表'!$D$15:$R$1094,14,FALSE),"-")</f>
        <v>-</v>
      </c>
      <c r="N34" s="15">
        <f t="shared" ca="1" si="0"/>
        <v>0</v>
      </c>
      <c r="O34" s="16"/>
    </row>
    <row r="35" spans="1:15" ht="15.75" customHeight="1">
      <c r="A35" s="17"/>
      <c r="B35" s="7" t="s">
        <v>55</v>
      </c>
      <c r="C35" s="8" t="str">
        <f>IFERROR(VLOOKUP($B35,'(勿動)組件目錄表'!$D$15:$R$1094,2,FALSE),"-")</f>
        <v>-</v>
      </c>
      <c r="D35" s="8" t="str">
        <f>IFERROR(VLOOKUP($B35,'(勿動)組件目錄表'!$D$15:$R$1094,3,FALSE),"-")</f>
        <v>-</v>
      </c>
      <c r="E35" s="9" t="str">
        <f>IFERROR(VLOOKUP($B35,'(勿動)組件目錄表'!$D$15:$R$1094,4,FALSE),"-")</f>
        <v>-</v>
      </c>
      <c r="F35" s="10" t="str">
        <f>IFERROR(VLOOKUP($B35,'(勿動)組件目錄表'!$D$15:$R$1094,5,FALSE),"-")</f>
        <v>-</v>
      </c>
      <c r="G35" s="11" t="str">
        <f>IFERROR(VLOOKUP($B35,'(勿動)組件目錄表'!$D$15:$R$1094,8,FALSE),"-")</f>
        <v>-</v>
      </c>
      <c r="H35" s="11" t="str">
        <f>IFERROR(VLOOKUP($B35,'(勿動)組件目錄表'!$D$15:$R$1094,9,FALSE),"-")</f>
        <v>-</v>
      </c>
      <c r="I35" s="11" t="str">
        <f>IFERROR(VLOOKUP($B35,'(勿動)組件目錄表'!$D$15:$R$1094,10,FALSE),"-")</f>
        <v>-</v>
      </c>
      <c r="J35" s="11" t="str">
        <f>IFERROR(VLOOKUP($B35,'(勿動)組件目錄表'!$D$15:$R$1094,11,FALSE),"-")</f>
        <v>-</v>
      </c>
      <c r="K35" s="11" t="str">
        <f>IFERROR(VLOOKUP($B35,'(勿動)組件目錄表'!$D$15:$R$1094,12,FALSE),"-")</f>
        <v>-</v>
      </c>
      <c r="L35" s="11" t="str">
        <f>IFERROR(VLOOKUP($B35,'(勿動)組件目錄表'!$D$15:$R$1094,13,FALSE),"-")</f>
        <v>-</v>
      </c>
      <c r="M35" s="11" t="str">
        <f>IFERROR(VLOOKUP($B35,'(勿動)組件目錄表'!$D$15:$R$1094,14,FALSE),"-")</f>
        <v>-</v>
      </c>
      <c r="N35" s="15">
        <f t="shared" ca="1" si="0"/>
        <v>0</v>
      </c>
      <c r="O35" s="16"/>
    </row>
    <row r="36" spans="1:15" ht="15.75" customHeight="1">
      <c r="A36" s="17"/>
      <c r="B36" s="7" t="s">
        <v>56</v>
      </c>
      <c r="C36" s="8" t="str">
        <f>IFERROR(VLOOKUP($B36,'(勿動)組件目錄表'!$D$15:$R$1094,2,FALSE),"-")</f>
        <v>-</v>
      </c>
      <c r="D36" s="8" t="str">
        <f>IFERROR(VLOOKUP($B36,'(勿動)組件目錄表'!$D$15:$R$1094,3,FALSE),"-")</f>
        <v>-</v>
      </c>
      <c r="E36" s="9" t="str">
        <f>IFERROR(VLOOKUP($B36,'(勿動)組件目錄表'!$D$15:$R$1094,4,FALSE),"-")</f>
        <v>-</v>
      </c>
      <c r="F36" s="10" t="str">
        <f>IFERROR(VLOOKUP($B36,'(勿動)組件目錄表'!$D$15:$R$1094,5,FALSE),"-")</f>
        <v>-</v>
      </c>
      <c r="G36" s="11" t="str">
        <f>IFERROR(VLOOKUP($B36,'(勿動)組件目錄表'!$D$15:$R$1094,8,FALSE),"-")</f>
        <v>-</v>
      </c>
      <c r="H36" s="11" t="str">
        <f>IFERROR(VLOOKUP($B36,'(勿動)組件目錄表'!$D$15:$R$1094,9,FALSE),"-")</f>
        <v>-</v>
      </c>
      <c r="I36" s="11" t="str">
        <f>IFERROR(VLOOKUP($B36,'(勿動)組件目錄表'!$D$15:$R$1094,10,FALSE),"-")</f>
        <v>-</v>
      </c>
      <c r="J36" s="11" t="str">
        <f>IFERROR(VLOOKUP($B36,'(勿動)組件目錄表'!$D$15:$R$1094,11,FALSE),"-")</f>
        <v>-</v>
      </c>
      <c r="K36" s="11" t="str">
        <f>IFERROR(VLOOKUP($B36,'(勿動)組件目錄表'!$D$15:$R$1094,12,FALSE),"-")</f>
        <v>-</v>
      </c>
      <c r="L36" s="11" t="str">
        <f>IFERROR(VLOOKUP($B36,'(勿動)組件目錄表'!$D$15:$R$1094,13,FALSE),"-")</f>
        <v>-</v>
      </c>
      <c r="M36" s="11" t="str">
        <f>IFERROR(VLOOKUP($B36,'(勿動)組件目錄表'!$D$15:$R$1094,14,FALSE),"-")</f>
        <v>-</v>
      </c>
      <c r="N36" s="15">
        <f t="shared" ca="1" si="0"/>
        <v>0</v>
      </c>
      <c r="O36" s="16"/>
    </row>
    <row r="37" spans="1:15" ht="15.75" customHeight="1">
      <c r="A37" s="17"/>
      <c r="B37" s="7" t="s">
        <v>57</v>
      </c>
      <c r="C37" s="8" t="str">
        <f>IFERROR(VLOOKUP($B37,'(勿動)組件目錄表'!$D$15:$R$1094,2,FALSE),"-")</f>
        <v>-</v>
      </c>
      <c r="D37" s="8" t="str">
        <f>IFERROR(VLOOKUP($B37,'(勿動)組件目錄表'!$D$15:$R$1094,3,FALSE),"-")</f>
        <v>-</v>
      </c>
      <c r="E37" s="9" t="str">
        <f>IFERROR(VLOOKUP($B37,'(勿動)組件目錄表'!$D$15:$R$1094,4,FALSE),"-")</f>
        <v>-</v>
      </c>
      <c r="F37" s="10" t="str">
        <f>IFERROR(VLOOKUP($B37,'(勿動)組件目錄表'!$D$15:$R$1094,5,FALSE),"-")</f>
        <v>-</v>
      </c>
      <c r="G37" s="11" t="str">
        <f>IFERROR(VLOOKUP($B37,'(勿動)組件目錄表'!$D$15:$R$1094,8,FALSE),"-")</f>
        <v>-</v>
      </c>
      <c r="H37" s="11" t="str">
        <f>IFERROR(VLOOKUP($B37,'(勿動)組件目錄表'!$D$15:$R$1094,9,FALSE),"-")</f>
        <v>-</v>
      </c>
      <c r="I37" s="11" t="str">
        <f>IFERROR(VLOOKUP($B37,'(勿動)組件目錄表'!$D$15:$R$1094,10,FALSE),"-")</f>
        <v>-</v>
      </c>
      <c r="J37" s="11" t="str">
        <f>IFERROR(VLOOKUP($B37,'(勿動)組件目錄表'!$D$15:$R$1094,11,FALSE),"-")</f>
        <v>-</v>
      </c>
      <c r="K37" s="11" t="str">
        <f>IFERROR(VLOOKUP($B37,'(勿動)組件目錄表'!$D$15:$R$1094,12,FALSE),"-")</f>
        <v>-</v>
      </c>
      <c r="L37" s="11" t="str">
        <f>IFERROR(VLOOKUP($B37,'(勿動)組件目錄表'!$D$15:$R$1094,13,FALSE),"-")</f>
        <v>-</v>
      </c>
      <c r="M37" s="11" t="str">
        <f>IFERROR(VLOOKUP($B37,'(勿動)組件目錄表'!$D$15:$R$1094,14,FALSE),"-")</f>
        <v>-</v>
      </c>
      <c r="N37" s="15">
        <f t="shared" ca="1" si="0"/>
        <v>0</v>
      </c>
      <c r="O37" s="16"/>
    </row>
    <row r="38" spans="1:15" ht="15.75" customHeight="1">
      <c r="A38" s="17"/>
      <c r="B38" s="7" t="s">
        <v>58</v>
      </c>
      <c r="C38" s="8" t="str">
        <f>IFERROR(VLOOKUP($B38,'(勿動)組件目錄表'!$D$15:$R$1094,2,FALSE),"-")</f>
        <v>-</v>
      </c>
      <c r="D38" s="8" t="str">
        <f>IFERROR(VLOOKUP($B38,'(勿動)組件目錄表'!$D$15:$R$1094,3,FALSE),"-")</f>
        <v>-</v>
      </c>
      <c r="E38" s="9" t="str">
        <f>IFERROR(VLOOKUP($B38,'(勿動)組件目錄表'!$D$15:$R$1094,4,FALSE),"-")</f>
        <v>-</v>
      </c>
      <c r="F38" s="10" t="str">
        <f>IFERROR(VLOOKUP($B38,'(勿動)組件目錄表'!$D$15:$R$1094,5,FALSE),"-")</f>
        <v>-</v>
      </c>
      <c r="G38" s="11" t="str">
        <f>IFERROR(VLOOKUP($B38,'(勿動)組件目錄表'!$D$15:$R$1094,8,FALSE),"-")</f>
        <v>-</v>
      </c>
      <c r="H38" s="11" t="str">
        <f>IFERROR(VLOOKUP($B38,'(勿動)組件目錄表'!$D$15:$R$1094,9,FALSE),"-")</f>
        <v>-</v>
      </c>
      <c r="I38" s="11" t="str">
        <f>IFERROR(VLOOKUP($B38,'(勿動)組件目錄表'!$D$15:$R$1094,10,FALSE),"-")</f>
        <v>-</v>
      </c>
      <c r="J38" s="11" t="str">
        <f>IFERROR(VLOOKUP($B38,'(勿動)組件目錄表'!$D$15:$R$1094,11,FALSE),"-")</f>
        <v>-</v>
      </c>
      <c r="K38" s="11" t="str">
        <f>IFERROR(VLOOKUP($B38,'(勿動)組件目錄表'!$D$15:$R$1094,12,FALSE),"-")</f>
        <v>-</v>
      </c>
      <c r="L38" s="11" t="str">
        <f>IFERROR(VLOOKUP($B38,'(勿動)組件目錄表'!$D$15:$R$1094,13,FALSE),"-")</f>
        <v>-</v>
      </c>
      <c r="M38" s="11" t="str">
        <f>IFERROR(VLOOKUP($B38,'(勿動)組件目錄表'!$D$15:$R$1094,14,FALSE),"-")</f>
        <v>-</v>
      </c>
      <c r="N38" s="15">
        <f t="shared" ca="1" si="0"/>
        <v>0</v>
      </c>
      <c r="O38" s="16"/>
    </row>
    <row r="39" spans="1:15" ht="15.75" customHeight="1">
      <c r="A39" s="17"/>
      <c r="B39" s="7" t="s">
        <v>59</v>
      </c>
      <c r="C39" s="8" t="str">
        <f>IFERROR(VLOOKUP($B39,'(勿動)組件目錄表'!$D$15:$R$1094,2,FALSE),"-")</f>
        <v>-</v>
      </c>
      <c r="D39" s="8" t="str">
        <f>IFERROR(VLOOKUP($B39,'(勿動)組件目錄表'!$D$15:$R$1094,3,FALSE),"-")</f>
        <v>-</v>
      </c>
      <c r="E39" s="9" t="str">
        <f>IFERROR(VLOOKUP($B39,'(勿動)組件目錄表'!$D$15:$R$1094,4,FALSE),"-")</f>
        <v>-</v>
      </c>
      <c r="F39" s="10" t="str">
        <f>IFERROR(VLOOKUP($B39,'(勿動)組件目錄表'!$D$15:$R$1094,5,FALSE),"-")</f>
        <v>-</v>
      </c>
      <c r="G39" s="11" t="str">
        <f>IFERROR(VLOOKUP($B39,'(勿動)組件目錄表'!$D$15:$R$1094,8,FALSE),"-")</f>
        <v>-</v>
      </c>
      <c r="H39" s="11" t="str">
        <f>IFERROR(VLOOKUP($B39,'(勿動)組件目錄表'!$D$15:$R$1094,9,FALSE),"-")</f>
        <v>-</v>
      </c>
      <c r="I39" s="11" t="str">
        <f>IFERROR(VLOOKUP($B39,'(勿動)組件目錄表'!$D$15:$R$1094,10,FALSE),"-")</f>
        <v>-</v>
      </c>
      <c r="J39" s="11" t="str">
        <f>IFERROR(VLOOKUP($B39,'(勿動)組件目錄表'!$D$15:$R$1094,11,FALSE),"-")</f>
        <v>-</v>
      </c>
      <c r="K39" s="11" t="str">
        <f>IFERROR(VLOOKUP($B39,'(勿動)組件目錄表'!$D$15:$R$1094,12,FALSE),"-")</f>
        <v>-</v>
      </c>
      <c r="L39" s="11" t="str">
        <f>IFERROR(VLOOKUP($B39,'(勿動)組件目錄表'!$D$15:$R$1094,13,FALSE),"-")</f>
        <v>-</v>
      </c>
      <c r="M39" s="11" t="str">
        <f>IFERROR(VLOOKUP($B39,'(勿動)組件目錄表'!$D$15:$R$1094,14,FALSE),"-")</f>
        <v>-</v>
      </c>
      <c r="N39" s="15">
        <f t="shared" ca="1" si="0"/>
        <v>0</v>
      </c>
      <c r="O39" s="16"/>
    </row>
    <row r="40" spans="1:15" ht="15.75" customHeight="1">
      <c r="A40" s="17"/>
      <c r="B40" s="7" t="s">
        <v>60</v>
      </c>
      <c r="C40" s="8" t="str">
        <f>IFERROR(VLOOKUP($B40,'(勿動)組件目錄表'!$D$15:$R$1094,2,FALSE),"-")</f>
        <v>Q-3</v>
      </c>
      <c r="D40" s="8">
        <f>IFERROR(VLOOKUP($B40,'(勿動)組件目錄表'!$D$15:$R$1094,3,FALSE),"-")</f>
        <v>0</v>
      </c>
      <c r="E40" s="9" t="str">
        <f>IFERROR(VLOOKUP($B40,'(勿動)組件目錄表'!$D$15:$R$1094,4,FALSE),"-")</f>
        <v>直播間</v>
      </c>
      <c r="F40" s="10">
        <f>IFERROR(VLOOKUP($B40,'(勿動)組件目錄表'!$D$15:$R$1094,5,FALSE),"-")</f>
        <v>0.5</v>
      </c>
      <c r="G40" s="11" t="str">
        <f>IFERROR(VLOOKUP($B40,'(勿動)組件目錄表'!$D$15:$R$1094,8,FALSE),"-")</f>
        <v>MM/DD hh (若全走期都需曝光，請清空此欄毋需填寫)</v>
      </c>
      <c r="H40" s="11" t="str">
        <f>IFERROR(VLOOKUP($B40,'(勿動)組件目錄表'!$D$15:$R$1094,9,FALSE),"-")</f>
        <v>Rule Set Name：</v>
      </c>
      <c r="I40" s="11" t="str">
        <f>IFERROR(VLOOKUP($B40,'(勿動)組件目錄表'!$D$15:$R$1094,10,FALSE),"-")</f>
        <v>text固定為以下：
※直播間僅支援手機版</v>
      </c>
      <c r="J40" s="11" t="str">
        <f>IFERROR(VLOOKUP($B40,'(勿動)組件目錄表'!$D$15:$R$1094,11,FALSE),"-")</f>
        <v>Live Streaming Collection ID：</v>
      </c>
      <c r="K40" s="11" t="str">
        <f>IFERROR(VLOOKUP($B40,'(勿動)組件目錄表'!$D$15:$R$1094,12,FALSE),"-")</f>
        <v>-</v>
      </c>
      <c r="L40" s="11" t="str">
        <f>IFERROR(VLOOKUP($B40,'(勿動)組件目錄表'!$D$15:$R$1094,13,FALSE),"-")</f>
        <v>-</v>
      </c>
      <c r="M40" s="11" t="str">
        <f>IFERROR(VLOOKUP($B40,'(勿動)組件目錄表'!$D$15:$R$1094,14,FALSE),"-")</f>
        <v>-</v>
      </c>
      <c r="N40" s="15">
        <f t="shared" ca="1" si="0"/>
        <v>0</v>
      </c>
      <c r="O40" s="16"/>
    </row>
    <row r="41" spans="1:15" ht="15.75" customHeight="1">
      <c r="A41" s="17"/>
      <c r="B41" s="7" t="s">
        <v>61</v>
      </c>
      <c r="C41" s="8" t="str">
        <f>IFERROR(VLOOKUP($B41,'(勿動)組件目錄表'!$D$15:$R$1094,2,FALSE),"-")</f>
        <v>R-1</v>
      </c>
      <c r="D41" s="8">
        <f>IFERROR(VLOOKUP($B41,'(勿動)組件目錄表'!$D$15:$R$1094,3,FALSE),"-")</f>
        <v>0</v>
      </c>
      <c r="E41" s="9">
        <f>IFERROR(VLOOKUP($B41,'(勿動)組件目錄表'!$D$15:$R$1094,4,FALSE),"-")</f>
        <v>0</v>
      </c>
      <c r="F41" s="10">
        <f>IFERROR(VLOOKUP($B41,'(勿動)組件目錄表'!$D$15:$R$1094,5,FALSE),"-")</f>
        <v>0.2</v>
      </c>
      <c r="G41" s="11" t="str">
        <f>IFERROR(VLOOKUP($B41,'(勿動)組件目錄表'!$D$15:$R$1094,8,FALSE),"-")</f>
        <v>MM/DD hh (若全走期都需曝光，請清空此欄毋需填寫)</v>
      </c>
      <c r="H41" s="11" t="str">
        <f>IFERROR(VLOOKUP($B41,'(勿動)組件目錄表'!$D$15:$R$1094,9,FALSE),"-")</f>
        <v>Rule Set Name：</v>
      </c>
      <c r="I41" s="11" t="str">
        <f>IFERROR(VLOOKUP($B41,'(勿動)組件目錄表'!$D$15:$R$1094,10,FALSE),"-")</f>
        <v>固定格式，不需提供資訊</v>
      </c>
      <c r="J41" s="11" t="str">
        <f>IFERROR(VLOOKUP($B41,'(勿動)組件目錄表'!$D$15:$R$1094,11,FALSE),"-")</f>
        <v>-</v>
      </c>
      <c r="K41" s="11" t="str">
        <f>IFERROR(VLOOKUP($B41,'(勿動)組件目錄表'!$D$15:$R$1094,12,FALSE),"-")</f>
        <v>-</v>
      </c>
      <c r="L41" s="11" t="str">
        <f>IFERROR(VLOOKUP($B41,'(勿動)組件目錄表'!$D$15:$R$1094,13,FALSE),"-")</f>
        <v>-</v>
      </c>
      <c r="M41" s="11" t="str">
        <f>IFERROR(VLOOKUP($B41,'(勿動)組件目錄表'!$D$15:$R$1094,14,FALSE),"-")</f>
        <v>-</v>
      </c>
      <c r="N41" s="15">
        <f t="shared" ca="1" si="0"/>
        <v>0</v>
      </c>
      <c r="O41" s="16"/>
    </row>
    <row r="42" spans="1:15" ht="15.75" customHeight="1">
      <c r="A42" s="17"/>
      <c r="B42" s="7" t="s">
        <v>62</v>
      </c>
      <c r="C42" s="8" t="str">
        <f>IFERROR(VLOOKUP($B42,'(勿動)組件目錄表'!$D$15:$R$1094,2,FALSE),"-")</f>
        <v>-</v>
      </c>
      <c r="D42" s="8" t="str">
        <f>IFERROR(VLOOKUP($B42,'(勿動)組件目錄表'!$D$15:$R$1094,3,FALSE),"-")</f>
        <v>-</v>
      </c>
      <c r="E42" s="9" t="str">
        <f>IFERROR(VLOOKUP($B42,'(勿動)組件目錄表'!$D$15:$R$1094,4,FALSE),"-")</f>
        <v>-</v>
      </c>
      <c r="F42" s="10" t="str">
        <f>IFERROR(VLOOKUP($B42,'(勿動)組件目錄表'!$D$15:$R$1094,5,FALSE),"-")</f>
        <v>-</v>
      </c>
      <c r="G42" s="11" t="str">
        <f>IFERROR(VLOOKUP($B42,'(勿動)組件目錄表'!$D$15:$R$1094,8,FALSE),"-")</f>
        <v>-</v>
      </c>
      <c r="H42" s="11" t="str">
        <f>IFERROR(VLOOKUP($B42,'(勿動)組件目錄表'!$D$15:$R$1094,9,FALSE),"-")</f>
        <v>-</v>
      </c>
      <c r="I42" s="11" t="str">
        <f>IFERROR(VLOOKUP($B42,'(勿動)組件目錄表'!$D$15:$R$1094,10,FALSE),"-")</f>
        <v>-</v>
      </c>
      <c r="J42" s="11" t="str">
        <f>IFERROR(VLOOKUP($B42,'(勿動)組件目錄表'!$D$15:$R$1094,11,FALSE),"-")</f>
        <v>-</v>
      </c>
      <c r="K42" s="11" t="str">
        <f>IFERROR(VLOOKUP($B42,'(勿動)組件目錄表'!$D$15:$R$1094,12,FALSE),"-")</f>
        <v>-</v>
      </c>
      <c r="L42" s="11" t="str">
        <f>IFERROR(VLOOKUP($B42,'(勿動)組件目錄表'!$D$15:$R$1094,13,FALSE),"-")</f>
        <v>-</v>
      </c>
      <c r="M42" s="11" t="str">
        <f>IFERROR(VLOOKUP($B42,'(勿動)組件目錄表'!$D$15:$R$1094,14,FALSE),"-")</f>
        <v>-</v>
      </c>
      <c r="N42" s="15">
        <f t="shared" ca="1" si="0"/>
        <v>0</v>
      </c>
      <c r="O42" s="16"/>
    </row>
    <row r="43" spans="1:15" ht="15.75" customHeight="1">
      <c r="A43" s="17"/>
      <c r="B43" s="7" t="s">
        <v>63</v>
      </c>
      <c r="C43" s="8" t="str">
        <f>IFERROR(VLOOKUP($B43,'(勿動)組件目錄表'!$D$15:$R$1094,2,FALSE),"-")</f>
        <v>-</v>
      </c>
      <c r="D43" s="8" t="str">
        <f>IFERROR(VLOOKUP($B43,'(勿動)組件目錄表'!$D$15:$R$1094,3,FALSE),"-")</f>
        <v>-</v>
      </c>
      <c r="E43" s="9" t="str">
        <f>IFERROR(VLOOKUP($B43,'(勿動)組件目錄表'!$D$15:$R$1094,4,FALSE),"-")</f>
        <v>-</v>
      </c>
      <c r="F43" s="10" t="str">
        <f>IFERROR(VLOOKUP($B43,'(勿動)組件目錄表'!$D$15:$R$1094,5,FALSE),"-")</f>
        <v>-</v>
      </c>
      <c r="G43" s="11" t="str">
        <f>IFERROR(VLOOKUP($B43,'(勿動)組件目錄表'!$D$15:$R$1094,8,FALSE),"-")</f>
        <v>-</v>
      </c>
      <c r="H43" s="11" t="str">
        <f>IFERROR(VLOOKUP($B43,'(勿動)組件目錄表'!$D$15:$R$1094,9,FALSE),"-")</f>
        <v>-</v>
      </c>
      <c r="I43" s="11" t="str">
        <f>IFERROR(VLOOKUP($B43,'(勿動)組件目錄表'!$D$15:$R$1094,10,FALSE),"-")</f>
        <v>-</v>
      </c>
      <c r="J43" s="11" t="str">
        <f>IFERROR(VLOOKUP($B43,'(勿動)組件目錄表'!$D$15:$R$1094,11,FALSE),"-")</f>
        <v>-</v>
      </c>
      <c r="K43" s="11" t="str">
        <f>IFERROR(VLOOKUP($B43,'(勿動)組件目錄表'!$D$15:$R$1094,12,FALSE),"-")</f>
        <v>-</v>
      </c>
      <c r="L43" s="11" t="str">
        <f>IFERROR(VLOOKUP($B43,'(勿動)組件目錄表'!$D$15:$R$1094,13,FALSE),"-")</f>
        <v>-</v>
      </c>
      <c r="M43" s="11" t="str">
        <f>IFERROR(VLOOKUP($B43,'(勿動)組件目錄表'!$D$15:$R$1094,14,FALSE),"-")</f>
        <v>-</v>
      </c>
      <c r="N43" s="15">
        <f t="shared" ca="1" si="0"/>
        <v>0</v>
      </c>
      <c r="O43" s="16"/>
    </row>
    <row r="44" spans="1:15" ht="15.75" customHeight="1">
      <c r="A44" s="17"/>
      <c r="B44" s="7" t="s">
        <v>64</v>
      </c>
      <c r="C44" s="8" t="str">
        <f>IFERROR(VLOOKUP($B44,'(勿動)組件目錄表'!$D$15:$R$1094,2,FALSE),"-")</f>
        <v>-</v>
      </c>
      <c r="D44" s="8" t="str">
        <f>IFERROR(VLOOKUP($B44,'(勿動)組件目錄表'!$D$15:$R$1094,3,FALSE),"-")</f>
        <v>-</v>
      </c>
      <c r="E44" s="9" t="str">
        <f>IFERROR(VLOOKUP($B44,'(勿動)組件目錄表'!$D$15:$R$1094,4,FALSE),"-")</f>
        <v>-</v>
      </c>
      <c r="F44" s="10" t="str">
        <f>IFERROR(VLOOKUP($B44,'(勿動)組件目錄表'!$D$15:$R$1094,5,FALSE),"-")</f>
        <v>-</v>
      </c>
      <c r="G44" s="11" t="str">
        <f>IFERROR(VLOOKUP($B44,'(勿動)組件目錄表'!$D$15:$R$1094,8,FALSE),"-")</f>
        <v>-</v>
      </c>
      <c r="H44" s="11" t="str">
        <f>IFERROR(VLOOKUP($B44,'(勿動)組件目錄表'!$D$15:$R$1094,9,FALSE),"-")</f>
        <v>-</v>
      </c>
      <c r="I44" s="11" t="str">
        <f>IFERROR(VLOOKUP($B44,'(勿動)組件目錄表'!$D$15:$R$1094,10,FALSE),"-")</f>
        <v>-</v>
      </c>
      <c r="J44" s="11" t="str">
        <f>IFERROR(VLOOKUP($B44,'(勿動)組件目錄表'!$D$15:$R$1094,11,FALSE),"-")</f>
        <v>-</v>
      </c>
      <c r="K44" s="11" t="str">
        <f>IFERROR(VLOOKUP($B44,'(勿動)組件目錄表'!$D$15:$R$1094,12,FALSE),"-")</f>
        <v>-</v>
      </c>
      <c r="L44" s="11" t="str">
        <f>IFERROR(VLOOKUP($B44,'(勿動)組件目錄表'!$D$15:$R$1094,13,FALSE),"-")</f>
        <v>-</v>
      </c>
      <c r="M44" s="11" t="str">
        <f>IFERROR(VLOOKUP($B44,'(勿動)組件目錄表'!$D$15:$R$1094,14,FALSE),"-")</f>
        <v>-</v>
      </c>
      <c r="N44" s="15">
        <f t="shared" ca="1" si="0"/>
        <v>0</v>
      </c>
      <c r="O44" s="16"/>
    </row>
    <row r="45" spans="1:15" ht="15.75" customHeight="1">
      <c r="A45" s="17"/>
      <c r="B45" s="7" t="s">
        <v>65</v>
      </c>
      <c r="C45" s="8" t="str">
        <f>IFERROR(VLOOKUP($B45,'(勿動)組件目錄表'!$D$15:$R$1094,2,FALSE),"-")</f>
        <v>-</v>
      </c>
      <c r="D45" s="8" t="str">
        <f>IFERROR(VLOOKUP($B45,'(勿動)組件目錄表'!$D$15:$R$1094,3,FALSE),"-")</f>
        <v>-</v>
      </c>
      <c r="E45" s="9" t="str">
        <f>IFERROR(VLOOKUP($B45,'(勿動)組件目錄表'!$D$15:$R$1094,4,FALSE),"-")</f>
        <v>-</v>
      </c>
      <c r="F45" s="10" t="str">
        <f>IFERROR(VLOOKUP($B45,'(勿動)組件目錄表'!$D$15:$R$1094,5,FALSE),"-")</f>
        <v>-</v>
      </c>
      <c r="G45" s="11" t="str">
        <f>IFERROR(VLOOKUP($B45,'(勿動)組件目錄表'!$D$15:$R$1094,8,FALSE),"-")</f>
        <v>-</v>
      </c>
      <c r="H45" s="11" t="str">
        <f>IFERROR(VLOOKUP($B45,'(勿動)組件目錄表'!$D$15:$R$1094,9,FALSE),"-")</f>
        <v>-</v>
      </c>
      <c r="I45" s="11" t="str">
        <f>IFERROR(VLOOKUP($B45,'(勿動)組件目錄表'!$D$15:$R$1094,10,FALSE),"-")</f>
        <v>-</v>
      </c>
      <c r="J45" s="11" t="str">
        <f>IFERROR(VLOOKUP($B45,'(勿動)組件目錄表'!$D$15:$R$1094,11,FALSE),"-")</f>
        <v>-</v>
      </c>
      <c r="K45" s="11" t="str">
        <f>IFERROR(VLOOKUP($B45,'(勿動)組件目錄表'!$D$15:$R$1094,12,FALSE),"-")</f>
        <v>-</v>
      </c>
      <c r="L45" s="11" t="str">
        <f>IFERROR(VLOOKUP($B45,'(勿動)組件目錄表'!$D$15:$R$1094,13,FALSE),"-")</f>
        <v>-</v>
      </c>
      <c r="M45" s="11" t="str">
        <f>IFERROR(VLOOKUP($B45,'(勿動)組件目錄表'!$D$15:$R$1094,14,FALSE),"-")</f>
        <v>-</v>
      </c>
      <c r="N45" s="15">
        <f t="shared" ca="1" si="0"/>
        <v>0</v>
      </c>
      <c r="O45" s="16"/>
    </row>
    <row r="46" spans="1:15" ht="15.75" customHeight="1">
      <c r="A46" s="17"/>
      <c r="B46" s="7" t="s">
        <v>66</v>
      </c>
      <c r="C46" s="8" t="str">
        <f>IFERROR(VLOOKUP($B46,'(勿動)組件目錄表'!$D$15:$R$1094,2,FALSE),"-")</f>
        <v>-</v>
      </c>
      <c r="D46" s="8" t="str">
        <f>IFERROR(VLOOKUP($B46,'(勿動)組件目錄表'!$D$15:$R$1094,3,FALSE),"-")</f>
        <v>-</v>
      </c>
      <c r="E46" s="9" t="str">
        <f>IFERROR(VLOOKUP($B46,'(勿動)組件目錄表'!$D$15:$R$1094,4,FALSE),"-")</f>
        <v>-</v>
      </c>
      <c r="F46" s="10" t="str">
        <f>IFERROR(VLOOKUP($B46,'(勿動)組件目錄表'!$D$15:$R$1094,5,FALSE),"-")</f>
        <v>-</v>
      </c>
      <c r="G46" s="11" t="str">
        <f>IFERROR(VLOOKUP($B46,'(勿動)組件目錄表'!$D$15:$R$1094,8,FALSE),"-")</f>
        <v>-</v>
      </c>
      <c r="H46" s="11" t="str">
        <f>IFERROR(VLOOKUP($B46,'(勿動)組件目錄表'!$D$15:$R$1094,9,FALSE),"-")</f>
        <v>-</v>
      </c>
      <c r="I46" s="11" t="str">
        <f>IFERROR(VLOOKUP($B46,'(勿動)組件目錄表'!$D$15:$R$1094,10,FALSE),"-")</f>
        <v>-</v>
      </c>
      <c r="J46" s="11" t="str">
        <f>IFERROR(VLOOKUP($B46,'(勿動)組件目錄表'!$D$15:$R$1094,11,FALSE),"-")</f>
        <v>-</v>
      </c>
      <c r="K46" s="11" t="str">
        <f>IFERROR(VLOOKUP($B46,'(勿動)組件目錄表'!$D$15:$R$1094,12,FALSE),"-")</f>
        <v>-</v>
      </c>
      <c r="L46" s="11" t="str">
        <f>IFERROR(VLOOKUP($B46,'(勿動)組件目錄表'!$D$15:$R$1094,13,FALSE),"-")</f>
        <v>-</v>
      </c>
      <c r="M46" s="11" t="str">
        <f>IFERROR(VLOOKUP($B46,'(勿動)組件目錄表'!$D$15:$R$1094,14,FALSE),"-")</f>
        <v>-</v>
      </c>
      <c r="N46" s="15">
        <f t="shared" ca="1" si="0"/>
        <v>0</v>
      </c>
      <c r="O46" s="16"/>
    </row>
    <row r="47" spans="1:15" ht="15.75" customHeight="1">
      <c r="A47" s="17"/>
      <c r="B47" s="7" t="s">
        <v>67</v>
      </c>
      <c r="C47" s="8" t="str">
        <f>IFERROR(VLOOKUP($B47,'(勿動)組件目錄表'!$D$15:$R$1094,2,FALSE),"-")</f>
        <v>-</v>
      </c>
      <c r="D47" s="8" t="str">
        <f>IFERROR(VLOOKUP($B47,'(勿動)組件目錄表'!$D$15:$R$1094,3,FALSE),"-")</f>
        <v>-</v>
      </c>
      <c r="E47" s="9" t="str">
        <f>IFERROR(VLOOKUP($B47,'(勿動)組件目錄表'!$D$15:$R$1094,4,FALSE),"-")</f>
        <v>-</v>
      </c>
      <c r="F47" s="10" t="str">
        <f>IFERROR(VLOOKUP($B47,'(勿動)組件目錄表'!$D$15:$R$1094,5,FALSE),"-")</f>
        <v>-</v>
      </c>
      <c r="G47" s="11" t="str">
        <f>IFERROR(VLOOKUP($B47,'(勿動)組件目錄表'!$D$15:$R$1094,8,FALSE),"-")</f>
        <v>-</v>
      </c>
      <c r="H47" s="11" t="str">
        <f>IFERROR(VLOOKUP($B47,'(勿動)組件目錄表'!$D$15:$R$1094,9,FALSE),"-")</f>
        <v>-</v>
      </c>
      <c r="I47" s="11" t="str">
        <f>IFERROR(VLOOKUP($B47,'(勿動)組件目錄表'!$D$15:$R$1094,10,FALSE),"-")</f>
        <v>-</v>
      </c>
      <c r="J47" s="11" t="str">
        <f>IFERROR(VLOOKUP($B47,'(勿動)組件目錄表'!$D$15:$R$1094,11,FALSE),"-")</f>
        <v>-</v>
      </c>
      <c r="K47" s="11" t="str">
        <f>IFERROR(VLOOKUP($B47,'(勿動)組件目錄表'!$D$15:$R$1094,12,FALSE),"-")</f>
        <v>-</v>
      </c>
      <c r="L47" s="11" t="str">
        <f>IFERROR(VLOOKUP($B47,'(勿動)組件目錄表'!$D$15:$R$1094,13,FALSE),"-")</f>
        <v>-</v>
      </c>
      <c r="M47" s="11" t="str">
        <f>IFERROR(VLOOKUP($B47,'(勿動)組件目錄表'!$D$15:$R$1094,14,FALSE),"-")</f>
        <v>-</v>
      </c>
      <c r="N47" s="15">
        <f t="shared" ca="1" si="0"/>
        <v>0</v>
      </c>
      <c r="O47" s="16"/>
    </row>
    <row r="48" spans="1:15" ht="15.75" customHeight="1">
      <c r="A48" s="17"/>
      <c r="B48" s="7" t="s">
        <v>68</v>
      </c>
      <c r="C48" s="8" t="str">
        <f>IFERROR(VLOOKUP($B48,'(勿動)組件目錄表'!$D$15:$R$1094,2,FALSE),"-")</f>
        <v>-</v>
      </c>
      <c r="D48" s="8" t="str">
        <f>IFERROR(VLOOKUP($B48,'(勿動)組件目錄表'!$D$15:$R$1094,3,FALSE),"-")</f>
        <v>-</v>
      </c>
      <c r="E48" s="9" t="str">
        <f>IFERROR(VLOOKUP($B48,'(勿動)組件目錄表'!$D$15:$R$1094,4,FALSE),"-")</f>
        <v>-</v>
      </c>
      <c r="F48" s="10" t="str">
        <f>IFERROR(VLOOKUP($B48,'(勿動)組件目錄表'!$D$15:$R$1094,5,FALSE),"-")</f>
        <v>-</v>
      </c>
      <c r="G48" s="11" t="str">
        <f>IFERROR(VLOOKUP($B48,'(勿動)組件目錄表'!$D$15:$R$1094,8,FALSE),"-")</f>
        <v>-</v>
      </c>
      <c r="H48" s="11" t="str">
        <f>IFERROR(VLOOKUP($B48,'(勿動)組件目錄表'!$D$15:$R$1094,9,FALSE),"-")</f>
        <v>-</v>
      </c>
      <c r="I48" s="11" t="str">
        <f>IFERROR(VLOOKUP($B48,'(勿動)組件目錄表'!$D$15:$R$1094,10,FALSE),"-")</f>
        <v>-</v>
      </c>
      <c r="J48" s="11" t="str">
        <f>IFERROR(VLOOKUP($B48,'(勿動)組件目錄表'!$D$15:$R$1094,11,FALSE),"-")</f>
        <v>-</v>
      </c>
      <c r="K48" s="11" t="str">
        <f>IFERROR(VLOOKUP($B48,'(勿動)組件目錄表'!$D$15:$R$1094,12,FALSE),"-")</f>
        <v>-</v>
      </c>
      <c r="L48" s="11" t="str">
        <f>IFERROR(VLOOKUP($B48,'(勿動)組件目錄表'!$D$15:$R$1094,13,FALSE),"-")</f>
        <v>-</v>
      </c>
      <c r="M48" s="11" t="str">
        <f>IFERROR(VLOOKUP($B48,'(勿動)組件目錄表'!$D$15:$R$1094,14,FALSE),"-")</f>
        <v>-</v>
      </c>
      <c r="N48" s="15">
        <f t="shared" ca="1" si="0"/>
        <v>0</v>
      </c>
      <c r="O48" s="16"/>
    </row>
    <row r="49" spans="1:15" ht="15.75" customHeight="1">
      <c r="A49" s="17"/>
      <c r="B49" s="7" t="s">
        <v>69</v>
      </c>
      <c r="C49" s="8" t="str">
        <f>IFERROR(VLOOKUP($B49,'(勿動)組件目錄表'!$D$15:$R$1094,2,FALSE),"-")</f>
        <v>-</v>
      </c>
      <c r="D49" s="8" t="str">
        <f>IFERROR(VLOOKUP($B49,'(勿動)組件目錄表'!$D$15:$R$1094,3,FALSE),"-")</f>
        <v>-</v>
      </c>
      <c r="E49" s="9" t="str">
        <f>IFERROR(VLOOKUP($B49,'(勿動)組件目錄表'!$D$15:$R$1094,4,FALSE),"-")</f>
        <v>-</v>
      </c>
      <c r="F49" s="10" t="str">
        <f>IFERROR(VLOOKUP($B49,'(勿動)組件目錄表'!$D$15:$R$1094,5,FALSE),"-")</f>
        <v>-</v>
      </c>
      <c r="G49" s="11" t="str">
        <f>IFERROR(VLOOKUP($B49,'(勿動)組件目錄表'!$D$15:$R$1094,8,FALSE),"-")</f>
        <v>-</v>
      </c>
      <c r="H49" s="11" t="str">
        <f>IFERROR(VLOOKUP($B49,'(勿動)組件目錄表'!$D$15:$R$1094,9,FALSE),"-")</f>
        <v>-</v>
      </c>
      <c r="I49" s="11" t="str">
        <f>IFERROR(VLOOKUP($B49,'(勿動)組件目錄表'!$D$15:$R$1094,10,FALSE),"-")</f>
        <v>-</v>
      </c>
      <c r="J49" s="11" t="str">
        <f>IFERROR(VLOOKUP($B49,'(勿動)組件目錄表'!$D$15:$R$1094,11,FALSE),"-")</f>
        <v>-</v>
      </c>
      <c r="K49" s="11" t="str">
        <f>IFERROR(VLOOKUP($B49,'(勿動)組件目錄表'!$D$15:$R$1094,12,FALSE),"-")</f>
        <v>-</v>
      </c>
      <c r="L49" s="11" t="str">
        <f>IFERROR(VLOOKUP($B49,'(勿動)組件目錄表'!$D$15:$R$1094,13,FALSE),"-")</f>
        <v>-</v>
      </c>
      <c r="M49" s="11" t="str">
        <f>IFERROR(VLOOKUP($B49,'(勿動)組件目錄表'!$D$15:$R$1094,14,FALSE),"-")</f>
        <v>-</v>
      </c>
      <c r="N49" s="15">
        <f t="shared" ca="1" si="0"/>
        <v>0</v>
      </c>
      <c r="O49" s="16"/>
    </row>
    <row r="50" spans="1:15" ht="15.75" customHeight="1">
      <c r="A50" s="18"/>
      <c r="B50" s="7"/>
      <c r="C50" s="8" t="str">
        <f>IFERROR(VLOOKUP($B50,'(勿動)組件目錄表'!$D$15:$R$1094,2,FALSE),"-")</f>
        <v>-</v>
      </c>
      <c r="D50" s="8" t="str">
        <f>IFERROR(VLOOKUP($B50,'(勿動)組件目錄表'!$D$15:$R$1094,3,FALSE),"-")</f>
        <v>-</v>
      </c>
      <c r="E50" s="9" t="str">
        <f>IFERROR(VLOOKUP($B50,'(勿動)組件目錄表'!$D$15:$R$1094,4,FALSE),"-")</f>
        <v>-</v>
      </c>
      <c r="F50" s="10" t="str">
        <f>IFERROR(VLOOKUP($B50,'(勿動)組件目錄表'!$D$15:$R$1094,5,FALSE),"-")</f>
        <v>-</v>
      </c>
      <c r="G50" s="11" t="str">
        <f>IFERROR(VLOOKUP($B50,'(勿動)組件目錄表'!$D$15:$R$1094,8,FALSE),"-")</f>
        <v>-</v>
      </c>
      <c r="H50" s="11" t="str">
        <f>IFERROR(VLOOKUP($B50,'(勿動)組件目錄表'!$D$15:$R$1094,9,FALSE),"-")</f>
        <v>-</v>
      </c>
      <c r="I50" s="11" t="str">
        <f>IFERROR(VLOOKUP($B50,'(勿動)組件目錄表'!$D$15:$R$1094,10,FALSE),"-")</f>
        <v>-</v>
      </c>
      <c r="J50" s="11" t="str">
        <f>IFERROR(VLOOKUP($B50,'(勿動)組件目錄表'!$D$15:$R$1094,11,FALSE),"-")</f>
        <v>-</v>
      </c>
      <c r="K50" s="11" t="str">
        <f>IFERROR(VLOOKUP($B50,'(勿動)組件目錄表'!$D$15:$R$1094,12,FALSE),"-")</f>
        <v>-</v>
      </c>
      <c r="L50" s="11" t="str">
        <f>IFERROR(VLOOKUP($B50,'(勿動)組件目錄表'!$D$15:$R$1094,13,FALSE),"-")</f>
        <v>-</v>
      </c>
      <c r="M50" s="11" t="str">
        <f>IFERROR(VLOOKUP($B50,'(勿動)組件目錄表'!$D$15:$R$1094,14,FALSE),"-")</f>
        <v>-</v>
      </c>
      <c r="N50" s="15">
        <f t="shared" ca="1" si="0"/>
        <v>0</v>
      </c>
      <c r="O50" s="16"/>
    </row>
    <row r="51" spans="1:15" ht="15.75" customHeight="1">
      <c r="A51" s="18"/>
      <c r="B51" s="7"/>
      <c r="C51" s="8" t="str">
        <f>IFERROR(VLOOKUP($B51,'(勿動)組件目錄表'!$D$15:$R$1094,2,FALSE),"-")</f>
        <v>-</v>
      </c>
      <c r="D51" s="8" t="str">
        <f>IFERROR(VLOOKUP($B51,'(勿動)組件目錄表'!$D$15:$R$1094,3,FALSE),"-")</f>
        <v>-</v>
      </c>
      <c r="E51" s="9" t="str">
        <f>IFERROR(VLOOKUP($B51,'(勿動)組件目錄表'!$D$15:$R$1094,4,FALSE),"-")</f>
        <v>-</v>
      </c>
      <c r="F51" s="10" t="str">
        <f>IFERROR(VLOOKUP($B51,'(勿動)組件目錄表'!$D$15:$R$1094,5,FALSE),"-")</f>
        <v>-</v>
      </c>
      <c r="G51" s="11" t="str">
        <f>IFERROR(VLOOKUP($B51,'(勿動)組件目錄表'!$D$15:$R$1094,8,FALSE),"-")</f>
        <v>-</v>
      </c>
      <c r="H51" s="11" t="str">
        <f>IFERROR(VLOOKUP($B51,'(勿動)組件目錄表'!$D$15:$R$1094,9,FALSE),"-")</f>
        <v>-</v>
      </c>
      <c r="I51" s="11" t="str">
        <f>IFERROR(VLOOKUP($B51,'(勿動)組件目錄表'!$D$15:$R$1094,10,FALSE),"-")</f>
        <v>-</v>
      </c>
      <c r="J51" s="11" t="str">
        <f>IFERROR(VLOOKUP($B51,'(勿動)組件目錄表'!$D$15:$R$1094,11,FALSE),"-")</f>
        <v>-</v>
      </c>
      <c r="K51" s="11" t="str">
        <f>IFERROR(VLOOKUP($B51,'(勿動)組件目錄表'!$D$15:$R$1094,12,FALSE),"-")</f>
        <v>-</v>
      </c>
      <c r="L51" s="11" t="str">
        <f>IFERROR(VLOOKUP($B51,'(勿動)組件目錄表'!$D$15:$R$1094,13,FALSE),"-")</f>
        <v>-</v>
      </c>
      <c r="M51" s="11" t="str">
        <f>IFERROR(VLOOKUP($B51,'(勿動)組件目錄表'!$D$15:$R$1094,14,FALSE),"-")</f>
        <v>-</v>
      </c>
      <c r="N51" s="15">
        <f t="shared" ca="1" si="0"/>
        <v>0</v>
      </c>
      <c r="O51" s="16"/>
    </row>
    <row r="52" spans="1:15" ht="15.75" customHeight="1">
      <c r="A52" s="18"/>
      <c r="B52" s="7"/>
      <c r="C52" s="8" t="str">
        <f>IFERROR(VLOOKUP($B52,'(勿動)組件目錄表'!$D$15:$R$1094,2,FALSE),"-")</f>
        <v>-</v>
      </c>
      <c r="D52" s="8" t="str">
        <f>IFERROR(VLOOKUP($B52,'(勿動)組件目錄表'!$D$15:$R$1094,3,FALSE),"-")</f>
        <v>-</v>
      </c>
      <c r="E52" s="9" t="str">
        <f>IFERROR(VLOOKUP($B52,'(勿動)組件目錄表'!$D$15:$R$1094,4,FALSE),"-")</f>
        <v>-</v>
      </c>
      <c r="F52" s="10" t="str">
        <f>IFERROR(VLOOKUP($B52,'(勿動)組件目錄表'!$D$15:$R$1094,5,FALSE),"-")</f>
        <v>-</v>
      </c>
      <c r="G52" s="11" t="str">
        <f>IFERROR(VLOOKUP($B52,'(勿動)組件目錄表'!$D$15:$R$1094,8,FALSE),"-")</f>
        <v>-</v>
      </c>
      <c r="H52" s="11" t="str">
        <f>IFERROR(VLOOKUP($B52,'(勿動)組件目錄表'!$D$15:$R$1094,9,FALSE),"-")</f>
        <v>-</v>
      </c>
      <c r="I52" s="11" t="str">
        <f>IFERROR(VLOOKUP($B52,'(勿動)組件目錄表'!$D$15:$R$1094,10,FALSE),"-")</f>
        <v>-</v>
      </c>
      <c r="J52" s="11" t="str">
        <f>IFERROR(VLOOKUP($B52,'(勿動)組件目錄表'!$D$15:$R$1094,11,FALSE),"-")</f>
        <v>-</v>
      </c>
      <c r="K52" s="11" t="str">
        <f>IFERROR(VLOOKUP($B52,'(勿動)組件目錄表'!$D$15:$R$1094,12,FALSE),"-")</f>
        <v>-</v>
      </c>
      <c r="L52" s="11" t="str">
        <f>IFERROR(VLOOKUP($B52,'(勿動)組件目錄表'!$D$15:$R$1094,13,FALSE),"-")</f>
        <v>-</v>
      </c>
      <c r="M52" s="11" t="str">
        <f>IFERROR(VLOOKUP($B52,'(勿動)組件目錄表'!$D$15:$R$1094,14,FALSE),"-")</f>
        <v>-</v>
      </c>
      <c r="N52" s="15">
        <f t="shared" ca="1" si="0"/>
        <v>0</v>
      </c>
      <c r="O52" s="16"/>
    </row>
    <row r="53" spans="1:15" ht="15.75" customHeight="1">
      <c r="A53" s="18"/>
      <c r="B53" s="7"/>
      <c r="C53" s="8" t="str">
        <f>IFERROR(VLOOKUP($B53,'(勿動)組件目錄表'!$D$15:$R$1094,2,FALSE),"-")</f>
        <v>-</v>
      </c>
      <c r="D53" s="8" t="str">
        <f>IFERROR(VLOOKUP($B53,'(勿動)組件目錄表'!$D$15:$R$1094,3,FALSE),"-")</f>
        <v>-</v>
      </c>
      <c r="E53" s="9" t="str">
        <f>IFERROR(VLOOKUP($B53,'(勿動)組件目錄表'!$D$15:$R$1094,4,FALSE),"-")</f>
        <v>-</v>
      </c>
      <c r="F53" s="10" t="str">
        <f>IFERROR(VLOOKUP($B53,'(勿動)組件目錄表'!$D$15:$R$1094,5,FALSE),"-")</f>
        <v>-</v>
      </c>
      <c r="G53" s="11" t="str">
        <f>IFERROR(VLOOKUP($B53,'(勿動)組件目錄表'!$D$15:$R$1094,8,FALSE),"-")</f>
        <v>-</v>
      </c>
      <c r="H53" s="11" t="str">
        <f>IFERROR(VLOOKUP($B53,'(勿動)組件目錄表'!$D$15:$R$1094,9,FALSE),"-")</f>
        <v>-</v>
      </c>
      <c r="I53" s="11" t="str">
        <f>IFERROR(VLOOKUP($B53,'(勿動)組件目錄表'!$D$15:$R$1094,10,FALSE),"-")</f>
        <v>-</v>
      </c>
      <c r="J53" s="11" t="str">
        <f>IFERROR(VLOOKUP($B53,'(勿動)組件目錄表'!$D$15:$R$1094,11,FALSE),"-")</f>
        <v>-</v>
      </c>
      <c r="K53" s="11" t="str">
        <f>IFERROR(VLOOKUP($B53,'(勿動)組件目錄表'!$D$15:$R$1094,12,FALSE),"-")</f>
        <v>-</v>
      </c>
      <c r="L53" s="11" t="str">
        <f>IFERROR(VLOOKUP($B53,'(勿動)組件目錄表'!$D$15:$R$1094,13,FALSE),"-")</f>
        <v>-</v>
      </c>
      <c r="M53" s="11" t="str">
        <f>IFERROR(VLOOKUP($B53,'(勿動)組件目錄表'!$D$15:$R$1094,14,FALSE),"-")</f>
        <v>-</v>
      </c>
      <c r="N53" s="15">
        <f t="shared" ca="1" si="0"/>
        <v>0</v>
      </c>
      <c r="O53" s="16"/>
    </row>
    <row r="54" spans="1:15" ht="15.75" customHeight="1">
      <c r="A54" s="18"/>
      <c r="B54" s="7"/>
      <c r="C54" s="8" t="str">
        <f>IFERROR(VLOOKUP($B54,'(勿動)組件目錄表'!$D$15:$R$1094,2,FALSE),"-")</f>
        <v>-</v>
      </c>
      <c r="D54" s="8" t="str">
        <f>IFERROR(VLOOKUP($B54,'(勿動)組件目錄表'!$D$15:$R$1094,3,FALSE),"-")</f>
        <v>-</v>
      </c>
      <c r="E54" s="9" t="str">
        <f>IFERROR(VLOOKUP($B54,'(勿動)組件目錄表'!$D$15:$R$1094,4,FALSE),"-")</f>
        <v>-</v>
      </c>
      <c r="F54" s="10" t="str">
        <f>IFERROR(VLOOKUP($B54,'(勿動)組件目錄表'!$D$15:$R$1094,5,FALSE),"-")</f>
        <v>-</v>
      </c>
      <c r="G54" s="11" t="str">
        <f>IFERROR(VLOOKUP($B54,'(勿動)組件目錄表'!$D$15:$R$1094,8,FALSE),"-")</f>
        <v>-</v>
      </c>
      <c r="H54" s="11" t="str">
        <f>IFERROR(VLOOKUP($B54,'(勿動)組件目錄表'!$D$15:$R$1094,9,FALSE),"-")</f>
        <v>-</v>
      </c>
      <c r="I54" s="11" t="str">
        <f>IFERROR(VLOOKUP($B54,'(勿動)組件目錄表'!$D$15:$R$1094,10,FALSE),"-")</f>
        <v>-</v>
      </c>
      <c r="J54" s="11" t="str">
        <f>IFERROR(VLOOKUP($B54,'(勿動)組件目錄表'!$D$15:$R$1094,11,FALSE),"-")</f>
        <v>-</v>
      </c>
      <c r="K54" s="11" t="str">
        <f>IFERROR(VLOOKUP($B54,'(勿動)組件目錄表'!$D$15:$R$1094,12,FALSE),"-")</f>
        <v>-</v>
      </c>
      <c r="L54" s="11" t="str">
        <f>IFERROR(VLOOKUP($B54,'(勿動)組件目錄表'!$D$15:$R$1094,13,FALSE),"-")</f>
        <v>-</v>
      </c>
      <c r="M54" s="11" t="str">
        <f>IFERROR(VLOOKUP($B54,'(勿動)組件目錄表'!$D$15:$R$1094,14,FALSE),"-")</f>
        <v>-</v>
      </c>
      <c r="N54" s="15">
        <f t="shared" ca="1" si="0"/>
        <v>0</v>
      </c>
      <c r="O54" s="16"/>
    </row>
    <row r="55" spans="1:15" ht="15.75" customHeight="1">
      <c r="A55" s="18"/>
      <c r="B55" s="7"/>
      <c r="C55" s="8" t="str">
        <f>IFERROR(VLOOKUP($B55,'(勿動)組件目錄表'!$D$15:$R$1094,2,FALSE),"-")</f>
        <v>-</v>
      </c>
      <c r="D55" s="8" t="str">
        <f>IFERROR(VLOOKUP($B55,'(勿動)組件目錄表'!$D$15:$R$1094,3,FALSE),"-")</f>
        <v>-</v>
      </c>
      <c r="E55" s="9" t="str">
        <f>IFERROR(VLOOKUP($B55,'(勿動)組件目錄表'!$D$15:$R$1094,4,FALSE),"-")</f>
        <v>-</v>
      </c>
      <c r="F55" s="10" t="str">
        <f>IFERROR(VLOOKUP($B55,'(勿動)組件目錄表'!$D$15:$R$1094,5,FALSE),"-")</f>
        <v>-</v>
      </c>
      <c r="G55" s="11" t="str">
        <f>IFERROR(VLOOKUP($B55,'(勿動)組件目錄表'!$D$15:$R$1094,8,FALSE),"-")</f>
        <v>-</v>
      </c>
      <c r="H55" s="11" t="str">
        <f>IFERROR(VLOOKUP($B55,'(勿動)組件目錄表'!$D$15:$R$1094,9,FALSE),"-")</f>
        <v>-</v>
      </c>
      <c r="I55" s="11" t="str">
        <f>IFERROR(VLOOKUP($B55,'(勿動)組件目錄表'!$D$15:$R$1094,10,FALSE),"-")</f>
        <v>-</v>
      </c>
      <c r="J55" s="11" t="str">
        <f>IFERROR(VLOOKUP($B55,'(勿動)組件目錄表'!$D$15:$R$1094,11,FALSE),"-")</f>
        <v>-</v>
      </c>
      <c r="K55" s="11" t="str">
        <f>IFERROR(VLOOKUP($B55,'(勿動)組件目錄表'!$D$15:$R$1094,12,FALSE),"-")</f>
        <v>-</v>
      </c>
      <c r="L55" s="11" t="str">
        <f>IFERROR(VLOOKUP($B55,'(勿動)組件目錄表'!$D$15:$R$1094,13,FALSE),"-")</f>
        <v>-</v>
      </c>
      <c r="M55" s="11" t="str">
        <f>IFERROR(VLOOKUP($B55,'(勿動)組件目錄表'!$D$15:$R$1094,14,FALSE),"-")</f>
        <v>-</v>
      </c>
      <c r="N55" s="15">
        <f t="shared" ca="1" si="0"/>
        <v>0</v>
      </c>
      <c r="O55" s="16"/>
    </row>
    <row r="56" spans="1:15" ht="15.75" customHeight="1">
      <c r="A56" s="18"/>
      <c r="B56" s="7"/>
      <c r="C56" s="8" t="str">
        <f>IFERROR(VLOOKUP($B56,'(勿動)組件目錄表'!$D$15:$R$1094,2,FALSE),"-")</f>
        <v>-</v>
      </c>
      <c r="D56" s="8" t="str">
        <f>IFERROR(VLOOKUP($B56,'(勿動)組件目錄表'!$D$15:$R$1094,3,FALSE),"-")</f>
        <v>-</v>
      </c>
      <c r="E56" s="9" t="str">
        <f>IFERROR(VLOOKUP($B56,'(勿動)組件目錄表'!$D$15:$R$1094,4,FALSE),"-")</f>
        <v>-</v>
      </c>
      <c r="F56" s="10" t="str">
        <f>IFERROR(VLOOKUP($B56,'(勿動)組件目錄表'!$D$15:$R$1094,5,FALSE),"-")</f>
        <v>-</v>
      </c>
      <c r="G56" s="11" t="str">
        <f>IFERROR(VLOOKUP($B56,'(勿動)組件目錄表'!$D$15:$R$1094,8,FALSE),"-")</f>
        <v>-</v>
      </c>
      <c r="H56" s="11" t="str">
        <f>IFERROR(VLOOKUP($B56,'(勿動)組件目錄表'!$D$15:$R$1094,9,FALSE),"-")</f>
        <v>-</v>
      </c>
      <c r="I56" s="11" t="str">
        <f>IFERROR(VLOOKUP($B56,'(勿動)組件目錄表'!$D$15:$R$1094,10,FALSE),"-")</f>
        <v>-</v>
      </c>
      <c r="J56" s="11" t="str">
        <f>IFERROR(VLOOKUP($B56,'(勿動)組件目錄表'!$D$15:$R$1094,11,FALSE),"-")</f>
        <v>-</v>
      </c>
      <c r="K56" s="11" t="str">
        <f>IFERROR(VLOOKUP($B56,'(勿動)組件目錄表'!$D$15:$R$1094,12,FALSE),"-")</f>
        <v>-</v>
      </c>
      <c r="L56" s="11" t="str">
        <f>IFERROR(VLOOKUP($B56,'(勿動)組件目錄表'!$D$15:$R$1094,13,FALSE),"-")</f>
        <v>-</v>
      </c>
      <c r="M56" s="11" t="str">
        <f>IFERROR(VLOOKUP($B56,'(勿動)組件目錄表'!$D$15:$R$1094,14,FALSE),"-")</f>
        <v>-</v>
      </c>
      <c r="N56" s="15">
        <f t="shared" ca="1" si="0"/>
        <v>0</v>
      </c>
      <c r="O56" s="16"/>
    </row>
    <row r="57" spans="1:15" ht="15.75" customHeight="1">
      <c r="A57" s="18"/>
      <c r="B57" s="7"/>
      <c r="C57" s="8" t="str">
        <f>IFERROR(VLOOKUP($B57,'(勿動)組件目錄表'!$D$15:$R$1094,2,FALSE),"-")</f>
        <v>-</v>
      </c>
      <c r="D57" s="8" t="str">
        <f>IFERROR(VLOOKUP($B57,'(勿動)組件目錄表'!$D$15:$R$1094,3,FALSE),"-")</f>
        <v>-</v>
      </c>
      <c r="E57" s="9" t="str">
        <f>IFERROR(VLOOKUP($B57,'(勿動)組件目錄表'!$D$15:$R$1094,4,FALSE),"-")</f>
        <v>-</v>
      </c>
      <c r="F57" s="10" t="str">
        <f>IFERROR(VLOOKUP($B57,'(勿動)組件目錄表'!$D$15:$R$1094,5,FALSE),"-")</f>
        <v>-</v>
      </c>
      <c r="G57" s="11" t="str">
        <f>IFERROR(VLOOKUP($B57,'(勿動)組件目錄表'!$D$15:$R$1094,8,FALSE),"-")</f>
        <v>-</v>
      </c>
      <c r="H57" s="11" t="str">
        <f>IFERROR(VLOOKUP($B57,'(勿動)組件目錄表'!$D$15:$R$1094,9,FALSE),"-")</f>
        <v>-</v>
      </c>
      <c r="I57" s="11" t="str">
        <f>IFERROR(VLOOKUP($B57,'(勿動)組件目錄表'!$D$15:$R$1094,10,FALSE),"-")</f>
        <v>-</v>
      </c>
      <c r="J57" s="11" t="str">
        <f>IFERROR(VLOOKUP($B57,'(勿動)組件目錄表'!$D$15:$R$1094,11,FALSE),"-")</f>
        <v>-</v>
      </c>
      <c r="K57" s="11" t="str">
        <f>IFERROR(VLOOKUP($B57,'(勿動)組件目錄表'!$D$15:$R$1094,12,FALSE),"-")</f>
        <v>-</v>
      </c>
      <c r="L57" s="11" t="str">
        <f>IFERROR(VLOOKUP($B57,'(勿動)組件目錄表'!$D$15:$R$1094,13,FALSE),"-")</f>
        <v>-</v>
      </c>
      <c r="M57" s="11" t="str">
        <f>IFERROR(VLOOKUP($B57,'(勿動)組件目錄表'!$D$15:$R$1094,14,FALSE),"-")</f>
        <v>-</v>
      </c>
      <c r="N57" s="15">
        <f t="shared" ca="1" si="0"/>
        <v>0</v>
      </c>
      <c r="O57" s="16"/>
    </row>
    <row r="58" spans="1:15" ht="15.75" customHeight="1">
      <c r="A58" s="18"/>
      <c r="B58" s="7"/>
      <c r="C58" s="8" t="str">
        <f>IFERROR(VLOOKUP($B58,'(勿動)組件目錄表'!$D$15:$R$1094,2,FALSE),"-")</f>
        <v>-</v>
      </c>
      <c r="D58" s="8" t="str">
        <f>IFERROR(VLOOKUP($B58,'(勿動)組件目錄表'!$D$15:$R$1094,3,FALSE),"-")</f>
        <v>-</v>
      </c>
      <c r="E58" s="9" t="str">
        <f>IFERROR(VLOOKUP($B58,'(勿動)組件目錄表'!$D$15:$R$1094,4,FALSE),"-")</f>
        <v>-</v>
      </c>
      <c r="F58" s="10" t="str">
        <f>IFERROR(VLOOKUP($B58,'(勿動)組件目錄表'!$D$15:$R$1094,5,FALSE),"-")</f>
        <v>-</v>
      </c>
      <c r="G58" s="11" t="str">
        <f>IFERROR(VLOOKUP($B58,'(勿動)組件目錄表'!$D$15:$R$1094,8,FALSE),"-")</f>
        <v>-</v>
      </c>
      <c r="H58" s="11" t="str">
        <f>IFERROR(VLOOKUP($B58,'(勿動)組件目錄表'!$D$15:$R$1094,9,FALSE),"-")</f>
        <v>-</v>
      </c>
      <c r="I58" s="11" t="str">
        <f>IFERROR(VLOOKUP($B58,'(勿動)組件目錄表'!$D$15:$R$1094,10,FALSE),"-")</f>
        <v>-</v>
      </c>
      <c r="J58" s="11" t="str">
        <f>IFERROR(VLOOKUP($B58,'(勿動)組件目錄表'!$D$15:$R$1094,11,FALSE),"-")</f>
        <v>-</v>
      </c>
      <c r="K58" s="11" t="str">
        <f>IFERROR(VLOOKUP($B58,'(勿動)組件目錄表'!$D$15:$R$1094,12,FALSE),"-")</f>
        <v>-</v>
      </c>
      <c r="L58" s="11" t="str">
        <f>IFERROR(VLOOKUP($B58,'(勿動)組件目錄表'!$D$15:$R$1094,13,FALSE),"-")</f>
        <v>-</v>
      </c>
      <c r="M58" s="11" t="str">
        <f>IFERROR(VLOOKUP($B58,'(勿動)組件目錄表'!$D$15:$R$1094,14,FALSE),"-")</f>
        <v>-</v>
      </c>
      <c r="N58" s="15">
        <f t="shared" ca="1" si="0"/>
        <v>0</v>
      </c>
      <c r="O58" s="16"/>
    </row>
    <row r="59" spans="1:15" ht="15.75" customHeight="1">
      <c r="A59" s="18"/>
      <c r="B59" s="7"/>
      <c r="C59" s="8" t="str">
        <f>IFERROR(VLOOKUP($B59,'(勿動)組件目錄表'!$D$15:$R$1094,2,FALSE),"-")</f>
        <v>-</v>
      </c>
      <c r="D59" s="8" t="str">
        <f>IFERROR(VLOOKUP($B59,'(勿動)組件目錄表'!$D$15:$R$1094,3,FALSE),"-")</f>
        <v>-</v>
      </c>
      <c r="E59" s="9" t="str">
        <f>IFERROR(VLOOKUP($B59,'(勿動)組件目錄表'!$D$15:$R$1094,4,FALSE),"-")</f>
        <v>-</v>
      </c>
      <c r="F59" s="10" t="str">
        <f>IFERROR(VLOOKUP($B59,'(勿動)組件目錄表'!$D$15:$R$1094,5,FALSE),"-")</f>
        <v>-</v>
      </c>
      <c r="G59" s="11" t="str">
        <f>IFERROR(VLOOKUP($B59,'(勿動)組件目錄表'!$D$15:$R$1094,8,FALSE),"-")</f>
        <v>-</v>
      </c>
      <c r="H59" s="11" t="str">
        <f>IFERROR(VLOOKUP($B59,'(勿動)組件目錄表'!$D$15:$R$1094,9,FALSE),"-")</f>
        <v>-</v>
      </c>
      <c r="I59" s="11" t="str">
        <f>IFERROR(VLOOKUP($B59,'(勿動)組件目錄表'!$D$15:$R$1094,10,FALSE),"-")</f>
        <v>-</v>
      </c>
      <c r="J59" s="11" t="str">
        <f>IFERROR(VLOOKUP($B59,'(勿動)組件目錄表'!$D$15:$R$1094,11,FALSE),"-")</f>
        <v>-</v>
      </c>
      <c r="K59" s="11" t="str">
        <f>IFERROR(VLOOKUP($B59,'(勿動)組件目錄表'!$D$15:$R$1094,12,FALSE),"-")</f>
        <v>-</v>
      </c>
      <c r="L59" s="11" t="str">
        <f>IFERROR(VLOOKUP($B59,'(勿動)組件目錄表'!$D$15:$R$1094,13,FALSE),"-")</f>
        <v>-</v>
      </c>
      <c r="M59" s="11" t="str">
        <f>IFERROR(VLOOKUP($B59,'(勿動)組件目錄表'!$D$15:$R$1094,14,FALSE),"-")</f>
        <v>-</v>
      </c>
      <c r="N59" s="15">
        <f t="shared" ca="1" si="0"/>
        <v>0</v>
      </c>
      <c r="O59" s="16"/>
    </row>
    <row r="60" spans="1:15" ht="15.75" customHeight="1">
      <c r="A60" s="18"/>
      <c r="B60" s="7"/>
      <c r="C60" s="8" t="str">
        <f>IFERROR(VLOOKUP($B60,'(勿動)組件目錄表'!$D$15:$R$1094,2,FALSE),"-")</f>
        <v>-</v>
      </c>
      <c r="D60" s="8" t="str">
        <f>IFERROR(VLOOKUP($B60,'(勿動)組件目錄表'!$D$15:$R$1094,3,FALSE),"-")</f>
        <v>-</v>
      </c>
      <c r="E60" s="9" t="str">
        <f>IFERROR(VLOOKUP($B60,'(勿動)組件目錄表'!$D$15:$R$1094,4,FALSE),"-")</f>
        <v>-</v>
      </c>
      <c r="F60" s="10" t="str">
        <f>IFERROR(VLOOKUP($B60,'(勿動)組件目錄表'!$D$15:$R$1094,5,FALSE),"-")</f>
        <v>-</v>
      </c>
      <c r="G60" s="11" t="str">
        <f>IFERROR(VLOOKUP($B60,'(勿動)組件目錄表'!$D$15:$R$1094,8,FALSE),"-")</f>
        <v>-</v>
      </c>
      <c r="H60" s="11" t="str">
        <f>IFERROR(VLOOKUP($B60,'(勿動)組件目錄表'!$D$15:$R$1094,9,FALSE),"-")</f>
        <v>-</v>
      </c>
      <c r="I60" s="11" t="str">
        <f>IFERROR(VLOOKUP($B60,'(勿動)組件目錄表'!$D$15:$R$1094,10,FALSE),"-")</f>
        <v>-</v>
      </c>
      <c r="J60" s="11" t="str">
        <f>IFERROR(VLOOKUP($B60,'(勿動)組件目錄表'!$D$15:$R$1094,11,FALSE),"-")</f>
        <v>-</v>
      </c>
      <c r="K60" s="11" t="str">
        <f>IFERROR(VLOOKUP($B60,'(勿動)組件目錄表'!$D$15:$R$1094,12,FALSE),"-")</f>
        <v>-</v>
      </c>
      <c r="L60" s="11" t="str">
        <f>IFERROR(VLOOKUP($B60,'(勿動)組件目錄表'!$D$15:$R$1094,13,FALSE),"-")</f>
        <v>-</v>
      </c>
      <c r="M60" s="11" t="str">
        <f>IFERROR(VLOOKUP($B60,'(勿動)組件目錄表'!$D$15:$R$1094,14,FALSE),"-")</f>
        <v>-</v>
      </c>
      <c r="N60" s="15">
        <f t="shared" ca="1" si="0"/>
        <v>0</v>
      </c>
      <c r="O60" s="16"/>
    </row>
    <row r="61" spans="1:15" ht="15.75" customHeight="1">
      <c r="A61" s="18"/>
      <c r="B61" s="7"/>
      <c r="C61" s="8" t="str">
        <f>IFERROR(VLOOKUP($B61,'(勿動)組件目錄表'!$D$15:$R$1094,2,FALSE),"-")</f>
        <v>-</v>
      </c>
      <c r="D61" s="8" t="str">
        <f>IFERROR(VLOOKUP($B61,'(勿動)組件目錄表'!$D$15:$R$1094,3,FALSE),"-")</f>
        <v>-</v>
      </c>
      <c r="E61" s="9" t="str">
        <f>IFERROR(VLOOKUP($B61,'(勿動)組件目錄表'!$D$15:$R$1094,4,FALSE),"-")</f>
        <v>-</v>
      </c>
      <c r="F61" s="10" t="str">
        <f>IFERROR(VLOOKUP($B61,'(勿動)組件目錄表'!$D$15:$R$1094,5,FALSE),"-")</f>
        <v>-</v>
      </c>
      <c r="G61" s="11" t="str">
        <f>IFERROR(VLOOKUP($B61,'(勿動)組件目錄表'!$D$15:$R$1094,8,FALSE),"-")</f>
        <v>-</v>
      </c>
      <c r="H61" s="11" t="str">
        <f>IFERROR(VLOOKUP($B61,'(勿動)組件目錄表'!$D$15:$R$1094,9,FALSE),"-")</f>
        <v>-</v>
      </c>
      <c r="I61" s="11" t="str">
        <f>IFERROR(VLOOKUP($B61,'(勿動)組件目錄表'!$D$15:$R$1094,10,FALSE),"-")</f>
        <v>-</v>
      </c>
      <c r="J61" s="11" t="str">
        <f>IFERROR(VLOOKUP($B61,'(勿動)組件目錄表'!$D$15:$R$1094,11,FALSE),"-")</f>
        <v>-</v>
      </c>
      <c r="K61" s="11" t="str">
        <f>IFERROR(VLOOKUP($B61,'(勿動)組件目錄表'!$D$15:$R$1094,12,FALSE),"-")</f>
        <v>-</v>
      </c>
      <c r="L61" s="11" t="str">
        <f>IFERROR(VLOOKUP($B61,'(勿動)組件目錄表'!$D$15:$R$1094,13,FALSE),"-")</f>
        <v>-</v>
      </c>
      <c r="M61" s="11" t="str">
        <f>IFERROR(VLOOKUP($B61,'(勿動)組件目錄表'!$D$15:$R$1094,14,FALSE),"-")</f>
        <v>-</v>
      </c>
      <c r="N61" s="15">
        <f t="shared" ca="1" si="0"/>
        <v>0</v>
      </c>
      <c r="O61" s="16"/>
    </row>
    <row r="62" spans="1:15" ht="15.75" customHeight="1">
      <c r="A62" s="18"/>
      <c r="B62" s="7"/>
      <c r="C62" s="8" t="str">
        <f>IFERROR(VLOOKUP($B62,'(勿動)組件目錄表'!$D$15:$R$1094,2,FALSE),"-")</f>
        <v>-</v>
      </c>
      <c r="D62" s="8" t="str">
        <f>IFERROR(VLOOKUP($B62,'(勿動)組件目錄表'!$D$15:$R$1094,3,FALSE),"-")</f>
        <v>-</v>
      </c>
      <c r="E62" s="9" t="str">
        <f>IFERROR(VLOOKUP($B62,'(勿動)組件目錄表'!$D$15:$R$1094,4,FALSE),"-")</f>
        <v>-</v>
      </c>
      <c r="F62" s="10" t="str">
        <f>IFERROR(VLOOKUP($B62,'(勿動)組件目錄表'!$D$15:$R$1094,5,FALSE),"-")</f>
        <v>-</v>
      </c>
      <c r="G62" s="11" t="str">
        <f>IFERROR(VLOOKUP($B62,'(勿動)組件目錄表'!$D$15:$R$1094,8,FALSE),"-")</f>
        <v>-</v>
      </c>
      <c r="H62" s="11" t="str">
        <f>IFERROR(VLOOKUP($B62,'(勿動)組件目錄表'!$D$15:$R$1094,9,FALSE),"-")</f>
        <v>-</v>
      </c>
      <c r="I62" s="11" t="str">
        <f>IFERROR(VLOOKUP($B62,'(勿動)組件目錄表'!$D$15:$R$1094,10,FALSE),"-")</f>
        <v>-</v>
      </c>
      <c r="J62" s="11" t="str">
        <f>IFERROR(VLOOKUP($B62,'(勿動)組件目錄表'!$D$15:$R$1094,11,FALSE),"-")</f>
        <v>-</v>
      </c>
      <c r="K62" s="11" t="str">
        <f>IFERROR(VLOOKUP($B62,'(勿動)組件目錄表'!$D$15:$R$1094,12,FALSE),"-")</f>
        <v>-</v>
      </c>
      <c r="L62" s="11" t="str">
        <f>IFERROR(VLOOKUP($B62,'(勿動)組件目錄表'!$D$15:$R$1094,13,FALSE),"-")</f>
        <v>-</v>
      </c>
      <c r="M62" s="11" t="str">
        <f>IFERROR(VLOOKUP($B62,'(勿動)組件目錄表'!$D$15:$R$1094,14,FALSE),"-")</f>
        <v>-</v>
      </c>
      <c r="N62" s="15">
        <f t="shared" ca="1" si="0"/>
        <v>0</v>
      </c>
      <c r="O62" s="16"/>
    </row>
    <row r="63" spans="1:15" ht="15.75" customHeight="1">
      <c r="A63" s="18"/>
      <c r="B63" s="7"/>
      <c r="C63" s="8" t="str">
        <f>IFERROR(VLOOKUP($B63,'(勿動)組件目錄表'!$D$15:$R$1094,2,FALSE),"-")</f>
        <v>-</v>
      </c>
      <c r="D63" s="8" t="str">
        <f>IFERROR(VLOOKUP($B63,'(勿動)組件目錄表'!$D$15:$R$1094,3,FALSE),"-")</f>
        <v>-</v>
      </c>
      <c r="E63" s="9" t="str">
        <f>IFERROR(VLOOKUP($B63,'(勿動)組件目錄表'!$D$15:$R$1094,4,FALSE),"-")</f>
        <v>-</v>
      </c>
      <c r="F63" s="10" t="str">
        <f>IFERROR(VLOOKUP($B63,'(勿動)組件目錄表'!$D$15:$R$1094,5,FALSE),"-")</f>
        <v>-</v>
      </c>
      <c r="G63" s="11" t="str">
        <f>IFERROR(VLOOKUP($B63,'(勿動)組件目錄表'!$D$15:$R$1094,8,FALSE),"-")</f>
        <v>-</v>
      </c>
      <c r="H63" s="11" t="str">
        <f>IFERROR(VLOOKUP($B63,'(勿動)組件目錄表'!$D$15:$R$1094,9,FALSE),"-")</f>
        <v>-</v>
      </c>
      <c r="I63" s="11" t="str">
        <f>IFERROR(VLOOKUP($B63,'(勿動)組件目錄表'!$D$15:$R$1094,10,FALSE),"-")</f>
        <v>-</v>
      </c>
      <c r="J63" s="11" t="str">
        <f>IFERROR(VLOOKUP($B63,'(勿動)組件目錄表'!$D$15:$R$1094,11,FALSE),"-")</f>
        <v>-</v>
      </c>
      <c r="K63" s="11" t="str">
        <f>IFERROR(VLOOKUP($B63,'(勿動)組件目錄表'!$D$15:$R$1094,12,FALSE),"-")</f>
        <v>-</v>
      </c>
      <c r="L63" s="11" t="str">
        <f>IFERROR(VLOOKUP($B63,'(勿動)組件目錄表'!$D$15:$R$1094,13,FALSE),"-")</f>
        <v>-</v>
      </c>
      <c r="M63" s="11" t="str">
        <f>IFERROR(VLOOKUP($B63,'(勿動)組件目錄表'!$D$15:$R$1094,14,FALSE),"-")</f>
        <v>-</v>
      </c>
      <c r="N63" s="15">
        <f t="shared" ca="1" si="0"/>
        <v>0</v>
      </c>
      <c r="O63" s="16"/>
    </row>
    <row r="64" spans="1:15" ht="15.75" customHeight="1">
      <c r="A64" s="18"/>
      <c r="B64" s="7"/>
      <c r="C64" s="8" t="str">
        <f>IFERROR(VLOOKUP($B64,'(勿動)組件目錄表'!$D$15:$R$1094,2,FALSE),"-")</f>
        <v>-</v>
      </c>
      <c r="D64" s="8" t="str">
        <f>IFERROR(VLOOKUP($B64,'(勿動)組件目錄表'!$D$15:$R$1094,3,FALSE),"-")</f>
        <v>-</v>
      </c>
      <c r="E64" s="9" t="str">
        <f>IFERROR(VLOOKUP($B64,'(勿動)組件目錄表'!$D$15:$R$1094,4,FALSE),"-")</f>
        <v>-</v>
      </c>
      <c r="F64" s="10" t="str">
        <f>IFERROR(VLOOKUP($B64,'(勿動)組件目錄表'!$D$15:$R$1094,5,FALSE),"-")</f>
        <v>-</v>
      </c>
      <c r="G64" s="11" t="str">
        <f>IFERROR(VLOOKUP($B64,'(勿動)組件目錄表'!$D$15:$R$1094,8,FALSE),"-")</f>
        <v>-</v>
      </c>
      <c r="H64" s="11" t="str">
        <f>IFERROR(VLOOKUP($B64,'(勿動)組件目錄表'!$D$15:$R$1094,9,FALSE),"-")</f>
        <v>-</v>
      </c>
      <c r="I64" s="11" t="str">
        <f>IFERROR(VLOOKUP($B64,'(勿動)組件目錄表'!$D$15:$R$1094,10,FALSE),"-")</f>
        <v>-</v>
      </c>
      <c r="J64" s="11" t="str">
        <f>IFERROR(VLOOKUP($B64,'(勿動)組件目錄表'!$D$15:$R$1094,11,FALSE),"-")</f>
        <v>-</v>
      </c>
      <c r="K64" s="11" t="str">
        <f>IFERROR(VLOOKUP($B64,'(勿動)組件目錄表'!$D$15:$R$1094,12,FALSE),"-")</f>
        <v>-</v>
      </c>
      <c r="L64" s="11" t="str">
        <f>IFERROR(VLOOKUP($B64,'(勿動)組件目錄表'!$D$15:$R$1094,13,FALSE),"-")</f>
        <v>-</v>
      </c>
      <c r="M64" s="11" t="str">
        <f>IFERROR(VLOOKUP($B64,'(勿動)組件目錄表'!$D$15:$R$1094,14,FALSE),"-")</f>
        <v>-</v>
      </c>
      <c r="N64" s="15">
        <f t="shared" ca="1" si="0"/>
        <v>0</v>
      </c>
      <c r="O64" s="16"/>
    </row>
    <row r="65" spans="1:15" ht="15.75" customHeight="1">
      <c r="A65" s="18"/>
      <c r="B65" s="7"/>
      <c r="C65" s="8" t="str">
        <f>IFERROR(VLOOKUP($B65,'(勿動)組件目錄表'!$D$15:$R$1094,2,FALSE),"-")</f>
        <v>-</v>
      </c>
      <c r="D65" s="8" t="str">
        <f>IFERROR(VLOOKUP($B65,'(勿動)組件目錄表'!$D$15:$R$1094,3,FALSE),"-")</f>
        <v>-</v>
      </c>
      <c r="E65" s="9" t="str">
        <f>IFERROR(VLOOKUP($B65,'(勿動)組件目錄表'!$D$15:$R$1094,4,FALSE),"-")</f>
        <v>-</v>
      </c>
      <c r="F65" s="10" t="str">
        <f>IFERROR(VLOOKUP($B65,'(勿動)組件目錄表'!$D$15:$R$1094,5,FALSE),"-")</f>
        <v>-</v>
      </c>
      <c r="G65" s="11" t="str">
        <f>IFERROR(VLOOKUP($B65,'(勿動)組件目錄表'!$D$15:$R$1094,8,FALSE),"-")</f>
        <v>-</v>
      </c>
      <c r="H65" s="11" t="str">
        <f>IFERROR(VLOOKUP($B65,'(勿動)組件目錄表'!$D$15:$R$1094,9,FALSE),"-")</f>
        <v>-</v>
      </c>
      <c r="I65" s="11" t="str">
        <f>IFERROR(VLOOKUP($B65,'(勿動)組件目錄表'!$D$15:$R$1094,10,FALSE),"-")</f>
        <v>-</v>
      </c>
      <c r="J65" s="11" t="str">
        <f>IFERROR(VLOOKUP($B65,'(勿動)組件目錄表'!$D$15:$R$1094,11,FALSE),"-")</f>
        <v>-</v>
      </c>
      <c r="K65" s="11" t="str">
        <f>IFERROR(VLOOKUP($B65,'(勿動)組件目錄表'!$D$15:$R$1094,12,FALSE),"-")</f>
        <v>-</v>
      </c>
      <c r="L65" s="11" t="str">
        <f>IFERROR(VLOOKUP($B65,'(勿動)組件目錄表'!$D$15:$R$1094,13,FALSE),"-")</f>
        <v>-</v>
      </c>
      <c r="M65" s="11" t="str">
        <f>IFERROR(VLOOKUP($B65,'(勿動)組件目錄表'!$D$15:$R$1094,14,FALSE),"-")</f>
        <v>-</v>
      </c>
      <c r="N65" s="15">
        <f t="shared" ca="1" si="0"/>
        <v>0</v>
      </c>
      <c r="O65" s="16"/>
    </row>
    <row r="66" spans="1:15" ht="15.75" customHeight="1">
      <c r="A66" s="18"/>
      <c r="B66" s="7"/>
      <c r="C66" s="8" t="str">
        <f>IFERROR(VLOOKUP($B66,'(勿動)組件目錄表'!$D$15:$R$1094,2,FALSE),"-")</f>
        <v>-</v>
      </c>
      <c r="D66" s="8" t="str">
        <f>IFERROR(VLOOKUP($B66,'(勿動)組件目錄表'!$D$15:$R$1094,3,FALSE),"-")</f>
        <v>-</v>
      </c>
      <c r="E66" s="9" t="str">
        <f>IFERROR(VLOOKUP($B66,'(勿動)組件目錄表'!$D$15:$R$1094,4,FALSE),"-")</f>
        <v>-</v>
      </c>
      <c r="F66" s="10" t="str">
        <f>IFERROR(VLOOKUP($B66,'(勿動)組件目錄表'!$D$15:$R$1094,5,FALSE),"-")</f>
        <v>-</v>
      </c>
      <c r="G66" s="11" t="str">
        <f>IFERROR(VLOOKUP($B66,'(勿動)組件目錄表'!$D$15:$R$1094,8,FALSE),"-")</f>
        <v>-</v>
      </c>
      <c r="H66" s="11" t="str">
        <f>IFERROR(VLOOKUP($B66,'(勿動)組件目錄表'!$D$15:$R$1094,9,FALSE),"-")</f>
        <v>-</v>
      </c>
      <c r="I66" s="11" t="str">
        <f>IFERROR(VLOOKUP($B66,'(勿動)組件目錄表'!$D$15:$R$1094,10,FALSE),"-")</f>
        <v>-</v>
      </c>
      <c r="J66" s="11" t="str">
        <f>IFERROR(VLOOKUP($B66,'(勿動)組件目錄表'!$D$15:$R$1094,11,FALSE),"-")</f>
        <v>-</v>
      </c>
      <c r="K66" s="11" t="str">
        <f>IFERROR(VLOOKUP($B66,'(勿動)組件目錄表'!$D$15:$R$1094,12,FALSE),"-")</f>
        <v>-</v>
      </c>
      <c r="L66" s="11" t="str">
        <f>IFERROR(VLOOKUP($B66,'(勿動)組件目錄表'!$D$15:$R$1094,13,FALSE),"-")</f>
        <v>-</v>
      </c>
      <c r="M66" s="11" t="str">
        <f>IFERROR(VLOOKUP($B66,'(勿動)組件目錄表'!$D$15:$R$1094,14,FALSE),"-")</f>
        <v>-</v>
      </c>
      <c r="N66" s="15">
        <f t="shared" ca="1" si="0"/>
        <v>0</v>
      </c>
      <c r="O66" s="16"/>
    </row>
    <row r="67" spans="1:15" ht="15.75" customHeight="1">
      <c r="A67" s="18"/>
      <c r="B67" s="7"/>
      <c r="C67" s="8" t="str">
        <f>IFERROR(VLOOKUP($B67,'(勿動)組件目錄表'!$D$15:$R$1094,2,FALSE),"-")</f>
        <v>-</v>
      </c>
      <c r="D67" s="8" t="str">
        <f>IFERROR(VLOOKUP($B67,'(勿動)組件目錄表'!$D$15:$R$1094,3,FALSE),"-")</f>
        <v>-</v>
      </c>
      <c r="E67" s="9" t="str">
        <f>IFERROR(VLOOKUP($B67,'(勿動)組件目錄表'!$D$15:$R$1094,4,FALSE),"-")</f>
        <v>-</v>
      </c>
      <c r="F67" s="10" t="str">
        <f>IFERROR(VLOOKUP($B67,'(勿動)組件目錄表'!$D$15:$R$1094,5,FALSE),"-")</f>
        <v>-</v>
      </c>
      <c r="G67" s="11" t="str">
        <f>IFERROR(VLOOKUP($B67,'(勿動)組件目錄表'!$D$15:$R$1094,8,FALSE),"-")</f>
        <v>-</v>
      </c>
      <c r="H67" s="11" t="str">
        <f>IFERROR(VLOOKUP($B67,'(勿動)組件目錄表'!$D$15:$R$1094,9,FALSE),"-")</f>
        <v>-</v>
      </c>
      <c r="I67" s="11" t="str">
        <f>IFERROR(VLOOKUP($B67,'(勿動)組件目錄表'!$D$15:$R$1094,10,FALSE),"-")</f>
        <v>-</v>
      </c>
      <c r="J67" s="11" t="str">
        <f>IFERROR(VLOOKUP($B67,'(勿動)組件目錄表'!$D$15:$R$1094,11,FALSE),"-")</f>
        <v>-</v>
      </c>
      <c r="K67" s="11" t="str">
        <f>IFERROR(VLOOKUP($B67,'(勿動)組件目錄表'!$D$15:$R$1094,12,FALSE),"-")</f>
        <v>-</v>
      </c>
      <c r="L67" s="11" t="str">
        <f>IFERROR(VLOOKUP($B67,'(勿動)組件目錄表'!$D$15:$R$1094,13,FALSE),"-")</f>
        <v>-</v>
      </c>
      <c r="M67" s="11" t="str">
        <f>IFERROR(VLOOKUP($B67,'(勿動)組件目錄表'!$D$15:$R$1094,14,FALSE),"-")</f>
        <v>-</v>
      </c>
      <c r="N67" s="15">
        <f t="shared" ca="1" si="0"/>
        <v>0</v>
      </c>
      <c r="O67" s="16"/>
    </row>
    <row r="68" spans="1:15" ht="15.75" customHeight="1">
      <c r="A68" s="18"/>
      <c r="B68" s="7"/>
      <c r="C68" s="8" t="str">
        <f>IFERROR(VLOOKUP($B68,'(勿動)組件目錄表'!$D$15:$R$1094,2,FALSE),"-")</f>
        <v>-</v>
      </c>
      <c r="D68" s="8" t="str">
        <f>IFERROR(VLOOKUP($B68,'(勿動)組件目錄表'!$D$15:$R$1094,3,FALSE),"-")</f>
        <v>-</v>
      </c>
      <c r="E68" s="9" t="str">
        <f>IFERROR(VLOOKUP($B68,'(勿動)組件目錄表'!$D$15:$R$1094,4,FALSE),"-")</f>
        <v>-</v>
      </c>
      <c r="F68" s="10" t="str">
        <f>IFERROR(VLOOKUP($B68,'(勿動)組件目錄表'!$D$15:$R$1094,5,FALSE),"-")</f>
        <v>-</v>
      </c>
      <c r="G68" s="11" t="str">
        <f>IFERROR(VLOOKUP($B68,'(勿動)組件目錄表'!$D$15:$R$1094,8,FALSE),"-")</f>
        <v>-</v>
      </c>
      <c r="H68" s="11" t="str">
        <f>IFERROR(VLOOKUP($B68,'(勿動)組件目錄表'!$D$15:$R$1094,9,FALSE),"-")</f>
        <v>-</v>
      </c>
      <c r="I68" s="11" t="str">
        <f>IFERROR(VLOOKUP($B68,'(勿動)組件目錄表'!$D$15:$R$1094,10,FALSE),"-")</f>
        <v>-</v>
      </c>
      <c r="J68" s="11" t="str">
        <f>IFERROR(VLOOKUP($B68,'(勿動)組件目錄表'!$D$15:$R$1094,11,FALSE),"-")</f>
        <v>-</v>
      </c>
      <c r="K68" s="11" t="str">
        <f>IFERROR(VLOOKUP($B68,'(勿動)組件目錄表'!$D$15:$R$1094,12,FALSE),"-")</f>
        <v>-</v>
      </c>
      <c r="L68" s="11" t="str">
        <f>IFERROR(VLOOKUP($B68,'(勿動)組件目錄表'!$D$15:$R$1094,13,FALSE),"-")</f>
        <v>-</v>
      </c>
      <c r="M68" s="11" t="str">
        <f>IFERROR(VLOOKUP($B68,'(勿動)組件目錄表'!$D$15:$R$1094,14,FALSE),"-")</f>
        <v>-</v>
      </c>
      <c r="N68" s="15">
        <f t="shared" ca="1" si="0"/>
        <v>0</v>
      </c>
      <c r="O68" s="16"/>
    </row>
    <row r="69" spans="1:15" ht="15.75" customHeight="1">
      <c r="A69" s="18"/>
      <c r="B69" s="7"/>
      <c r="C69" s="8" t="str">
        <f>IFERROR(VLOOKUP($B69,'(勿動)組件目錄表'!$D$15:$R$1094,2,FALSE),"-")</f>
        <v>-</v>
      </c>
      <c r="D69" s="8" t="str">
        <f>IFERROR(VLOOKUP($B69,'(勿動)組件目錄表'!$D$15:$R$1094,3,FALSE),"-")</f>
        <v>-</v>
      </c>
      <c r="E69" s="9" t="str">
        <f>IFERROR(VLOOKUP($B69,'(勿動)組件目錄表'!$D$15:$R$1094,4,FALSE),"-")</f>
        <v>-</v>
      </c>
      <c r="F69" s="10" t="str">
        <f>IFERROR(VLOOKUP($B69,'(勿動)組件目錄表'!$D$15:$R$1094,5,FALSE),"-")</f>
        <v>-</v>
      </c>
      <c r="G69" s="11" t="str">
        <f>IFERROR(VLOOKUP($B69,'(勿動)組件目錄表'!$D$15:$R$1094,8,FALSE),"-")</f>
        <v>-</v>
      </c>
      <c r="H69" s="11" t="str">
        <f>IFERROR(VLOOKUP($B69,'(勿動)組件目錄表'!$D$15:$R$1094,9,FALSE),"-")</f>
        <v>-</v>
      </c>
      <c r="I69" s="11" t="str">
        <f>IFERROR(VLOOKUP($B69,'(勿動)組件目錄表'!$D$15:$R$1094,10,FALSE),"-")</f>
        <v>-</v>
      </c>
      <c r="J69" s="11" t="str">
        <f>IFERROR(VLOOKUP($B69,'(勿動)組件目錄表'!$D$15:$R$1094,11,FALSE),"-")</f>
        <v>-</v>
      </c>
      <c r="K69" s="11" t="str">
        <f>IFERROR(VLOOKUP($B69,'(勿動)組件目錄表'!$D$15:$R$1094,12,FALSE),"-")</f>
        <v>-</v>
      </c>
      <c r="L69" s="11" t="str">
        <f>IFERROR(VLOOKUP($B69,'(勿動)組件目錄表'!$D$15:$R$1094,13,FALSE),"-")</f>
        <v>-</v>
      </c>
      <c r="M69" s="11" t="str">
        <f>IFERROR(VLOOKUP($B69,'(勿動)組件目錄表'!$D$15:$R$1094,14,FALSE),"-")</f>
        <v>-</v>
      </c>
      <c r="N69" s="15">
        <f t="shared" ca="1" si="0"/>
        <v>0</v>
      </c>
      <c r="O69" s="16"/>
    </row>
    <row r="70" spans="1:15" ht="15.75" customHeight="1">
      <c r="A70" s="18"/>
      <c r="B70" s="7"/>
      <c r="C70" s="8" t="str">
        <f>IFERROR(VLOOKUP($B70,'(勿動)組件目錄表'!$D$15:$R$1094,2,FALSE),"-")</f>
        <v>-</v>
      </c>
      <c r="D70" s="8" t="str">
        <f>IFERROR(VLOOKUP($B70,'(勿動)組件目錄表'!$D$15:$R$1094,3,FALSE),"-")</f>
        <v>-</v>
      </c>
      <c r="E70" s="9" t="str">
        <f>IFERROR(VLOOKUP($B70,'(勿動)組件目錄表'!$D$15:$R$1094,4,FALSE),"-")</f>
        <v>-</v>
      </c>
      <c r="F70" s="10" t="str">
        <f>IFERROR(VLOOKUP($B70,'(勿動)組件目錄表'!$D$15:$R$1094,5,FALSE),"-")</f>
        <v>-</v>
      </c>
      <c r="G70" s="11" t="str">
        <f>IFERROR(VLOOKUP($B70,'(勿動)組件目錄表'!$D$15:$R$1094,8,FALSE),"-")</f>
        <v>-</v>
      </c>
      <c r="H70" s="11" t="str">
        <f>IFERROR(VLOOKUP($B70,'(勿動)組件目錄表'!$D$15:$R$1094,9,FALSE),"-")</f>
        <v>-</v>
      </c>
      <c r="I70" s="11" t="str">
        <f>IFERROR(VLOOKUP($B70,'(勿動)組件目錄表'!$D$15:$R$1094,10,FALSE),"-")</f>
        <v>-</v>
      </c>
      <c r="J70" s="11" t="str">
        <f>IFERROR(VLOOKUP($B70,'(勿動)組件目錄表'!$D$15:$R$1094,11,FALSE),"-")</f>
        <v>-</v>
      </c>
      <c r="K70" s="11" t="str">
        <f>IFERROR(VLOOKUP($B70,'(勿動)組件目錄表'!$D$15:$R$1094,12,FALSE),"-")</f>
        <v>-</v>
      </c>
      <c r="L70" s="11" t="str">
        <f>IFERROR(VLOOKUP($B70,'(勿動)組件目錄表'!$D$15:$R$1094,13,FALSE),"-")</f>
        <v>-</v>
      </c>
      <c r="M70" s="11" t="str">
        <f>IFERROR(VLOOKUP($B70,'(勿動)組件目錄表'!$D$15:$R$1094,14,FALSE),"-")</f>
        <v>-</v>
      </c>
      <c r="N70" s="15">
        <f t="shared" ca="1" si="0"/>
        <v>0</v>
      </c>
      <c r="O70" s="16"/>
    </row>
    <row r="71" spans="1:15" ht="15.75" customHeight="1">
      <c r="A71" s="18"/>
      <c r="B71" s="7"/>
      <c r="C71" s="8" t="str">
        <f>IFERROR(VLOOKUP($B71,'(勿動)組件目錄表'!$D$15:$R$1094,2,FALSE),"-")</f>
        <v>-</v>
      </c>
      <c r="D71" s="8" t="str">
        <f>IFERROR(VLOOKUP($B71,'(勿動)組件目錄表'!$D$15:$R$1094,3,FALSE),"-")</f>
        <v>-</v>
      </c>
      <c r="E71" s="9" t="str">
        <f>IFERROR(VLOOKUP($B71,'(勿動)組件目錄表'!$D$15:$R$1094,4,FALSE),"-")</f>
        <v>-</v>
      </c>
      <c r="F71" s="10" t="str">
        <f>IFERROR(VLOOKUP($B71,'(勿動)組件目錄表'!$D$15:$R$1094,5,FALSE),"-")</f>
        <v>-</v>
      </c>
      <c r="G71" s="11" t="str">
        <f>IFERROR(VLOOKUP($B71,'(勿動)組件目錄表'!$D$15:$R$1094,8,FALSE),"-")</f>
        <v>-</v>
      </c>
      <c r="H71" s="11" t="str">
        <f>IFERROR(VLOOKUP($B71,'(勿動)組件目錄表'!$D$15:$R$1094,9,FALSE),"-")</f>
        <v>-</v>
      </c>
      <c r="I71" s="11" t="str">
        <f>IFERROR(VLOOKUP($B71,'(勿動)組件目錄表'!$D$15:$R$1094,10,FALSE),"-")</f>
        <v>-</v>
      </c>
      <c r="J71" s="11" t="str">
        <f>IFERROR(VLOOKUP($B71,'(勿動)組件目錄表'!$D$15:$R$1094,11,FALSE),"-")</f>
        <v>-</v>
      </c>
      <c r="K71" s="11" t="str">
        <f>IFERROR(VLOOKUP($B71,'(勿動)組件目錄表'!$D$15:$R$1094,12,FALSE),"-")</f>
        <v>-</v>
      </c>
      <c r="L71" s="11" t="str">
        <f>IFERROR(VLOOKUP($B71,'(勿動)組件目錄表'!$D$15:$R$1094,13,FALSE),"-")</f>
        <v>-</v>
      </c>
      <c r="M71" s="11" t="str">
        <f>IFERROR(VLOOKUP($B71,'(勿動)組件目錄表'!$D$15:$R$1094,14,FALSE),"-")</f>
        <v>-</v>
      </c>
      <c r="N71" s="15">
        <f t="shared" ca="1" si="0"/>
        <v>0</v>
      </c>
      <c r="O71" s="16"/>
    </row>
    <row r="72" spans="1:15" ht="15.75" customHeight="1">
      <c r="A72" s="18"/>
      <c r="B72" s="7"/>
      <c r="C72" s="8" t="str">
        <f>IFERROR(VLOOKUP($B72,'(勿動)組件目錄表'!$D$15:$R$1094,2,FALSE),"-")</f>
        <v>-</v>
      </c>
      <c r="D72" s="8" t="str">
        <f>IFERROR(VLOOKUP($B72,'(勿動)組件目錄表'!$D$15:$R$1094,3,FALSE),"-")</f>
        <v>-</v>
      </c>
      <c r="E72" s="9" t="str">
        <f>IFERROR(VLOOKUP($B72,'(勿動)組件目錄表'!$D$15:$R$1094,4,FALSE),"-")</f>
        <v>-</v>
      </c>
      <c r="F72" s="10" t="str">
        <f>IFERROR(VLOOKUP($B72,'(勿動)組件目錄表'!$D$15:$R$1094,5,FALSE),"-")</f>
        <v>-</v>
      </c>
      <c r="G72" s="11" t="str">
        <f>IFERROR(VLOOKUP($B72,'(勿動)組件目錄表'!$D$15:$R$1094,8,FALSE),"-")</f>
        <v>-</v>
      </c>
      <c r="H72" s="11" t="str">
        <f>IFERROR(VLOOKUP($B72,'(勿動)組件目錄表'!$D$15:$R$1094,9,FALSE),"-")</f>
        <v>-</v>
      </c>
      <c r="I72" s="11" t="str">
        <f>IFERROR(VLOOKUP($B72,'(勿動)組件目錄表'!$D$15:$R$1094,10,FALSE),"-")</f>
        <v>-</v>
      </c>
      <c r="J72" s="11" t="str">
        <f>IFERROR(VLOOKUP($B72,'(勿動)組件目錄表'!$D$15:$R$1094,11,FALSE),"-")</f>
        <v>-</v>
      </c>
      <c r="K72" s="11" t="str">
        <f>IFERROR(VLOOKUP($B72,'(勿動)組件目錄表'!$D$15:$R$1094,12,FALSE),"-")</f>
        <v>-</v>
      </c>
      <c r="L72" s="11" t="str">
        <f>IFERROR(VLOOKUP($B72,'(勿動)組件目錄表'!$D$15:$R$1094,13,FALSE),"-")</f>
        <v>-</v>
      </c>
      <c r="M72" s="11" t="str">
        <f>IFERROR(VLOOKUP($B72,'(勿動)組件目錄表'!$D$15:$R$1094,14,FALSE),"-")</f>
        <v>-</v>
      </c>
      <c r="N72" s="15">
        <f t="shared" ca="1" si="0"/>
        <v>0</v>
      </c>
      <c r="O72" s="16"/>
    </row>
    <row r="73" spans="1:15" ht="15.75" customHeight="1">
      <c r="A73" s="18"/>
      <c r="B73" s="7"/>
      <c r="C73" s="8" t="str">
        <f>IFERROR(VLOOKUP($B73,'(勿動)組件目錄表'!$D$15:$R$1094,2,FALSE),"-")</f>
        <v>-</v>
      </c>
      <c r="D73" s="8" t="str">
        <f>IFERROR(VLOOKUP($B73,'(勿動)組件目錄表'!$D$15:$R$1094,3,FALSE),"-")</f>
        <v>-</v>
      </c>
      <c r="E73" s="9" t="str">
        <f>IFERROR(VLOOKUP($B73,'(勿動)組件目錄表'!$D$15:$R$1094,4,FALSE),"-")</f>
        <v>-</v>
      </c>
      <c r="F73" s="10" t="str">
        <f>IFERROR(VLOOKUP($B73,'(勿動)組件目錄表'!$D$15:$R$1094,5,FALSE),"-")</f>
        <v>-</v>
      </c>
      <c r="G73" s="11" t="str">
        <f>IFERROR(VLOOKUP($B73,'(勿動)組件目錄表'!$D$15:$R$1094,8,FALSE),"-")</f>
        <v>-</v>
      </c>
      <c r="H73" s="11" t="str">
        <f>IFERROR(VLOOKUP($B73,'(勿動)組件目錄表'!$D$15:$R$1094,9,FALSE),"-")</f>
        <v>-</v>
      </c>
      <c r="I73" s="11" t="str">
        <f>IFERROR(VLOOKUP($B73,'(勿動)組件目錄表'!$D$15:$R$1094,10,FALSE),"-")</f>
        <v>-</v>
      </c>
      <c r="J73" s="11" t="str">
        <f>IFERROR(VLOOKUP($B73,'(勿動)組件目錄表'!$D$15:$R$1094,11,FALSE),"-")</f>
        <v>-</v>
      </c>
      <c r="K73" s="11" t="str">
        <f>IFERROR(VLOOKUP($B73,'(勿動)組件目錄表'!$D$15:$R$1094,12,FALSE),"-")</f>
        <v>-</v>
      </c>
      <c r="L73" s="11" t="str">
        <f>IFERROR(VLOOKUP($B73,'(勿動)組件目錄表'!$D$15:$R$1094,13,FALSE),"-")</f>
        <v>-</v>
      </c>
      <c r="M73" s="11" t="str">
        <f>IFERROR(VLOOKUP($B73,'(勿動)組件目錄表'!$D$15:$R$1094,14,FALSE),"-")</f>
        <v>-</v>
      </c>
      <c r="N73" s="15">
        <f t="shared" ca="1" si="0"/>
        <v>0</v>
      </c>
      <c r="O73" s="16"/>
    </row>
    <row r="74" spans="1:15" ht="15.75" customHeight="1">
      <c r="A74" s="18"/>
      <c r="B74" s="7"/>
      <c r="C74" s="8" t="str">
        <f>IFERROR(VLOOKUP($B74,'(勿動)組件目錄表'!$D$15:$R$1094,2,FALSE),"-")</f>
        <v>-</v>
      </c>
      <c r="D74" s="8" t="str">
        <f>IFERROR(VLOOKUP($B74,'(勿動)組件目錄表'!$D$15:$R$1094,3,FALSE),"-")</f>
        <v>-</v>
      </c>
      <c r="E74" s="9" t="str">
        <f>IFERROR(VLOOKUP($B74,'(勿動)組件目錄表'!$D$15:$R$1094,4,FALSE),"-")</f>
        <v>-</v>
      </c>
      <c r="F74" s="10" t="str">
        <f>IFERROR(VLOOKUP($B74,'(勿動)組件目錄表'!$D$15:$R$1094,5,FALSE),"-")</f>
        <v>-</v>
      </c>
      <c r="G74" s="11" t="str">
        <f>IFERROR(VLOOKUP($B74,'(勿動)組件目錄表'!$D$15:$R$1094,8,FALSE),"-")</f>
        <v>-</v>
      </c>
      <c r="H74" s="11" t="str">
        <f>IFERROR(VLOOKUP($B74,'(勿動)組件目錄表'!$D$15:$R$1094,9,FALSE),"-")</f>
        <v>-</v>
      </c>
      <c r="I74" s="11" t="str">
        <f>IFERROR(VLOOKUP($B74,'(勿動)組件目錄表'!$D$15:$R$1094,10,FALSE),"-")</f>
        <v>-</v>
      </c>
      <c r="J74" s="11" t="str">
        <f>IFERROR(VLOOKUP($B74,'(勿動)組件目錄表'!$D$15:$R$1094,11,FALSE),"-")</f>
        <v>-</v>
      </c>
      <c r="K74" s="11" t="str">
        <f>IFERROR(VLOOKUP($B74,'(勿動)組件目錄表'!$D$15:$R$1094,12,FALSE),"-")</f>
        <v>-</v>
      </c>
      <c r="L74" s="11" t="str">
        <f>IFERROR(VLOOKUP($B74,'(勿動)組件目錄表'!$D$15:$R$1094,13,FALSE),"-")</f>
        <v>-</v>
      </c>
      <c r="M74" s="11" t="str">
        <f>IFERROR(VLOOKUP($B74,'(勿動)組件目錄表'!$D$15:$R$1094,14,FALSE),"-")</f>
        <v>-</v>
      </c>
      <c r="N74" s="15">
        <f t="shared" ca="1" si="0"/>
        <v>0</v>
      </c>
      <c r="O74" s="16"/>
    </row>
    <row r="75" spans="1:15" ht="15.75" customHeight="1">
      <c r="A75" s="18"/>
      <c r="B75" s="7"/>
      <c r="C75" s="8" t="str">
        <f>IFERROR(VLOOKUP($B75,'(勿動)組件目錄表'!$D$15:$R$1094,2,FALSE),"-")</f>
        <v>-</v>
      </c>
      <c r="D75" s="8" t="str">
        <f>IFERROR(VLOOKUP($B75,'(勿動)組件目錄表'!$D$15:$R$1094,3,FALSE),"-")</f>
        <v>-</v>
      </c>
      <c r="E75" s="9" t="str">
        <f>IFERROR(VLOOKUP($B75,'(勿動)組件目錄表'!$D$15:$R$1094,4,FALSE),"-")</f>
        <v>-</v>
      </c>
      <c r="F75" s="10" t="str">
        <f>IFERROR(VLOOKUP($B75,'(勿動)組件目錄表'!$D$15:$R$1094,5,FALSE),"-")</f>
        <v>-</v>
      </c>
      <c r="G75" s="11" t="str">
        <f>IFERROR(VLOOKUP($B75,'(勿動)組件目錄表'!$D$15:$R$1094,8,FALSE),"-")</f>
        <v>-</v>
      </c>
      <c r="H75" s="11" t="str">
        <f>IFERROR(VLOOKUP($B75,'(勿動)組件目錄表'!$D$15:$R$1094,9,FALSE),"-")</f>
        <v>-</v>
      </c>
      <c r="I75" s="11" t="str">
        <f>IFERROR(VLOOKUP($B75,'(勿動)組件目錄表'!$D$15:$R$1094,10,FALSE),"-")</f>
        <v>-</v>
      </c>
      <c r="J75" s="11" t="str">
        <f>IFERROR(VLOOKUP($B75,'(勿動)組件目錄表'!$D$15:$R$1094,11,FALSE),"-")</f>
        <v>-</v>
      </c>
      <c r="K75" s="11" t="str">
        <f>IFERROR(VLOOKUP($B75,'(勿動)組件目錄表'!$D$15:$R$1094,12,FALSE),"-")</f>
        <v>-</v>
      </c>
      <c r="L75" s="11" t="str">
        <f>IFERROR(VLOOKUP($B75,'(勿動)組件目錄表'!$D$15:$R$1094,13,FALSE),"-")</f>
        <v>-</v>
      </c>
      <c r="M75" s="11" t="str">
        <f>IFERROR(VLOOKUP($B75,'(勿動)組件目錄表'!$D$15:$R$1094,14,FALSE),"-")</f>
        <v>-</v>
      </c>
      <c r="N75" s="15">
        <f t="shared" ca="1" si="0"/>
        <v>0</v>
      </c>
      <c r="O75" s="16"/>
    </row>
    <row r="76" spans="1:15" ht="15.75" customHeight="1">
      <c r="A76" s="18"/>
      <c r="B76" s="7"/>
      <c r="C76" s="8" t="str">
        <f>IFERROR(VLOOKUP($B76,'(勿動)組件目錄表'!$D$15:$R$1094,2,FALSE),"-")</f>
        <v>-</v>
      </c>
      <c r="D76" s="8" t="str">
        <f>IFERROR(VLOOKUP($B76,'(勿動)組件目錄表'!$D$15:$R$1094,3,FALSE),"-")</f>
        <v>-</v>
      </c>
      <c r="E76" s="9" t="str">
        <f>IFERROR(VLOOKUP($B76,'(勿動)組件目錄表'!$D$15:$R$1094,4,FALSE),"-")</f>
        <v>-</v>
      </c>
      <c r="F76" s="10" t="str">
        <f>IFERROR(VLOOKUP($B76,'(勿動)組件目錄表'!$D$15:$R$1094,5,FALSE),"-")</f>
        <v>-</v>
      </c>
      <c r="G76" s="11" t="str">
        <f>IFERROR(VLOOKUP($B76,'(勿動)組件目錄表'!$D$15:$R$1094,8,FALSE),"-")</f>
        <v>-</v>
      </c>
      <c r="H76" s="11" t="str">
        <f>IFERROR(VLOOKUP($B76,'(勿動)組件目錄表'!$D$15:$R$1094,9,FALSE),"-")</f>
        <v>-</v>
      </c>
      <c r="I76" s="11" t="str">
        <f>IFERROR(VLOOKUP($B76,'(勿動)組件目錄表'!$D$15:$R$1094,10,FALSE),"-")</f>
        <v>-</v>
      </c>
      <c r="J76" s="11" t="str">
        <f>IFERROR(VLOOKUP($B76,'(勿動)組件目錄表'!$D$15:$R$1094,11,FALSE),"-")</f>
        <v>-</v>
      </c>
      <c r="K76" s="11" t="str">
        <f>IFERROR(VLOOKUP($B76,'(勿動)組件目錄表'!$D$15:$R$1094,12,FALSE),"-")</f>
        <v>-</v>
      </c>
      <c r="L76" s="11" t="str">
        <f>IFERROR(VLOOKUP($B76,'(勿動)組件目錄表'!$D$15:$R$1094,13,FALSE),"-")</f>
        <v>-</v>
      </c>
      <c r="M76" s="11" t="str">
        <f>IFERROR(VLOOKUP($B76,'(勿動)組件目錄表'!$D$15:$R$1094,14,FALSE),"-")</f>
        <v>-</v>
      </c>
      <c r="N76" s="15">
        <f t="shared" ca="1" si="0"/>
        <v>0</v>
      </c>
      <c r="O76" s="16"/>
    </row>
    <row r="77" spans="1:15" ht="15.75" customHeight="1">
      <c r="A77" s="18"/>
      <c r="B77" s="7"/>
      <c r="C77" s="8" t="str">
        <f>IFERROR(VLOOKUP($B77,'(勿動)組件目錄表'!$D$15:$R$1094,2,FALSE),"-")</f>
        <v>-</v>
      </c>
      <c r="D77" s="8" t="str">
        <f>IFERROR(VLOOKUP($B77,'(勿動)組件目錄表'!$D$15:$R$1094,3,FALSE),"-")</f>
        <v>-</v>
      </c>
      <c r="E77" s="9" t="str">
        <f>IFERROR(VLOOKUP($B77,'(勿動)組件目錄表'!$D$15:$R$1094,4,FALSE),"-")</f>
        <v>-</v>
      </c>
      <c r="F77" s="10" t="str">
        <f>IFERROR(VLOOKUP($B77,'(勿動)組件目錄表'!$D$15:$R$1094,5,FALSE),"-")</f>
        <v>-</v>
      </c>
      <c r="G77" s="11" t="str">
        <f>IFERROR(VLOOKUP($B77,'(勿動)組件目錄表'!$D$15:$R$1094,8,FALSE),"-")</f>
        <v>-</v>
      </c>
      <c r="H77" s="11" t="str">
        <f>IFERROR(VLOOKUP($B77,'(勿動)組件目錄表'!$D$15:$R$1094,9,FALSE),"-")</f>
        <v>-</v>
      </c>
      <c r="I77" s="11" t="str">
        <f>IFERROR(VLOOKUP($B77,'(勿動)組件目錄表'!$D$15:$R$1094,10,FALSE),"-")</f>
        <v>-</v>
      </c>
      <c r="J77" s="11" t="str">
        <f>IFERROR(VLOOKUP($B77,'(勿動)組件目錄表'!$D$15:$R$1094,11,FALSE),"-")</f>
        <v>-</v>
      </c>
      <c r="K77" s="11" t="str">
        <f>IFERROR(VLOOKUP($B77,'(勿動)組件目錄表'!$D$15:$R$1094,12,FALSE),"-")</f>
        <v>-</v>
      </c>
      <c r="L77" s="11" t="str">
        <f>IFERROR(VLOOKUP($B77,'(勿動)組件目錄表'!$D$15:$R$1094,13,FALSE),"-")</f>
        <v>-</v>
      </c>
      <c r="M77" s="11" t="str">
        <f>IFERROR(VLOOKUP($B77,'(勿動)組件目錄表'!$D$15:$R$1094,14,FALSE),"-")</f>
        <v>-</v>
      </c>
      <c r="N77" s="15">
        <f t="shared" ca="1" si="0"/>
        <v>0</v>
      </c>
      <c r="O77" s="16"/>
    </row>
    <row r="78" spans="1:15" ht="15.75" customHeight="1">
      <c r="A78" s="18"/>
      <c r="B78" s="7"/>
      <c r="C78" s="8" t="str">
        <f>IFERROR(VLOOKUP($B78,'(勿動)組件目錄表'!$D$15:$R$1094,2,FALSE),"-")</f>
        <v>-</v>
      </c>
      <c r="D78" s="8" t="str">
        <f>IFERROR(VLOOKUP($B78,'(勿動)組件目錄表'!$D$15:$R$1094,3,FALSE),"-")</f>
        <v>-</v>
      </c>
      <c r="E78" s="9" t="str">
        <f>IFERROR(VLOOKUP($B78,'(勿動)組件目錄表'!$D$15:$R$1094,4,FALSE),"-")</f>
        <v>-</v>
      </c>
      <c r="F78" s="10" t="str">
        <f>IFERROR(VLOOKUP($B78,'(勿動)組件目錄表'!$D$15:$R$1094,5,FALSE),"-")</f>
        <v>-</v>
      </c>
      <c r="G78" s="11" t="str">
        <f>IFERROR(VLOOKUP($B78,'(勿動)組件目錄表'!$D$15:$R$1094,8,FALSE),"-")</f>
        <v>-</v>
      </c>
      <c r="H78" s="11" t="str">
        <f>IFERROR(VLOOKUP($B78,'(勿動)組件目錄表'!$D$15:$R$1094,9,FALSE),"-")</f>
        <v>-</v>
      </c>
      <c r="I78" s="11" t="str">
        <f>IFERROR(VLOOKUP($B78,'(勿動)組件目錄表'!$D$15:$R$1094,10,FALSE),"-")</f>
        <v>-</v>
      </c>
      <c r="J78" s="11" t="str">
        <f>IFERROR(VLOOKUP($B78,'(勿動)組件目錄表'!$D$15:$R$1094,11,FALSE),"-")</f>
        <v>-</v>
      </c>
      <c r="K78" s="11" t="str">
        <f>IFERROR(VLOOKUP($B78,'(勿動)組件目錄表'!$D$15:$R$1094,12,FALSE),"-")</f>
        <v>-</v>
      </c>
      <c r="L78" s="11" t="str">
        <f>IFERROR(VLOOKUP($B78,'(勿動)組件目錄表'!$D$15:$R$1094,13,FALSE),"-")</f>
        <v>-</v>
      </c>
      <c r="M78" s="11" t="str">
        <f>IFERROR(VLOOKUP($B78,'(勿動)組件目錄表'!$D$15:$R$1094,14,FALSE),"-")</f>
        <v>-</v>
      </c>
      <c r="N78" s="15">
        <f t="shared" ca="1" si="0"/>
        <v>0</v>
      </c>
      <c r="O78" s="16"/>
    </row>
    <row r="79" spans="1:15" ht="15.75" customHeight="1">
      <c r="A79" s="18"/>
      <c r="B79" s="7"/>
      <c r="C79" s="8" t="str">
        <f>IFERROR(VLOOKUP($B79,'(勿動)組件目錄表'!$D$15:$R$1094,2,FALSE),"-")</f>
        <v>-</v>
      </c>
      <c r="D79" s="8" t="str">
        <f>IFERROR(VLOOKUP($B79,'(勿動)組件目錄表'!$D$15:$R$1094,3,FALSE),"-")</f>
        <v>-</v>
      </c>
      <c r="E79" s="9" t="str">
        <f>IFERROR(VLOOKUP($B79,'(勿動)組件目錄表'!$D$15:$R$1094,4,FALSE),"-")</f>
        <v>-</v>
      </c>
      <c r="F79" s="10" t="str">
        <f>IFERROR(VLOOKUP($B79,'(勿動)組件目錄表'!$D$15:$R$1094,5,FALSE),"-")</f>
        <v>-</v>
      </c>
      <c r="G79" s="11" t="str">
        <f>IFERROR(VLOOKUP($B79,'(勿動)組件目錄表'!$D$15:$R$1094,8,FALSE),"-")</f>
        <v>-</v>
      </c>
      <c r="H79" s="11" t="str">
        <f>IFERROR(VLOOKUP($B79,'(勿動)組件目錄表'!$D$15:$R$1094,9,FALSE),"-")</f>
        <v>-</v>
      </c>
      <c r="I79" s="11" t="str">
        <f>IFERROR(VLOOKUP($B79,'(勿動)組件目錄表'!$D$15:$R$1094,10,FALSE),"-")</f>
        <v>-</v>
      </c>
      <c r="J79" s="11" t="str">
        <f>IFERROR(VLOOKUP($B79,'(勿動)組件目錄表'!$D$15:$R$1094,11,FALSE),"-")</f>
        <v>-</v>
      </c>
      <c r="K79" s="11" t="str">
        <f>IFERROR(VLOOKUP($B79,'(勿動)組件目錄表'!$D$15:$R$1094,12,FALSE),"-")</f>
        <v>-</v>
      </c>
      <c r="L79" s="11" t="str">
        <f>IFERROR(VLOOKUP($B79,'(勿動)組件目錄表'!$D$15:$R$1094,13,FALSE),"-")</f>
        <v>-</v>
      </c>
      <c r="M79" s="11" t="str">
        <f>IFERROR(VLOOKUP($B79,'(勿動)組件目錄表'!$D$15:$R$1094,14,FALSE),"-")</f>
        <v>-</v>
      </c>
      <c r="N79" s="15">
        <f t="shared" ca="1" si="0"/>
        <v>0</v>
      </c>
      <c r="O79" s="16"/>
    </row>
    <row r="80" spans="1:15" ht="15.75" customHeight="1">
      <c r="A80" s="18"/>
      <c r="B80" s="7"/>
      <c r="C80" s="8" t="str">
        <f>IFERROR(VLOOKUP($B80,'(勿動)組件目錄表'!$D$15:$R$1094,2,FALSE),"-")</f>
        <v>-</v>
      </c>
      <c r="D80" s="8" t="str">
        <f>IFERROR(VLOOKUP($B80,'(勿動)組件目錄表'!$D$15:$R$1094,3,FALSE),"-")</f>
        <v>-</v>
      </c>
      <c r="E80" s="9" t="str">
        <f>IFERROR(VLOOKUP($B80,'(勿動)組件目錄表'!$D$15:$R$1094,4,FALSE),"-")</f>
        <v>-</v>
      </c>
      <c r="F80" s="10" t="str">
        <f>IFERROR(VLOOKUP($B80,'(勿動)組件目錄表'!$D$15:$R$1094,5,FALSE),"-")</f>
        <v>-</v>
      </c>
      <c r="G80" s="11" t="str">
        <f>IFERROR(VLOOKUP($B80,'(勿動)組件目錄表'!$D$15:$R$1094,8,FALSE),"-")</f>
        <v>-</v>
      </c>
      <c r="H80" s="11" t="str">
        <f>IFERROR(VLOOKUP($B80,'(勿動)組件目錄表'!$D$15:$R$1094,9,FALSE),"-")</f>
        <v>-</v>
      </c>
      <c r="I80" s="11" t="str">
        <f>IFERROR(VLOOKUP($B80,'(勿動)組件目錄表'!$D$15:$R$1094,10,FALSE),"-")</f>
        <v>-</v>
      </c>
      <c r="J80" s="11" t="str">
        <f>IFERROR(VLOOKUP($B80,'(勿動)組件目錄表'!$D$15:$R$1094,11,FALSE),"-")</f>
        <v>-</v>
      </c>
      <c r="K80" s="11" t="str">
        <f>IFERROR(VLOOKUP($B80,'(勿動)組件目錄表'!$D$15:$R$1094,12,FALSE),"-")</f>
        <v>-</v>
      </c>
      <c r="L80" s="11" t="str">
        <f>IFERROR(VLOOKUP($B80,'(勿動)組件目錄表'!$D$15:$R$1094,13,FALSE),"-")</f>
        <v>-</v>
      </c>
      <c r="M80" s="11" t="str">
        <f>IFERROR(VLOOKUP($B80,'(勿動)組件目錄表'!$D$15:$R$1094,14,FALSE),"-")</f>
        <v>-</v>
      </c>
      <c r="N80" s="15">
        <f t="shared" ca="1" si="0"/>
        <v>0</v>
      </c>
      <c r="O80" s="16"/>
    </row>
    <row r="81" spans="1:15" ht="15.75" customHeight="1">
      <c r="A81" s="18"/>
      <c r="B81" s="7"/>
      <c r="C81" s="8" t="str">
        <f>IFERROR(VLOOKUP($B81,'(勿動)組件目錄表'!$D$15:$R$1094,2,FALSE),"-")</f>
        <v>-</v>
      </c>
      <c r="D81" s="8" t="str">
        <f>IFERROR(VLOOKUP($B81,'(勿動)組件目錄表'!$D$15:$R$1094,3,FALSE),"-")</f>
        <v>-</v>
      </c>
      <c r="E81" s="9" t="str">
        <f>IFERROR(VLOOKUP($B81,'(勿動)組件目錄表'!$D$15:$R$1094,4,FALSE),"-")</f>
        <v>-</v>
      </c>
      <c r="F81" s="10" t="str">
        <f>IFERROR(VLOOKUP($B81,'(勿動)組件目錄表'!$D$15:$R$1094,5,FALSE),"-")</f>
        <v>-</v>
      </c>
      <c r="G81" s="11" t="str">
        <f>IFERROR(VLOOKUP($B81,'(勿動)組件目錄表'!$D$15:$R$1094,8,FALSE),"-")</f>
        <v>-</v>
      </c>
      <c r="H81" s="11" t="str">
        <f>IFERROR(VLOOKUP($B81,'(勿動)組件目錄表'!$D$15:$R$1094,9,FALSE),"-")</f>
        <v>-</v>
      </c>
      <c r="I81" s="11" t="str">
        <f>IFERROR(VLOOKUP($B81,'(勿動)組件目錄表'!$D$15:$R$1094,10,FALSE),"-")</f>
        <v>-</v>
      </c>
      <c r="J81" s="11" t="str">
        <f>IFERROR(VLOOKUP($B81,'(勿動)組件目錄表'!$D$15:$R$1094,11,FALSE),"-")</f>
        <v>-</v>
      </c>
      <c r="K81" s="11" t="str">
        <f>IFERROR(VLOOKUP($B81,'(勿動)組件目錄表'!$D$15:$R$1094,12,FALSE),"-")</f>
        <v>-</v>
      </c>
      <c r="L81" s="11" t="str">
        <f>IFERROR(VLOOKUP($B81,'(勿動)組件目錄表'!$D$15:$R$1094,13,FALSE),"-")</f>
        <v>-</v>
      </c>
      <c r="M81" s="11" t="str">
        <f>IFERROR(VLOOKUP($B81,'(勿動)組件目錄表'!$D$15:$R$1094,14,FALSE),"-")</f>
        <v>-</v>
      </c>
      <c r="N81" s="15">
        <f t="shared" ca="1" si="0"/>
        <v>0</v>
      </c>
      <c r="O81" s="16"/>
    </row>
    <row r="82" spans="1:15" ht="15.75" customHeight="1">
      <c r="A82" s="18"/>
      <c r="B82" s="7"/>
      <c r="C82" s="8" t="str">
        <f>IFERROR(VLOOKUP($B82,'(勿動)組件目錄表'!$D$15:$R$1094,2,FALSE),"-")</f>
        <v>-</v>
      </c>
      <c r="D82" s="8" t="str">
        <f>IFERROR(VLOOKUP($B82,'(勿動)組件目錄表'!$D$15:$R$1094,3,FALSE),"-")</f>
        <v>-</v>
      </c>
      <c r="E82" s="9" t="str">
        <f>IFERROR(VLOOKUP($B82,'(勿動)組件目錄表'!$D$15:$R$1094,4,FALSE),"-")</f>
        <v>-</v>
      </c>
      <c r="F82" s="10" t="str">
        <f>IFERROR(VLOOKUP($B82,'(勿動)組件目錄表'!$D$15:$R$1094,5,FALSE),"-")</f>
        <v>-</v>
      </c>
      <c r="G82" s="11" t="str">
        <f>IFERROR(VLOOKUP($B82,'(勿動)組件目錄表'!$D$15:$R$1094,8,FALSE),"-")</f>
        <v>-</v>
      </c>
      <c r="H82" s="11" t="str">
        <f>IFERROR(VLOOKUP($B82,'(勿動)組件目錄表'!$D$15:$R$1094,9,FALSE),"-")</f>
        <v>-</v>
      </c>
      <c r="I82" s="11" t="str">
        <f>IFERROR(VLOOKUP($B82,'(勿動)組件目錄表'!$D$15:$R$1094,10,FALSE),"-")</f>
        <v>-</v>
      </c>
      <c r="J82" s="11" t="str">
        <f>IFERROR(VLOOKUP($B82,'(勿動)組件目錄表'!$D$15:$R$1094,11,FALSE),"-")</f>
        <v>-</v>
      </c>
      <c r="K82" s="11" t="str">
        <f>IFERROR(VLOOKUP($B82,'(勿動)組件目錄表'!$D$15:$R$1094,12,FALSE),"-")</f>
        <v>-</v>
      </c>
      <c r="L82" s="11" t="str">
        <f>IFERROR(VLOOKUP($B82,'(勿動)組件目錄表'!$D$15:$R$1094,13,FALSE),"-")</f>
        <v>-</v>
      </c>
      <c r="M82" s="11" t="str">
        <f>IFERROR(VLOOKUP($B82,'(勿動)組件目錄表'!$D$15:$R$1094,14,FALSE),"-")</f>
        <v>-</v>
      </c>
      <c r="N82" s="15">
        <f t="shared" ca="1" si="0"/>
        <v>0</v>
      </c>
      <c r="O82" s="16"/>
    </row>
    <row r="83" spans="1:15" ht="15.75" customHeight="1">
      <c r="A83" s="18"/>
      <c r="B83" s="7"/>
      <c r="C83" s="8" t="str">
        <f>IFERROR(VLOOKUP($B83,'(勿動)組件目錄表'!$D$15:$R$1094,2,FALSE),"-")</f>
        <v>-</v>
      </c>
      <c r="D83" s="8" t="str">
        <f>IFERROR(VLOOKUP($B83,'(勿動)組件目錄表'!$D$15:$R$1094,3,FALSE),"-")</f>
        <v>-</v>
      </c>
      <c r="E83" s="9" t="str">
        <f>IFERROR(VLOOKUP($B83,'(勿動)組件目錄表'!$D$15:$R$1094,4,FALSE),"-")</f>
        <v>-</v>
      </c>
      <c r="F83" s="10" t="str">
        <f>IFERROR(VLOOKUP($B83,'(勿動)組件目錄表'!$D$15:$R$1094,5,FALSE),"-")</f>
        <v>-</v>
      </c>
      <c r="G83" s="11" t="str">
        <f>IFERROR(VLOOKUP($B83,'(勿動)組件目錄表'!$D$15:$R$1094,8,FALSE),"-")</f>
        <v>-</v>
      </c>
      <c r="H83" s="11" t="str">
        <f>IFERROR(VLOOKUP($B83,'(勿動)組件目錄表'!$D$15:$R$1094,9,FALSE),"-")</f>
        <v>-</v>
      </c>
      <c r="I83" s="11" t="str">
        <f>IFERROR(VLOOKUP($B83,'(勿動)組件目錄表'!$D$15:$R$1094,10,FALSE),"-")</f>
        <v>-</v>
      </c>
      <c r="J83" s="11" t="str">
        <f>IFERROR(VLOOKUP($B83,'(勿動)組件目錄表'!$D$15:$R$1094,11,FALSE),"-")</f>
        <v>-</v>
      </c>
      <c r="K83" s="11" t="str">
        <f>IFERROR(VLOOKUP($B83,'(勿動)組件目錄表'!$D$15:$R$1094,12,FALSE),"-")</f>
        <v>-</v>
      </c>
      <c r="L83" s="11" t="str">
        <f>IFERROR(VLOOKUP($B83,'(勿動)組件目錄表'!$D$15:$R$1094,13,FALSE),"-")</f>
        <v>-</v>
      </c>
      <c r="M83" s="11" t="str">
        <f>IFERROR(VLOOKUP($B83,'(勿動)組件目錄表'!$D$15:$R$1094,14,FALSE),"-")</f>
        <v>-</v>
      </c>
      <c r="N83" s="15">
        <f t="shared" ca="1" si="0"/>
        <v>0</v>
      </c>
      <c r="O83" s="16"/>
    </row>
    <row r="84" spans="1:15" ht="15.75" customHeight="1">
      <c r="A84" s="18"/>
      <c r="B84" s="7"/>
      <c r="C84" s="8" t="str">
        <f>IFERROR(VLOOKUP($B84,'(勿動)組件目錄表'!$D$15:$R$1094,2,FALSE),"-")</f>
        <v>-</v>
      </c>
      <c r="D84" s="8" t="str">
        <f>IFERROR(VLOOKUP($B84,'(勿動)組件目錄表'!$D$15:$R$1094,3,FALSE),"-")</f>
        <v>-</v>
      </c>
      <c r="E84" s="9" t="str">
        <f>IFERROR(VLOOKUP($B84,'(勿動)組件目錄表'!$D$15:$R$1094,4,FALSE),"-")</f>
        <v>-</v>
      </c>
      <c r="F84" s="10" t="str">
        <f>IFERROR(VLOOKUP($B84,'(勿動)組件目錄表'!$D$15:$R$1094,5,FALSE),"-")</f>
        <v>-</v>
      </c>
      <c r="G84" s="11" t="str">
        <f>IFERROR(VLOOKUP($B84,'(勿動)組件目錄表'!$D$15:$R$1094,8,FALSE),"-")</f>
        <v>-</v>
      </c>
      <c r="H84" s="11" t="str">
        <f>IFERROR(VLOOKUP($B84,'(勿動)組件目錄表'!$D$15:$R$1094,9,FALSE),"-")</f>
        <v>-</v>
      </c>
      <c r="I84" s="11" t="str">
        <f>IFERROR(VLOOKUP($B84,'(勿動)組件目錄表'!$D$15:$R$1094,10,FALSE),"-")</f>
        <v>-</v>
      </c>
      <c r="J84" s="11" t="str">
        <f>IFERROR(VLOOKUP($B84,'(勿動)組件目錄表'!$D$15:$R$1094,11,FALSE),"-")</f>
        <v>-</v>
      </c>
      <c r="K84" s="11" t="str">
        <f>IFERROR(VLOOKUP($B84,'(勿動)組件目錄表'!$D$15:$R$1094,12,FALSE),"-")</f>
        <v>-</v>
      </c>
      <c r="L84" s="11" t="str">
        <f>IFERROR(VLOOKUP($B84,'(勿動)組件目錄表'!$D$15:$R$1094,13,FALSE),"-")</f>
        <v>-</v>
      </c>
      <c r="M84" s="11" t="str">
        <f>IFERROR(VLOOKUP($B84,'(勿動)組件目錄表'!$D$15:$R$1094,14,FALSE),"-")</f>
        <v>-</v>
      </c>
      <c r="N84" s="15">
        <f t="shared" ca="1" si="0"/>
        <v>0</v>
      </c>
      <c r="O84" s="16"/>
    </row>
    <row r="85" spans="1:15" ht="15.75" customHeight="1">
      <c r="A85" s="18"/>
      <c r="B85" s="7"/>
      <c r="C85" s="8" t="str">
        <f>IFERROR(VLOOKUP($B85,'(勿動)組件目錄表'!$D$15:$R$1094,2,FALSE),"-")</f>
        <v>-</v>
      </c>
      <c r="D85" s="8" t="str">
        <f>IFERROR(VLOOKUP($B85,'(勿動)組件目錄表'!$D$15:$R$1094,3,FALSE),"-")</f>
        <v>-</v>
      </c>
      <c r="E85" s="9" t="str">
        <f>IFERROR(VLOOKUP($B85,'(勿動)組件目錄表'!$D$15:$R$1094,4,FALSE),"-")</f>
        <v>-</v>
      </c>
      <c r="F85" s="10" t="str">
        <f>IFERROR(VLOOKUP($B85,'(勿動)組件目錄表'!$D$15:$R$1094,5,FALSE),"-")</f>
        <v>-</v>
      </c>
      <c r="G85" s="11" t="str">
        <f>IFERROR(VLOOKUP($B85,'(勿動)組件目錄表'!$D$15:$R$1094,8,FALSE),"-")</f>
        <v>-</v>
      </c>
      <c r="H85" s="11" t="str">
        <f>IFERROR(VLOOKUP($B85,'(勿動)組件目錄表'!$D$15:$R$1094,9,FALSE),"-")</f>
        <v>-</v>
      </c>
      <c r="I85" s="11" t="str">
        <f>IFERROR(VLOOKUP($B85,'(勿動)組件目錄表'!$D$15:$R$1094,10,FALSE),"-")</f>
        <v>-</v>
      </c>
      <c r="J85" s="11" t="str">
        <f>IFERROR(VLOOKUP($B85,'(勿動)組件目錄表'!$D$15:$R$1094,11,FALSE),"-")</f>
        <v>-</v>
      </c>
      <c r="K85" s="11" t="str">
        <f>IFERROR(VLOOKUP($B85,'(勿動)組件目錄表'!$D$15:$R$1094,12,FALSE),"-")</f>
        <v>-</v>
      </c>
      <c r="L85" s="11" t="str">
        <f>IFERROR(VLOOKUP($B85,'(勿動)組件目錄表'!$D$15:$R$1094,13,FALSE),"-")</f>
        <v>-</v>
      </c>
      <c r="M85" s="11" t="str">
        <f>IFERROR(VLOOKUP($B85,'(勿動)組件目錄表'!$D$15:$R$1094,14,FALSE),"-")</f>
        <v>-</v>
      </c>
      <c r="N85" s="15">
        <f t="shared" ca="1" si="0"/>
        <v>0</v>
      </c>
      <c r="O85" s="16"/>
    </row>
    <row r="86" spans="1:15" ht="15.75" customHeight="1">
      <c r="A86" s="18"/>
      <c r="B86" s="7"/>
      <c r="C86" s="8" t="str">
        <f>IFERROR(VLOOKUP($B86,'(勿動)組件目錄表'!$D$15:$R$1094,2,FALSE),"-")</f>
        <v>-</v>
      </c>
      <c r="D86" s="8" t="str">
        <f>IFERROR(VLOOKUP($B86,'(勿動)組件目錄表'!$D$15:$R$1094,3,FALSE),"-")</f>
        <v>-</v>
      </c>
      <c r="E86" s="9" t="str">
        <f>IFERROR(VLOOKUP($B86,'(勿動)組件目錄表'!$D$15:$R$1094,4,FALSE),"-")</f>
        <v>-</v>
      </c>
      <c r="F86" s="10" t="str">
        <f>IFERROR(VLOOKUP($B86,'(勿動)組件目錄表'!$D$15:$R$1094,5,FALSE),"-")</f>
        <v>-</v>
      </c>
      <c r="G86" s="11" t="str">
        <f>IFERROR(VLOOKUP($B86,'(勿動)組件目錄表'!$D$15:$R$1094,8,FALSE),"-")</f>
        <v>-</v>
      </c>
      <c r="H86" s="11" t="str">
        <f>IFERROR(VLOOKUP($B86,'(勿動)組件目錄表'!$D$15:$R$1094,9,FALSE),"-")</f>
        <v>-</v>
      </c>
      <c r="I86" s="11" t="str">
        <f>IFERROR(VLOOKUP($B86,'(勿動)組件目錄表'!$D$15:$R$1094,10,FALSE),"-")</f>
        <v>-</v>
      </c>
      <c r="J86" s="11" t="str">
        <f>IFERROR(VLOOKUP($B86,'(勿動)組件目錄表'!$D$15:$R$1094,11,FALSE),"-")</f>
        <v>-</v>
      </c>
      <c r="K86" s="11" t="str">
        <f>IFERROR(VLOOKUP($B86,'(勿動)組件目錄表'!$D$15:$R$1094,12,FALSE),"-")</f>
        <v>-</v>
      </c>
      <c r="L86" s="11" t="str">
        <f>IFERROR(VLOOKUP($B86,'(勿動)組件目錄表'!$D$15:$R$1094,13,FALSE),"-")</f>
        <v>-</v>
      </c>
      <c r="M86" s="11" t="str">
        <f>IFERROR(VLOOKUP($B86,'(勿動)組件目錄表'!$D$15:$R$1094,14,FALSE),"-")</f>
        <v>-</v>
      </c>
      <c r="N86" s="15">
        <f t="shared" ca="1" si="0"/>
        <v>0</v>
      </c>
      <c r="O86" s="16"/>
    </row>
    <row r="87" spans="1:15" ht="15.75" customHeight="1">
      <c r="A87" s="18"/>
      <c r="B87" s="7"/>
      <c r="C87" s="8" t="str">
        <f>IFERROR(VLOOKUP($B87,'(勿動)組件目錄表'!$D$15:$R$1094,2,FALSE),"-")</f>
        <v>-</v>
      </c>
      <c r="D87" s="8" t="str">
        <f>IFERROR(VLOOKUP($B87,'(勿動)組件目錄表'!$D$15:$R$1094,3,FALSE),"-")</f>
        <v>-</v>
      </c>
      <c r="E87" s="9" t="str">
        <f>IFERROR(VLOOKUP($B87,'(勿動)組件目錄表'!$D$15:$R$1094,4,FALSE),"-")</f>
        <v>-</v>
      </c>
      <c r="F87" s="10" t="str">
        <f>IFERROR(VLOOKUP($B87,'(勿動)組件目錄表'!$D$15:$R$1094,5,FALSE),"-")</f>
        <v>-</v>
      </c>
      <c r="G87" s="11" t="str">
        <f>IFERROR(VLOOKUP($B87,'(勿動)組件目錄表'!$D$15:$R$1094,8,FALSE),"-")</f>
        <v>-</v>
      </c>
      <c r="H87" s="11" t="str">
        <f>IFERROR(VLOOKUP($B87,'(勿動)組件目錄表'!$D$15:$R$1094,9,FALSE),"-")</f>
        <v>-</v>
      </c>
      <c r="I87" s="11" t="str">
        <f>IFERROR(VLOOKUP($B87,'(勿動)組件目錄表'!$D$15:$R$1094,10,FALSE),"-")</f>
        <v>-</v>
      </c>
      <c r="J87" s="11" t="str">
        <f>IFERROR(VLOOKUP($B87,'(勿動)組件目錄表'!$D$15:$R$1094,11,FALSE),"-")</f>
        <v>-</v>
      </c>
      <c r="K87" s="11" t="str">
        <f>IFERROR(VLOOKUP($B87,'(勿動)組件目錄表'!$D$15:$R$1094,12,FALSE),"-")</f>
        <v>-</v>
      </c>
      <c r="L87" s="11" t="str">
        <f>IFERROR(VLOOKUP($B87,'(勿動)組件目錄表'!$D$15:$R$1094,13,FALSE),"-")</f>
        <v>-</v>
      </c>
      <c r="M87" s="11" t="str">
        <f>IFERROR(VLOOKUP($B87,'(勿動)組件目錄表'!$D$15:$R$1094,14,FALSE),"-")</f>
        <v>-</v>
      </c>
      <c r="N87" s="15">
        <f t="shared" ca="1" si="0"/>
        <v>0</v>
      </c>
      <c r="O87" s="16"/>
    </row>
    <row r="88" spans="1:15" ht="15.75" customHeight="1">
      <c r="A88" s="18"/>
      <c r="B88" s="7"/>
      <c r="C88" s="8" t="str">
        <f>IFERROR(VLOOKUP($B88,'(勿動)組件目錄表'!$D$15:$R$1094,2,FALSE),"-")</f>
        <v>-</v>
      </c>
      <c r="D88" s="8" t="str">
        <f>IFERROR(VLOOKUP($B88,'(勿動)組件目錄表'!$D$15:$R$1094,3,FALSE),"-")</f>
        <v>-</v>
      </c>
      <c r="E88" s="9" t="str">
        <f>IFERROR(VLOOKUP($B88,'(勿動)組件目錄表'!$D$15:$R$1094,4,FALSE),"-")</f>
        <v>-</v>
      </c>
      <c r="F88" s="10" t="str">
        <f>IFERROR(VLOOKUP($B88,'(勿動)組件目錄表'!$D$15:$R$1094,5,FALSE),"-")</f>
        <v>-</v>
      </c>
      <c r="G88" s="11" t="str">
        <f>IFERROR(VLOOKUP($B88,'(勿動)組件目錄表'!$D$15:$R$1094,8,FALSE),"-")</f>
        <v>-</v>
      </c>
      <c r="H88" s="11" t="str">
        <f>IFERROR(VLOOKUP($B88,'(勿動)組件目錄表'!$D$15:$R$1094,9,FALSE),"-")</f>
        <v>-</v>
      </c>
      <c r="I88" s="11" t="str">
        <f>IFERROR(VLOOKUP($B88,'(勿動)組件目錄表'!$D$15:$R$1094,10,FALSE),"-")</f>
        <v>-</v>
      </c>
      <c r="J88" s="11" t="str">
        <f>IFERROR(VLOOKUP($B88,'(勿動)組件目錄表'!$D$15:$R$1094,11,FALSE),"-")</f>
        <v>-</v>
      </c>
      <c r="K88" s="11" t="str">
        <f>IFERROR(VLOOKUP($B88,'(勿動)組件目錄表'!$D$15:$R$1094,12,FALSE),"-")</f>
        <v>-</v>
      </c>
      <c r="L88" s="11" t="str">
        <f>IFERROR(VLOOKUP($B88,'(勿動)組件目錄表'!$D$15:$R$1094,13,FALSE),"-")</f>
        <v>-</v>
      </c>
      <c r="M88" s="11" t="str">
        <f>IFERROR(VLOOKUP($B88,'(勿動)組件目錄表'!$D$15:$R$1094,14,FALSE),"-")</f>
        <v>-</v>
      </c>
      <c r="N88" s="15">
        <f t="shared" ca="1" si="0"/>
        <v>0</v>
      </c>
      <c r="O88" s="16"/>
    </row>
    <row r="89" spans="1:15" ht="15.75" customHeight="1">
      <c r="A89" s="18"/>
      <c r="B89" s="7"/>
      <c r="C89" s="8" t="str">
        <f>IFERROR(VLOOKUP($B89,'(勿動)組件目錄表'!$D$15:$R$1094,2,FALSE),"-")</f>
        <v>-</v>
      </c>
      <c r="D89" s="8" t="str">
        <f>IFERROR(VLOOKUP($B89,'(勿動)組件目錄表'!$D$15:$R$1094,3,FALSE),"-")</f>
        <v>-</v>
      </c>
      <c r="E89" s="9" t="str">
        <f>IFERROR(VLOOKUP($B89,'(勿動)組件目錄表'!$D$15:$R$1094,4,FALSE),"-")</f>
        <v>-</v>
      </c>
      <c r="F89" s="10" t="str">
        <f>IFERROR(VLOOKUP($B89,'(勿動)組件目錄表'!$D$15:$R$1094,5,FALSE),"-")</f>
        <v>-</v>
      </c>
      <c r="G89" s="11" t="str">
        <f>IFERROR(VLOOKUP($B89,'(勿動)組件目錄表'!$D$15:$R$1094,8,FALSE),"-")</f>
        <v>-</v>
      </c>
      <c r="H89" s="11" t="str">
        <f>IFERROR(VLOOKUP($B89,'(勿動)組件目錄表'!$D$15:$R$1094,9,FALSE),"-")</f>
        <v>-</v>
      </c>
      <c r="I89" s="11" t="str">
        <f>IFERROR(VLOOKUP($B89,'(勿動)組件目錄表'!$D$15:$R$1094,10,FALSE),"-")</f>
        <v>-</v>
      </c>
      <c r="J89" s="11" t="str">
        <f>IFERROR(VLOOKUP($B89,'(勿動)組件目錄表'!$D$15:$R$1094,11,FALSE),"-")</f>
        <v>-</v>
      </c>
      <c r="K89" s="11" t="str">
        <f>IFERROR(VLOOKUP($B89,'(勿動)組件目錄表'!$D$15:$R$1094,12,FALSE),"-")</f>
        <v>-</v>
      </c>
      <c r="L89" s="11" t="str">
        <f>IFERROR(VLOOKUP($B89,'(勿動)組件目錄表'!$D$15:$R$1094,13,FALSE),"-")</f>
        <v>-</v>
      </c>
      <c r="M89" s="11" t="str">
        <f>IFERROR(VLOOKUP($B89,'(勿動)組件目錄表'!$D$15:$R$1094,14,FALSE),"-")</f>
        <v>-</v>
      </c>
      <c r="N89" s="15">
        <f t="shared" ca="1" si="0"/>
        <v>0</v>
      </c>
      <c r="O89" s="16"/>
    </row>
    <row r="90" spans="1:15" ht="15.75" customHeight="1">
      <c r="A90" s="18"/>
      <c r="B90" s="7"/>
      <c r="C90" s="8" t="str">
        <f>IFERROR(VLOOKUP($B90,'(勿動)組件目錄表'!$D$15:$R$1094,2,FALSE),"-")</f>
        <v>-</v>
      </c>
      <c r="D90" s="8" t="str">
        <f>IFERROR(VLOOKUP($B90,'(勿動)組件目錄表'!$D$15:$R$1094,3,FALSE),"-")</f>
        <v>-</v>
      </c>
      <c r="E90" s="9" t="str">
        <f>IFERROR(VLOOKUP($B90,'(勿動)組件目錄表'!$D$15:$R$1094,4,FALSE),"-")</f>
        <v>-</v>
      </c>
      <c r="F90" s="10" t="str">
        <f>IFERROR(VLOOKUP($B90,'(勿動)組件目錄表'!$D$15:$R$1094,5,FALSE),"-")</f>
        <v>-</v>
      </c>
      <c r="G90" s="11" t="str">
        <f>IFERROR(VLOOKUP($B90,'(勿動)組件目錄表'!$D$15:$R$1094,8,FALSE),"-")</f>
        <v>-</v>
      </c>
      <c r="H90" s="11" t="str">
        <f>IFERROR(VLOOKUP($B90,'(勿動)組件目錄表'!$D$15:$R$1094,9,FALSE),"-")</f>
        <v>-</v>
      </c>
      <c r="I90" s="11" t="str">
        <f>IFERROR(VLOOKUP($B90,'(勿動)組件目錄表'!$D$15:$R$1094,10,FALSE),"-")</f>
        <v>-</v>
      </c>
      <c r="J90" s="11" t="str">
        <f>IFERROR(VLOOKUP($B90,'(勿動)組件目錄表'!$D$15:$R$1094,11,FALSE),"-")</f>
        <v>-</v>
      </c>
      <c r="K90" s="11" t="str">
        <f>IFERROR(VLOOKUP($B90,'(勿動)組件目錄表'!$D$15:$R$1094,12,FALSE),"-")</f>
        <v>-</v>
      </c>
      <c r="L90" s="11" t="str">
        <f>IFERROR(VLOOKUP($B90,'(勿動)組件目錄表'!$D$15:$R$1094,13,FALSE),"-")</f>
        <v>-</v>
      </c>
      <c r="M90" s="11" t="str">
        <f>IFERROR(VLOOKUP($B90,'(勿動)組件目錄表'!$D$15:$R$1094,14,FALSE),"-")</f>
        <v>-</v>
      </c>
      <c r="N90" s="15">
        <f t="shared" ca="1" si="0"/>
        <v>0</v>
      </c>
      <c r="O90" s="16"/>
    </row>
    <row r="91" spans="1:15" ht="15.75" customHeight="1">
      <c r="A91" s="18"/>
      <c r="B91" s="7"/>
      <c r="C91" s="8" t="str">
        <f>IFERROR(VLOOKUP($B91,'(勿動)組件目錄表'!$D$15:$R$1094,2,FALSE),"-")</f>
        <v>-</v>
      </c>
      <c r="D91" s="8" t="str">
        <f>IFERROR(VLOOKUP($B91,'(勿動)組件目錄表'!$D$15:$R$1094,3,FALSE),"-")</f>
        <v>-</v>
      </c>
      <c r="E91" s="9" t="str">
        <f>IFERROR(VLOOKUP($B91,'(勿動)組件目錄表'!$D$15:$R$1094,4,FALSE),"-")</f>
        <v>-</v>
      </c>
      <c r="F91" s="10" t="str">
        <f>IFERROR(VLOOKUP($B91,'(勿動)組件目錄表'!$D$15:$R$1094,5,FALSE),"-")</f>
        <v>-</v>
      </c>
      <c r="G91" s="11" t="str">
        <f>IFERROR(VLOOKUP($B91,'(勿動)組件目錄表'!$D$15:$R$1094,8,FALSE),"-")</f>
        <v>-</v>
      </c>
      <c r="H91" s="11" t="str">
        <f>IFERROR(VLOOKUP($B91,'(勿動)組件目錄表'!$D$15:$R$1094,9,FALSE),"-")</f>
        <v>-</v>
      </c>
      <c r="I91" s="11" t="str">
        <f>IFERROR(VLOOKUP($B91,'(勿動)組件目錄表'!$D$15:$R$1094,10,FALSE),"-")</f>
        <v>-</v>
      </c>
      <c r="J91" s="11" t="str">
        <f>IFERROR(VLOOKUP($B91,'(勿動)組件目錄表'!$D$15:$R$1094,11,FALSE),"-")</f>
        <v>-</v>
      </c>
      <c r="K91" s="11" t="str">
        <f>IFERROR(VLOOKUP($B91,'(勿動)組件目錄表'!$D$15:$R$1094,12,FALSE),"-")</f>
        <v>-</v>
      </c>
      <c r="L91" s="11" t="str">
        <f>IFERROR(VLOOKUP($B91,'(勿動)組件目錄表'!$D$15:$R$1094,13,FALSE),"-")</f>
        <v>-</v>
      </c>
      <c r="M91" s="11" t="str">
        <f>IFERROR(VLOOKUP($B91,'(勿動)組件目錄表'!$D$15:$R$1094,14,FALSE),"-")</f>
        <v>-</v>
      </c>
      <c r="N91" s="15">
        <f t="shared" ca="1" si="0"/>
        <v>0</v>
      </c>
      <c r="O91" s="16"/>
    </row>
    <row r="92" spans="1:15" ht="15.75" customHeight="1">
      <c r="A92" s="18"/>
      <c r="B92" s="7"/>
      <c r="C92" s="8" t="str">
        <f>IFERROR(VLOOKUP($B92,'(勿動)組件目錄表'!$D$15:$R$1094,2,FALSE),"-")</f>
        <v>-</v>
      </c>
      <c r="D92" s="8" t="str">
        <f>IFERROR(VLOOKUP($B92,'(勿動)組件目錄表'!$D$15:$R$1094,3,FALSE),"-")</f>
        <v>-</v>
      </c>
      <c r="E92" s="9" t="str">
        <f>IFERROR(VLOOKUP($B92,'(勿動)組件目錄表'!$D$15:$R$1094,4,FALSE),"-")</f>
        <v>-</v>
      </c>
      <c r="F92" s="10" t="str">
        <f>IFERROR(VLOOKUP($B92,'(勿動)組件目錄表'!$D$15:$R$1094,5,FALSE),"-")</f>
        <v>-</v>
      </c>
      <c r="G92" s="11" t="str">
        <f>IFERROR(VLOOKUP($B92,'(勿動)組件目錄表'!$D$15:$R$1094,8,FALSE),"-")</f>
        <v>-</v>
      </c>
      <c r="H92" s="11" t="str">
        <f>IFERROR(VLOOKUP($B92,'(勿動)組件目錄表'!$D$15:$R$1094,9,FALSE),"-")</f>
        <v>-</v>
      </c>
      <c r="I92" s="11" t="str">
        <f>IFERROR(VLOOKUP($B92,'(勿動)組件目錄表'!$D$15:$R$1094,10,FALSE),"-")</f>
        <v>-</v>
      </c>
      <c r="J92" s="11" t="str">
        <f>IFERROR(VLOOKUP($B92,'(勿動)組件目錄表'!$D$15:$R$1094,11,FALSE),"-")</f>
        <v>-</v>
      </c>
      <c r="K92" s="11" t="str">
        <f>IFERROR(VLOOKUP($B92,'(勿動)組件目錄表'!$D$15:$R$1094,12,FALSE),"-")</f>
        <v>-</v>
      </c>
      <c r="L92" s="11" t="str">
        <f>IFERROR(VLOOKUP($B92,'(勿動)組件目錄表'!$D$15:$R$1094,13,FALSE),"-")</f>
        <v>-</v>
      </c>
      <c r="M92" s="11" t="str">
        <f>IFERROR(VLOOKUP($B92,'(勿動)組件目錄表'!$D$15:$R$1094,14,FALSE),"-")</f>
        <v>-</v>
      </c>
      <c r="N92" s="15">
        <f t="shared" ca="1" si="0"/>
        <v>0</v>
      </c>
      <c r="O92" s="16"/>
    </row>
    <row r="93" spans="1:15" ht="15.75" customHeight="1">
      <c r="A93" s="18"/>
      <c r="B93" s="7"/>
      <c r="C93" s="8" t="str">
        <f>IFERROR(VLOOKUP($B93,'(勿動)組件目錄表'!$D$15:$R$1094,2,FALSE),"-")</f>
        <v>-</v>
      </c>
      <c r="D93" s="8" t="str">
        <f>IFERROR(VLOOKUP($B93,'(勿動)組件目錄表'!$D$15:$R$1094,3,FALSE),"-")</f>
        <v>-</v>
      </c>
      <c r="E93" s="9" t="str">
        <f>IFERROR(VLOOKUP($B93,'(勿動)組件目錄表'!$D$15:$R$1094,4,FALSE),"-")</f>
        <v>-</v>
      </c>
      <c r="F93" s="10" t="str">
        <f>IFERROR(VLOOKUP($B93,'(勿動)組件目錄表'!$D$15:$R$1094,5,FALSE),"-")</f>
        <v>-</v>
      </c>
      <c r="G93" s="11" t="str">
        <f>IFERROR(VLOOKUP($B93,'(勿動)組件目錄表'!$D$15:$R$1094,8,FALSE),"-")</f>
        <v>-</v>
      </c>
      <c r="H93" s="11" t="str">
        <f>IFERROR(VLOOKUP($B93,'(勿動)組件目錄表'!$D$15:$R$1094,9,FALSE),"-")</f>
        <v>-</v>
      </c>
      <c r="I93" s="11" t="str">
        <f>IFERROR(VLOOKUP($B93,'(勿動)組件目錄表'!$D$15:$R$1094,10,FALSE),"-")</f>
        <v>-</v>
      </c>
      <c r="J93" s="11" t="str">
        <f>IFERROR(VLOOKUP($B93,'(勿動)組件目錄表'!$D$15:$R$1094,11,FALSE),"-")</f>
        <v>-</v>
      </c>
      <c r="K93" s="11" t="str">
        <f>IFERROR(VLOOKUP($B93,'(勿動)組件目錄表'!$D$15:$R$1094,12,FALSE),"-")</f>
        <v>-</v>
      </c>
      <c r="L93" s="11" t="str">
        <f>IFERROR(VLOOKUP($B93,'(勿動)組件目錄表'!$D$15:$R$1094,13,FALSE),"-")</f>
        <v>-</v>
      </c>
      <c r="M93" s="11" t="str">
        <f>IFERROR(VLOOKUP($B93,'(勿動)組件目錄表'!$D$15:$R$1094,14,FALSE),"-")</f>
        <v>-</v>
      </c>
      <c r="N93" s="15">
        <f t="shared" ca="1" si="0"/>
        <v>0</v>
      </c>
      <c r="O93" s="16"/>
    </row>
    <row r="94" spans="1:15" ht="15.75" customHeight="1">
      <c r="A94" s="18"/>
      <c r="B94" s="7"/>
      <c r="C94" s="8" t="str">
        <f>IFERROR(VLOOKUP($B94,'(勿動)組件目錄表'!$D$15:$R$1094,2,FALSE),"-")</f>
        <v>-</v>
      </c>
      <c r="D94" s="8" t="str">
        <f>IFERROR(VLOOKUP($B94,'(勿動)組件目錄表'!$D$15:$R$1094,3,FALSE),"-")</f>
        <v>-</v>
      </c>
      <c r="E94" s="9" t="str">
        <f>IFERROR(VLOOKUP($B94,'(勿動)組件目錄表'!$D$15:$R$1094,4,FALSE),"-")</f>
        <v>-</v>
      </c>
      <c r="F94" s="10" t="str">
        <f>IFERROR(VLOOKUP($B94,'(勿動)組件目錄表'!$D$15:$R$1094,5,FALSE),"-")</f>
        <v>-</v>
      </c>
      <c r="G94" s="11" t="str">
        <f>IFERROR(VLOOKUP($B94,'(勿動)組件目錄表'!$D$15:$R$1094,8,FALSE),"-")</f>
        <v>-</v>
      </c>
      <c r="H94" s="11" t="str">
        <f>IFERROR(VLOOKUP($B94,'(勿動)組件目錄表'!$D$15:$R$1094,9,FALSE),"-")</f>
        <v>-</v>
      </c>
      <c r="I94" s="11" t="str">
        <f>IFERROR(VLOOKUP($B94,'(勿動)組件目錄表'!$D$15:$R$1094,10,FALSE),"-")</f>
        <v>-</v>
      </c>
      <c r="J94" s="11" t="str">
        <f>IFERROR(VLOOKUP($B94,'(勿動)組件目錄表'!$D$15:$R$1094,11,FALSE),"-")</f>
        <v>-</v>
      </c>
      <c r="K94" s="11" t="str">
        <f>IFERROR(VLOOKUP($B94,'(勿動)組件目錄表'!$D$15:$R$1094,12,FALSE),"-")</f>
        <v>-</v>
      </c>
      <c r="L94" s="11" t="str">
        <f>IFERROR(VLOOKUP($B94,'(勿動)組件目錄表'!$D$15:$R$1094,13,FALSE),"-")</f>
        <v>-</v>
      </c>
      <c r="M94" s="11" t="str">
        <f>IFERROR(VLOOKUP($B94,'(勿動)組件目錄表'!$D$15:$R$1094,14,FALSE),"-")</f>
        <v>-</v>
      </c>
      <c r="N94" s="15">
        <f t="shared" ca="1" si="0"/>
        <v>0</v>
      </c>
      <c r="O94" s="16"/>
    </row>
    <row r="95" spans="1:15" ht="15.75" customHeight="1">
      <c r="A95" s="18"/>
      <c r="B95" s="7"/>
      <c r="C95" s="8" t="str">
        <f>IFERROR(VLOOKUP($B95,'(勿動)組件目錄表'!$D$15:$R$1094,2,FALSE),"-")</f>
        <v>-</v>
      </c>
      <c r="D95" s="8" t="str">
        <f>IFERROR(VLOOKUP($B95,'(勿動)組件目錄表'!$D$15:$R$1094,3,FALSE),"-")</f>
        <v>-</v>
      </c>
      <c r="E95" s="9" t="str">
        <f>IFERROR(VLOOKUP($B95,'(勿動)組件目錄表'!$D$15:$R$1094,4,FALSE),"-")</f>
        <v>-</v>
      </c>
      <c r="F95" s="10" t="str">
        <f>IFERROR(VLOOKUP($B95,'(勿動)組件目錄表'!$D$15:$R$1094,5,FALSE),"-")</f>
        <v>-</v>
      </c>
      <c r="G95" s="11" t="str">
        <f>IFERROR(VLOOKUP($B95,'(勿動)組件目錄表'!$D$15:$R$1094,8,FALSE),"-")</f>
        <v>-</v>
      </c>
      <c r="H95" s="11" t="str">
        <f>IFERROR(VLOOKUP($B95,'(勿動)組件目錄表'!$D$15:$R$1094,9,FALSE),"-")</f>
        <v>-</v>
      </c>
      <c r="I95" s="11" t="str">
        <f>IFERROR(VLOOKUP($B95,'(勿動)組件目錄表'!$D$15:$R$1094,10,FALSE),"-")</f>
        <v>-</v>
      </c>
      <c r="J95" s="11" t="str">
        <f>IFERROR(VLOOKUP($B95,'(勿動)組件目錄表'!$D$15:$R$1094,11,FALSE),"-")</f>
        <v>-</v>
      </c>
      <c r="K95" s="11" t="str">
        <f>IFERROR(VLOOKUP($B95,'(勿動)組件目錄表'!$D$15:$R$1094,12,FALSE),"-")</f>
        <v>-</v>
      </c>
      <c r="L95" s="11" t="str">
        <f>IFERROR(VLOOKUP($B95,'(勿動)組件目錄表'!$D$15:$R$1094,13,FALSE),"-")</f>
        <v>-</v>
      </c>
      <c r="M95" s="11" t="str">
        <f>IFERROR(VLOOKUP($B95,'(勿動)組件目錄表'!$D$15:$R$1094,14,FALSE),"-")</f>
        <v>-</v>
      </c>
      <c r="N95" s="15">
        <f t="shared" ca="1" si="0"/>
        <v>0</v>
      </c>
      <c r="O95" s="16"/>
    </row>
    <row r="96" spans="1:15" ht="15.75" customHeight="1">
      <c r="A96" s="18"/>
      <c r="B96" s="7"/>
      <c r="C96" s="8" t="str">
        <f>IFERROR(VLOOKUP($B96,'(勿動)組件目錄表'!$D$15:$R$1094,2,FALSE),"-")</f>
        <v>-</v>
      </c>
      <c r="D96" s="8" t="str">
        <f>IFERROR(VLOOKUP($B96,'(勿動)組件目錄表'!$D$15:$R$1094,3,FALSE),"-")</f>
        <v>-</v>
      </c>
      <c r="E96" s="9" t="str">
        <f>IFERROR(VLOOKUP($B96,'(勿動)組件目錄表'!$D$15:$R$1094,4,FALSE),"-")</f>
        <v>-</v>
      </c>
      <c r="F96" s="10" t="str">
        <f>IFERROR(VLOOKUP($B96,'(勿動)組件目錄表'!$D$15:$R$1094,5,FALSE),"-")</f>
        <v>-</v>
      </c>
      <c r="G96" s="11" t="str">
        <f>IFERROR(VLOOKUP($B96,'(勿動)組件目錄表'!$D$15:$R$1094,8,FALSE),"-")</f>
        <v>-</v>
      </c>
      <c r="H96" s="11" t="str">
        <f>IFERROR(VLOOKUP($B96,'(勿動)組件目錄表'!$D$15:$R$1094,9,FALSE),"-")</f>
        <v>-</v>
      </c>
      <c r="I96" s="11" t="str">
        <f>IFERROR(VLOOKUP($B96,'(勿動)組件目錄表'!$D$15:$R$1094,10,FALSE),"-")</f>
        <v>-</v>
      </c>
      <c r="J96" s="11" t="str">
        <f>IFERROR(VLOOKUP($B96,'(勿動)組件目錄表'!$D$15:$R$1094,11,FALSE),"-")</f>
        <v>-</v>
      </c>
      <c r="K96" s="11" t="str">
        <f>IFERROR(VLOOKUP($B96,'(勿動)組件目錄表'!$D$15:$R$1094,12,FALSE),"-")</f>
        <v>-</v>
      </c>
      <c r="L96" s="11" t="str">
        <f>IFERROR(VLOOKUP($B96,'(勿動)組件目錄表'!$D$15:$R$1094,13,FALSE),"-")</f>
        <v>-</v>
      </c>
      <c r="M96" s="11" t="str">
        <f>IFERROR(VLOOKUP($B96,'(勿動)組件目錄表'!$D$15:$R$1094,14,FALSE),"-")</f>
        <v>-</v>
      </c>
      <c r="N96" s="15">
        <f t="shared" ca="1" si="0"/>
        <v>0</v>
      </c>
      <c r="O96" s="16"/>
    </row>
    <row r="97" spans="1:15" ht="15.75" customHeight="1">
      <c r="A97" s="18"/>
      <c r="B97" s="7"/>
      <c r="C97" s="8" t="str">
        <f>IFERROR(VLOOKUP($B97,'(勿動)組件目錄表'!$D$15:$R$1094,2,FALSE),"-")</f>
        <v>-</v>
      </c>
      <c r="D97" s="8" t="str">
        <f>IFERROR(VLOOKUP($B97,'(勿動)組件目錄表'!$D$15:$R$1094,3,FALSE),"-")</f>
        <v>-</v>
      </c>
      <c r="E97" s="9" t="str">
        <f>IFERROR(VLOOKUP($B97,'(勿動)組件目錄表'!$D$15:$R$1094,4,FALSE),"-")</f>
        <v>-</v>
      </c>
      <c r="F97" s="10" t="str">
        <f>IFERROR(VLOOKUP($B97,'(勿動)組件目錄表'!$D$15:$R$1094,5,FALSE),"-")</f>
        <v>-</v>
      </c>
      <c r="G97" s="11" t="str">
        <f>IFERROR(VLOOKUP($B97,'(勿動)組件目錄表'!$D$15:$R$1094,8,FALSE),"-")</f>
        <v>-</v>
      </c>
      <c r="H97" s="11" t="str">
        <f>IFERROR(VLOOKUP($B97,'(勿動)組件目錄表'!$D$15:$R$1094,9,FALSE),"-")</f>
        <v>-</v>
      </c>
      <c r="I97" s="11" t="str">
        <f>IFERROR(VLOOKUP($B97,'(勿動)組件目錄表'!$D$15:$R$1094,10,FALSE),"-")</f>
        <v>-</v>
      </c>
      <c r="J97" s="11" t="str">
        <f>IFERROR(VLOOKUP($B97,'(勿動)組件目錄表'!$D$15:$R$1094,11,FALSE),"-")</f>
        <v>-</v>
      </c>
      <c r="K97" s="11" t="str">
        <f>IFERROR(VLOOKUP($B97,'(勿動)組件目錄表'!$D$15:$R$1094,12,FALSE),"-")</f>
        <v>-</v>
      </c>
      <c r="L97" s="11" t="str">
        <f>IFERROR(VLOOKUP($B97,'(勿動)組件目錄表'!$D$15:$R$1094,13,FALSE),"-")</f>
        <v>-</v>
      </c>
      <c r="M97" s="11" t="str">
        <f>IFERROR(VLOOKUP($B97,'(勿動)組件目錄表'!$D$15:$R$1094,14,FALSE),"-")</f>
        <v>-</v>
      </c>
      <c r="N97" s="15">
        <f t="shared" ca="1" si="0"/>
        <v>0</v>
      </c>
      <c r="O97" s="16"/>
    </row>
    <row r="98" spans="1:15" ht="15.75" customHeight="1">
      <c r="A98" s="18"/>
      <c r="B98" s="7"/>
      <c r="C98" s="8" t="str">
        <f>IFERROR(VLOOKUP($B98,'(勿動)組件目錄表'!$D$15:$R$1094,2,FALSE),"-")</f>
        <v>-</v>
      </c>
      <c r="D98" s="8" t="str">
        <f>IFERROR(VLOOKUP($B98,'(勿動)組件目錄表'!$D$15:$R$1094,3,FALSE),"-")</f>
        <v>-</v>
      </c>
      <c r="E98" s="9" t="str">
        <f>IFERROR(VLOOKUP($B98,'(勿動)組件目錄表'!$D$15:$R$1094,4,FALSE),"-")</f>
        <v>-</v>
      </c>
      <c r="F98" s="10" t="str">
        <f>IFERROR(VLOOKUP($B98,'(勿動)組件目錄表'!$D$15:$R$1094,5,FALSE),"-")</f>
        <v>-</v>
      </c>
      <c r="G98" s="11" t="str">
        <f>IFERROR(VLOOKUP($B98,'(勿動)組件目錄表'!$D$15:$R$1094,8,FALSE),"-")</f>
        <v>-</v>
      </c>
      <c r="H98" s="11" t="str">
        <f>IFERROR(VLOOKUP($B98,'(勿動)組件目錄表'!$D$15:$R$1094,9,FALSE),"-")</f>
        <v>-</v>
      </c>
      <c r="I98" s="11" t="str">
        <f>IFERROR(VLOOKUP($B98,'(勿動)組件目錄表'!$D$15:$R$1094,10,FALSE),"-")</f>
        <v>-</v>
      </c>
      <c r="J98" s="11" t="str">
        <f>IFERROR(VLOOKUP($B98,'(勿動)組件目錄表'!$D$15:$R$1094,11,FALSE),"-")</f>
        <v>-</v>
      </c>
      <c r="K98" s="11" t="str">
        <f>IFERROR(VLOOKUP($B98,'(勿動)組件目錄表'!$D$15:$R$1094,12,FALSE),"-")</f>
        <v>-</v>
      </c>
      <c r="L98" s="11" t="str">
        <f>IFERROR(VLOOKUP($B98,'(勿動)組件目錄表'!$D$15:$R$1094,13,FALSE),"-")</f>
        <v>-</v>
      </c>
      <c r="M98" s="11" t="str">
        <f>IFERROR(VLOOKUP($B98,'(勿動)組件目錄表'!$D$15:$R$1094,14,FALSE),"-")</f>
        <v>-</v>
      </c>
      <c r="N98" s="15">
        <f t="shared" ca="1" si="0"/>
        <v>0</v>
      </c>
      <c r="O98" s="16"/>
    </row>
    <row r="99" spans="1:15" ht="15.75" customHeight="1">
      <c r="A99" s="18"/>
      <c r="B99" s="7"/>
      <c r="C99" s="8" t="str">
        <f>IFERROR(VLOOKUP($B99,'(勿動)組件目錄表'!$D$15:$R$1094,2,FALSE),"-")</f>
        <v>-</v>
      </c>
      <c r="D99" s="8" t="str">
        <f>IFERROR(VLOOKUP($B99,'(勿動)組件目錄表'!$D$15:$R$1094,3,FALSE),"-")</f>
        <v>-</v>
      </c>
      <c r="E99" s="9" t="str">
        <f>IFERROR(VLOOKUP($B99,'(勿動)組件目錄表'!$D$15:$R$1094,4,FALSE),"-")</f>
        <v>-</v>
      </c>
      <c r="F99" s="10" t="str">
        <f>IFERROR(VLOOKUP($B99,'(勿動)組件目錄表'!$D$15:$R$1094,5,FALSE),"-")</f>
        <v>-</v>
      </c>
      <c r="G99" s="11" t="str">
        <f>IFERROR(VLOOKUP($B99,'(勿動)組件目錄表'!$D$15:$R$1094,8,FALSE),"-")</f>
        <v>-</v>
      </c>
      <c r="H99" s="11" t="str">
        <f>IFERROR(VLOOKUP($B99,'(勿動)組件目錄表'!$D$15:$R$1094,9,FALSE),"-")</f>
        <v>-</v>
      </c>
      <c r="I99" s="11" t="str">
        <f>IFERROR(VLOOKUP($B99,'(勿動)組件目錄表'!$D$15:$R$1094,10,FALSE),"-")</f>
        <v>-</v>
      </c>
      <c r="J99" s="11" t="str">
        <f>IFERROR(VLOOKUP($B99,'(勿動)組件目錄表'!$D$15:$R$1094,11,FALSE),"-")</f>
        <v>-</v>
      </c>
      <c r="K99" s="11" t="str">
        <f>IFERROR(VLOOKUP($B99,'(勿動)組件目錄表'!$D$15:$R$1094,12,FALSE),"-")</f>
        <v>-</v>
      </c>
      <c r="L99" s="11" t="str">
        <f>IFERROR(VLOOKUP($B99,'(勿動)組件目錄表'!$D$15:$R$1094,13,FALSE),"-")</f>
        <v>-</v>
      </c>
      <c r="M99" s="11" t="str">
        <f>IFERROR(VLOOKUP($B99,'(勿動)組件目錄表'!$D$15:$R$1094,14,FALSE),"-")</f>
        <v>-</v>
      </c>
      <c r="N99" s="15">
        <f t="shared" ca="1" si="0"/>
        <v>0</v>
      </c>
      <c r="O99" s="16"/>
    </row>
    <row r="100" spans="1:15" ht="15.75" customHeight="1">
      <c r="A100" s="18"/>
      <c r="B100" s="7"/>
      <c r="C100" s="8" t="str">
        <f>IFERROR(VLOOKUP($B100,'(勿動)組件目錄表'!$D$15:$R$1094,2,FALSE),"-")</f>
        <v>-</v>
      </c>
      <c r="D100" s="8" t="str">
        <f>IFERROR(VLOOKUP($B100,'(勿動)組件目錄表'!$D$15:$R$1094,3,FALSE),"-")</f>
        <v>-</v>
      </c>
      <c r="E100" s="9" t="str">
        <f>IFERROR(VLOOKUP($B100,'(勿動)組件目錄表'!$D$15:$R$1094,4,FALSE),"-")</f>
        <v>-</v>
      </c>
      <c r="F100" s="10" t="str">
        <f>IFERROR(VLOOKUP($B100,'(勿動)組件目錄表'!$D$15:$R$1094,5,FALSE),"-")</f>
        <v>-</v>
      </c>
      <c r="G100" s="11" t="str">
        <f>IFERROR(VLOOKUP($B100,'(勿動)組件目錄表'!$D$15:$R$1094,8,FALSE),"-")</f>
        <v>-</v>
      </c>
      <c r="H100" s="11" t="str">
        <f>IFERROR(VLOOKUP($B100,'(勿動)組件目錄表'!$D$15:$R$1094,9,FALSE),"-")</f>
        <v>-</v>
      </c>
      <c r="I100" s="11" t="str">
        <f>IFERROR(VLOOKUP($B100,'(勿動)組件目錄表'!$D$15:$R$1094,10,FALSE),"-")</f>
        <v>-</v>
      </c>
      <c r="J100" s="11" t="str">
        <f>IFERROR(VLOOKUP($B100,'(勿動)組件目錄表'!$D$15:$R$1094,11,FALSE),"-")</f>
        <v>-</v>
      </c>
      <c r="K100" s="11" t="str">
        <f>IFERROR(VLOOKUP($B100,'(勿動)組件目錄表'!$D$15:$R$1094,12,FALSE),"-")</f>
        <v>-</v>
      </c>
      <c r="L100" s="11" t="str">
        <f>IFERROR(VLOOKUP($B100,'(勿動)組件目錄表'!$D$15:$R$1094,13,FALSE),"-")</f>
        <v>-</v>
      </c>
      <c r="M100" s="11" t="str">
        <f>IFERROR(VLOOKUP($B100,'(勿動)組件目錄表'!$D$15:$R$1094,14,FALSE),"-")</f>
        <v>-</v>
      </c>
      <c r="N100" s="15">
        <f t="shared" ca="1" si="0"/>
        <v>0</v>
      </c>
      <c r="O100" s="16"/>
    </row>
    <row r="101" spans="1:15" ht="15.75" customHeight="1">
      <c r="A101" s="18"/>
      <c r="B101" s="7"/>
      <c r="C101" s="8" t="str">
        <f>IFERROR(VLOOKUP($B101,'(勿動)組件目錄表'!$D$15:$R$1094,2,FALSE),"-")</f>
        <v>-</v>
      </c>
      <c r="D101" s="8" t="str">
        <f>IFERROR(VLOOKUP($B101,'(勿動)組件目錄表'!$D$15:$R$1094,3,FALSE),"-")</f>
        <v>-</v>
      </c>
      <c r="E101" s="9" t="str">
        <f>IFERROR(VLOOKUP($B101,'(勿動)組件目錄表'!$D$15:$R$1094,4,FALSE),"-")</f>
        <v>-</v>
      </c>
      <c r="F101" s="10" t="str">
        <f>IFERROR(VLOOKUP($B101,'(勿動)組件目錄表'!$D$15:$R$1094,5,FALSE),"-")</f>
        <v>-</v>
      </c>
      <c r="G101" s="11" t="str">
        <f>IFERROR(VLOOKUP($B101,'(勿動)組件目錄表'!$D$15:$R$1094,8,FALSE),"-")</f>
        <v>-</v>
      </c>
      <c r="H101" s="11" t="str">
        <f>IFERROR(VLOOKUP($B101,'(勿動)組件目錄表'!$D$15:$R$1094,9,FALSE),"-")</f>
        <v>-</v>
      </c>
      <c r="I101" s="11" t="str">
        <f>IFERROR(VLOOKUP($B101,'(勿動)組件目錄表'!$D$15:$R$1094,10,FALSE),"-")</f>
        <v>-</v>
      </c>
      <c r="J101" s="11" t="str">
        <f>IFERROR(VLOOKUP($B101,'(勿動)組件目錄表'!$D$15:$R$1094,11,FALSE),"-")</f>
        <v>-</v>
      </c>
      <c r="K101" s="11" t="str">
        <f>IFERROR(VLOOKUP($B101,'(勿動)組件目錄表'!$D$15:$R$1094,12,FALSE),"-")</f>
        <v>-</v>
      </c>
      <c r="L101" s="11" t="str">
        <f>IFERROR(VLOOKUP($B101,'(勿動)組件目錄表'!$D$15:$R$1094,13,FALSE),"-")</f>
        <v>-</v>
      </c>
      <c r="M101" s="11" t="str">
        <f>IFERROR(VLOOKUP($B101,'(勿動)組件目錄表'!$D$15:$R$1094,14,FALSE),"-")</f>
        <v>-</v>
      </c>
      <c r="N101" s="15">
        <f t="shared" ca="1" si="0"/>
        <v>0</v>
      </c>
      <c r="O101" s="16"/>
    </row>
    <row r="102" spans="1:15" ht="15.75" customHeight="1">
      <c r="A102" s="18"/>
      <c r="B102" s="7"/>
      <c r="C102" s="8" t="str">
        <f>IFERROR(VLOOKUP($B102,'(勿動)組件目錄表'!$D$15:$R$1094,2,FALSE),"-")</f>
        <v>-</v>
      </c>
      <c r="D102" s="8" t="str">
        <f>IFERROR(VLOOKUP($B102,'(勿動)組件目錄表'!$D$15:$R$1094,3,FALSE),"-")</f>
        <v>-</v>
      </c>
      <c r="E102" s="9" t="str">
        <f>IFERROR(VLOOKUP($B102,'(勿動)組件目錄表'!$D$15:$R$1094,4,FALSE),"-")</f>
        <v>-</v>
      </c>
      <c r="F102" s="10" t="str">
        <f>IFERROR(VLOOKUP($B102,'(勿動)組件目錄表'!$D$15:$R$1094,5,FALSE),"-")</f>
        <v>-</v>
      </c>
      <c r="G102" s="11" t="str">
        <f>IFERROR(VLOOKUP($B102,'(勿動)組件目錄表'!$D$15:$R$1094,8,FALSE),"-")</f>
        <v>-</v>
      </c>
      <c r="H102" s="11" t="str">
        <f>IFERROR(VLOOKUP($B102,'(勿動)組件目錄表'!$D$15:$R$1094,9,FALSE),"-")</f>
        <v>-</v>
      </c>
      <c r="I102" s="11" t="str">
        <f>IFERROR(VLOOKUP($B102,'(勿動)組件目錄表'!$D$15:$R$1094,10,FALSE),"-")</f>
        <v>-</v>
      </c>
      <c r="J102" s="11" t="str">
        <f>IFERROR(VLOOKUP($B102,'(勿動)組件目錄表'!$D$15:$R$1094,11,FALSE),"-")</f>
        <v>-</v>
      </c>
      <c r="K102" s="11" t="str">
        <f>IFERROR(VLOOKUP($B102,'(勿動)組件目錄表'!$D$15:$R$1094,12,FALSE),"-")</f>
        <v>-</v>
      </c>
      <c r="L102" s="11" t="str">
        <f>IFERROR(VLOOKUP($B102,'(勿動)組件目錄表'!$D$15:$R$1094,13,FALSE),"-")</f>
        <v>-</v>
      </c>
      <c r="M102" s="11" t="str">
        <f>IFERROR(VLOOKUP($B102,'(勿動)組件目錄表'!$D$15:$R$1094,14,FALSE),"-")</f>
        <v>-</v>
      </c>
      <c r="N102" s="15">
        <f t="shared" ca="1" si="0"/>
        <v>0</v>
      </c>
      <c r="O102" s="16"/>
    </row>
    <row r="103" spans="1:15" ht="15.75" customHeight="1">
      <c r="A103" s="18"/>
      <c r="B103" s="7"/>
      <c r="C103" s="8" t="str">
        <f>IFERROR(VLOOKUP($B103,'(勿動)組件目錄表'!$D$15:$R$1094,2,FALSE),"-")</f>
        <v>-</v>
      </c>
      <c r="D103" s="8" t="str">
        <f>IFERROR(VLOOKUP($B103,'(勿動)組件目錄表'!$D$15:$R$1094,3,FALSE),"-")</f>
        <v>-</v>
      </c>
      <c r="E103" s="9" t="str">
        <f>IFERROR(VLOOKUP($B103,'(勿動)組件目錄表'!$D$15:$R$1094,4,FALSE),"-")</f>
        <v>-</v>
      </c>
      <c r="F103" s="10" t="str">
        <f>IFERROR(VLOOKUP($B103,'(勿動)組件目錄表'!$D$15:$R$1094,5,FALSE),"-")</f>
        <v>-</v>
      </c>
      <c r="G103" s="11" t="str">
        <f>IFERROR(VLOOKUP($B103,'(勿動)組件目錄表'!$D$15:$R$1094,8,FALSE),"-")</f>
        <v>-</v>
      </c>
      <c r="H103" s="11" t="str">
        <f>IFERROR(VLOOKUP($B103,'(勿動)組件目錄表'!$D$15:$R$1094,9,FALSE),"-")</f>
        <v>-</v>
      </c>
      <c r="I103" s="11" t="str">
        <f>IFERROR(VLOOKUP($B103,'(勿動)組件目錄表'!$D$15:$R$1094,10,FALSE),"-")</f>
        <v>-</v>
      </c>
      <c r="J103" s="11" t="str">
        <f>IFERROR(VLOOKUP($B103,'(勿動)組件目錄表'!$D$15:$R$1094,11,FALSE),"-")</f>
        <v>-</v>
      </c>
      <c r="K103" s="11" t="str">
        <f>IFERROR(VLOOKUP($B103,'(勿動)組件目錄表'!$D$15:$R$1094,12,FALSE),"-")</f>
        <v>-</v>
      </c>
      <c r="L103" s="11" t="str">
        <f>IFERROR(VLOOKUP($B103,'(勿動)組件目錄表'!$D$15:$R$1094,13,FALSE),"-")</f>
        <v>-</v>
      </c>
      <c r="M103" s="11" t="str">
        <f>IFERROR(VLOOKUP($B103,'(勿動)組件目錄表'!$D$15:$R$1094,14,FALSE),"-")</f>
        <v>-</v>
      </c>
      <c r="N103" s="15">
        <f t="shared" ca="1" si="0"/>
        <v>0</v>
      </c>
      <c r="O103" s="16"/>
    </row>
    <row r="104" spans="1:15" ht="15.75" customHeight="1">
      <c r="A104" s="18"/>
      <c r="B104" s="7"/>
      <c r="C104" s="8" t="str">
        <f>IFERROR(VLOOKUP($B104,'(勿動)組件目錄表'!$D$15:$R$1094,2,FALSE),"-")</f>
        <v>-</v>
      </c>
      <c r="D104" s="8" t="str">
        <f>IFERROR(VLOOKUP($B104,'(勿動)組件目錄表'!$D$15:$R$1094,3,FALSE),"-")</f>
        <v>-</v>
      </c>
      <c r="E104" s="9" t="str">
        <f>IFERROR(VLOOKUP($B104,'(勿動)組件目錄表'!$D$15:$R$1094,4,FALSE),"-")</f>
        <v>-</v>
      </c>
      <c r="F104" s="10" t="str">
        <f>IFERROR(VLOOKUP($B104,'(勿動)組件目錄表'!$D$15:$R$1094,5,FALSE),"-")</f>
        <v>-</v>
      </c>
      <c r="G104" s="11" t="str">
        <f>IFERROR(VLOOKUP($B104,'(勿動)組件目錄表'!$D$15:$R$1094,8,FALSE),"-")</f>
        <v>-</v>
      </c>
      <c r="H104" s="11" t="str">
        <f>IFERROR(VLOOKUP($B104,'(勿動)組件目錄表'!$D$15:$R$1094,9,FALSE),"-")</f>
        <v>-</v>
      </c>
      <c r="I104" s="11" t="str">
        <f>IFERROR(VLOOKUP($B104,'(勿動)組件目錄表'!$D$15:$R$1094,10,FALSE),"-")</f>
        <v>-</v>
      </c>
      <c r="J104" s="11" t="str">
        <f>IFERROR(VLOOKUP($B104,'(勿動)組件目錄表'!$D$15:$R$1094,11,FALSE),"-")</f>
        <v>-</v>
      </c>
      <c r="K104" s="11" t="str">
        <f>IFERROR(VLOOKUP($B104,'(勿動)組件目錄表'!$D$15:$R$1094,12,FALSE),"-")</f>
        <v>-</v>
      </c>
      <c r="L104" s="11" t="str">
        <f>IFERROR(VLOOKUP($B104,'(勿動)組件目錄表'!$D$15:$R$1094,13,FALSE),"-")</f>
        <v>-</v>
      </c>
      <c r="M104" s="11" t="str">
        <f>IFERROR(VLOOKUP($B104,'(勿動)組件目錄表'!$D$15:$R$1094,14,FALSE),"-")</f>
        <v>-</v>
      </c>
      <c r="N104" s="15">
        <f t="shared" ca="1" si="0"/>
        <v>0</v>
      </c>
      <c r="O104" s="16"/>
    </row>
    <row r="105" spans="1:15" ht="15.75" customHeight="1">
      <c r="A105" s="18"/>
      <c r="B105" s="7"/>
      <c r="C105" s="8" t="str">
        <f>IFERROR(VLOOKUP($B105,'(勿動)組件目錄表'!$D$15:$R$1094,2,FALSE),"-")</f>
        <v>-</v>
      </c>
      <c r="D105" s="8" t="str">
        <f>IFERROR(VLOOKUP($B105,'(勿動)組件目錄表'!$D$15:$R$1094,3,FALSE),"-")</f>
        <v>-</v>
      </c>
      <c r="E105" s="9" t="str">
        <f>IFERROR(VLOOKUP($B105,'(勿動)組件目錄表'!$D$15:$R$1094,4,FALSE),"-")</f>
        <v>-</v>
      </c>
      <c r="F105" s="10" t="str">
        <f>IFERROR(VLOOKUP($B105,'(勿動)組件目錄表'!$D$15:$R$1094,5,FALSE),"-")</f>
        <v>-</v>
      </c>
      <c r="G105" s="11" t="str">
        <f>IFERROR(VLOOKUP($B105,'(勿動)組件目錄表'!$D$15:$R$1094,8,FALSE),"-")</f>
        <v>-</v>
      </c>
      <c r="H105" s="11" t="str">
        <f>IFERROR(VLOOKUP($B105,'(勿動)組件目錄表'!$D$15:$R$1094,9,FALSE),"-")</f>
        <v>-</v>
      </c>
      <c r="I105" s="11" t="str">
        <f>IFERROR(VLOOKUP($B105,'(勿動)組件目錄表'!$D$15:$R$1094,10,FALSE),"-")</f>
        <v>-</v>
      </c>
      <c r="J105" s="11" t="str">
        <f>IFERROR(VLOOKUP($B105,'(勿動)組件目錄表'!$D$15:$R$1094,11,FALSE),"-")</f>
        <v>-</v>
      </c>
      <c r="K105" s="11" t="str">
        <f>IFERROR(VLOOKUP($B105,'(勿動)組件目錄表'!$D$15:$R$1094,12,FALSE),"-")</f>
        <v>-</v>
      </c>
      <c r="L105" s="11" t="str">
        <f>IFERROR(VLOOKUP($B105,'(勿動)組件目錄表'!$D$15:$R$1094,13,FALSE),"-")</f>
        <v>-</v>
      </c>
      <c r="M105" s="11" t="str">
        <f>IFERROR(VLOOKUP($B105,'(勿動)組件目錄表'!$D$15:$R$1094,14,FALSE),"-")</f>
        <v>-</v>
      </c>
      <c r="N105" s="15">
        <f t="shared" ca="1" si="0"/>
        <v>0</v>
      </c>
      <c r="O105" s="16"/>
    </row>
    <row r="106" spans="1:15" ht="15.75" customHeight="1">
      <c r="A106" s="18"/>
      <c r="B106" s="7"/>
      <c r="C106" s="8" t="str">
        <f>IFERROR(VLOOKUP($B106,'(勿動)組件目錄表'!$D$15:$R$1094,2,FALSE),"-")</f>
        <v>-</v>
      </c>
      <c r="D106" s="8" t="str">
        <f>IFERROR(VLOOKUP($B106,'(勿動)組件目錄表'!$D$15:$R$1094,3,FALSE),"-")</f>
        <v>-</v>
      </c>
      <c r="E106" s="9" t="str">
        <f>IFERROR(VLOOKUP($B106,'(勿動)組件目錄表'!$D$15:$R$1094,4,FALSE),"-")</f>
        <v>-</v>
      </c>
      <c r="F106" s="10" t="str">
        <f>IFERROR(VLOOKUP($B106,'(勿動)組件目錄表'!$D$15:$R$1094,5,FALSE),"-")</f>
        <v>-</v>
      </c>
      <c r="G106" s="11" t="str">
        <f>IFERROR(VLOOKUP($B106,'(勿動)組件目錄表'!$D$15:$R$1094,8,FALSE),"-")</f>
        <v>-</v>
      </c>
      <c r="H106" s="11" t="str">
        <f>IFERROR(VLOOKUP($B106,'(勿動)組件目錄表'!$D$15:$R$1094,9,FALSE),"-")</f>
        <v>-</v>
      </c>
      <c r="I106" s="11" t="str">
        <f>IFERROR(VLOOKUP($B106,'(勿動)組件目錄表'!$D$15:$R$1094,10,FALSE),"-")</f>
        <v>-</v>
      </c>
      <c r="J106" s="11" t="str">
        <f>IFERROR(VLOOKUP($B106,'(勿動)組件目錄表'!$D$15:$R$1094,11,FALSE),"-")</f>
        <v>-</v>
      </c>
      <c r="K106" s="11" t="str">
        <f>IFERROR(VLOOKUP($B106,'(勿動)組件目錄表'!$D$15:$R$1094,12,FALSE),"-")</f>
        <v>-</v>
      </c>
      <c r="L106" s="11" t="str">
        <f>IFERROR(VLOOKUP($B106,'(勿動)組件目錄表'!$D$15:$R$1094,13,FALSE),"-")</f>
        <v>-</v>
      </c>
      <c r="M106" s="11" t="str">
        <f>IFERROR(VLOOKUP($B106,'(勿動)組件目錄表'!$D$15:$R$1094,14,FALSE),"-")</f>
        <v>-</v>
      </c>
      <c r="N106" s="15">
        <f t="shared" ca="1" si="0"/>
        <v>0</v>
      </c>
      <c r="O106" s="16"/>
    </row>
    <row r="107" spans="1:15" ht="15.75" customHeight="1">
      <c r="A107" s="18"/>
      <c r="B107" s="7"/>
      <c r="C107" s="8" t="str">
        <f>IFERROR(VLOOKUP($B107,'(勿動)組件目錄表'!$D$15:$R$1094,2,FALSE),"-")</f>
        <v>-</v>
      </c>
      <c r="D107" s="8" t="str">
        <f>IFERROR(VLOOKUP($B107,'(勿動)組件目錄表'!$D$15:$R$1094,3,FALSE),"-")</f>
        <v>-</v>
      </c>
      <c r="E107" s="9" t="str">
        <f>IFERROR(VLOOKUP($B107,'(勿動)組件目錄表'!$D$15:$R$1094,4,FALSE),"-")</f>
        <v>-</v>
      </c>
      <c r="F107" s="10" t="str">
        <f>IFERROR(VLOOKUP($B107,'(勿動)組件目錄表'!$D$15:$R$1094,5,FALSE),"-")</f>
        <v>-</v>
      </c>
      <c r="G107" s="11" t="str">
        <f>IFERROR(VLOOKUP($B107,'(勿動)組件目錄表'!$D$15:$R$1094,8,FALSE),"-")</f>
        <v>-</v>
      </c>
      <c r="H107" s="11" t="str">
        <f>IFERROR(VLOOKUP($B107,'(勿動)組件目錄表'!$D$15:$R$1094,9,FALSE),"-")</f>
        <v>-</v>
      </c>
      <c r="I107" s="11" t="str">
        <f>IFERROR(VLOOKUP($B107,'(勿動)組件目錄表'!$D$15:$R$1094,10,FALSE),"-")</f>
        <v>-</v>
      </c>
      <c r="J107" s="11" t="str">
        <f>IFERROR(VLOOKUP($B107,'(勿動)組件目錄表'!$D$15:$R$1094,11,FALSE),"-")</f>
        <v>-</v>
      </c>
      <c r="K107" s="11" t="str">
        <f>IFERROR(VLOOKUP($B107,'(勿動)組件目錄表'!$D$15:$R$1094,12,FALSE),"-")</f>
        <v>-</v>
      </c>
      <c r="L107" s="11" t="str">
        <f>IFERROR(VLOOKUP($B107,'(勿動)組件目錄表'!$D$15:$R$1094,13,FALSE),"-")</f>
        <v>-</v>
      </c>
      <c r="M107" s="11" t="str">
        <f>IFERROR(VLOOKUP($B107,'(勿動)組件目錄表'!$D$15:$R$1094,14,FALSE),"-")</f>
        <v>-</v>
      </c>
      <c r="N107" s="15">
        <f t="shared" ca="1" si="0"/>
        <v>0</v>
      </c>
      <c r="O107" s="16"/>
    </row>
    <row r="108" spans="1:15" ht="15.75" customHeight="1">
      <c r="A108" s="18"/>
      <c r="B108" s="7"/>
      <c r="C108" s="8" t="str">
        <f>IFERROR(VLOOKUP($B108,'(勿動)組件目錄表'!$D$15:$R$1094,2,FALSE),"-")</f>
        <v>-</v>
      </c>
      <c r="D108" s="8" t="str">
        <f>IFERROR(VLOOKUP($B108,'(勿動)組件目錄表'!$D$15:$R$1094,3,FALSE),"-")</f>
        <v>-</v>
      </c>
      <c r="E108" s="9" t="str">
        <f>IFERROR(VLOOKUP($B108,'(勿動)組件目錄表'!$D$15:$R$1094,4,FALSE),"-")</f>
        <v>-</v>
      </c>
      <c r="F108" s="10" t="str">
        <f>IFERROR(VLOOKUP($B108,'(勿動)組件目錄表'!$D$15:$R$1094,5,FALSE),"-")</f>
        <v>-</v>
      </c>
      <c r="G108" s="11" t="str">
        <f>IFERROR(VLOOKUP($B108,'(勿動)組件目錄表'!$D$15:$R$1094,8,FALSE),"-")</f>
        <v>-</v>
      </c>
      <c r="H108" s="11" t="str">
        <f>IFERROR(VLOOKUP($B108,'(勿動)組件目錄表'!$D$15:$R$1094,9,FALSE),"-")</f>
        <v>-</v>
      </c>
      <c r="I108" s="11" t="str">
        <f>IFERROR(VLOOKUP($B108,'(勿動)組件目錄表'!$D$15:$R$1094,10,FALSE),"-")</f>
        <v>-</v>
      </c>
      <c r="J108" s="11" t="str">
        <f>IFERROR(VLOOKUP($B108,'(勿動)組件目錄表'!$D$15:$R$1094,11,FALSE),"-")</f>
        <v>-</v>
      </c>
      <c r="K108" s="11" t="str">
        <f>IFERROR(VLOOKUP($B108,'(勿動)組件目錄表'!$D$15:$R$1094,12,FALSE),"-")</f>
        <v>-</v>
      </c>
      <c r="L108" s="11" t="str">
        <f>IFERROR(VLOOKUP($B108,'(勿動)組件目錄表'!$D$15:$R$1094,13,FALSE),"-")</f>
        <v>-</v>
      </c>
      <c r="M108" s="11" t="str">
        <f>IFERROR(VLOOKUP($B108,'(勿動)組件目錄表'!$D$15:$R$1094,14,FALSE),"-")</f>
        <v>-</v>
      </c>
      <c r="N108" s="15">
        <f t="shared" ca="1" si="0"/>
        <v>0</v>
      </c>
      <c r="O108" s="16"/>
    </row>
    <row r="109" spans="1:15" ht="15.75" customHeight="1">
      <c r="A109" s="18"/>
      <c r="B109" s="7"/>
      <c r="C109" s="8" t="str">
        <f>IFERROR(VLOOKUP($B109,'(勿動)組件目錄表'!$D$15:$R$1094,2,FALSE),"-")</f>
        <v>-</v>
      </c>
      <c r="D109" s="8" t="str">
        <f>IFERROR(VLOOKUP($B109,'(勿動)組件目錄表'!$D$15:$R$1094,3,FALSE),"-")</f>
        <v>-</v>
      </c>
      <c r="E109" s="9" t="str">
        <f>IFERROR(VLOOKUP($B109,'(勿動)組件目錄表'!$D$15:$R$1094,4,FALSE),"-")</f>
        <v>-</v>
      </c>
      <c r="F109" s="10" t="str">
        <f>IFERROR(VLOOKUP($B109,'(勿動)組件目錄表'!$D$15:$R$1094,5,FALSE),"-")</f>
        <v>-</v>
      </c>
      <c r="G109" s="11" t="str">
        <f>IFERROR(VLOOKUP($B109,'(勿動)組件目錄表'!$D$15:$R$1094,8,FALSE),"-")</f>
        <v>-</v>
      </c>
      <c r="H109" s="11" t="str">
        <f>IFERROR(VLOOKUP($B109,'(勿動)組件目錄表'!$D$15:$R$1094,9,FALSE),"-")</f>
        <v>-</v>
      </c>
      <c r="I109" s="11" t="str">
        <f>IFERROR(VLOOKUP($B109,'(勿動)組件目錄表'!$D$15:$R$1094,10,FALSE),"-")</f>
        <v>-</v>
      </c>
      <c r="J109" s="11" t="str">
        <f>IFERROR(VLOOKUP($B109,'(勿動)組件目錄表'!$D$15:$R$1094,11,FALSE),"-")</f>
        <v>-</v>
      </c>
      <c r="K109" s="11" t="str">
        <f>IFERROR(VLOOKUP($B109,'(勿動)組件目錄表'!$D$15:$R$1094,12,FALSE),"-")</f>
        <v>-</v>
      </c>
      <c r="L109" s="11" t="str">
        <f>IFERROR(VLOOKUP($B109,'(勿動)組件目錄表'!$D$15:$R$1094,13,FALSE),"-")</f>
        <v>-</v>
      </c>
      <c r="M109" s="11" t="str">
        <f>IFERROR(VLOOKUP($B109,'(勿動)組件目錄表'!$D$15:$R$1094,14,FALSE),"-")</f>
        <v>-</v>
      </c>
      <c r="N109" s="15">
        <f t="shared" ca="1" si="0"/>
        <v>0</v>
      </c>
      <c r="O109" s="16"/>
    </row>
    <row r="110" spans="1:15" ht="15.75" customHeight="1">
      <c r="A110" s="18"/>
      <c r="B110" s="7"/>
      <c r="C110" s="8" t="str">
        <f>IFERROR(VLOOKUP($B110,'(勿動)組件目錄表'!$D$15:$R$1094,2,FALSE),"-")</f>
        <v>-</v>
      </c>
      <c r="D110" s="8" t="str">
        <f>IFERROR(VLOOKUP($B110,'(勿動)組件目錄表'!$D$15:$R$1094,3,FALSE),"-")</f>
        <v>-</v>
      </c>
      <c r="E110" s="9" t="str">
        <f>IFERROR(VLOOKUP($B110,'(勿動)組件目錄表'!$D$15:$R$1094,4,FALSE),"-")</f>
        <v>-</v>
      </c>
      <c r="F110" s="10" t="str">
        <f>IFERROR(VLOOKUP($B110,'(勿動)組件目錄表'!$D$15:$R$1094,5,FALSE),"-")</f>
        <v>-</v>
      </c>
      <c r="G110" s="11" t="str">
        <f>IFERROR(VLOOKUP($B110,'(勿動)組件目錄表'!$D$15:$R$1094,8,FALSE),"-")</f>
        <v>-</v>
      </c>
      <c r="H110" s="11" t="str">
        <f>IFERROR(VLOOKUP($B110,'(勿動)組件目錄表'!$D$15:$R$1094,9,FALSE),"-")</f>
        <v>-</v>
      </c>
      <c r="I110" s="11" t="str">
        <f>IFERROR(VLOOKUP($B110,'(勿動)組件目錄表'!$D$15:$R$1094,10,FALSE),"-")</f>
        <v>-</v>
      </c>
      <c r="J110" s="11" t="str">
        <f>IFERROR(VLOOKUP($B110,'(勿動)組件目錄表'!$D$15:$R$1094,11,FALSE),"-")</f>
        <v>-</v>
      </c>
      <c r="K110" s="11" t="str">
        <f>IFERROR(VLOOKUP($B110,'(勿動)組件目錄表'!$D$15:$R$1094,12,FALSE),"-")</f>
        <v>-</v>
      </c>
      <c r="L110" s="11" t="str">
        <f>IFERROR(VLOOKUP($B110,'(勿動)組件目錄表'!$D$15:$R$1094,13,FALSE),"-")</f>
        <v>-</v>
      </c>
      <c r="M110" s="11" t="str">
        <f>IFERROR(VLOOKUP($B110,'(勿動)組件目錄表'!$D$15:$R$1094,14,FALSE),"-")</f>
        <v>-</v>
      </c>
      <c r="N110" s="15">
        <f t="shared" ca="1" si="0"/>
        <v>0</v>
      </c>
      <c r="O110" s="16"/>
    </row>
    <row r="111" spans="1:15" ht="15.75" customHeight="1">
      <c r="A111" s="18"/>
      <c r="B111" s="7"/>
      <c r="C111" s="8" t="str">
        <f>IFERROR(VLOOKUP($B111,'(勿動)組件目錄表'!$D$15:$R$1094,2,FALSE),"-")</f>
        <v>-</v>
      </c>
      <c r="D111" s="8" t="str">
        <f>IFERROR(VLOOKUP($B111,'(勿動)組件目錄表'!$D$15:$R$1094,3,FALSE),"-")</f>
        <v>-</v>
      </c>
      <c r="E111" s="9" t="str">
        <f>IFERROR(VLOOKUP($B111,'(勿動)組件目錄表'!$D$15:$R$1094,4,FALSE),"-")</f>
        <v>-</v>
      </c>
      <c r="F111" s="10" t="str">
        <f>IFERROR(VLOOKUP($B111,'(勿動)組件目錄表'!$D$15:$R$1094,5,FALSE),"-")</f>
        <v>-</v>
      </c>
      <c r="G111" s="11" t="str">
        <f>IFERROR(VLOOKUP($B111,'(勿動)組件目錄表'!$D$15:$R$1094,8,FALSE),"-")</f>
        <v>-</v>
      </c>
      <c r="H111" s="11" t="str">
        <f>IFERROR(VLOOKUP($B111,'(勿動)組件目錄表'!$D$15:$R$1094,9,FALSE),"-")</f>
        <v>-</v>
      </c>
      <c r="I111" s="11" t="str">
        <f>IFERROR(VLOOKUP($B111,'(勿動)組件目錄表'!$D$15:$R$1094,10,FALSE),"-")</f>
        <v>-</v>
      </c>
      <c r="J111" s="11" t="str">
        <f>IFERROR(VLOOKUP($B111,'(勿動)組件目錄表'!$D$15:$R$1094,11,FALSE),"-")</f>
        <v>-</v>
      </c>
      <c r="K111" s="11" t="str">
        <f>IFERROR(VLOOKUP($B111,'(勿動)組件目錄表'!$D$15:$R$1094,12,FALSE),"-")</f>
        <v>-</v>
      </c>
      <c r="L111" s="11" t="str">
        <f>IFERROR(VLOOKUP($B111,'(勿動)組件目錄表'!$D$15:$R$1094,13,FALSE),"-")</f>
        <v>-</v>
      </c>
      <c r="M111" s="11" t="str">
        <f>IFERROR(VLOOKUP($B111,'(勿動)組件目錄表'!$D$15:$R$1094,14,FALSE),"-")</f>
        <v>-</v>
      </c>
      <c r="N111" s="15">
        <f t="shared" ca="1" si="0"/>
        <v>0</v>
      </c>
      <c r="O111" s="16"/>
    </row>
    <row r="112" spans="1:15" ht="15.75" customHeight="1">
      <c r="A112" s="18"/>
      <c r="B112" s="7"/>
      <c r="C112" s="8" t="str">
        <f>IFERROR(VLOOKUP($B112,'(勿動)組件目錄表'!$D$15:$R$1094,2,FALSE),"-")</f>
        <v>-</v>
      </c>
      <c r="D112" s="8" t="str">
        <f>IFERROR(VLOOKUP($B112,'(勿動)組件目錄表'!$D$15:$R$1094,3,FALSE),"-")</f>
        <v>-</v>
      </c>
      <c r="E112" s="9" t="str">
        <f>IFERROR(VLOOKUP($B112,'(勿動)組件目錄表'!$D$15:$R$1094,4,FALSE),"-")</f>
        <v>-</v>
      </c>
      <c r="F112" s="10" t="str">
        <f>IFERROR(VLOOKUP($B112,'(勿動)組件目錄表'!$D$15:$R$1094,5,FALSE),"-")</f>
        <v>-</v>
      </c>
      <c r="G112" s="11" t="str">
        <f>IFERROR(VLOOKUP($B112,'(勿動)組件目錄表'!$D$15:$R$1094,8,FALSE),"-")</f>
        <v>-</v>
      </c>
      <c r="H112" s="11" t="str">
        <f>IFERROR(VLOOKUP($B112,'(勿動)組件目錄表'!$D$15:$R$1094,9,FALSE),"-")</f>
        <v>-</v>
      </c>
      <c r="I112" s="11" t="str">
        <f>IFERROR(VLOOKUP($B112,'(勿動)組件目錄表'!$D$15:$R$1094,10,FALSE),"-")</f>
        <v>-</v>
      </c>
      <c r="J112" s="11" t="str">
        <f>IFERROR(VLOOKUP($B112,'(勿動)組件目錄表'!$D$15:$R$1094,11,FALSE),"-")</f>
        <v>-</v>
      </c>
      <c r="K112" s="11" t="str">
        <f>IFERROR(VLOOKUP($B112,'(勿動)組件目錄表'!$D$15:$R$1094,12,FALSE),"-")</f>
        <v>-</v>
      </c>
      <c r="L112" s="11" t="str">
        <f>IFERROR(VLOOKUP($B112,'(勿動)組件目錄表'!$D$15:$R$1094,13,FALSE),"-")</f>
        <v>-</v>
      </c>
      <c r="M112" s="11" t="str">
        <f>IFERROR(VLOOKUP($B112,'(勿動)組件目錄表'!$D$15:$R$1094,14,FALSE),"-")</f>
        <v>-</v>
      </c>
      <c r="N112" s="15">
        <f t="shared" ref="N112:N366" si="1">SUMPRODUCT((G112:M112&lt;&gt;"-") * NOT(_xlfn.ISFORMULA(G112:M112)) )</f>
        <v>0</v>
      </c>
      <c r="O112" s="16"/>
    </row>
    <row r="113" spans="1:15" ht="15.75" customHeight="1">
      <c r="A113" s="18"/>
      <c r="B113" s="7"/>
      <c r="C113" s="8" t="str">
        <f>IFERROR(VLOOKUP($B113,'(勿動)組件目錄表'!$D$15:$R$1094,2,FALSE),"-")</f>
        <v>-</v>
      </c>
      <c r="D113" s="8" t="str">
        <f>IFERROR(VLOOKUP($B113,'(勿動)組件目錄表'!$D$15:$R$1094,3,FALSE),"-")</f>
        <v>-</v>
      </c>
      <c r="E113" s="9" t="str">
        <f>IFERROR(VLOOKUP($B113,'(勿動)組件目錄表'!$D$15:$R$1094,4,FALSE),"-")</f>
        <v>-</v>
      </c>
      <c r="F113" s="10" t="str">
        <f>IFERROR(VLOOKUP($B113,'(勿動)組件目錄表'!$D$15:$R$1094,5,FALSE),"-")</f>
        <v>-</v>
      </c>
      <c r="G113" s="11" t="str">
        <f>IFERROR(VLOOKUP($B113,'(勿動)組件目錄表'!$D$15:$R$1094,8,FALSE),"-")</f>
        <v>-</v>
      </c>
      <c r="H113" s="11" t="str">
        <f>IFERROR(VLOOKUP($B113,'(勿動)組件目錄表'!$D$15:$R$1094,9,FALSE),"-")</f>
        <v>-</v>
      </c>
      <c r="I113" s="11" t="str">
        <f>IFERROR(VLOOKUP($B113,'(勿動)組件目錄表'!$D$15:$R$1094,10,FALSE),"-")</f>
        <v>-</v>
      </c>
      <c r="J113" s="11" t="str">
        <f>IFERROR(VLOOKUP($B113,'(勿動)組件目錄表'!$D$15:$R$1094,11,FALSE),"-")</f>
        <v>-</v>
      </c>
      <c r="K113" s="11" t="str">
        <f>IFERROR(VLOOKUP($B113,'(勿動)組件目錄表'!$D$15:$R$1094,12,FALSE),"-")</f>
        <v>-</v>
      </c>
      <c r="L113" s="11" t="str">
        <f>IFERROR(VLOOKUP($B113,'(勿動)組件目錄表'!$D$15:$R$1094,13,FALSE),"-")</f>
        <v>-</v>
      </c>
      <c r="M113" s="11" t="str">
        <f>IFERROR(VLOOKUP($B113,'(勿動)組件目錄表'!$D$15:$R$1094,14,FALSE),"-")</f>
        <v>-</v>
      </c>
      <c r="N113" s="15">
        <f t="shared" si="1"/>
        <v>0</v>
      </c>
      <c r="O113" s="16"/>
    </row>
    <row r="114" spans="1:15" ht="15.75" customHeight="1">
      <c r="A114" s="18"/>
      <c r="B114" s="7"/>
      <c r="C114" s="8" t="str">
        <f>IFERROR(VLOOKUP($B114,'(勿動)組件目錄表'!$D$15:$R$1094,2,FALSE),"-")</f>
        <v>-</v>
      </c>
      <c r="D114" s="8" t="str">
        <f>IFERROR(VLOOKUP($B114,'(勿動)組件目錄表'!$D$15:$R$1094,3,FALSE),"-")</f>
        <v>-</v>
      </c>
      <c r="E114" s="9" t="str">
        <f>IFERROR(VLOOKUP($B114,'(勿動)組件目錄表'!$D$15:$R$1094,4,FALSE),"-")</f>
        <v>-</v>
      </c>
      <c r="F114" s="10" t="str">
        <f>IFERROR(VLOOKUP($B114,'(勿動)組件目錄表'!$D$15:$R$1094,5,FALSE),"-")</f>
        <v>-</v>
      </c>
      <c r="G114" s="11" t="str">
        <f>IFERROR(VLOOKUP($B114,'(勿動)組件目錄表'!$D$15:$R$1094,8,FALSE),"-")</f>
        <v>-</v>
      </c>
      <c r="H114" s="11" t="str">
        <f>IFERROR(VLOOKUP($B114,'(勿動)組件目錄表'!$D$15:$R$1094,9,FALSE),"-")</f>
        <v>-</v>
      </c>
      <c r="I114" s="11" t="str">
        <f>IFERROR(VLOOKUP($B114,'(勿動)組件目錄表'!$D$15:$R$1094,10,FALSE),"-")</f>
        <v>-</v>
      </c>
      <c r="J114" s="11" t="str">
        <f>IFERROR(VLOOKUP($B114,'(勿動)組件目錄表'!$D$15:$R$1094,11,FALSE),"-")</f>
        <v>-</v>
      </c>
      <c r="K114" s="11" t="str">
        <f>IFERROR(VLOOKUP($B114,'(勿動)組件目錄表'!$D$15:$R$1094,12,FALSE),"-")</f>
        <v>-</v>
      </c>
      <c r="L114" s="11" t="str">
        <f>IFERROR(VLOOKUP($B114,'(勿動)組件目錄表'!$D$15:$R$1094,13,FALSE),"-")</f>
        <v>-</v>
      </c>
      <c r="M114" s="11" t="str">
        <f>IFERROR(VLOOKUP($B114,'(勿動)組件目錄表'!$D$15:$R$1094,14,FALSE),"-")</f>
        <v>-</v>
      </c>
      <c r="N114" s="15">
        <f t="shared" si="1"/>
        <v>0</v>
      </c>
      <c r="O114" s="16"/>
    </row>
    <row r="115" spans="1:15" ht="15.75" customHeight="1">
      <c r="A115" s="18"/>
      <c r="B115" s="7"/>
      <c r="C115" s="8" t="str">
        <f>IFERROR(VLOOKUP($B115,'(勿動)組件目錄表'!$D$15:$R$1094,2,FALSE),"-")</f>
        <v>-</v>
      </c>
      <c r="D115" s="8" t="str">
        <f>IFERROR(VLOOKUP($B115,'(勿動)組件目錄表'!$D$15:$R$1094,3,FALSE),"-")</f>
        <v>-</v>
      </c>
      <c r="E115" s="9" t="str">
        <f>IFERROR(VLOOKUP($B115,'(勿動)組件目錄表'!$D$15:$R$1094,4,FALSE),"-")</f>
        <v>-</v>
      </c>
      <c r="F115" s="10" t="str">
        <f>IFERROR(VLOOKUP($B115,'(勿動)組件目錄表'!$D$15:$R$1094,5,FALSE),"-")</f>
        <v>-</v>
      </c>
      <c r="G115" s="11" t="str">
        <f>IFERROR(VLOOKUP($B115,'(勿動)組件目錄表'!$D$15:$R$1094,8,FALSE),"-")</f>
        <v>-</v>
      </c>
      <c r="H115" s="11" t="str">
        <f>IFERROR(VLOOKUP($B115,'(勿動)組件目錄表'!$D$15:$R$1094,9,FALSE),"-")</f>
        <v>-</v>
      </c>
      <c r="I115" s="11" t="str">
        <f>IFERROR(VLOOKUP($B115,'(勿動)組件目錄表'!$D$15:$R$1094,10,FALSE),"-")</f>
        <v>-</v>
      </c>
      <c r="J115" s="11" t="str">
        <f>IFERROR(VLOOKUP($B115,'(勿動)組件目錄表'!$D$15:$R$1094,11,FALSE),"-")</f>
        <v>-</v>
      </c>
      <c r="K115" s="11" t="str">
        <f>IFERROR(VLOOKUP($B115,'(勿動)組件目錄表'!$D$15:$R$1094,12,FALSE),"-")</f>
        <v>-</v>
      </c>
      <c r="L115" s="11" t="str">
        <f>IFERROR(VLOOKUP($B115,'(勿動)組件目錄表'!$D$15:$R$1094,13,FALSE),"-")</f>
        <v>-</v>
      </c>
      <c r="M115" s="11" t="str">
        <f>IFERROR(VLOOKUP($B115,'(勿動)組件目錄表'!$D$15:$R$1094,14,FALSE),"-")</f>
        <v>-</v>
      </c>
      <c r="N115" s="15">
        <f t="shared" si="1"/>
        <v>0</v>
      </c>
      <c r="O115" s="16"/>
    </row>
    <row r="116" spans="1:15" ht="15.75" customHeight="1">
      <c r="A116" s="18"/>
      <c r="B116" s="7"/>
      <c r="C116" s="8" t="str">
        <f>IFERROR(VLOOKUP($B116,'(勿動)組件目錄表'!$D$15:$R$1094,2,FALSE),"-")</f>
        <v>-</v>
      </c>
      <c r="D116" s="8" t="str">
        <f>IFERROR(VLOOKUP($B116,'(勿動)組件目錄表'!$D$15:$R$1094,3,FALSE),"-")</f>
        <v>-</v>
      </c>
      <c r="E116" s="9" t="str">
        <f>IFERROR(VLOOKUP($B116,'(勿動)組件目錄表'!$D$15:$R$1094,4,FALSE),"-")</f>
        <v>-</v>
      </c>
      <c r="F116" s="10" t="str">
        <f>IFERROR(VLOOKUP($B116,'(勿動)組件目錄表'!$D$15:$R$1094,5,FALSE),"-")</f>
        <v>-</v>
      </c>
      <c r="G116" s="11" t="str">
        <f>IFERROR(VLOOKUP($B116,'(勿動)組件目錄表'!$D$15:$R$1094,8,FALSE),"-")</f>
        <v>-</v>
      </c>
      <c r="H116" s="11" t="str">
        <f>IFERROR(VLOOKUP($B116,'(勿動)組件目錄表'!$D$15:$R$1094,9,FALSE),"-")</f>
        <v>-</v>
      </c>
      <c r="I116" s="11" t="str">
        <f>IFERROR(VLOOKUP($B116,'(勿動)組件目錄表'!$D$15:$R$1094,10,FALSE),"-")</f>
        <v>-</v>
      </c>
      <c r="J116" s="11" t="str">
        <f>IFERROR(VLOOKUP($B116,'(勿動)組件目錄表'!$D$15:$R$1094,11,FALSE),"-")</f>
        <v>-</v>
      </c>
      <c r="K116" s="11" t="str">
        <f>IFERROR(VLOOKUP($B116,'(勿動)組件目錄表'!$D$15:$R$1094,12,FALSE),"-")</f>
        <v>-</v>
      </c>
      <c r="L116" s="11" t="str">
        <f>IFERROR(VLOOKUP($B116,'(勿動)組件目錄表'!$D$15:$R$1094,13,FALSE),"-")</f>
        <v>-</v>
      </c>
      <c r="M116" s="11" t="str">
        <f>IFERROR(VLOOKUP($B116,'(勿動)組件目錄表'!$D$15:$R$1094,14,FALSE),"-")</f>
        <v>-</v>
      </c>
      <c r="N116" s="15">
        <f t="shared" si="1"/>
        <v>0</v>
      </c>
      <c r="O116" s="16"/>
    </row>
    <row r="117" spans="1:15" ht="15.75" customHeight="1">
      <c r="A117" s="18"/>
      <c r="B117" s="7"/>
      <c r="C117" s="8" t="str">
        <f>IFERROR(VLOOKUP($B117,'(勿動)組件目錄表'!$D$15:$R$1094,2,FALSE),"-")</f>
        <v>-</v>
      </c>
      <c r="D117" s="8" t="str">
        <f>IFERROR(VLOOKUP($B117,'(勿動)組件目錄表'!$D$15:$R$1094,3,FALSE),"-")</f>
        <v>-</v>
      </c>
      <c r="E117" s="9" t="str">
        <f>IFERROR(VLOOKUP($B117,'(勿動)組件目錄表'!$D$15:$R$1094,4,FALSE),"-")</f>
        <v>-</v>
      </c>
      <c r="F117" s="10" t="str">
        <f>IFERROR(VLOOKUP($B117,'(勿動)組件目錄表'!$D$15:$R$1094,5,FALSE),"-")</f>
        <v>-</v>
      </c>
      <c r="G117" s="11" t="str">
        <f>IFERROR(VLOOKUP($B117,'(勿動)組件目錄表'!$D$15:$R$1094,8,FALSE),"-")</f>
        <v>-</v>
      </c>
      <c r="H117" s="11" t="str">
        <f>IFERROR(VLOOKUP($B117,'(勿動)組件目錄表'!$D$15:$R$1094,9,FALSE),"-")</f>
        <v>-</v>
      </c>
      <c r="I117" s="11" t="str">
        <f>IFERROR(VLOOKUP($B117,'(勿動)組件目錄表'!$D$15:$R$1094,10,FALSE),"-")</f>
        <v>-</v>
      </c>
      <c r="J117" s="11" t="str">
        <f>IFERROR(VLOOKUP($B117,'(勿動)組件目錄表'!$D$15:$R$1094,11,FALSE),"-")</f>
        <v>-</v>
      </c>
      <c r="K117" s="11" t="str">
        <f>IFERROR(VLOOKUP($B117,'(勿動)組件目錄表'!$D$15:$R$1094,12,FALSE),"-")</f>
        <v>-</v>
      </c>
      <c r="L117" s="11" t="str">
        <f>IFERROR(VLOOKUP($B117,'(勿動)組件目錄表'!$D$15:$R$1094,13,FALSE),"-")</f>
        <v>-</v>
      </c>
      <c r="M117" s="11" t="str">
        <f>IFERROR(VLOOKUP($B117,'(勿動)組件目錄表'!$D$15:$R$1094,14,FALSE),"-")</f>
        <v>-</v>
      </c>
      <c r="N117" s="15">
        <f t="shared" si="1"/>
        <v>0</v>
      </c>
      <c r="O117" s="16"/>
    </row>
    <row r="118" spans="1:15" ht="15.75" customHeight="1">
      <c r="A118" s="18"/>
      <c r="B118" s="7"/>
      <c r="C118" s="8" t="str">
        <f>IFERROR(VLOOKUP($B118,'(勿動)組件目錄表'!$D$15:$R$1094,2,FALSE),"-")</f>
        <v>-</v>
      </c>
      <c r="D118" s="8" t="str">
        <f>IFERROR(VLOOKUP($B118,'(勿動)組件目錄表'!$D$15:$R$1094,3,FALSE),"-")</f>
        <v>-</v>
      </c>
      <c r="E118" s="9" t="str">
        <f>IFERROR(VLOOKUP($B118,'(勿動)組件目錄表'!$D$15:$R$1094,4,FALSE),"-")</f>
        <v>-</v>
      </c>
      <c r="F118" s="10" t="str">
        <f>IFERROR(VLOOKUP($B118,'(勿動)組件目錄表'!$D$15:$R$1094,5,FALSE),"-")</f>
        <v>-</v>
      </c>
      <c r="G118" s="11" t="str">
        <f>IFERROR(VLOOKUP($B118,'(勿動)組件目錄表'!$D$15:$R$1094,8,FALSE),"-")</f>
        <v>-</v>
      </c>
      <c r="H118" s="11" t="str">
        <f>IFERROR(VLOOKUP($B118,'(勿動)組件目錄表'!$D$15:$R$1094,9,FALSE),"-")</f>
        <v>-</v>
      </c>
      <c r="I118" s="11" t="str">
        <f>IFERROR(VLOOKUP($B118,'(勿動)組件目錄表'!$D$15:$R$1094,10,FALSE),"-")</f>
        <v>-</v>
      </c>
      <c r="J118" s="11" t="str">
        <f>IFERROR(VLOOKUP($B118,'(勿動)組件目錄表'!$D$15:$R$1094,11,FALSE),"-")</f>
        <v>-</v>
      </c>
      <c r="K118" s="11" t="str">
        <f>IFERROR(VLOOKUP($B118,'(勿動)組件目錄表'!$D$15:$R$1094,12,FALSE),"-")</f>
        <v>-</v>
      </c>
      <c r="L118" s="11" t="str">
        <f>IFERROR(VLOOKUP($B118,'(勿動)組件目錄表'!$D$15:$R$1094,13,FALSE),"-")</f>
        <v>-</v>
      </c>
      <c r="M118" s="11" t="str">
        <f>IFERROR(VLOOKUP($B118,'(勿動)組件目錄表'!$D$15:$R$1094,14,FALSE),"-")</f>
        <v>-</v>
      </c>
      <c r="N118" s="15">
        <f t="shared" si="1"/>
        <v>0</v>
      </c>
      <c r="O118" s="16"/>
    </row>
    <row r="119" spans="1:15" ht="15.75" customHeight="1">
      <c r="A119" s="18"/>
      <c r="B119" s="7"/>
      <c r="C119" s="8" t="str">
        <f>IFERROR(VLOOKUP($B119,'(勿動)組件目錄表'!$D$15:$R$1094,2,FALSE),"-")</f>
        <v>-</v>
      </c>
      <c r="D119" s="8" t="str">
        <f>IFERROR(VLOOKUP($B119,'(勿動)組件目錄表'!$D$15:$R$1094,3,FALSE),"-")</f>
        <v>-</v>
      </c>
      <c r="E119" s="9" t="str">
        <f>IFERROR(VLOOKUP($B119,'(勿動)組件目錄表'!$D$15:$R$1094,4,FALSE),"-")</f>
        <v>-</v>
      </c>
      <c r="F119" s="10" t="str">
        <f>IFERROR(VLOOKUP($B119,'(勿動)組件目錄表'!$D$15:$R$1094,5,FALSE),"-")</f>
        <v>-</v>
      </c>
      <c r="G119" s="11" t="str">
        <f>IFERROR(VLOOKUP($B119,'(勿動)組件目錄表'!$D$15:$R$1094,8,FALSE),"-")</f>
        <v>-</v>
      </c>
      <c r="H119" s="11" t="str">
        <f>IFERROR(VLOOKUP($B119,'(勿動)組件目錄表'!$D$15:$R$1094,9,FALSE),"-")</f>
        <v>-</v>
      </c>
      <c r="I119" s="11" t="str">
        <f>IFERROR(VLOOKUP($B119,'(勿動)組件目錄表'!$D$15:$R$1094,10,FALSE),"-")</f>
        <v>-</v>
      </c>
      <c r="J119" s="11" t="str">
        <f>IFERROR(VLOOKUP($B119,'(勿動)組件目錄表'!$D$15:$R$1094,11,FALSE),"-")</f>
        <v>-</v>
      </c>
      <c r="K119" s="11" t="str">
        <f>IFERROR(VLOOKUP($B119,'(勿動)組件目錄表'!$D$15:$R$1094,12,FALSE),"-")</f>
        <v>-</v>
      </c>
      <c r="L119" s="11" t="str">
        <f>IFERROR(VLOOKUP($B119,'(勿動)組件目錄表'!$D$15:$R$1094,13,FALSE),"-")</f>
        <v>-</v>
      </c>
      <c r="M119" s="11" t="str">
        <f>IFERROR(VLOOKUP($B119,'(勿動)組件目錄表'!$D$15:$R$1094,14,FALSE),"-")</f>
        <v>-</v>
      </c>
      <c r="N119" s="15">
        <f t="shared" si="1"/>
        <v>0</v>
      </c>
      <c r="O119" s="16"/>
    </row>
    <row r="120" spans="1:15" ht="15.75" customHeight="1">
      <c r="A120" s="18"/>
      <c r="B120" s="7"/>
      <c r="C120" s="8" t="str">
        <f>IFERROR(VLOOKUP($B120,'(勿動)組件目錄表'!$D$15:$R$1094,2,FALSE),"-")</f>
        <v>-</v>
      </c>
      <c r="D120" s="8" t="str">
        <f>IFERROR(VLOOKUP($B120,'(勿動)組件目錄表'!$D$15:$R$1094,3,FALSE),"-")</f>
        <v>-</v>
      </c>
      <c r="E120" s="9" t="str">
        <f>IFERROR(VLOOKUP($B120,'(勿動)組件目錄表'!$D$15:$R$1094,4,FALSE),"-")</f>
        <v>-</v>
      </c>
      <c r="F120" s="10" t="str">
        <f>IFERROR(VLOOKUP($B120,'(勿動)組件目錄表'!$D$15:$R$1094,5,FALSE),"-")</f>
        <v>-</v>
      </c>
      <c r="G120" s="11" t="str">
        <f>IFERROR(VLOOKUP($B120,'(勿動)組件目錄表'!$D$15:$R$1094,8,FALSE),"-")</f>
        <v>-</v>
      </c>
      <c r="H120" s="11" t="str">
        <f>IFERROR(VLOOKUP($B120,'(勿動)組件目錄表'!$D$15:$R$1094,9,FALSE),"-")</f>
        <v>-</v>
      </c>
      <c r="I120" s="11" t="str">
        <f>IFERROR(VLOOKUP($B120,'(勿動)組件目錄表'!$D$15:$R$1094,10,FALSE),"-")</f>
        <v>-</v>
      </c>
      <c r="J120" s="11" t="str">
        <f>IFERROR(VLOOKUP($B120,'(勿動)組件目錄表'!$D$15:$R$1094,11,FALSE),"-")</f>
        <v>-</v>
      </c>
      <c r="K120" s="11" t="str">
        <f>IFERROR(VLOOKUP($B120,'(勿動)組件目錄表'!$D$15:$R$1094,12,FALSE),"-")</f>
        <v>-</v>
      </c>
      <c r="L120" s="11" t="str">
        <f>IFERROR(VLOOKUP($B120,'(勿動)組件目錄表'!$D$15:$R$1094,13,FALSE),"-")</f>
        <v>-</v>
      </c>
      <c r="M120" s="11" t="str">
        <f>IFERROR(VLOOKUP($B120,'(勿動)組件目錄表'!$D$15:$R$1094,14,FALSE),"-")</f>
        <v>-</v>
      </c>
      <c r="N120" s="15">
        <f t="shared" si="1"/>
        <v>0</v>
      </c>
      <c r="O120" s="16"/>
    </row>
    <row r="121" spans="1:15" ht="15.75" customHeight="1">
      <c r="A121" s="18"/>
      <c r="B121" s="7"/>
      <c r="C121" s="8" t="str">
        <f>IFERROR(VLOOKUP($B121,'(勿動)組件目錄表'!$D$15:$R$1094,2,FALSE),"-")</f>
        <v>-</v>
      </c>
      <c r="D121" s="8" t="str">
        <f>IFERROR(VLOOKUP($B121,'(勿動)組件目錄表'!$D$15:$R$1094,3,FALSE),"-")</f>
        <v>-</v>
      </c>
      <c r="E121" s="9" t="str">
        <f>IFERROR(VLOOKUP($B121,'(勿動)組件目錄表'!$D$15:$R$1094,4,FALSE),"-")</f>
        <v>-</v>
      </c>
      <c r="F121" s="10" t="str">
        <f>IFERROR(VLOOKUP($B121,'(勿動)組件目錄表'!$D$15:$R$1094,5,FALSE),"-")</f>
        <v>-</v>
      </c>
      <c r="G121" s="11" t="str">
        <f>IFERROR(VLOOKUP($B121,'(勿動)組件目錄表'!$D$15:$R$1094,8,FALSE),"-")</f>
        <v>-</v>
      </c>
      <c r="H121" s="11" t="str">
        <f>IFERROR(VLOOKUP($B121,'(勿動)組件目錄表'!$D$15:$R$1094,9,FALSE),"-")</f>
        <v>-</v>
      </c>
      <c r="I121" s="11" t="str">
        <f>IFERROR(VLOOKUP($B121,'(勿動)組件目錄表'!$D$15:$R$1094,10,FALSE),"-")</f>
        <v>-</v>
      </c>
      <c r="J121" s="11" t="str">
        <f>IFERROR(VLOOKUP($B121,'(勿動)組件目錄表'!$D$15:$R$1094,11,FALSE),"-")</f>
        <v>-</v>
      </c>
      <c r="K121" s="11" t="str">
        <f>IFERROR(VLOOKUP($B121,'(勿動)組件目錄表'!$D$15:$R$1094,12,FALSE),"-")</f>
        <v>-</v>
      </c>
      <c r="L121" s="11" t="str">
        <f>IFERROR(VLOOKUP($B121,'(勿動)組件目錄表'!$D$15:$R$1094,13,FALSE),"-")</f>
        <v>-</v>
      </c>
      <c r="M121" s="11" t="str">
        <f>IFERROR(VLOOKUP($B121,'(勿動)組件目錄表'!$D$15:$R$1094,14,FALSE),"-")</f>
        <v>-</v>
      </c>
      <c r="N121" s="15">
        <f t="shared" si="1"/>
        <v>0</v>
      </c>
      <c r="O121" s="16"/>
    </row>
    <row r="122" spans="1:15" ht="15.75" customHeight="1">
      <c r="A122" s="18"/>
      <c r="B122" s="7"/>
      <c r="C122" s="8" t="str">
        <f>IFERROR(VLOOKUP($B122,'(勿動)組件目錄表'!$D$15:$R$1094,2,FALSE),"-")</f>
        <v>-</v>
      </c>
      <c r="D122" s="8" t="str">
        <f>IFERROR(VLOOKUP($B122,'(勿動)組件目錄表'!$D$15:$R$1094,3,FALSE),"-")</f>
        <v>-</v>
      </c>
      <c r="E122" s="9" t="str">
        <f>IFERROR(VLOOKUP($B122,'(勿動)組件目錄表'!$D$15:$R$1094,4,FALSE),"-")</f>
        <v>-</v>
      </c>
      <c r="F122" s="10" t="str">
        <f>IFERROR(VLOOKUP($B122,'(勿動)組件目錄表'!$D$15:$R$1094,5,FALSE),"-")</f>
        <v>-</v>
      </c>
      <c r="G122" s="11" t="str">
        <f>IFERROR(VLOOKUP($B122,'(勿動)組件目錄表'!$D$15:$R$1094,8,FALSE),"-")</f>
        <v>-</v>
      </c>
      <c r="H122" s="11" t="str">
        <f>IFERROR(VLOOKUP($B122,'(勿動)組件目錄表'!$D$15:$R$1094,9,FALSE),"-")</f>
        <v>-</v>
      </c>
      <c r="I122" s="11" t="str">
        <f>IFERROR(VLOOKUP($B122,'(勿動)組件目錄表'!$D$15:$R$1094,10,FALSE),"-")</f>
        <v>-</v>
      </c>
      <c r="J122" s="11" t="str">
        <f>IFERROR(VLOOKUP($B122,'(勿動)組件目錄表'!$D$15:$R$1094,11,FALSE),"-")</f>
        <v>-</v>
      </c>
      <c r="K122" s="11" t="str">
        <f>IFERROR(VLOOKUP($B122,'(勿動)組件目錄表'!$D$15:$R$1094,12,FALSE),"-")</f>
        <v>-</v>
      </c>
      <c r="L122" s="11" t="str">
        <f>IFERROR(VLOOKUP($B122,'(勿動)組件目錄表'!$D$15:$R$1094,13,FALSE),"-")</f>
        <v>-</v>
      </c>
      <c r="M122" s="11" t="str">
        <f>IFERROR(VLOOKUP($B122,'(勿動)組件目錄表'!$D$15:$R$1094,14,FALSE),"-")</f>
        <v>-</v>
      </c>
      <c r="N122" s="15">
        <f t="shared" si="1"/>
        <v>0</v>
      </c>
      <c r="O122" s="16"/>
    </row>
    <row r="123" spans="1:15" ht="15.75" customHeight="1">
      <c r="A123" s="18"/>
      <c r="B123" s="7"/>
      <c r="C123" s="8" t="str">
        <f>IFERROR(VLOOKUP($B123,'(勿動)組件目錄表'!$D$15:$R$1094,2,FALSE),"-")</f>
        <v>-</v>
      </c>
      <c r="D123" s="8" t="str">
        <f>IFERROR(VLOOKUP($B123,'(勿動)組件目錄表'!$D$15:$R$1094,3,FALSE),"-")</f>
        <v>-</v>
      </c>
      <c r="E123" s="9" t="str">
        <f>IFERROR(VLOOKUP($B123,'(勿動)組件目錄表'!$D$15:$R$1094,4,FALSE),"-")</f>
        <v>-</v>
      </c>
      <c r="F123" s="10" t="str">
        <f>IFERROR(VLOOKUP($B123,'(勿動)組件目錄表'!$D$15:$R$1094,5,FALSE),"-")</f>
        <v>-</v>
      </c>
      <c r="G123" s="11" t="str">
        <f>IFERROR(VLOOKUP($B123,'(勿動)組件目錄表'!$D$15:$R$1094,8,FALSE),"-")</f>
        <v>-</v>
      </c>
      <c r="H123" s="11" t="str">
        <f>IFERROR(VLOOKUP($B123,'(勿動)組件目錄表'!$D$15:$R$1094,9,FALSE),"-")</f>
        <v>-</v>
      </c>
      <c r="I123" s="11" t="str">
        <f>IFERROR(VLOOKUP($B123,'(勿動)組件目錄表'!$D$15:$R$1094,10,FALSE),"-")</f>
        <v>-</v>
      </c>
      <c r="J123" s="11" t="str">
        <f>IFERROR(VLOOKUP($B123,'(勿動)組件目錄表'!$D$15:$R$1094,11,FALSE),"-")</f>
        <v>-</v>
      </c>
      <c r="K123" s="11" t="str">
        <f>IFERROR(VLOOKUP($B123,'(勿動)組件目錄表'!$D$15:$R$1094,12,FALSE),"-")</f>
        <v>-</v>
      </c>
      <c r="L123" s="11" t="str">
        <f>IFERROR(VLOOKUP($B123,'(勿動)組件目錄表'!$D$15:$R$1094,13,FALSE),"-")</f>
        <v>-</v>
      </c>
      <c r="M123" s="11" t="str">
        <f>IFERROR(VLOOKUP($B123,'(勿動)組件目錄表'!$D$15:$R$1094,14,FALSE),"-")</f>
        <v>-</v>
      </c>
      <c r="N123" s="15">
        <f t="shared" si="1"/>
        <v>0</v>
      </c>
      <c r="O123" s="16"/>
    </row>
    <row r="124" spans="1:15" ht="15.75" customHeight="1">
      <c r="A124" s="18"/>
      <c r="B124" s="7"/>
      <c r="C124" s="8" t="str">
        <f>IFERROR(VLOOKUP($B124,'(勿動)組件目錄表'!$D$15:$R$1094,2,FALSE),"-")</f>
        <v>-</v>
      </c>
      <c r="D124" s="8" t="str">
        <f>IFERROR(VLOOKUP($B124,'(勿動)組件目錄表'!$D$15:$R$1094,3,FALSE),"-")</f>
        <v>-</v>
      </c>
      <c r="E124" s="9" t="str">
        <f>IFERROR(VLOOKUP($B124,'(勿動)組件目錄表'!$D$15:$R$1094,4,FALSE),"-")</f>
        <v>-</v>
      </c>
      <c r="F124" s="10" t="str">
        <f>IFERROR(VLOOKUP($B124,'(勿動)組件目錄表'!$D$15:$R$1094,5,FALSE),"-")</f>
        <v>-</v>
      </c>
      <c r="G124" s="11" t="str">
        <f>IFERROR(VLOOKUP($B124,'(勿動)組件目錄表'!$D$15:$R$1094,8,FALSE),"-")</f>
        <v>-</v>
      </c>
      <c r="H124" s="11" t="str">
        <f>IFERROR(VLOOKUP($B124,'(勿動)組件目錄表'!$D$15:$R$1094,9,FALSE),"-")</f>
        <v>-</v>
      </c>
      <c r="I124" s="11" t="str">
        <f>IFERROR(VLOOKUP($B124,'(勿動)組件目錄表'!$D$15:$R$1094,10,FALSE),"-")</f>
        <v>-</v>
      </c>
      <c r="J124" s="11" t="str">
        <f>IFERROR(VLOOKUP($B124,'(勿動)組件目錄表'!$D$15:$R$1094,11,FALSE),"-")</f>
        <v>-</v>
      </c>
      <c r="K124" s="11" t="str">
        <f>IFERROR(VLOOKUP($B124,'(勿動)組件目錄表'!$D$15:$R$1094,12,FALSE),"-")</f>
        <v>-</v>
      </c>
      <c r="L124" s="11" t="str">
        <f>IFERROR(VLOOKUP($B124,'(勿動)組件目錄表'!$D$15:$R$1094,13,FALSE),"-")</f>
        <v>-</v>
      </c>
      <c r="M124" s="11" t="str">
        <f>IFERROR(VLOOKUP($B124,'(勿動)組件目錄表'!$D$15:$R$1094,14,FALSE),"-")</f>
        <v>-</v>
      </c>
      <c r="N124" s="15">
        <f t="shared" si="1"/>
        <v>0</v>
      </c>
      <c r="O124" s="16"/>
    </row>
    <row r="125" spans="1:15" ht="15.75" customHeight="1">
      <c r="A125" s="18"/>
      <c r="B125" s="7"/>
      <c r="C125" s="8" t="str">
        <f>IFERROR(VLOOKUP($B125,'(勿動)組件目錄表'!$D$15:$R$1094,2,FALSE),"-")</f>
        <v>-</v>
      </c>
      <c r="D125" s="8" t="str">
        <f>IFERROR(VLOOKUP($B125,'(勿動)組件目錄表'!$D$15:$R$1094,3,FALSE),"-")</f>
        <v>-</v>
      </c>
      <c r="E125" s="9" t="str">
        <f>IFERROR(VLOOKUP($B125,'(勿動)組件目錄表'!$D$15:$R$1094,4,FALSE),"-")</f>
        <v>-</v>
      </c>
      <c r="F125" s="10" t="str">
        <f>IFERROR(VLOOKUP($B125,'(勿動)組件目錄表'!$D$15:$R$1094,5,FALSE),"-")</f>
        <v>-</v>
      </c>
      <c r="G125" s="11" t="str">
        <f>IFERROR(VLOOKUP($B125,'(勿動)組件目錄表'!$D$15:$R$1094,8,FALSE),"-")</f>
        <v>-</v>
      </c>
      <c r="H125" s="11" t="str">
        <f>IFERROR(VLOOKUP($B125,'(勿動)組件目錄表'!$D$15:$R$1094,9,FALSE),"-")</f>
        <v>-</v>
      </c>
      <c r="I125" s="11" t="str">
        <f>IFERROR(VLOOKUP($B125,'(勿動)組件目錄表'!$D$15:$R$1094,10,FALSE),"-")</f>
        <v>-</v>
      </c>
      <c r="J125" s="11" t="str">
        <f>IFERROR(VLOOKUP($B125,'(勿動)組件目錄表'!$D$15:$R$1094,11,FALSE),"-")</f>
        <v>-</v>
      </c>
      <c r="K125" s="11" t="str">
        <f>IFERROR(VLOOKUP($B125,'(勿動)組件目錄表'!$D$15:$R$1094,12,FALSE),"-")</f>
        <v>-</v>
      </c>
      <c r="L125" s="11" t="str">
        <f>IFERROR(VLOOKUP($B125,'(勿動)組件目錄表'!$D$15:$R$1094,13,FALSE),"-")</f>
        <v>-</v>
      </c>
      <c r="M125" s="11" t="str">
        <f>IFERROR(VLOOKUP($B125,'(勿動)組件目錄表'!$D$15:$R$1094,14,FALSE),"-")</f>
        <v>-</v>
      </c>
      <c r="N125" s="15">
        <f t="shared" si="1"/>
        <v>0</v>
      </c>
      <c r="O125" s="16"/>
    </row>
    <row r="126" spans="1:15" ht="15.75" customHeight="1">
      <c r="A126" s="18"/>
      <c r="B126" s="7"/>
      <c r="C126" s="8" t="str">
        <f>IFERROR(VLOOKUP($B126,'(勿動)組件目錄表'!$D$15:$R$1094,2,FALSE),"-")</f>
        <v>-</v>
      </c>
      <c r="D126" s="8" t="str">
        <f>IFERROR(VLOOKUP($B126,'(勿動)組件目錄表'!$D$15:$R$1094,3,FALSE),"-")</f>
        <v>-</v>
      </c>
      <c r="E126" s="9" t="str">
        <f>IFERROR(VLOOKUP($B126,'(勿動)組件目錄表'!$D$15:$R$1094,4,FALSE),"-")</f>
        <v>-</v>
      </c>
      <c r="F126" s="10" t="str">
        <f>IFERROR(VLOOKUP($B126,'(勿動)組件目錄表'!$D$15:$R$1094,5,FALSE),"-")</f>
        <v>-</v>
      </c>
      <c r="G126" s="11" t="str">
        <f>IFERROR(VLOOKUP($B126,'(勿動)組件目錄表'!$D$15:$R$1094,8,FALSE),"-")</f>
        <v>-</v>
      </c>
      <c r="H126" s="11" t="str">
        <f>IFERROR(VLOOKUP($B126,'(勿動)組件目錄表'!$D$15:$R$1094,9,FALSE),"-")</f>
        <v>-</v>
      </c>
      <c r="I126" s="11" t="str">
        <f>IFERROR(VLOOKUP($B126,'(勿動)組件目錄表'!$D$15:$R$1094,10,FALSE),"-")</f>
        <v>-</v>
      </c>
      <c r="J126" s="11" t="str">
        <f>IFERROR(VLOOKUP($B126,'(勿動)組件目錄表'!$D$15:$R$1094,11,FALSE),"-")</f>
        <v>-</v>
      </c>
      <c r="K126" s="11" t="str">
        <f>IFERROR(VLOOKUP($B126,'(勿動)組件目錄表'!$D$15:$R$1094,12,FALSE),"-")</f>
        <v>-</v>
      </c>
      <c r="L126" s="11" t="str">
        <f>IFERROR(VLOOKUP($B126,'(勿動)組件目錄表'!$D$15:$R$1094,13,FALSE),"-")</f>
        <v>-</v>
      </c>
      <c r="M126" s="11" t="str">
        <f>IFERROR(VLOOKUP($B126,'(勿動)組件目錄表'!$D$15:$R$1094,14,FALSE),"-")</f>
        <v>-</v>
      </c>
      <c r="N126" s="15">
        <f t="shared" si="1"/>
        <v>0</v>
      </c>
      <c r="O126" s="16"/>
    </row>
    <row r="127" spans="1:15" ht="15.75" customHeight="1">
      <c r="A127" s="18"/>
      <c r="B127" s="7"/>
      <c r="C127" s="8" t="str">
        <f>IFERROR(VLOOKUP($B127,'(勿動)組件目錄表'!$D$15:$R$1094,2,FALSE),"-")</f>
        <v>-</v>
      </c>
      <c r="D127" s="8" t="str">
        <f>IFERROR(VLOOKUP($B127,'(勿動)組件目錄表'!$D$15:$R$1094,3,FALSE),"-")</f>
        <v>-</v>
      </c>
      <c r="E127" s="9" t="str">
        <f>IFERROR(VLOOKUP($B127,'(勿動)組件目錄表'!$D$15:$R$1094,4,FALSE),"-")</f>
        <v>-</v>
      </c>
      <c r="F127" s="10" t="str">
        <f>IFERROR(VLOOKUP($B127,'(勿動)組件目錄表'!$D$15:$R$1094,5,FALSE),"-")</f>
        <v>-</v>
      </c>
      <c r="G127" s="11" t="str">
        <f>IFERROR(VLOOKUP($B127,'(勿動)組件目錄表'!$D$15:$R$1094,8,FALSE),"-")</f>
        <v>-</v>
      </c>
      <c r="H127" s="11" t="str">
        <f>IFERROR(VLOOKUP($B127,'(勿動)組件目錄表'!$D$15:$R$1094,9,FALSE),"-")</f>
        <v>-</v>
      </c>
      <c r="I127" s="11" t="str">
        <f>IFERROR(VLOOKUP($B127,'(勿動)組件目錄表'!$D$15:$R$1094,10,FALSE),"-")</f>
        <v>-</v>
      </c>
      <c r="J127" s="11" t="str">
        <f>IFERROR(VLOOKUP($B127,'(勿動)組件目錄表'!$D$15:$R$1094,11,FALSE),"-")</f>
        <v>-</v>
      </c>
      <c r="K127" s="11" t="str">
        <f>IFERROR(VLOOKUP($B127,'(勿動)組件目錄表'!$D$15:$R$1094,12,FALSE),"-")</f>
        <v>-</v>
      </c>
      <c r="L127" s="11" t="str">
        <f>IFERROR(VLOOKUP($B127,'(勿動)組件目錄表'!$D$15:$R$1094,13,FALSE),"-")</f>
        <v>-</v>
      </c>
      <c r="M127" s="11" t="str">
        <f>IFERROR(VLOOKUP($B127,'(勿動)組件目錄表'!$D$15:$R$1094,14,FALSE),"-")</f>
        <v>-</v>
      </c>
      <c r="N127" s="15">
        <f t="shared" si="1"/>
        <v>0</v>
      </c>
      <c r="O127" s="16"/>
    </row>
    <row r="128" spans="1:15" ht="15.75" customHeight="1">
      <c r="A128" s="18"/>
      <c r="B128" s="7"/>
      <c r="C128" s="8" t="str">
        <f>IFERROR(VLOOKUP($B128,'(勿動)組件目錄表'!$D$15:$R$1094,2,FALSE),"-")</f>
        <v>-</v>
      </c>
      <c r="D128" s="8" t="str">
        <f>IFERROR(VLOOKUP($B128,'(勿動)組件目錄表'!$D$15:$R$1094,3,FALSE),"-")</f>
        <v>-</v>
      </c>
      <c r="E128" s="9" t="str">
        <f>IFERROR(VLOOKUP($B128,'(勿動)組件目錄表'!$D$15:$R$1094,4,FALSE),"-")</f>
        <v>-</v>
      </c>
      <c r="F128" s="10" t="str">
        <f>IFERROR(VLOOKUP($B128,'(勿動)組件目錄表'!$D$15:$R$1094,5,FALSE),"-")</f>
        <v>-</v>
      </c>
      <c r="G128" s="11" t="str">
        <f>IFERROR(VLOOKUP($B128,'(勿動)組件目錄表'!$D$15:$R$1094,8,FALSE),"-")</f>
        <v>-</v>
      </c>
      <c r="H128" s="11" t="str">
        <f>IFERROR(VLOOKUP($B128,'(勿動)組件目錄表'!$D$15:$R$1094,9,FALSE),"-")</f>
        <v>-</v>
      </c>
      <c r="I128" s="11" t="str">
        <f>IFERROR(VLOOKUP($B128,'(勿動)組件目錄表'!$D$15:$R$1094,10,FALSE),"-")</f>
        <v>-</v>
      </c>
      <c r="J128" s="11" t="str">
        <f>IFERROR(VLOOKUP($B128,'(勿動)組件目錄表'!$D$15:$R$1094,11,FALSE),"-")</f>
        <v>-</v>
      </c>
      <c r="K128" s="11" t="str">
        <f>IFERROR(VLOOKUP($B128,'(勿動)組件目錄表'!$D$15:$R$1094,12,FALSE),"-")</f>
        <v>-</v>
      </c>
      <c r="L128" s="11" t="str">
        <f>IFERROR(VLOOKUP($B128,'(勿動)組件目錄表'!$D$15:$R$1094,13,FALSE),"-")</f>
        <v>-</v>
      </c>
      <c r="M128" s="11" t="str">
        <f>IFERROR(VLOOKUP($B128,'(勿動)組件目錄表'!$D$15:$R$1094,14,FALSE),"-")</f>
        <v>-</v>
      </c>
      <c r="N128" s="15">
        <f t="shared" si="1"/>
        <v>0</v>
      </c>
      <c r="O128" s="16"/>
    </row>
    <row r="129" spans="1:15" ht="15.75" customHeight="1">
      <c r="A129" s="18"/>
      <c r="B129" s="7"/>
      <c r="C129" s="8" t="str">
        <f>IFERROR(VLOOKUP($B129,'(勿動)組件目錄表'!$D$15:$R$1094,2,FALSE),"-")</f>
        <v>-</v>
      </c>
      <c r="D129" s="8" t="str">
        <f>IFERROR(VLOOKUP($B129,'(勿動)組件目錄表'!$D$15:$R$1094,3,FALSE),"-")</f>
        <v>-</v>
      </c>
      <c r="E129" s="9" t="str">
        <f>IFERROR(VLOOKUP($B129,'(勿動)組件目錄表'!$D$15:$R$1094,4,FALSE),"-")</f>
        <v>-</v>
      </c>
      <c r="F129" s="10" t="str">
        <f>IFERROR(VLOOKUP($B129,'(勿動)組件目錄表'!$D$15:$R$1094,5,FALSE),"-")</f>
        <v>-</v>
      </c>
      <c r="G129" s="11" t="str">
        <f>IFERROR(VLOOKUP($B129,'(勿動)組件目錄表'!$D$15:$R$1094,8,FALSE),"-")</f>
        <v>-</v>
      </c>
      <c r="H129" s="11" t="str">
        <f>IFERROR(VLOOKUP($B129,'(勿動)組件目錄表'!$D$15:$R$1094,9,FALSE),"-")</f>
        <v>-</v>
      </c>
      <c r="I129" s="11" t="str">
        <f>IFERROR(VLOOKUP($B129,'(勿動)組件目錄表'!$D$15:$R$1094,10,FALSE),"-")</f>
        <v>-</v>
      </c>
      <c r="J129" s="11" t="str">
        <f>IFERROR(VLOOKUP($B129,'(勿動)組件目錄表'!$D$15:$R$1094,11,FALSE),"-")</f>
        <v>-</v>
      </c>
      <c r="K129" s="11" t="str">
        <f>IFERROR(VLOOKUP($B129,'(勿動)組件目錄表'!$D$15:$R$1094,12,FALSE),"-")</f>
        <v>-</v>
      </c>
      <c r="L129" s="11" t="str">
        <f>IFERROR(VLOOKUP($B129,'(勿動)組件目錄表'!$D$15:$R$1094,13,FALSE),"-")</f>
        <v>-</v>
      </c>
      <c r="M129" s="11" t="str">
        <f>IFERROR(VLOOKUP($B129,'(勿動)組件目錄表'!$D$15:$R$1094,14,FALSE),"-")</f>
        <v>-</v>
      </c>
      <c r="N129" s="15">
        <f t="shared" si="1"/>
        <v>0</v>
      </c>
      <c r="O129" s="16"/>
    </row>
    <row r="130" spans="1:15" ht="15.75" customHeight="1">
      <c r="A130" s="18"/>
      <c r="B130" s="7"/>
      <c r="C130" s="8" t="str">
        <f>IFERROR(VLOOKUP($B130,'(勿動)組件目錄表'!$D$15:$R$1094,2,FALSE),"-")</f>
        <v>-</v>
      </c>
      <c r="D130" s="8" t="str">
        <f>IFERROR(VLOOKUP($B130,'(勿動)組件目錄表'!$D$15:$R$1094,3,FALSE),"-")</f>
        <v>-</v>
      </c>
      <c r="E130" s="9" t="str">
        <f>IFERROR(VLOOKUP($B130,'(勿動)組件目錄表'!$D$15:$R$1094,4,FALSE),"-")</f>
        <v>-</v>
      </c>
      <c r="F130" s="10" t="str">
        <f>IFERROR(VLOOKUP($B130,'(勿動)組件目錄表'!$D$15:$R$1094,5,FALSE),"-")</f>
        <v>-</v>
      </c>
      <c r="G130" s="11" t="str">
        <f>IFERROR(VLOOKUP($B130,'(勿動)組件目錄表'!$D$15:$R$1094,8,FALSE),"-")</f>
        <v>-</v>
      </c>
      <c r="H130" s="11" t="str">
        <f>IFERROR(VLOOKUP($B130,'(勿動)組件目錄表'!$D$15:$R$1094,9,FALSE),"-")</f>
        <v>-</v>
      </c>
      <c r="I130" s="11" t="str">
        <f>IFERROR(VLOOKUP($B130,'(勿動)組件目錄表'!$D$15:$R$1094,10,FALSE),"-")</f>
        <v>-</v>
      </c>
      <c r="J130" s="11" t="str">
        <f>IFERROR(VLOOKUP($B130,'(勿動)組件目錄表'!$D$15:$R$1094,11,FALSE),"-")</f>
        <v>-</v>
      </c>
      <c r="K130" s="11" t="str">
        <f>IFERROR(VLOOKUP($B130,'(勿動)組件目錄表'!$D$15:$R$1094,12,FALSE),"-")</f>
        <v>-</v>
      </c>
      <c r="L130" s="11" t="str">
        <f>IFERROR(VLOOKUP($B130,'(勿動)組件目錄表'!$D$15:$R$1094,13,FALSE),"-")</f>
        <v>-</v>
      </c>
      <c r="M130" s="11" t="str">
        <f>IFERROR(VLOOKUP($B130,'(勿動)組件目錄表'!$D$15:$R$1094,14,FALSE),"-")</f>
        <v>-</v>
      </c>
      <c r="N130" s="15">
        <f t="shared" si="1"/>
        <v>0</v>
      </c>
      <c r="O130" s="16"/>
    </row>
    <row r="131" spans="1:15" ht="15.75" customHeight="1">
      <c r="A131" s="18"/>
      <c r="B131" s="7"/>
      <c r="C131" s="8" t="str">
        <f>IFERROR(VLOOKUP($B131,'(勿動)組件目錄表'!$D$15:$R$1094,2,FALSE),"-")</f>
        <v>-</v>
      </c>
      <c r="D131" s="8" t="str">
        <f>IFERROR(VLOOKUP($B131,'(勿動)組件目錄表'!$D$15:$R$1094,3,FALSE),"-")</f>
        <v>-</v>
      </c>
      <c r="E131" s="9" t="str">
        <f>IFERROR(VLOOKUP($B131,'(勿動)組件目錄表'!$D$15:$R$1094,4,FALSE),"-")</f>
        <v>-</v>
      </c>
      <c r="F131" s="10" t="str">
        <f>IFERROR(VLOOKUP($B131,'(勿動)組件目錄表'!$D$15:$R$1094,5,FALSE),"-")</f>
        <v>-</v>
      </c>
      <c r="G131" s="11" t="str">
        <f>IFERROR(VLOOKUP($B131,'(勿動)組件目錄表'!$D$15:$R$1094,8,FALSE),"-")</f>
        <v>-</v>
      </c>
      <c r="H131" s="11" t="str">
        <f>IFERROR(VLOOKUP($B131,'(勿動)組件目錄表'!$D$15:$R$1094,9,FALSE),"-")</f>
        <v>-</v>
      </c>
      <c r="I131" s="11" t="str">
        <f>IFERROR(VLOOKUP($B131,'(勿動)組件目錄表'!$D$15:$R$1094,10,FALSE),"-")</f>
        <v>-</v>
      </c>
      <c r="J131" s="11" t="str">
        <f>IFERROR(VLOOKUP($B131,'(勿動)組件目錄表'!$D$15:$R$1094,11,FALSE),"-")</f>
        <v>-</v>
      </c>
      <c r="K131" s="11" t="str">
        <f>IFERROR(VLOOKUP($B131,'(勿動)組件目錄表'!$D$15:$R$1094,12,FALSE),"-")</f>
        <v>-</v>
      </c>
      <c r="L131" s="11" t="str">
        <f>IFERROR(VLOOKUP($B131,'(勿動)組件目錄表'!$D$15:$R$1094,13,FALSE),"-")</f>
        <v>-</v>
      </c>
      <c r="M131" s="11" t="str">
        <f>IFERROR(VLOOKUP($B131,'(勿動)組件目錄表'!$D$15:$R$1094,14,FALSE),"-")</f>
        <v>-</v>
      </c>
      <c r="N131" s="15">
        <f t="shared" si="1"/>
        <v>0</v>
      </c>
      <c r="O131" s="16"/>
    </row>
    <row r="132" spans="1:15" ht="15.75" customHeight="1">
      <c r="A132" s="18"/>
      <c r="B132" s="7"/>
      <c r="C132" s="8" t="str">
        <f>IFERROR(VLOOKUP($B132,'(勿動)組件目錄表'!$D$15:$R$1094,2,FALSE),"-")</f>
        <v>-</v>
      </c>
      <c r="D132" s="8" t="str">
        <f>IFERROR(VLOOKUP($B132,'(勿動)組件目錄表'!$D$15:$R$1094,3,FALSE),"-")</f>
        <v>-</v>
      </c>
      <c r="E132" s="9" t="str">
        <f>IFERROR(VLOOKUP($B132,'(勿動)組件目錄表'!$D$15:$R$1094,4,FALSE),"-")</f>
        <v>-</v>
      </c>
      <c r="F132" s="10" t="str">
        <f>IFERROR(VLOOKUP($B132,'(勿動)組件目錄表'!$D$15:$R$1094,5,FALSE),"-")</f>
        <v>-</v>
      </c>
      <c r="G132" s="11" t="str">
        <f>IFERROR(VLOOKUP($B132,'(勿動)組件目錄表'!$D$15:$R$1094,8,FALSE),"-")</f>
        <v>-</v>
      </c>
      <c r="H132" s="11" t="str">
        <f>IFERROR(VLOOKUP($B132,'(勿動)組件目錄表'!$D$15:$R$1094,9,FALSE),"-")</f>
        <v>-</v>
      </c>
      <c r="I132" s="11" t="str">
        <f>IFERROR(VLOOKUP($B132,'(勿動)組件目錄表'!$D$15:$R$1094,10,FALSE),"-")</f>
        <v>-</v>
      </c>
      <c r="J132" s="11" t="str">
        <f>IFERROR(VLOOKUP($B132,'(勿動)組件目錄表'!$D$15:$R$1094,11,FALSE),"-")</f>
        <v>-</v>
      </c>
      <c r="K132" s="11" t="str">
        <f>IFERROR(VLOOKUP($B132,'(勿動)組件目錄表'!$D$15:$R$1094,12,FALSE),"-")</f>
        <v>-</v>
      </c>
      <c r="L132" s="11" t="str">
        <f>IFERROR(VLOOKUP($B132,'(勿動)組件目錄表'!$D$15:$R$1094,13,FALSE),"-")</f>
        <v>-</v>
      </c>
      <c r="M132" s="11" t="str">
        <f>IFERROR(VLOOKUP($B132,'(勿動)組件目錄表'!$D$15:$R$1094,14,FALSE),"-")</f>
        <v>-</v>
      </c>
      <c r="N132" s="15">
        <f t="shared" si="1"/>
        <v>0</v>
      </c>
      <c r="O132" s="16"/>
    </row>
    <row r="133" spans="1:15" ht="15.75" customHeight="1">
      <c r="A133" s="18"/>
      <c r="B133" s="7"/>
      <c r="C133" s="8" t="str">
        <f>IFERROR(VLOOKUP($B133,'(勿動)組件目錄表'!$D$15:$R$1094,2,FALSE),"-")</f>
        <v>-</v>
      </c>
      <c r="D133" s="8" t="str">
        <f>IFERROR(VLOOKUP($B133,'(勿動)組件目錄表'!$D$15:$R$1094,3,FALSE),"-")</f>
        <v>-</v>
      </c>
      <c r="E133" s="9" t="str">
        <f>IFERROR(VLOOKUP($B133,'(勿動)組件目錄表'!$D$15:$R$1094,4,FALSE),"-")</f>
        <v>-</v>
      </c>
      <c r="F133" s="10" t="str">
        <f>IFERROR(VLOOKUP($B133,'(勿動)組件目錄表'!$D$15:$R$1094,5,FALSE),"-")</f>
        <v>-</v>
      </c>
      <c r="G133" s="11" t="str">
        <f>IFERROR(VLOOKUP($B133,'(勿動)組件目錄表'!$D$15:$R$1094,8,FALSE),"-")</f>
        <v>-</v>
      </c>
      <c r="H133" s="11" t="str">
        <f>IFERROR(VLOOKUP($B133,'(勿動)組件目錄表'!$D$15:$R$1094,9,FALSE),"-")</f>
        <v>-</v>
      </c>
      <c r="I133" s="11" t="str">
        <f>IFERROR(VLOOKUP($B133,'(勿動)組件目錄表'!$D$15:$R$1094,10,FALSE),"-")</f>
        <v>-</v>
      </c>
      <c r="J133" s="11" t="str">
        <f>IFERROR(VLOOKUP($B133,'(勿動)組件目錄表'!$D$15:$R$1094,11,FALSE),"-")</f>
        <v>-</v>
      </c>
      <c r="K133" s="11" t="str">
        <f>IFERROR(VLOOKUP($B133,'(勿動)組件目錄表'!$D$15:$R$1094,12,FALSE),"-")</f>
        <v>-</v>
      </c>
      <c r="L133" s="11" t="str">
        <f>IFERROR(VLOOKUP($B133,'(勿動)組件目錄表'!$D$15:$R$1094,13,FALSE),"-")</f>
        <v>-</v>
      </c>
      <c r="M133" s="11" t="str">
        <f>IFERROR(VLOOKUP($B133,'(勿動)組件目錄表'!$D$15:$R$1094,14,FALSE),"-")</f>
        <v>-</v>
      </c>
      <c r="N133" s="15">
        <f t="shared" si="1"/>
        <v>0</v>
      </c>
      <c r="O133" s="16"/>
    </row>
    <row r="134" spans="1:15" ht="15.75" customHeight="1">
      <c r="A134" s="18"/>
      <c r="B134" s="7"/>
      <c r="C134" s="8" t="str">
        <f>IFERROR(VLOOKUP($B134,'(勿動)組件目錄表'!$D$15:$R$1094,2,FALSE),"-")</f>
        <v>-</v>
      </c>
      <c r="D134" s="8" t="str">
        <f>IFERROR(VLOOKUP($B134,'(勿動)組件目錄表'!$D$15:$R$1094,3,FALSE),"-")</f>
        <v>-</v>
      </c>
      <c r="E134" s="9" t="str">
        <f>IFERROR(VLOOKUP($B134,'(勿動)組件目錄表'!$D$15:$R$1094,4,FALSE),"-")</f>
        <v>-</v>
      </c>
      <c r="F134" s="10" t="str">
        <f>IFERROR(VLOOKUP($B134,'(勿動)組件目錄表'!$D$15:$R$1094,5,FALSE),"-")</f>
        <v>-</v>
      </c>
      <c r="G134" s="11" t="str">
        <f>IFERROR(VLOOKUP($B134,'(勿動)組件目錄表'!$D$15:$R$1094,8,FALSE),"-")</f>
        <v>-</v>
      </c>
      <c r="H134" s="11" t="str">
        <f>IFERROR(VLOOKUP($B134,'(勿動)組件目錄表'!$D$15:$R$1094,9,FALSE),"-")</f>
        <v>-</v>
      </c>
      <c r="I134" s="11" t="str">
        <f>IFERROR(VLOOKUP($B134,'(勿動)組件目錄表'!$D$15:$R$1094,10,FALSE),"-")</f>
        <v>-</v>
      </c>
      <c r="J134" s="11" t="str">
        <f>IFERROR(VLOOKUP($B134,'(勿動)組件目錄表'!$D$15:$R$1094,11,FALSE),"-")</f>
        <v>-</v>
      </c>
      <c r="K134" s="11" t="str">
        <f>IFERROR(VLOOKUP($B134,'(勿動)組件目錄表'!$D$15:$R$1094,12,FALSE),"-")</f>
        <v>-</v>
      </c>
      <c r="L134" s="11" t="str">
        <f>IFERROR(VLOOKUP($B134,'(勿動)組件目錄表'!$D$15:$R$1094,13,FALSE),"-")</f>
        <v>-</v>
      </c>
      <c r="M134" s="11" t="str">
        <f>IFERROR(VLOOKUP($B134,'(勿動)組件目錄表'!$D$15:$R$1094,14,FALSE),"-")</f>
        <v>-</v>
      </c>
      <c r="N134" s="15">
        <f t="shared" si="1"/>
        <v>0</v>
      </c>
      <c r="O134" s="16"/>
    </row>
    <row r="135" spans="1:15" ht="15.75" customHeight="1">
      <c r="A135" s="18"/>
      <c r="B135" s="7"/>
      <c r="C135" s="8" t="str">
        <f>IFERROR(VLOOKUP($B135,'(勿動)組件目錄表'!$D$15:$R$1094,2,FALSE),"-")</f>
        <v>-</v>
      </c>
      <c r="D135" s="8" t="str">
        <f>IFERROR(VLOOKUP($B135,'(勿動)組件目錄表'!$D$15:$R$1094,3,FALSE),"-")</f>
        <v>-</v>
      </c>
      <c r="E135" s="9" t="str">
        <f>IFERROR(VLOOKUP($B135,'(勿動)組件目錄表'!$D$15:$R$1094,4,FALSE),"-")</f>
        <v>-</v>
      </c>
      <c r="F135" s="10" t="str">
        <f>IFERROR(VLOOKUP($B135,'(勿動)組件目錄表'!$D$15:$R$1094,5,FALSE),"-")</f>
        <v>-</v>
      </c>
      <c r="G135" s="11" t="str">
        <f>IFERROR(VLOOKUP($B135,'(勿動)組件目錄表'!$D$15:$R$1094,8,FALSE),"-")</f>
        <v>-</v>
      </c>
      <c r="H135" s="11" t="str">
        <f>IFERROR(VLOOKUP($B135,'(勿動)組件目錄表'!$D$15:$R$1094,9,FALSE),"-")</f>
        <v>-</v>
      </c>
      <c r="I135" s="11" t="str">
        <f>IFERROR(VLOOKUP($B135,'(勿動)組件目錄表'!$D$15:$R$1094,10,FALSE),"-")</f>
        <v>-</v>
      </c>
      <c r="J135" s="11" t="str">
        <f>IFERROR(VLOOKUP($B135,'(勿動)組件目錄表'!$D$15:$R$1094,11,FALSE),"-")</f>
        <v>-</v>
      </c>
      <c r="K135" s="11" t="str">
        <f>IFERROR(VLOOKUP($B135,'(勿動)組件目錄表'!$D$15:$R$1094,12,FALSE),"-")</f>
        <v>-</v>
      </c>
      <c r="L135" s="11" t="str">
        <f>IFERROR(VLOOKUP($B135,'(勿動)組件目錄表'!$D$15:$R$1094,13,FALSE),"-")</f>
        <v>-</v>
      </c>
      <c r="M135" s="11" t="str">
        <f>IFERROR(VLOOKUP($B135,'(勿動)組件目錄表'!$D$15:$R$1094,14,FALSE),"-")</f>
        <v>-</v>
      </c>
      <c r="N135" s="15">
        <f t="shared" si="1"/>
        <v>0</v>
      </c>
      <c r="O135" s="16"/>
    </row>
    <row r="136" spans="1:15" ht="15.75" customHeight="1">
      <c r="A136" s="18"/>
      <c r="B136" s="7"/>
      <c r="C136" s="8" t="str">
        <f>IFERROR(VLOOKUP($B136,'(勿動)組件目錄表'!$D$15:$R$1094,2,FALSE),"-")</f>
        <v>-</v>
      </c>
      <c r="D136" s="8" t="str">
        <f>IFERROR(VLOOKUP($B136,'(勿動)組件目錄表'!$D$15:$R$1094,3,FALSE),"-")</f>
        <v>-</v>
      </c>
      <c r="E136" s="9" t="str">
        <f>IFERROR(VLOOKUP($B136,'(勿動)組件目錄表'!$D$15:$R$1094,4,FALSE),"-")</f>
        <v>-</v>
      </c>
      <c r="F136" s="10" t="str">
        <f>IFERROR(VLOOKUP($B136,'(勿動)組件目錄表'!$D$15:$R$1094,5,FALSE),"-")</f>
        <v>-</v>
      </c>
      <c r="G136" s="11" t="str">
        <f>IFERROR(VLOOKUP($B136,'(勿動)組件目錄表'!$D$15:$R$1094,8,FALSE),"-")</f>
        <v>-</v>
      </c>
      <c r="H136" s="11" t="str">
        <f>IFERROR(VLOOKUP($B136,'(勿動)組件目錄表'!$D$15:$R$1094,9,FALSE),"-")</f>
        <v>-</v>
      </c>
      <c r="I136" s="11" t="str">
        <f>IFERROR(VLOOKUP($B136,'(勿動)組件目錄表'!$D$15:$R$1094,10,FALSE),"-")</f>
        <v>-</v>
      </c>
      <c r="J136" s="11" t="str">
        <f>IFERROR(VLOOKUP($B136,'(勿動)組件目錄表'!$D$15:$R$1094,11,FALSE),"-")</f>
        <v>-</v>
      </c>
      <c r="K136" s="11" t="str">
        <f>IFERROR(VLOOKUP($B136,'(勿動)組件目錄表'!$D$15:$R$1094,12,FALSE),"-")</f>
        <v>-</v>
      </c>
      <c r="L136" s="11" t="str">
        <f>IFERROR(VLOOKUP($B136,'(勿動)組件目錄表'!$D$15:$R$1094,13,FALSE),"-")</f>
        <v>-</v>
      </c>
      <c r="M136" s="11" t="str">
        <f>IFERROR(VLOOKUP($B136,'(勿動)組件目錄表'!$D$15:$R$1094,14,FALSE),"-")</f>
        <v>-</v>
      </c>
      <c r="N136" s="15">
        <f t="shared" si="1"/>
        <v>0</v>
      </c>
      <c r="O136" s="16"/>
    </row>
    <row r="137" spans="1:15" ht="15.75" customHeight="1">
      <c r="A137" s="18"/>
      <c r="B137" s="7"/>
      <c r="C137" s="8" t="str">
        <f>IFERROR(VLOOKUP($B137,'(勿動)組件目錄表'!$D$15:$R$1094,2,FALSE),"-")</f>
        <v>-</v>
      </c>
      <c r="D137" s="8" t="str">
        <f>IFERROR(VLOOKUP($B137,'(勿動)組件目錄表'!$D$15:$R$1094,3,FALSE),"-")</f>
        <v>-</v>
      </c>
      <c r="E137" s="9" t="str">
        <f>IFERROR(VLOOKUP($B137,'(勿動)組件目錄表'!$D$15:$R$1094,4,FALSE),"-")</f>
        <v>-</v>
      </c>
      <c r="F137" s="10" t="str">
        <f>IFERROR(VLOOKUP($B137,'(勿動)組件目錄表'!$D$15:$R$1094,5,FALSE),"-")</f>
        <v>-</v>
      </c>
      <c r="G137" s="11" t="str">
        <f>IFERROR(VLOOKUP($B137,'(勿動)組件目錄表'!$D$15:$R$1094,8,FALSE),"-")</f>
        <v>-</v>
      </c>
      <c r="H137" s="11" t="str">
        <f>IFERROR(VLOOKUP($B137,'(勿動)組件目錄表'!$D$15:$R$1094,9,FALSE),"-")</f>
        <v>-</v>
      </c>
      <c r="I137" s="11" t="str">
        <f>IFERROR(VLOOKUP($B137,'(勿動)組件目錄表'!$D$15:$R$1094,10,FALSE),"-")</f>
        <v>-</v>
      </c>
      <c r="J137" s="11" t="str">
        <f>IFERROR(VLOOKUP($B137,'(勿動)組件目錄表'!$D$15:$R$1094,11,FALSE),"-")</f>
        <v>-</v>
      </c>
      <c r="K137" s="11" t="str">
        <f>IFERROR(VLOOKUP($B137,'(勿動)組件目錄表'!$D$15:$R$1094,12,FALSE),"-")</f>
        <v>-</v>
      </c>
      <c r="L137" s="11" t="str">
        <f>IFERROR(VLOOKUP($B137,'(勿動)組件目錄表'!$D$15:$R$1094,13,FALSE),"-")</f>
        <v>-</v>
      </c>
      <c r="M137" s="11" t="str">
        <f>IFERROR(VLOOKUP($B137,'(勿動)組件目錄表'!$D$15:$R$1094,14,FALSE),"-")</f>
        <v>-</v>
      </c>
      <c r="N137" s="15">
        <f t="shared" si="1"/>
        <v>0</v>
      </c>
      <c r="O137" s="16"/>
    </row>
    <row r="138" spans="1:15" ht="15.75" customHeight="1">
      <c r="A138" s="18"/>
      <c r="B138" s="7"/>
      <c r="C138" s="8" t="str">
        <f>IFERROR(VLOOKUP($B138,'(勿動)組件目錄表'!$D$15:$R$1094,2,FALSE),"-")</f>
        <v>-</v>
      </c>
      <c r="D138" s="8" t="str">
        <f>IFERROR(VLOOKUP($B138,'(勿動)組件目錄表'!$D$15:$R$1094,3,FALSE),"-")</f>
        <v>-</v>
      </c>
      <c r="E138" s="9" t="str">
        <f>IFERROR(VLOOKUP($B138,'(勿動)組件目錄表'!$D$15:$R$1094,4,FALSE),"-")</f>
        <v>-</v>
      </c>
      <c r="F138" s="10" t="str">
        <f>IFERROR(VLOOKUP($B138,'(勿動)組件目錄表'!$D$15:$R$1094,5,FALSE),"-")</f>
        <v>-</v>
      </c>
      <c r="G138" s="11" t="str">
        <f>IFERROR(VLOOKUP($B138,'(勿動)組件目錄表'!$D$15:$R$1094,8,FALSE),"-")</f>
        <v>-</v>
      </c>
      <c r="H138" s="11" t="str">
        <f>IFERROR(VLOOKUP($B138,'(勿動)組件目錄表'!$D$15:$R$1094,9,FALSE),"-")</f>
        <v>-</v>
      </c>
      <c r="I138" s="11" t="str">
        <f>IFERROR(VLOOKUP($B138,'(勿動)組件目錄表'!$D$15:$R$1094,10,FALSE),"-")</f>
        <v>-</v>
      </c>
      <c r="J138" s="11" t="str">
        <f>IFERROR(VLOOKUP($B138,'(勿動)組件目錄表'!$D$15:$R$1094,11,FALSE),"-")</f>
        <v>-</v>
      </c>
      <c r="K138" s="11" t="str">
        <f>IFERROR(VLOOKUP($B138,'(勿動)組件目錄表'!$D$15:$R$1094,12,FALSE),"-")</f>
        <v>-</v>
      </c>
      <c r="L138" s="11" t="str">
        <f>IFERROR(VLOOKUP($B138,'(勿動)組件目錄表'!$D$15:$R$1094,13,FALSE),"-")</f>
        <v>-</v>
      </c>
      <c r="M138" s="11" t="str">
        <f>IFERROR(VLOOKUP($B138,'(勿動)組件目錄表'!$D$15:$R$1094,14,FALSE),"-")</f>
        <v>-</v>
      </c>
      <c r="N138" s="15">
        <f t="shared" si="1"/>
        <v>0</v>
      </c>
      <c r="O138" s="16"/>
    </row>
    <row r="139" spans="1:15" ht="15.75" customHeight="1">
      <c r="A139" s="18"/>
      <c r="B139" s="7"/>
      <c r="C139" s="8" t="str">
        <f>IFERROR(VLOOKUP($B139,'(勿動)組件目錄表'!$D$15:$R$1094,2,FALSE),"-")</f>
        <v>-</v>
      </c>
      <c r="D139" s="8" t="str">
        <f>IFERROR(VLOOKUP($B139,'(勿動)組件目錄表'!$D$15:$R$1094,3,FALSE),"-")</f>
        <v>-</v>
      </c>
      <c r="E139" s="9" t="str">
        <f>IFERROR(VLOOKUP($B139,'(勿動)組件目錄表'!$D$15:$R$1094,4,FALSE),"-")</f>
        <v>-</v>
      </c>
      <c r="F139" s="10" t="str">
        <f>IFERROR(VLOOKUP($B139,'(勿動)組件目錄表'!$D$15:$R$1094,5,FALSE),"-")</f>
        <v>-</v>
      </c>
      <c r="G139" s="11" t="str">
        <f>IFERROR(VLOOKUP($B139,'(勿動)組件目錄表'!$D$15:$R$1094,8,FALSE),"-")</f>
        <v>-</v>
      </c>
      <c r="H139" s="11" t="str">
        <f>IFERROR(VLOOKUP($B139,'(勿動)組件目錄表'!$D$15:$R$1094,9,FALSE),"-")</f>
        <v>-</v>
      </c>
      <c r="I139" s="11" t="str">
        <f>IFERROR(VLOOKUP($B139,'(勿動)組件目錄表'!$D$15:$R$1094,10,FALSE),"-")</f>
        <v>-</v>
      </c>
      <c r="J139" s="11" t="str">
        <f>IFERROR(VLOOKUP($B139,'(勿動)組件目錄表'!$D$15:$R$1094,11,FALSE),"-")</f>
        <v>-</v>
      </c>
      <c r="K139" s="11" t="str">
        <f>IFERROR(VLOOKUP($B139,'(勿動)組件目錄表'!$D$15:$R$1094,12,FALSE),"-")</f>
        <v>-</v>
      </c>
      <c r="L139" s="11" t="str">
        <f>IFERROR(VLOOKUP($B139,'(勿動)組件目錄表'!$D$15:$R$1094,13,FALSE),"-")</f>
        <v>-</v>
      </c>
      <c r="M139" s="11" t="str">
        <f>IFERROR(VLOOKUP($B139,'(勿動)組件目錄表'!$D$15:$R$1094,14,FALSE),"-")</f>
        <v>-</v>
      </c>
      <c r="N139" s="15">
        <f t="shared" si="1"/>
        <v>0</v>
      </c>
      <c r="O139" s="16"/>
    </row>
    <row r="140" spans="1:15" ht="15.75" customHeight="1">
      <c r="A140" s="18"/>
      <c r="B140" s="7"/>
      <c r="C140" s="8" t="str">
        <f>IFERROR(VLOOKUP($B140,'(勿動)組件目錄表'!$D$15:$R$1094,2,FALSE),"-")</f>
        <v>-</v>
      </c>
      <c r="D140" s="8" t="str">
        <f>IFERROR(VLOOKUP($B140,'(勿動)組件目錄表'!$D$15:$R$1094,3,FALSE),"-")</f>
        <v>-</v>
      </c>
      <c r="E140" s="9" t="str">
        <f>IFERROR(VLOOKUP($B140,'(勿動)組件目錄表'!$D$15:$R$1094,4,FALSE),"-")</f>
        <v>-</v>
      </c>
      <c r="F140" s="10" t="str">
        <f>IFERROR(VLOOKUP($B140,'(勿動)組件目錄表'!$D$15:$R$1094,5,FALSE),"-")</f>
        <v>-</v>
      </c>
      <c r="G140" s="11" t="str">
        <f>IFERROR(VLOOKUP($B140,'(勿動)組件目錄表'!$D$15:$R$1094,8,FALSE),"-")</f>
        <v>-</v>
      </c>
      <c r="H140" s="11" t="str">
        <f>IFERROR(VLOOKUP($B140,'(勿動)組件目錄表'!$D$15:$R$1094,9,FALSE),"-")</f>
        <v>-</v>
      </c>
      <c r="I140" s="11" t="str">
        <f>IFERROR(VLOOKUP($B140,'(勿動)組件目錄表'!$D$15:$R$1094,10,FALSE),"-")</f>
        <v>-</v>
      </c>
      <c r="J140" s="11" t="str">
        <f>IFERROR(VLOOKUP($B140,'(勿動)組件目錄表'!$D$15:$R$1094,11,FALSE),"-")</f>
        <v>-</v>
      </c>
      <c r="K140" s="11" t="str">
        <f>IFERROR(VLOOKUP($B140,'(勿動)組件目錄表'!$D$15:$R$1094,12,FALSE),"-")</f>
        <v>-</v>
      </c>
      <c r="L140" s="11" t="str">
        <f>IFERROR(VLOOKUP($B140,'(勿動)組件目錄表'!$D$15:$R$1094,13,FALSE),"-")</f>
        <v>-</v>
      </c>
      <c r="M140" s="11" t="str">
        <f>IFERROR(VLOOKUP($B140,'(勿動)組件目錄表'!$D$15:$R$1094,14,FALSE),"-")</f>
        <v>-</v>
      </c>
      <c r="N140" s="15">
        <f t="shared" si="1"/>
        <v>0</v>
      </c>
      <c r="O140" s="16"/>
    </row>
    <row r="141" spans="1:15" ht="15.75" customHeight="1">
      <c r="A141" s="18"/>
      <c r="B141" s="7"/>
      <c r="C141" s="8" t="str">
        <f>IFERROR(VLOOKUP($B141,'(勿動)組件目錄表'!$D$15:$R$1094,2,FALSE),"-")</f>
        <v>-</v>
      </c>
      <c r="D141" s="8" t="str">
        <f>IFERROR(VLOOKUP($B141,'(勿動)組件目錄表'!$D$15:$R$1094,3,FALSE),"-")</f>
        <v>-</v>
      </c>
      <c r="E141" s="9" t="str">
        <f>IFERROR(VLOOKUP($B141,'(勿動)組件目錄表'!$D$15:$R$1094,4,FALSE),"-")</f>
        <v>-</v>
      </c>
      <c r="F141" s="10" t="str">
        <f>IFERROR(VLOOKUP($B141,'(勿動)組件目錄表'!$D$15:$R$1094,5,FALSE),"-")</f>
        <v>-</v>
      </c>
      <c r="G141" s="11" t="str">
        <f>IFERROR(VLOOKUP($B141,'(勿動)組件目錄表'!$D$15:$R$1094,8,FALSE),"-")</f>
        <v>-</v>
      </c>
      <c r="H141" s="11" t="str">
        <f>IFERROR(VLOOKUP($B141,'(勿動)組件目錄表'!$D$15:$R$1094,9,FALSE),"-")</f>
        <v>-</v>
      </c>
      <c r="I141" s="11" t="str">
        <f>IFERROR(VLOOKUP($B141,'(勿動)組件目錄表'!$D$15:$R$1094,10,FALSE),"-")</f>
        <v>-</v>
      </c>
      <c r="J141" s="11" t="str">
        <f>IFERROR(VLOOKUP($B141,'(勿動)組件目錄表'!$D$15:$R$1094,11,FALSE),"-")</f>
        <v>-</v>
      </c>
      <c r="K141" s="11" t="str">
        <f>IFERROR(VLOOKUP($B141,'(勿動)組件目錄表'!$D$15:$R$1094,12,FALSE),"-")</f>
        <v>-</v>
      </c>
      <c r="L141" s="11" t="str">
        <f>IFERROR(VLOOKUP($B141,'(勿動)組件目錄表'!$D$15:$R$1094,13,FALSE),"-")</f>
        <v>-</v>
      </c>
      <c r="M141" s="11" t="str">
        <f>IFERROR(VLOOKUP($B141,'(勿動)組件目錄表'!$D$15:$R$1094,14,FALSE),"-")</f>
        <v>-</v>
      </c>
      <c r="N141" s="15">
        <f t="shared" si="1"/>
        <v>0</v>
      </c>
      <c r="O141" s="16"/>
    </row>
    <row r="142" spans="1:15" ht="15.75" customHeight="1">
      <c r="A142" s="18"/>
      <c r="B142" s="7"/>
      <c r="C142" s="8" t="str">
        <f>IFERROR(VLOOKUP($B142,'(勿動)組件目錄表'!$D$15:$R$1094,2,FALSE),"-")</f>
        <v>-</v>
      </c>
      <c r="D142" s="8" t="str">
        <f>IFERROR(VLOOKUP($B142,'(勿動)組件目錄表'!$D$15:$R$1094,3,FALSE),"-")</f>
        <v>-</v>
      </c>
      <c r="E142" s="9" t="str">
        <f>IFERROR(VLOOKUP($B142,'(勿動)組件目錄表'!$D$15:$R$1094,4,FALSE),"-")</f>
        <v>-</v>
      </c>
      <c r="F142" s="10" t="str">
        <f>IFERROR(VLOOKUP($B142,'(勿動)組件目錄表'!$D$15:$R$1094,5,FALSE),"-")</f>
        <v>-</v>
      </c>
      <c r="G142" s="11" t="str">
        <f>IFERROR(VLOOKUP($B142,'(勿動)組件目錄表'!$D$15:$R$1094,8,FALSE),"-")</f>
        <v>-</v>
      </c>
      <c r="H142" s="11" t="str">
        <f>IFERROR(VLOOKUP($B142,'(勿動)組件目錄表'!$D$15:$R$1094,9,FALSE),"-")</f>
        <v>-</v>
      </c>
      <c r="I142" s="11" t="str">
        <f>IFERROR(VLOOKUP($B142,'(勿動)組件目錄表'!$D$15:$R$1094,10,FALSE),"-")</f>
        <v>-</v>
      </c>
      <c r="J142" s="11" t="str">
        <f>IFERROR(VLOOKUP($B142,'(勿動)組件目錄表'!$D$15:$R$1094,11,FALSE),"-")</f>
        <v>-</v>
      </c>
      <c r="K142" s="11" t="str">
        <f>IFERROR(VLOOKUP($B142,'(勿動)組件目錄表'!$D$15:$R$1094,12,FALSE),"-")</f>
        <v>-</v>
      </c>
      <c r="L142" s="11" t="str">
        <f>IFERROR(VLOOKUP($B142,'(勿動)組件目錄表'!$D$15:$R$1094,13,FALSE),"-")</f>
        <v>-</v>
      </c>
      <c r="M142" s="11" t="str">
        <f>IFERROR(VLOOKUP($B142,'(勿動)組件目錄表'!$D$15:$R$1094,14,FALSE),"-")</f>
        <v>-</v>
      </c>
      <c r="N142" s="15">
        <f t="shared" si="1"/>
        <v>0</v>
      </c>
      <c r="O142" s="16"/>
    </row>
    <row r="143" spans="1:15" ht="15.75" customHeight="1">
      <c r="A143" s="18"/>
      <c r="B143" s="7"/>
      <c r="C143" s="8" t="str">
        <f>IFERROR(VLOOKUP($B143,'(勿動)組件目錄表'!$D$15:$R$1094,2,FALSE),"-")</f>
        <v>-</v>
      </c>
      <c r="D143" s="8" t="str">
        <f>IFERROR(VLOOKUP($B143,'(勿動)組件目錄表'!$D$15:$R$1094,3,FALSE),"-")</f>
        <v>-</v>
      </c>
      <c r="E143" s="9" t="str">
        <f>IFERROR(VLOOKUP($B143,'(勿動)組件目錄表'!$D$15:$R$1094,4,FALSE),"-")</f>
        <v>-</v>
      </c>
      <c r="F143" s="10" t="str">
        <f>IFERROR(VLOOKUP($B143,'(勿動)組件目錄表'!$D$15:$R$1094,5,FALSE),"-")</f>
        <v>-</v>
      </c>
      <c r="G143" s="11" t="str">
        <f>IFERROR(VLOOKUP($B143,'(勿動)組件目錄表'!$D$15:$R$1094,8,FALSE),"-")</f>
        <v>-</v>
      </c>
      <c r="H143" s="11" t="str">
        <f>IFERROR(VLOOKUP($B143,'(勿動)組件目錄表'!$D$15:$R$1094,9,FALSE),"-")</f>
        <v>-</v>
      </c>
      <c r="I143" s="11" t="str">
        <f>IFERROR(VLOOKUP($B143,'(勿動)組件目錄表'!$D$15:$R$1094,10,FALSE),"-")</f>
        <v>-</v>
      </c>
      <c r="J143" s="11" t="str">
        <f>IFERROR(VLOOKUP($B143,'(勿動)組件目錄表'!$D$15:$R$1094,11,FALSE),"-")</f>
        <v>-</v>
      </c>
      <c r="K143" s="11" t="str">
        <f>IFERROR(VLOOKUP($B143,'(勿動)組件目錄表'!$D$15:$R$1094,12,FALSE),"-")</f>
        <v>-</v>
      </c>
      <c r="L143" s="11" t="str">
        <f>IFERROR(VLOOKUP($B143,'(勿動)組件目錄表'!$D$15:$R$1094,13,FALSE),"-")</f>
        <v>-</v>
      </c>
      <c r="M143" s="11" t="str">
        <f>IFERROR(VLOOKUP($B143,'(勿動)組件目錄表'!$D$15:$R$1094,14,FALSE),"-")</f>
        <v>-</v>
      </c>
      <c r="N143" s="15">
        <f t="shared" si="1"/>
        <v>0</v>
      </c>
      <c r="O143" s="16"/>
    </row>
    <row r="144" spans="1:15" ht="15.75" customHeight="1">
      <c r="A144" s="18"/>
      <c r="B144" s="7"/>
      <c r="C144" s="8" t="str">
        <f>IFERROR(VLOOKUP($B144,'(勿動)組件目錄表'!$D$15:$R$1094,2,FALSE),"-")</f>
        <v>-</v>
      </c>
      <c r="D144" s="8" t="str">
        <f>IFERROR(VLOOKUP($B144,'(勿動)組件目錄表'!$D$15:$R$1094,3,FALSE),"-")</f>
        <v>-</v>
      </c>
      <c r="E144" s="9" t="str">
        <f>IFERROR(VLOOKUP($B144,'(勿動)組件目錄表'!$D$15:$R$1094,4,FALSE),"-")</f>
        <v>-</v>
      </c>
      <c r="F144" s="10" t="str">
        <f>IFERROR(VLOOKUP($B144,'(勿動)組件目錄表'!$D$15:$R$1094,5,FALSE),"-")</f>
        <v>-</v>
      </c>
      <c r="G144" s="11" t="str">
        <f>IFERROR(VLOOKUP($B144,'(勿動)組件目錄表'!$D$15:$R$1094,8,FALSE),"-")</f>
        <v>-</v>
      </c>
      <c r="H144" s="11" t="str">
        <f>IFERROR(VLOOKUP($B144,'(勿動)組件目錄表'!$D$15:$R$1094,9,FALSE),"-")</f>
        <v>-</v>
      </c>
      <c r="I144" s="11" t="str">
        <f>IFERROR(VLOOKUP($B144,'(勿動)組件目錄表'!$D$15:$R$1094,10,FALSE),"-")</f>
        <v>-</v>
      </c>
      <c r="J144" s="11" t="str">
        <f>IFERROR(VLOOKUP($B144,'(勿動)組件目錄表'!$D$15:$R$1094,11,FALSE),"-")</f>
        <v>-</v>
      </c>
      <c r="K144" s="11" t="str">
        <f>IFERROR(VLOOKUP($B144,'(勿動)組件目錄表'!$D$15:$R$1094,12,FALSE),"-")</f>
        <v>-</v>
      </c>
      <c r="L144" s="11" t="str">
        <f>IFERROR(VLOOKUP($B144,'(勿動)組件目錄表'!$D$15:$R$1094,13,FALSE),"-")</f>
        <v>-</v>
      </c>
      <c r="M144" s="11" t="str">
        <f>IFERROR(VLOOKUP($B144,'(勿動)組件目錄表'!$D$15:$R$1094,14,FALSE),"-")</f>
        <v>-</v>
      </c>
      <c r="N144" s="15">
        <f t="shared" si="1"/>
        <v>0</v>
      </c>
      <c r="O144" s="16"/>
    </row>
    <row r="145" spans="1:15" ht="15.75" customHeight="1">
      <c r="A145" s="18"/>
      <c r="B145" s="7"/>
      <c r="C145" s="8" t="str">
        <f>IFERROR(VLOOKUP($B145,'(勿動)組件目錄表'!$D$15:$R$1094,2,FALSE),"-")</f>
        <v>-</v>
      </c>
      <c r="D145" s="8" t="str">
        <f>IFERROR(VLOOKUP($B145,'(勿動)組件目錄表'!$D$15:$R$1094,3,FALSE),"-")</f>
        <v>-</v>
      </c>
      <c r="E145" s="9" t="str">
        <f>IFERROR(VLOOKUP($B145,'(勿動)組件目錄表'!$D$15:$R$1094,4,FALSE),"-")</f>
        <v>-</v>
      </c>
      <c r="F145" s="10" t="str">
        <f>IFERROR(VLOOKUP($B145,'(勿動)組件目錄表'!$D$15:$R$1094,5,FALSE),"-")</f>
        <v>-</v>
      </c>
      <c r="G145" s="11" t="str">
        <f>IFERROR(VLOOKUP($B145,'(勿動)組件目錄表'!$D$15:$R$1094,8,FALSE),"-")</f>
        <v>-</v>
      </c>
      <c r="H145" s="11" t="str">
        <f>IFERROR(VLOOKUP($B145,'(勿動)組件目錄表'!$D$15:$R$1094,9,FALSE),"-")</f>
        <v>-</v>
      </c>
      <c r="I145" s="11" t="str">
        <f>IFERROR(VLOOKUP($B145,'(勿動)組件目錄表'!$D$15:$R$1094,10,FALSE),"-")</f>
        <v>-</v>
      </c>
      <c r="J145" s="11" t="str">
        <f>IFERROR(VLOOKUP($B145,'(勿動)組件目錄表'!$D$15:$R$1094,11,FALSE),"-")</f>
        <v>-</v>
      </c>
      <c r="K145" s="11" t="str">
        <f>IFERROR(VLOOKUP($B145,'(勿動)組件目錄表'!$D$15:$R$1094,12,FALSE),"-")</f>
        <v>-</v>
      </c>
      <c r="L145" s="11" t="str">
        <f>IFERROR(VLOOKUP($B145,'(勿動)組件目錄表'!$D$15:$R$1094,13,FALSE),"-")</f>
        <v>-</v>
      </c>
      <c r="M145" s="11" t="str">
        <f>IFERROR(VLOOKUP($B145,'(勿動)組件目錄表'!$D$15:$R$1094,14,FALSE),"-")</f>
        <v>-</v>
      </c>
      <c r="N145" s="15">
        <f t="shared" si="1"/>
        <v>0</v>
      </c>
      <c r="O145" s="16"/>
    </row>
    <row r="146" spans="1:15" ht="15.75" customHeight="1">
      <c r="A146" s="18"/>
      <c r="B146" s="7"/>
      <c r="C146" s="8" t="str">
        <f>IFERROR(VLOOKUP($B146,'(勿動)組件目錄表'!$D$15:$R$1094,2,FALSE),"-")</f>
        <v>-</v>
      </c>
      <c r="D146" s="8" t="str">
        <f>IFERROR(VLOOKUP($B146,'(勿動)組件目錄表'!$D$15:$R$1094,3,FALSE),"-")</f>
        <v>-</v>
      </c>
      <c r="E146" s="9" t="str">
        <f>IFERROR(VLOOKUP($B146,'(勿動)組件目錄表'!$D$15:$R$1094,4,FALSE),"-")</f>
        <v>-</v>
      </c>
      <c r="F146" s="10" t="str">
        <f>IFERROR(VLOOKUP($B146,'(勿動)組件目錄表'!$D$15:$R$1094,5,FALSE),"-")</f>
        <v>-</v>
      </c>
      <c r="G146" s="11" t="str">
        <f>IFERROR(VLOOKUP($B146,'(勿動)組件目錄表'!$D$15:$R$1094,8,FALSE),"-")</f>
        <v>-</v>
      </c>
      <c r="H146" s="11" t="str">
        <f>IFERROR(VLOOKUP($B146,'(勿動)組件目錄表'!$D$15:$R$1094,9,FALSE),"-")</f>
        <v>-</v>
      </c>
      <c r="I146" s="11" t="str">
        <f>IFERROR(VLOOKUP($B146,'(勿動)組件目錄表'!$D$15:$R$1094,10,FALSE),"-")</f>
        <v>-</v>
      </c>
      <c r="J146" s="11" t="str">
        <f>IFERROR(VLOOKUP($B146,'(勿動)組件目錄表'!$D$15:$R$1094,11,FALSE),"-")</f>
        <v>-</v>
      </c>
      <c r="K146" s="11" t="str">
        <f>IFERROR(VLOOKUP($B146,'(勿動)組件目錄表'!$D$15:$R$1094,12,FALSE),"-")</f>
        <v>-</v>
      </c>
      <c r="L146" s="11" t="str">
        <f>IFERROR(VLOOKUP($B146,'(勿動)組件目錄表'!$D$15:$R$1094,13,FALSE),"-")</f>
        <v>-</v>
      </c>
      <c r="M146" s="11" t="str">
        <f>IFERROR(VLOOKUP($B146,'(勿動)組件目錄表'!$D$15:$R$1094,14,FALSE),"-")</f>
        <v>-</v>
      </c>
      <c r="N146" s="15">
        <f t="shared" si="1"/>
        <v>0</v>
      </c>
      <c r="O146" s="16"/>
    </row>
    <row r="147" spans="1:15" ht="15.75" customHeight="1">
      <c r="A147" s="18"/>
      <c r="B147" s="7"/>
      <c r="C147" s="8" t="str">
        <f>IFERROR(VLOOKUP($B147,'(勿動)組件目錄表'!$D$15:$R$1094,2,FALSE),"-")</f>
        <v>-</v>
      </c>
      <c r="D147" s="8" t="str">
        <f>IFERROR(VLOOKUP($B147,'(勿動)組件目錄表'!$D$15:$R$1094,3,FALSE),"-")</f>
        <v>-</v>
      </c>
      <c r="E147" s="9" t="str">
        <f>IFERROR(VLOOKUP($B147,'(勿動)組件目錄表'!$D$15:$R$1094,4,FALSE),"-")</f>
        <v>-</v>
      </c>
      <c r="F147" s="10" t="str">
        <f>IFERROR(VLOOKUP($B147,'(勿動)組件目錄表'!$D$15:$R$1094,5,FALSE),"-")</f>
        <v>-</v>
      </c>
      <c r="G147" s="11" t="str">
        <f>IFERROR(VLOOKUP($B147,'(勿動)組件目錄表'!$D$15:$R$1094,8,FALSE),"-")</f>
        <v>-</v>
      </c>
      <c r="H147" s="11" t="str">
        <f>IFERROR(VLOOKUP($B147,'(勿動)組件目錄表'!$D$15:$R$1094,9,FALSE),"-")</f>
        <v>-</v>
      </c>
      <c r="I147" s="11" t="str">
        <f>IFERROR(VLOOKUP($B147,'(勿動)組件目錄表'!$D$15:$R$1094,10,FALSE),"-")</f>
        <v>-</v>
      </c>
      <c r="J147" s="11" t="str">
        <f>IFERROR(VLOOKUP($B147,'(勿動)組件目錄表'!$D$15:$R$1094,11,FALSE),"-")</f>
        <v>-</v>
      </c>
      <c r="K147" s="11" t="str">
        <f>IFERROR(VLOOKUP($B147,'(勿動)組件目錄表'!$D$15:$R$1094,12,FALSE),"-")</f>
        <v>-</v>
      </c>
      <c r="L147" s="11" t="str">
        <f>IFERROR(VLOOKUP($B147,'(勿動)組件目錄表'!$D$15:$R$1094,13,FALSE),"-")</f>
        <v>-</v>
      </c>
      <c r="M147" s="11" t="str">
        <f>IFERROR(VLOOKUP($B147,'(勿動)組件目錄表'!$D$15:$R$1094,14,FALSE),"-")</f>
        <v>-</v>
      </c>
      <c r="N147" s="15">
        <f t="shared" si="1"/>
        <v>0</v>
      </c>
      <c r="O147" s="16"/>
    </row>
    <row r="148" spans="1:15" ht="15.75" customHeight="1">
      <c r="A148" s="18"/>
      <c r="B148" s="7"/>
      <c r="C148" s="8" t="str">
        <f>IFERROR(VLOOKUP($B148,'(勿動)組件目錄表'!$D$15:$R$1094,2,FALSE),"-")</f>
        <v>-</v>
      </c>
      <c r="D148" s="8" t="str">
        <f>IFERROR(VLOOKUP($B148,'(勿動)組件目錄表'!$D$15:$R$1094,3,FALSE),"-")</f>
        <v>-</v>
      </c>
      <c r="E148" s="9" t="str">
        <f>IFERROR(VLOOKUP($B148,'(勿動)組件目錄表'!$D$15:$R$1094,4,FALSE),"-")</f>
        <v>-</v>
      </c>
      <c r="F148" s="10" t="str">
        <f>IFERROR(VLOOKUP($B148,'(勿動)組件目錄表'!$D$15:$R$1094,5,FALSE),"-")</f>
        <v>-</v>
      </c>
      <c r="G148" s="11" t="str">
        <f>IFERROR(VLOOKUP($B148,'(勿動)組件目錄表'!$D$15:$R$1094,8,FALSE),"-")</f>
        <v>-</v>
      </c>
      <c r="H148" s="11" t="str">
        <f>IFERROR(VLOOKUP($B148,'(勿動)組件目錄表'!$D$15:$R$1094,9,FALSE),"-")</f>
        <v>-</v>
      </c>
      <c r="I148" s="11" t="str">
        <f>IFERROR(VLOOKUP($B148,'(勿動)組件目錄表'!$D$15:$R$1094,10,FALSE),"-")</f>
        <v>-</v>
      </c>
      <c r="J148" s="11" t="str">
        <f>IFERROR(VLOOKUP($B148,'(勿動)組件目錄表'!$D$15:$R$1094,11,FALSE),"-")</f>
        <v>-</v>
      </c>
      <c r="K148" s="11" t="str">
        <f>IFERROR(VLOOKUP($B148,'(勿動)組件目錄表'!$D$15:$R$1094,12,FALSE),"-")</f>
        <v>-</v>
      </c>
      <c r="L148" s="11" t="str">
        <f>IFERROR(VLOOKUP($B148,'(勿動)組件目錄表'!$D$15:$R$1094,13,FALSE),"-")</f>
        <v>-</v>
      </c>
      <c r="M148" s="11" t="str">
        <f>IFERROR(VLOOKUP($B148,'(勿動)組件目錄表'!$D$15:$R$1094,14,FALSE),"-")</f>
        <v>-</v>
      </c>
      <c r="N148" s="15">
        <f t="shared" si="1"/>
        <v>0</v>
      </c>
      <c r="O148" s="16"/>
    </row>
    <row r="149" spans="1:15" ht="15.75" customHeight="1">
      <c r="A149" s="18"/>
      <c r="B149" s="7"/>
      <c r="C149" s="8" t="str">
        <f>IFERROR(VLOOKUP($B149,'(勿動)組件目錄表'!$D$15:$R$1094,2,FALSE),"-")</f>
        <v>-</v>
      </c>
      <c r="D149" s="8" t="str">
        <f>IFERROR(VLOOKUP($B149,'(勿動)組件目錄表'!$D$15:$R$1094,3,FALSE),"-")</f>
        <v>-</v>
      </c>
      <c r="E149" s="9" t="str">
        <f>IFERROR(VLOOKUP($B149,'(勿動)組件目錄表'!$D$15:$R$1094,4,FALSE),"-")</f>
        <v>-</v>
      </c>
      <c r="F149" s="10" t="str">
        <f>IFERROR(VLOOKUP($B149,'(勿動)組件目錄表'!$D$15:$R$1094,5,FALSE),"-")</f>
        <v>-</v>
      </c>
      <c r="G149" s="11" t="str">
        <f>IFERROR(VLOOKUP($B149,'(勿動)組件目錄表'!$D$15:$R$1094,8,FALSE),"-")</f>
        <v>-</v>
      </c>
      <c r="H149" s="11" t="str">
        <f>IFERROR(VLOOKUP($B149,'(勿動)組件目錄表'!$D$15:$R$1094,9,FALSE),"-")</f>
        <v>-</v>
      </c>
      <c r="I149" s="11" t="str">
        <f>IFERROR(VLOOKUP($B149,'(勿動)組件目錄表'!$D$15:$R$1094,10,FALSE),"-")</f>
        <v>-</v>
      </c>
      <c r="J149" s="11" t="str">
        <f>IFERROR(VLOOKUP($B149,'(勿動)組件目錄表'!$D$15:$R$1094,11,FALSE),"-")</f>
        <v>-</v>
      </c>
      <c r="K149" s="11" t="str">
        <f>IFERROR(VLOOKUP($B149,'(勿動)組件目錄表'!$D$15:$R$1094,12,FALSE),"-")</f>
        <v>-</v>
      </c>
      <c r="L149" s="11" t="str">
        <f>IFERROR(VLOOKUP($B149,'(勿動)組件目錄表'!$D$15:$R$1094,13,FALSE),"-")</f>
        <v>-</v>
      </c>
      <c r="M149" s="11" t="str">
        <f>IFERROR(VLOOKUP($B149,'(勿動)組件目錄表'!$D$15:$R$1094,14,FALSE),"-")</f>
        <v>-</v>
      </c>
      <c r="N149" s="15">
        <f t="shared" si="1"/>
        <v>0</v>
      </c>
      <c r="O149" s="16"/>
    </row>
    <row r="150" spans="1:15" ht="15.75" customHeight="1">
      <c r="A150" s="18"/>
      <c r="B150" s="7"/>
      <c r="C150" s="8" t="str">
        <f>IFERROR(VLOOKUP($B150,'(勿動)組件目錄表'!$D$15:$R$1094,2,FALSE),"-")</f>
        <v>-</v>
      </c>
      <c r="D150" s="8" t="str">
        <f>IFERROR(VLOOKUP($B150,'(勿動)組件目錄表'!$D$15:$R$1094,3,FALSE),"-")</f>
        <v>-</v>
      </c>
      <c r="E150" s="9" t="str">
        <f>IFERROR(VLOOKUP($B150,'(勿動)組件目錄表'!$D$15:$R$1094,4,FALSE),"-")</f>
        <v>-</v>
      </c>
      <c r="F150" s="10" t="str">
        <f>IFERROR(VLOOKUP($B150,'(勿動)組件目錄表'!$D$15:$R$1094,5,FALSE),"-")</f>
        <v>-</v>
      </c>
      <c r="G150" s="11" t="str">
        <f>IFERROR(VLOOKUP($B150,'(勿動)組件目錄表'!$D$15:$R$1094,8,FALSE),"-")</f>
        <v>-</v>
      </c>
      <c r="H150" s="11" t="str">
        <f>IFERROR(VLOOKUP($B150,'(勿動)組件目錄表'!$D$15:$R$1094,9,FALSE),"-")</f>
        <v>-</v>
      </c>
      <c r="I150" s="11" t="str">
        <f>IFERROR(VLOOKUP($B150,'(勿動)組件目錄表'!$D$15:$R$1094,10,FALSE),"-")</f>
        <v>-</v>
      </c>
      <c r="J150" s="11" t="str">
        <f>IFERROR(VLOOKUP($B150,'(勿動)組件目錄表'!$D$15:$R$1094,11,FALSE),"-")</f>
        <v>-</v>
      </c>
      <c r="K150" s="11" t="str">
        <f>IFERROR(VLOOKUP($B150,'(勿動)組件目錄表'!$D$15:$R$1094,12,FALSE),"-")</f>
        <v>-</v>
      </c>
      <c r="L150" s="11" t="str">
        <f>IFERROR(VLOOKUP($B150,'(勿動)組件目錄表'!$D$15:$R$1094,13,FALSE),"-")</f>
        <v>-</v>
      </c>
      <c r="M150" s="11" t="str">
        <f>IFERROR(VLOOKUP($B150,'(勿動)組件目錄表'!$D$15:$R$1094,14,FALSE),"-")</f>
        <v>-</v>
      </c>
      <c r="N150" s="15">
        <f t="shared" si="1"/>
        <v>0</v>
      </c>
      <c r="O150" s="16"/>
    </row>
    <row r="151" spans="1:15" ht="15.75" customHeight="1">
      <c r="A151" s="18"/>
      <c r="B151" s="7"/>
      <c r="C151" s="8" t="str">
        <f>IFERROR(VLOOKUP($B151,'(勿動)組件目錄表'!$D$15:$R$1094,2,FALSE),"-")</f>
        <v>-</v>
      </c>
      <c r="D151" s="8" t="str">
        <f>IFERROR(VLOOKUP($B151,'(勿動)組件目錄表'!$D$15:$R$1094,3,FALSE),"-")</f>
        <v>-</v>
      </c>
      <c r="E151" s="9" t="str">
        <f>IFERROR(VLOOKUP($B151,'(勿動)組件目錄表'!$D$15:$R$1094,4,FALSE),"-")</f>
        <v>-</v>
      </c>
      <c r="F151" s="10" t="str">
        <f>IFERROR(VLOOKUP($B151,'(勿動)組件目錄表'!$D$15:$R$1094,5,FALSE),"-")</f>
        <v>-</v>
      </c>
      <c r="G151" s="11" t="str">
        <f>IFERROR(VLOOKUP($B151,'(勿動)組件目錄表'!$D$15:$R$1094,8,FALSE),"-")</f>
        <v>-</v>
      </c>
      <c r="H151" s="11" t="str">
        <f>IFERROR(VLOOKUP($B151,'(勿動)組件目錄表'!$D$15:$R$1094,9,FALSE),"-")</f>
        <v>-</v>
      </c>
      <c r="I151" s="11" t="str">
        <f>IFERROR(VLOOKUP($B151,'(勿動)組件目錄表'!$D$15:$R$1094,10,FALSE),"-")</f>
        <v>-</v>
      </c>
      <c r="J151" s="11" t="str">
        <f>IFERROR(VLOOKUP($B151,'(勿動)組件目錄表'!$D$15:$R$1094,11,FALSE),"-")</f>
        <v>-</v>
      </c>
      <c r="K151" s="11" t="str">
        <f>IFERROR(VLOOKUP($B151,'(勿動)組件目錄表'!$D$15:$R$1094,12,FALSE),"-")</f>
        <v>-</v>
      </c>
      <c r="L151" s="11" t="str">
        <f>IFERROR(VLOOKUP($B151,'(勿動)組件目錄表'!$D$15:$R$1094,13,FALSE),"-")</f>
        <v>-</v>
      </c>
      <c r="M151" s="11" t="str">
        <f>IFERROR(VLOOKUP($B151,'(勿動)組件目錄表'!$D$15:$R$1094,14,FALSE),"-")</f>
        <v>-</v>
      </c>
      <c r="N151" s="15">
        <f t="shared" si="1"/>
        <v>0</v>
      </c>
      <c r="O151" s="16"/>
    </row>
    <row r="152" spans="1:15" ht="15.75" customHeight="1">
      <c r="A152" s="18"/>
      <c r="B152" s="7"/>
      <c r="C152" s="8" t="str">
        <f>IFERROR(VLOOKUP($B152,'(勿動)組件目錄表'!$D$15:$R$1094,2,FALSE),"-")</f>
        <v>-</v>
      </c>
      <c r="D152" s="8" t="str">
        <f>IFERROR(VLOOKUP($B152,'(勿動)組件目錄表'!$D$15:$R$1094,3,FALSE),"-")</f>
        <v>-</v>
      </c>
      <c r="E152" s="9" t="str">
        <f>IFERROR(VLOOKUP($B152,'(勿動)組件目錄表'!$D$15:$R$1094,4,FALSE),"-")</f>
        <v>-</v>
      </c>
      <c r="F152" s="10" t="str">
        <f>IFERROR(VLOOKUP($B152,'(勿動)組件目錄表'!$D$15:$R$1094,5,FALSE),"-")</f>
        <v>-</v>
      </c>
      <c r="G152" s="11" t="str">
        <f>IFERROR(VLOOKUP($B152,'(勿動)組件目錄表'!$D$15:$R$1094,8,FALSE),"-")</f>
        <v>-</v>
      </c>
      <c r="H152" s="11" t="str">
        <f>IFERROR(VLOOKUP($B152,'(勿動)組件目錄表'!$D$15:$R$1094,9,FALSE),"-")</f>
        <v>-</v>
      </c>
      <c r="I152" s="11" t="str">
        <f>IFERROR(VLOOKUP($B152,'(勿動)組件目錄表'!$D$15:$R$1094,10,FALSE),"-")</f>
        <v>-</v>
      </c>
      <c r="J152" s="11" t="str">
        <f>IFERROR(VLOOKUP($B152,'(勿動)組件目錄表'!$D$15:$R$1094,11,FALSE),"-")</f>
        <v>-</v>
      </c>
      <c r="K152" s="11" t="str">
        <f>IFERROR(VLOOKUP($B152,'(勿動)組件目錄表'!$D$15:$R$1094,12,FALSE),"-")</f>
        <v>-</v>
      </c>
      <c r="L152" s="11" t="str">
        <f>IFERROR(VLOOKUP($B152,'(勿動)組件目錄表'!$D$15:$R$1094,13,FALSE),"-")</f>
        <v>-</v>
      </c>
      <c r="M152" s="11" t="str">
        <f>IFERROR(VLOOKUP($B152,'(勿動)組件目錄表'!$D$15:$R$1094,14,FALSE),"-")</f>
        <v>-</v>
      </c>
      <c r="N152" s="15">
        <f t="shared" si="1"/>
        <v>0</v>
      </c>
      <c r="O152" s="16"/>
    </row>
    <row r="153" spans="1:15" ht="15.75" customHeight="1">
      <c r="A153" s="18"/>
      <c r="B153" s="7"/>
      <c r="C153" s="8" t="str">
        <f>IFERROR(VLOOKUP($B153,'(勿動)組件目錄表'!$D$15:$R$1094,2,FALSE),"-")</f>
        <v>-</v>
      </c>
      <c r="D153" s="8" t="str">
        <f>IFERROR(VLOOKUP($B153,'(勿動)組件目錄表'!$D$15:$R$1094,3,FALSE),"-")</f>
        <v>-</v>
      </c>
      <c r="E153" s="9" t="str">
        <f>IFERROR(VLOOKUP($B153,'(勿動)組件目錄表'!$D$15:$R$1094,4,FALSE),"-")</f>
        <v>-</v>
      </c>
      <c r="F153" s="10" t="str">
        <f>IFERROR(VLOOKUP($B153,'(勿動)組件目錄表'!$D$15:$R$1094,5,FALSE),"-")</f>
        <v>-</v>
      </c>
      <c r="G153" s="11" t="str">
        <f>IFERROR(VLOOKUP($B153,'(勿動)組件目錄表'!$D$15:$R$1094,8,FALSE),"-")</f>
        <v>-</v>
      </c>
      <c r="H153" s="11" t="str">
        <f>IFERROR(VLOOKUP($B153,'(勿動)組件目錄表'!$D$15:$R$1094,9,FALSE),"-")</f>
        <v>-</v>
      </c>
      <c r="I153" s="11" t="str">
        <f>IFERROR(VLOOKUP($B153,'(勿動)組件目錄表'!$D$15:$R$1094,10,FALSE),"-")</f>
        <v>-</v>
      </c>
      <c r="J153" s="11" t="str">
        <f>IFERROR(VLOOKUP($B153,'(勿動)組件目錄表'!$D$15:$R$1094,11,FALSE),"-")</f>
        <v>-</v>
      </c>
      <c r="K153" s="11" t="str">
        <f>IFERROR(VLOOKUP($B153,'(勿動)組件目錄表'!$D$15:$R$1094,12,FALSE),"-")</f>
        <v>-</v>
      </c>
      <c r="L153" s="11" t="str">
        <f>IFERROR(VLOOKUP($B153,'(勿動)組件目錄表'!$D$15:$R$1094,13,FALSE),"-")</f>
        <v>-</v>
      </c>
      <c r="M153" s="11" t="str">
        <f>IFERROR(VLOOKUP($B153,'(勿動)組件目錄表'!$D$15:$R$1094,14,FALSE),"-")</f>
        <v>-</v>
      </c>
      <c r="N153" s="15">
        <f t="shared" si="1"/>
        <v>0</v>
      </c>
      <c r="O153" s="16"/>
    </row>
    <row r="154" spans="1:15" ht="15.75" customHeight="1">
      <c r="A154" s="18"/>
      <c r="B154" s="7"/>
      <c r="C154" s="8" t="str">
        <f>IFERROR(VLOOKUP($B154,'(勿動)組件目錄表'!$D$15:$R$1094,2,FALSE),"-")</f>
        <v>-</v>
      </c>
      <c r="D154" s="8" t="str">
        <f>IFERROR(VLOOKUP($B154,'(勿動)組件目錄表'!$D$15:$R$1094,3,FALSE),"-")</f>
        <v>-</v>
      </c>
      <c r="E154" s="9" t="str">
        <f>IFERROR(VLOOKUP($B154,'(勿動)組件目錄表'!$D$15:$R$1094,4,FALSE),"-")</f>
        <v>-</v>
      </c>
      <c r="F154" s="10" t="str">
        <f>IFERROR(VLOOKUP($B154,'(勿動)組件目錄表'!$D$15:$R$1094,5,FALSE),"-")</f>
        <v>-</v>
      </c>
      <c r="G154" s="11" t="str">
        <f>IFERROR(VLOOKUP($B154,'(勿動)組件目錄表'!$D$15:$R$1094,8,FALSE),"-")</f>
        <v>-</v>
      </c>
      <c r="H154" s="11" t="str">
        <f>IFERROR(VLOOKUP($B154,'(勿動)組件目錄表'!$D$15:$R$1094,9,FALSE),"-")</f>
        <v>-</v>
      </c>
      <c r="I154" s="11" t="str">
        <f>IFERROR(VLOOKUP($B154,'(勿動)組件目錄表'!$D$15:$R$1094,10,FALSE),"-")</f>
        <v>-</v>
      </c>
      <c r="J154" s="11" t="str">
        <f>IFERROR(VLOOKUP($B154,'(勿動)組件目錄表'!$D$15:$R$1094,11,FALSE),"-")</f>
        <v>-</v>
      </c>
      <c r="K154" s="11" t="str">
        <f>IFERROR(VLOOKUP($B154,'(勿動)組件目錄表'!$D$15:$R$1094,12,FALSE),"-")</f>
        <v>-</v>
      </c>
      <c r="L154" s="11" t="str">
        <f>IFERROR(VLOOKUP($B154,'(勿動)組件目錄表'!$D$15:$R$1094,13,FALSE),"-")</f>
        <v>-</v>
      </c>
      <c r="M154" s="11" t="str">
        <f>IFERROR(VLOOKUP($B154,'(勿動)組件目錄表'!$D$15:$R$1094,14,FALSE),"-")</f>
        <v>-</v>
      </c>
      <c r="N154" s="15">
        <f t="shared" si="1"/>
        <v>0</v>
      </c>
      <c r="O154" s="16"/>
    </row>
    <row r="155" spans="1:15" ht="15.75" customHeight="1">
      <c r="A155" s="18"/>
      <c r="B155" s="7"/>
      <c r="C155" s="8" t="str">
        <f>IFERROR(VLOOKUP($B155,'(勿動)組件目錄表'!$D$15:$R$1094,2,FALSE),"-")</f>
        <v>-</v>
      </c>
      <c r="D155" s="8" t="str">
        <f>IFERROR(VLOOKUP($B155,'(勿動)組件目錄表'!$D$15:$R$1094,3,FALSE),"-")</f>
        <v>-</v>
      </c>
      <c r="E155" s="9" t="str">
        <f>IFERROR(VLOOKUP($B155,'(勿動)組件目錄表'!$D$15:$R$1094,4,FALSE),"-")</f>
        <v>-</v>
      </c>
      <c r="F155" s="10" t="str">
        <f>IFERROR(VLOOKUP($B155,'(勿動)組件目錄表'!$D$15:$R$1094,5,FALSE),"-")</f>
        <v>-</v>
      </c>
      <c r="G155" s="11" t="str">
        <f>IFERROR(VLOOKUP($B155,'(勿動)組件目錄表'!$D$15:$R$1094,8,FALSE),"-")</f>
        <v>-</v>
      </c>
      <c r="H155" s="11" t="str">
        <f>IFERROR(VLOOKUP($B155,'(勿動)組件目錄表'!$D$15:$R$1094,9,FALSE),"-")</f>
        <v>-</v>
      </c>
      <c r="I155" s="11" t="str">
        <f>IFERROR(VLOOKUP($B155,'(勿動)組件目錄表'!$D$15:$R$1094,10,FALSE),"-")</f>
        <v>-</v>
      </c>
      <c r="J155" s="11" t="str">
        <f>IFERROR(VLOOKUP($B155,'(勿動)組件目錄表'!$D$15:$R$1094,11,FALSE),"-")</f>
        <v>-</v>
      </c>
      <c r="K155" s="11" t="str">
        <f>IFERROR(VLOOKUP($B155,'(勿動)組件目錄表'!$D$15:$R$1094,12,FALSE),"-")</f>
        <v>-</v>
      </c>
      <c r="L155" s="11" t="str">
        <f>IFERROR(VLOOKUP($B155,'(勿動)組件目錄表'!$D$15:$R$1094,13,FALSE),"-")</f>
        <v>-</v>
      </c>
      <c r="M155" s="11" t="str">
        <f>IFERROR(VLOOKUP($B155,'(勿動)組件目錄表'!$D$15:$R$1094,14,FALSE),"-")</f>
        <v>-</v>
      </c>
      <c r="N155" s="15">
        <f t="shared" si="1"/>
        <v>0</v>
      </c>
      <c r="O155" s="16"/>
    </row>
    <row r="156" spans="1:15" ht="15.75" customHeight="1">
      <c r="A156" s="18"/>
      <c r="B156" s="7"/>
      <c r="C156" s="8" t="str">
        <f>IFERROR(VLOOKUP($B156,'(勿動)組件目錄表'!$D$15:$R$1094,2,FALSE),"-")</f>
        <v>-</v>
      </c>
      <c r="D156" s="8" t="str">
        <f>IFERROR(VLOOKUP($B156,'(勿動)組件目錄表'!$D$15:$R$1094,3,FALSE),"-")</f>
        <v>-</v>
      </c>
      <c r="E156" s="9" t="str">
        <f>IFERROR(VLOOKUP($B156,'(勿動)組件目錄表'!$D$15:$R$1094,4,FALSE),"-")</f>
        <v>-</v>
      </c>
      <c r="F156" s="10" t="str">
        <f>IFERROR(VLOOKUP($B156,'(勿動)組件目錄表'!$D$15:$R$1094,5,FALSE),"-")</f>
        <v>-</v>
      </c>
      <c r="G156" s="11" t="str">
        <f>IFERROR(VLOOKUP($B156,'(勿動)組件目錄表'!$D$15:$R$1094,8,FALSE),"-")</f>
        <v>-</v>
      </c>
      <c r="H156" s="11" t="str">
        <f>IFERROR(VLOOKUP($B156,'(勿動)組件目錄表'!$D$15:$R$1094,9,FALSE),"-")</f>
        <v>-</v>
      </c>
      <c r="I156" s="11" t="str">
        <f>IFERROR(VLOOKUP($B156,'(勿動)組件目錄表'!$D$15:$R$1094,10,FALSE),"-")</f>
        <v>-</v>
      </c>
      <c r="J156" s="11" t="str">
        <f>IFERROR(VLOOKUP($B156,'(勿動)組件目錄表'!$D$15:$R$1094,11,FALSE),"-")</f>
        <v>-</v>
      </c>
      <c r="K156" s="11" t="str">
        <f>IFERROR(VLOOKUP($B156,'(勿動)組件目錄表'!$D$15:$R$1094,12,FALSE),"-")</f>
        <v>-</v>
      </c>
      <c r="L156" s="11" t="str">
        <f>IFERROR(VLOOKUP($B156,'(勿動)組件目錄表'!$D$15:$R$1094,13,FALSE),"-")</f>
        <v>-</v>
      </c>
      <c r="M156" s="11" t="str">
        <f>IFERROR(VLOOKUP($B156,'(勿動)組件目錄表'!$D$15:$R$1094,14,FALSE),"-")</f>
        <v>-</v>
      </c>
      <c r="N156" s="15">
        <f t="shared" si="1"/>
        <v>0</v>
      </c>
      <c r="O156" s="16"/>
    </row>
    <row r="157" spans="1:15" ht="15.75" customHeight="1">
      <c r="A157" s="18"/>
      <c r="B157" s="7"/>
      <c r="C157" s="8" t="str">
        <f>IFERROR(VLOOKUP($B157,'(勿動)組件目錄表'!$D$15:$R$1094,2,FALSE),"-")</f>
        <v>-</v>
      </c>
      <c r="D157" s="8" t="str">
        <f>IFERROR(VLOOKUP($B157,'(勿動)組件目錄表'!$D$15:$R$1094,3,FALSE),"-")</f>
        <v>-</v>
      </c>
      <c r="E157" s="9" t="str">
        <f>IFERROR(VLOOKUP($B157,'(勿動)組件目錄表'!$D$15:$R$1094,4,FALSE),"-")</f>
        <v>-</v>
      </c>
      <c r="F157" s="10" t="str">
        <f>IFERROR(VLOOKUP($B157,'(勿動)組件目錄表'!$D$15:$R$1094,5,FALSE),"-")</f>
        <v>-</v>
      </c>
      <c r="G157" s="11" t="str">
        <f>IFERROR(VLOOKUP($B157,'(勿動)組件目錄表'!$D$15:$R$1094,8,FALSE),"-")</f>
        <v>-</v>
      </c>
      <c r="H157" s="11" t="str">
        <f>IFERROR(VLOOKUP($B157,'(勿動)組件目錄表'!$D$15:$R$1094,9,FALSE),"-")</f>
        <v>-</v>
      </c>
      <c r="I157" s="11" t="str">
        <f>IFERROR(VLOOKUP($B157,'(勿動)組件目錄表'!$D$15:$R$1094,10,FALSE),"-")</f>
        <v>-</v>
      </c>
      <c r="J157" s="11" t="str">
        <f>IFERROR(VLOOKUP($B157,'(勿動)組件目錄表'!$D$15:$R$1094,11,FALSE),"-")</f>
        <v>-</v>
      </c>
      <c r="K157" s="11" t="str">
        <f>IFERROR(VLOOKUP($B157,'(勿動)組件目錄表'!$D$15:$R$1094,12,FALSE),"-")</f>
        <v>-</v>
      </c>
      <c r="L157" s="11" t="str">
        <f>IFERROR(VLOOKUP($B157,'(勿動)組件目錄表'!$D$15:$R$1094,13,FALSE),"-")</f>
        <v>-</v>
      </c>
      <c r="M157" s="11" t="str">
        <f>IFERROR(VLOOKUP($B157,'(勿動)組件目錄表'!$D$15:$R$1094,14,FALSE),"-")</f>
        <v>-</v>
      </c>
      <c r="N157" s="15">
        <f t="shared" si="1"/>
        <v>0</v>
      </c>
      <c r="O157" s="16"/>
    </row>
    <row r="158" spans="1:15" ht="15.75" customHeight="1">
      <c r="A158" s="18"/>
      <c r="B158" s="7"/>
      <c r="C158" s="8" t="str">
        <f>IFERROR(VLOOKUP($B158,'(勿動)組件目錄表'!$D$15:$R$1094,2,FALSE),"-")</f>
        <v>-</v>
      </c>
      <c r="D158" s="8" t="str">
        <f>IFERROR(VLOOKUP($B158,'(勿動)組件目錄表'!$D$15:$R$1094,3,FALSE),"-")</f>
        <v>-</v>
      </c>
      <c r="E158" s="9" t="str">
        <f>IFERROR(VLOOKUP($B158,'(勿動)組件目錄表'!$D$15:$R$1094,4,FALSE),"-")</f>
        <v>-</v>
      </c>
      <c r="F158" s="10" t="str">
        <f>IFERROR(VLOOKUP($B158,'(勿動)組件目錄表'!$D$15:$R$1094,5,FALSE),"-")</f>
        <v>-</v>
      </c>
      <c r="G158" s="11" t="str">
        <f>IFERROR(VLOOKUP($B158,'(勿動)組件目錄表'!$D$15:$R$1094,8,FALSE),"-")</f>
        <v>-</v>
      </c>
      <c r="H158" s="11" t="str">
        <f>IFERROR(VLOOKUP($B158,'(勿動)組件目錄表'!$D$15:$R$1094,9,FALSE),"-")</f>
        <v>-</v>
      </c>
      <c r="I158" s="11" t="str">
        <f>IFERROR(VLOOKUP($B158,'(勿動)組件目錄表'!$D$15:$R$1094,10,FALSE),"-")</f>
        <v>-</v>
      </c>
      <c r="J158" s="11" t="str">
        <f>IFERROR(VLOOKUP($B158,'(勿動)組件目錄表'!$D$15:$R$1094,11,FALSE),"-")</f>
        <v>-</v>
      </c>
      <c r="K158" s="11" t="str">
        <f>IFERROR(VLOOKUP($B158,'(勿動)組件目錄表'!$D$15:$R$1094,12,FALSE),"-")</f>
        <v>-</v>
      </c>
      <c r="L158" s="11" t="str">
        <f>IFERROR(VLOOKUP($B158,'(勿動)組件目錄表'!$D$15:$R$1094,13,FALSE),"-")</f>
        <v>-</v>
      </c>
      <c r="M158" s="11" t="str">
        <f>IFERROR(VLOOKUP($B158,'(勿動)組件目錄表'!$D$15:$R$1094,14,FALSE),"-")</f>
        <v>-</v>
      </c>
      <c r="N158" s="15">
        <f t="shared" si="1"/>
        <v>0</v>
      </c>
      <c r="O158" s="16"/>
    </row>
    <row r="159" spans="1:15" ht="15.75" customHeight="1">
      <c r="A159" s="18"/>
      <c r="B159" s="7"/>
      <c r="C159" s="8" t="str">
        <f>IFERROR(VLOOKUP($B159,'(勿動)組件目錄表'!$D$15:$R$1094,2,FALSE),"-")</f>
        <v>-</v>
      </c>
      <c r="D159" s="8" t="str">
        <f>IFERROR(VLOOKUP($B159,'(勿動)組件目錄表'!$D$15:$R$1094,3,FALSE),"-")</f>
        <v>-</v>
      </c>
      <c r="E159" s="9" t="str">
        <f>IFERROR(VLOOKUP($B159,'(勿動)組件目錄表'!$D$15:$R$1094,4,FALSE),"-")</f>
        <v>-</v>
      </c>
      <c r="F159" s="10" t="str">
        <f>IFERROR(VLOOKUP($B159,'(勿動)組件目錄表'!$D$15:$R$1094,5,FALSE),"-")</f>
        <v>-</v>
      </c>
      <c r="G159" s="11" t="str">
        <f>IFERROR(VLOOKUP($B159,'(勿動)組件目錄表'!$D$15:$R$1094,8,FALSE),"-")</f>
        <v>-</v>
      </c>
      <c r="H159" s="11" t="str">
        <f>IFERROR(VLOOKUP($B159,'(勿動)組件目錄表'!$D$15:$R$1094,9,FALSE),"-")</f>
        <v>-</v>
      </c>
      <c r="I159" s="11" t="str">
        <f>IFERROR(VLOOKUP($B159,'(勿動)組件目錄表'!$D$15:$R$1094,10,FALSE),"-")</f>
        <v>-</v>
      </c>
      <c r="J159" s="11" t="str">
        <f>IFERROR(VLOOKUP($B159,'(勿動)組件目錄表'!$D$15:$R$1094,11,FALSE),"-")</f>
        <v>-</v>
      </c>
      <c r="K159" s="11" t="str">
        <f>IFERROR(VLOOKUP($B159,'(勿動)組件目錄表'!$D$15:$R$1094,12,FALSE),"-")</f>
        <v>-</v>
      </c>
      <c r="L159" s="11" t="str">
        <f>IFERROR(VLOOKUP($B159,'(勿動)組件目錄表'!$D$15:$R$1094,13,FALSE),"-")</f>
        <v>-</v>
      </c>
      <c r="M159" s="11" t="str">
        <f>IFERROR(VLOOKUP($B159,'(勿動)組件目錄表'!$D$15:$R$1094,14,FALSE),"-")</f>
        <v>-</v>
      </c>
      <c r="N159" s="15">
        <f t="shared" si="1"/>
        <v>0</v>
      </c>
      <c r="O159" s="16"/>
    </row>
    <row r="160" spans="1:15" ht="15.75" customHeight="1">
      <c r="A160" s="18"/>
      <c r="B160" s="7"/>
      <c r="C160" s="8" t="str">
        <f>IFERROR(VLOOKUP($B160,'(勿動)組件目錄表'!$D$15:$R$1094,2,FALSE),"-")</f>
        <v>-</v>
      </c>
      <c r="D160" s="8" t="str">
        <f>IFERROR(VLOOKUP($B160,'(勿動)組件目錄表'!$D$15:$R$1094,3,FALSE),"-")</f>
        <v>-</v>
      </c>
      <c r="E160" s="9" t="str">
        <f>IFERROR(VLOOKUP($B160,'(勿動)組件目錄表'!$D$15:$R$1094,4,FALSE),"-")</f>
        <v>-</v>
      </c>
      <c r="F160" s="10" t="str">
        <f>IFERROR(VLOOKUP($B160,'(勿動)組件目錄表'!$D$15:$R$1094,5,FALSE),"-")</f>
        <v>-</v>
      </c>
      <c r="G160" s="11" t="str">
        <f>IFERROR(VLOOKUP($B160,'(勿動)組件目錄表'!$D$15:$R$1094,8,FALSE),"-")</f>
        <v>-</v>
      </c>
      <c r="H160" s="11" t="str">
        <f>IFERROR(VLOOKUP($B160,'(勿動)組件目錄表'!$D$15:$R$1094,9,FALSE),"-")</f>
        <v>-</v>
      </c>
      <c r="I160" s="11" t="str">
        <f>IFERROR(VLOOKUP($B160,'(勿動)組件目錄表'!$D$15:$R$1094,10,FALSE),"-")</f>
        <v>-</v>
      </c>
      <c r="J160" s="11" t="str">
        <f>IFERROR(VLOOKUP($B160,'(勿動)組件目錄表'!$D$15:$R$1094,11,FALSE),"-")</f>
        <v>-</v>
      </c>
      <c r="K160" s="11" t="str">
        <f>IFERROR(VLOOKUP($B160,'(勿動)組件目錄表'!$D$15:$R$1094,12,FALSE),"-")</f>
        <v>-</v>
      </c>
      <c r="L160" s="11" t="str">
        <f>IFERROR(VLOOKUP($B160,'(勿動)組件目錄表'!$D$15:$R$1094,13,FALSE),"-")</f>
        <v>-</v>
      </c>
      <c r="M160" s="11" t="str">
        <f>IFERROR(VLOOKUP($B160,'(勿動)組件目錄表'!$D$15:$R$1094,14,FALSE),"-")</f>
        <v>-</v>
      </c>
      <c r="N160" s="15">
        <f t="shared" si="1"/>
        <v>0</v>
      </c>
      <c r="O160" s="16"/>
    </row>
    <row r="161" spans="1:15" ht="15.75" customHeight="1">
      <c r="A161" s="18"/>
      <c r="B161" s="7"/>
      <c r="C161" s="8" t="str">
        <f>IFERROR(VLOOKUP($B161,'(勿動)組件目錄表'!$D$15:$R$1094,2,FALSE),"-")</f>
        <v>-</v>
      </c>
      <c r="D161" s="8" t="str">
        <f>IFERROR(VLOOKUP($B161,'(勿動)組件目錄表'!$D$15:$R$1094,3,FALSE),"-")</f>
        <v>-</v>
      </c>
      <c r="E161" s="9" t="str">
        <f>IFERROR(VLOOKUP($B161,'(勿動)組件目錄表'!$D$15:$R$1094,4,FALSE),"-")</f>
        <v>-</v>
      </c>
      <c r="F161" s="10" t="str">
        <f>IFERROR(VLOOKUP($B161,'(勿動)組件目錄表'!$D$15:$R$1094,5,FALSE),"-")</f>
        <v>-</v>
      </c>
      <c r="G161" s="11" t="str">
        <f>IFERROR(VLOOKUP($B161,'(勿動)組件目錄表'!$D$15:$R$1094,8,FALSE),"-")</f>
        <v>-</v>
      </c>
      <c r="H161" s="11" t="str">
        <f>IFERROR(VLOOKUP($B161,'(勿動)組件目錄表'!$D$15:$R$1094,9,FALSE),"-")</f>
        <v>-</v>
      </c>
      <c r="I161" s="11" t="str">
        <f>IFERROR(VLOOKUP($B161,'(勿動)組件目錄表'!$D$15:$R$1094,10,FALSE),"-")</f>
        <v>-</v>
      </c>
      <c r="J161" s="11" t="str">
        <f>IFERROR(VLOOKUP($B161,'(勿動)組件目錄表'!$D$15:$R$1094,11,FALSE),"-")</f>
        <v>-</v>
      </c>
      <c r="K161" s="11" t="str">
        <f>IFERROR(VLOOKUP($B161,'(勿動)組件目錄表'!$D$15:$R$1094,12,FALSE),"-")</f>
        <v>-</v>
      </c>
      <c r="L161" s="11" t="str">
        <f>IFERROR(VLOOKUP($B161,'(勿動)組件目錄表'!$D$15:$R$1094,13,FALSE),"-")</f>
        <v>-</v>
      </c>
      <c r="M161" s="11" t="str">
        <f>IFERROR(VLOOKUP($B161,'(勿動)組件目錄表'!$D$15:$R$1094,14,FALSE),"-")</f>
        <v>-</v>
      </c>
      <c r="N161" s="15">
        <f t="shared" si="1"/>
        <v>0</v>
      </c>
      <c r="O161" s="16"/>
    </row>
    <row r="162" spans="1:15" ht="15.75" customHeight="1">
      <c r="A162" s="18"/>
      <c r="B162" s="7"/>
      <c r="C162" s="8" t="str">
        <f>IFERROR(VLOOKUP($B162,'(勿動)組件目錄表'!$D$15:$R$1094,2,FALSE),"-")</f>
        <v>-</v>
      </c>
      <c r="D162" s="8" t="str">
        <f>IFERROR(VLOOKUP($B162,'(勿動)組件目錄表'!$D$15:$R$1094,3,FALSE),"-")</f>
        <v>-</v>
      </c>
      <c r="E162" s="9" t="str">
        <f>IFERROR(VLOOKUP($B162,'(勿動)組件目錄表'!$D$15:$R$1094,4,FALSE),"-")</f>
        <v>-</v>
      </c>
      <c r="F162" s="10" t="str">
        <f>IFERROR(VLOOKUP($B162,'(勿動)組件目錄表'!$D$15:$R$1094,5,FALSE),"-")</f>
        <v>-</v>
      </c>
      <c r="G162" s="11" t="str">
        <f>IFERROR(VLOOKUP($B162,'(勿動)組件目錄表'!$D$15:$R$1094,8,FALSE),"-")</f>
        <v>-</v>
      </c>
      <c r="H162" s="11" t="str">
        <f>IFERROR(VLOOKUP($B162,'(勿動)組件目錄表'!$D$15:$R$1094,9,FALSE),"-")</f>
        <v>-</v>
      </c>
      <c r="I162" s="11" t="str">
        <f>IFERROR(VLOOKUP($B162,'(勿動)組件目錄表'!$D$15:$R$1094,10,FALSE),"-")</f>
        <v>-</v>
      </c>
      <c r="J162" s="11" t="str">
        <f>IFERROR(VLOOKUP($B162,'(勿動)組件目錄表'!$D$15:$R$1094,11,FALSE),"-")</f>
        <v>-</v>
      </c>
      <c r="K162" s="11" t="str">
        <f>IFERROR(VLOOKUP($B162,'(勿動)組件目錄表'!$D$15:$R$1094,12,FALSE),"-")</f>
        <v>-</v>
      </c>
      <c r="L162" s="11" t="str">
        <f>IFERROR(VLOOKUP($B162,'(勿動)組件目錄表'!$D$15:$R$1094,13,FALSE),"-")</f>
        <v>-</v>
      </c>
      <c r="M162" s="11" t="str">
        <f>IFERROR(VLOOKUP($B162,'(勿動)組件目錄表'!$D$15:$R$1094,14,FALSE),"-")</f>
        <v>-</v>
      </c>
      <c r="N162" s="15">
        <f t="shared" si="1"/>
        <v>0</v>
      </c>
      <c r="O162" s="16"/>
    </row>
    <row r="163" spans="1:15" ht="15.75" customHeight="1">
      <c r="A163" s="18"/>
      <c r="B163" s="7"/>
      <c r="C163" s="8" t="str">
        <f>IFERROR(VLOOKUP($B163,'(勿動)組件目錄表'!$D$15:$R$1094,2,FALSE),"-")</f>
        <v>-</v>
      </c>
      <c r="D163" s="8" t="str">
        <f>IFERROR(VLOOKUP($B163,'(勿動)組件目錄表'!$D$15:$R$1094,3,FALSE),"-")</f>
        <v>-</v>
      </c>
      <c r="E163" s="9" t="str">
        <f>IFERROR(VLOOKUP($B163,'(勿動)組件目錄表'!$D$15:$R$1094,4,FALSE),"-")</f>
        <v>-</v>
      </c>
      <c r="F163" s="10" t="str">
        <f>IFERROR(VLOOKUP($B163,'(勿動)組件目錄表'!$D$15:$R$1094,5,FALSE),"-")</f>
        <v>-</v>
      </c>
      <c r="G163" s="11" t="str">
        <f>IFERROR(VLOOKUP($B163,'(勿動)組件目錄表'!$D$15:$R$1094,8,FALSE),"-")</f>
        <v>-</v>
      </c>
      <c r="H163" s="11" t="str">
        <f>IFERROR(VLOOKUP($B163,'(勿動)組件目錄表'!$D$15:$R$1094,9,FALSE),"-")</f>
        <v>-</v>
      </c>
      <c r="I163" s="11" t="str">
        <f>IFERROR(VLOOKUP($B163,'(勿動)組件目錄表'!$D$15:$R$1094,10,FALSE),"-")</f>
        <v>-</v>
      </c>
      <c r="J163" s="11" t="str">
        <f>IFERROR(VLOOKUP($B163,'(勿動)組件目錄表'!$D$15:$R$1094,11,FALSE),"-")</f>
        <v>-</v>
      </c>
      <c r="K163" s="11" t="str">
        <f>IFERROR(VLOOKUP($B163,'(勿動)組件目錄表'!$D$15:$R$1094,12,FALSE),"-")</f>
        <v>-</v>
      </c>
      <c r="L163" s="11" t="str">
        <f>IFERROR(VLOOKUP($B163,'(勿動)組件目錄表'!$D$15:$R$1094,13,FALSE),"-")</f>
        <v>-</v>
      </c>
      <c r="M163" s="11" t="str">
        <f>IFERROR(VLOOKUP($B163,'(勿動)組件目錄表'!$D$15:$R$1094,14,FALSE),"-")</f>
        <v>-</v>
      </c>
      <c r="N163" s="15">
        <f t="shared" si="1"/>
        <v>0</v>
      </c>
      <c r="O163" s="16"/>
    </row>
    <row r="164" spans="1:15" ht="15.75" customHeight="1">
      <c r="A164" s="18"/>
      <c r="B164" s="7"/>
      <c r="C164" s="8" t="str">
        <f>IFERROR(VLOOKUP($B164,'(勿動)組件目錄表'!$D$15:$R$1094,2,FALSE),"-")</f>
        <v>-</v>
      </c>
      <c r="D164" s="8" t="str">
        <f>IFERROR(VLOOKUP($B164,'(勿動)組件目錄表'!$D$15:$R$1094,3,FALSE),"-")</f>
        <v>-</v>
      </c>
      <c r="E164" s="9" t="str">
        <f>IFERROR(VLOOKUP($B164,'(勿動)組件目錄表'!$D$15:$R$1094,4,FALSE),"-")</f>
        <v>-</v>
      </c>
      <c r="F164" s="10" t="str">
        <f>IFERROR(VLOOKUP($B164,'(勿動)組件目錄表'!$D$15:$R$1094,5,FALSE),"-")</f>
        <v>-</v>
      </c>
      <c r="G164" s="11" t="str">
        <f>IFERROR(VLOOKUP($B164,'(勿動)組件目錄表'!$D$15:$R$1094,8,FALSE),"-")</f>
        <v>-</v>
      </c>
      <c r="H164" s="11" t="str">
        <f>IFERROR(VLOOKUP($B164,'(勿動)組件目錄表'!$D$15:$R$1094,9,FALSE),"-")</f>
        <v>-</v>
      </c>
      <c r="I164" s="11" t="str">
        <f>IFERROR(VLOOKUP($B164,'(勿動)組件目錄表'!$D$15:$R$1094,10,FALSE),"-")</f>
        <v>-</v>
      </c>
      <c r="J164" s="11" t="str">
        <f>IFERROR(VLOOKUP($B164,'(勿動)組件目錄表'!$D$15:$R$1094,11,FALSE),"-")</f>
        <v>-</v>
      </c>
      <c r="K164" s="11" t="str">
        <f>IFERROR(VLOOKUP($B164,'(勿動)組件目錄表'!$D$15:$R$1094,12,FALSE),"-")</f>
        <v>-</v>
      </c>
      <c r="L164" s="11" t="str">
        <f>IFERROR(VLOOKUP($B164,'(勿動)組件目錄表'!$D$15:$R$1094,13,FALSE),"-")</f>
        <v>-</v>
      </c>
      <c r="M164" s="11" t="str">
        <f>IFERROR(VLOOKUP($B164,'(勿動)組件目錄表'!$D$15:$R$1094,14,FALSE),"-")</f>
        <v>-</v>
      </c>
      <c r="N164" s="15">
        <f t="shared" si="1"/>
        <v>0</v>
      </c>
      <c r="O164" s="16"/>
    </row>
    <row r="165" spans="1:15" ht="15.75" customHeight="1">
      <c r="A165" s="18"/>
      <c r="B165" s="7"/>
      <c r="C165" s="8" t="str">
        <f>IFERROR(VLOOKUP($B165,'(勿動)組件目錄表'!$D$15:$R$1094,2,FALSE),"-")</f>
        <v>-</v>
      </c>
      <c r="D165" s="8" t="str">
        <f>IFERROR(VLOOKUP($B165,'(勿動)組件目錄表'!$D$15:$R$1094,3,FALSE),"-")</f>
        <v>-</v>
      </c>
      <c r="E165" s="9" t="str">
        <f>IFERROR(VLOOKUP($B165,'(勿動)組件目錄表'!$D$15:$R$1094,4,FALSE),"-")</f>
        <v>-</v>
      </c>
      <c r="F165" s="10" t="str">
        <f>IFERROR(VLOOKUP($B165,'(勿動)組件目錄表'!$D$15:$R$1094,5,FALSE),"-")</f>
        <v>-</v>
      </c>
      <c r="G165" s="11" t="str">
        <f>IFERROR(VLOOKUP($B165,'(勿動)組件目錄表'!$D$15:$R$1094,8,FALSE),"-")</f>
        <v>-</v>
      </c>
      <c r="H165" s="11" t="str">
        <f>IFERROR(VLOOKUP($B165,'(勿動)組件目錄表'!$D$15:$R$1094,9,FALSE),"-")</f>
        <v>-</v>
      </c>
      <c r="I165" s="11" t="str">
        <f>IFERROR(VLOOKUP($B165,'(勿動)組件目錄表'!$D$15:$R$1094,10,FALSE),"-")</f>
        <v>-</v>
      </c>
      <c r="J165" s="11" t="str">
        <f>IFERROR(VLOOKUP($B165,'(勿動)組件目錄表'!$D$15:$R$1094,11,FALSE),"-")</f>
        <v>-</v>
      </c>
      <c r="K165" s="11" t="str">
        <f>IFERROR(VLOOKUP($B165,'(勿動)組件目錄表'!$D$15:$R$1094,12,FALSE),"-")</f>
        <v>-</v>
      </c>
      <c r="L165" s="11" t="str">
        <f>IFERROR(VLOOKUP($B165,'(勿動)組件目錄表'!$D$15:$R$1094,13,FALSE),"-")</f>
        <v>-</v>
      </c>
      <c r="M165" s="11" t="str">
        <f>IFERROR(VLOOKUP($B165,'(勿動)組件目錄表'!$D$15:$R$1094,14,FALSE),"-")</f>
        <v>-</v>
      </c>
      <c r="N165" s="15">
        <f t="shared" si="1"/>
        <v>0</v>
      </c>
      <c r="O165" s="16"/>
    </row>
    <row r="166" spans="1:15" ht="15.75" customHeight="1">
      <c r="A166" s="18"/>
      <c r="B166" s="7"/>
      <c r="C166" s="8" t="str">
        <f>IFERROR(VLOOKUP($B166,'(勿動)組件目錄表'!$D$15:$R$1094,2,FALSE),"-")</f>
        <v>-</v>
      </c>
      <c r="D166" s="8" t="str">
        <f>IFERROR(VLOOKUP($B166,'(勿動)組件目錄表'!$D$15:$R$1094,3,FALSE),"-")</f>
        <v>-</v>
      </c>
      <c r="E166" s="9" t="str">
        <f>IFERROR(VLOOKUP($B166,'(勿動)組件目錄表'!$D$15:$R$1094,4,FALSE),"-")</f>
        <v>-</v>
      </c>
      <c r="F166" s="10" t="str">
        <f>IFERROR(VLOOKUP($B166,'(勿動)組件目錄表'!$D$15:$R$1094,5,FALSE),"-")</f>
        <v>-</v>
      </c>
      <c r="G166" s="11" t="str">
        <f>IFERROR(VLOOKUP($B166,'(勿動)組件目錄表'!$D$15:$R$1094,8,FALSE),"-")</f>
        <v>-</v>
      </c>
      <c r="H166" s="11" t="str">
        <f>IFERROR(VLOOKUP($B166,'(勿動)組件目錄表'!$D$15:$R$1094,9,FALSE),"-")</f>
        <v>-</v>
      </c>
      <c r="I166" s="11" t="str">
        <f>IFERROR(VLOOKUP($B166,'(勿動)組件目錄表'!$D$15:$R$1094,10,FALSE),"-")</f>
        <v>-</v>
      </c>
      <c r="J166" s="11" t="str">
        <f>IFERROR(VLOOKUP($B166,'(勿動)組件目錄表'!$D$15:$R$1094,11,FALSE),"-")</f>
        <v>-</v>
      </c>
      <c r="K166" s="11" t="str">
        <f>IFERROR(VLOOKUP($B166,'(勿動)組件目錄表'!$D$15:$R$1094,12,FALSE),"-")</f>
        <v>-</v>
      </c>
      <c r="L166" s="11" t="str">
        <f>IFERROR(VLOOKUP($B166,'(勿動)組件目錄表'!$D$15:$R$1094,13,FALSE),"-")</f>
        <v>-</v>
      </c>
      <c r="M166" s="11" t="str">
        <f>IFERROR(VLOOKUP($B166,'(勿動)組件目錄表'!$D$15:$R$1094,14,FALSE),"-")</f>
        <v>-</v>
      </c>
      <c r="N166" s="15">
        <f t="shared" si="1"/>
        <v>0</v>
      </c>
      <c r="O166" s="16"/>
    </row>
    <row r="167" spans="1:15" ht="15.75" customHeight="1">
      <c r="A167" s="18"/>
      <c r="B167" s="7"/>
      <c r="C167" s="8" t="str">
        <f>IFERROR(VLOOKUP($B167,'(勿動)組件目錄表'!$D$15:$R$1094,2,FALSE),"-")</f>
        <v>-</v>
      </c>
      <c r="D167" s="8" t="str">
        <f>IFERROR(VLOOKUP($B167,'(勿動)組件目錄表'!$D$15:$R$1094,3,FALSE),"-")</f>
        <v>-</v>
      </c>
      <c r="E167" s="9" t="str">
        <f>IFERROR(VLOOKUP($B167,'(勿動)組件目錄表'!$D$15:$R$1094,4,FALSE),"-")</f>
        <v>-</v>
      </c>
      <c r="F167" s="10" t="str">
        <f>IFERROR(VLOOKUP($B167,'(勿動)組件目錄表'!$D$15:$R$1094,5,FALSE),"-")</f>
        <v>-</v>
      </c>
      <c r="G167" s="11" t="str">
        <f>IFERROR(VLOOKUP($B167,'(勿動)組件目錄表'!$D$15:$R$1094,8,FALSE),"-")</f>
        <v>-</v>
      </c>
      <c r="H167" s="11" t="str">
        <f>IFERROR(VLOOKUP($B167,'(勿動)組件目錄表'!$D$15:$R$1094,9,FALSE),"-")</f>
        <v>-</v>
      </c>
      <c r="I167" s="11" t="str">
        <f>IFERROR(VLOOKUP($B167,'(勿動)組件目錄表'!$D$15:$R$1094,10,FALSE),"-")</f>
        <v>-</v>
      </c>
      <c r="J167" s="11" t="str">
        <f>IFERROR(VLOOKUP($B167,'(勿動)組件目錄表'!$D$15:$R$1094,11,FALSE),"-")</f>
        <v>-</v>
      </c>
      <c r="K167" s="11" t="str">
        <f>IFERROR(VLOOKUP($B167,'(勿動)組件目錄表'!$D$15:$R$1094,12,FALSE),"-")</f>
        <v>-</v>
      </c>
      <c r="L167" s="11" t="str">
        <f>IFERROR(VLOOKUP($B167,'(勿動)組件目錄表'!$D$15:$R$1094,13,FALSE),"-")</f>
        <v>-</v>
      </c>
      <c r="M167" s="11" t="str">
        <f>IFERROR(VLOOKUP($B167,'(勿動)組件目錄表'!$D$15:$R$1094,14,FALSE),"-")</f>
        <v>-</v>
      </c>
      <c r="N167" s="15">
        <f t="shared" si="1"/>
        <v>0</v>
      </c>
      <c r="O167" s="16"/>
    </row>
    <row r="168" spans="1:15" ht="15.75" customHeight="1">
      <c r="A168" s="18"/>
      <c r="B168" s="7"/>
      <c r="C168" s="8" t="str">
        <f>IFERROR(VLOOKUP($B168,'(勿動)組件目錄表'!$D$15:$R$1094,2,FALSE),"-")</f>
        <v>-</v>
      </c>
      <c r="D168" s="8" t="str">
        <f>IFERROR(VLOOKUP($B168,'(勿動)組件目錄表'!$D$15:$R$1094,3,FALSE),"-")</f>
        <v>-</v>
      </c>
      <c r="E168" s="9" t="str">
        <f>IFERROR(VLOOKUP($B168,'(勿動)組件目錄表'!$D$15:$R$1094,4,FALSE),"-")</f>
        <v>-</v>
      </c>
      <c r="F168" s="10" t="str">
        <f>IFERROR(VLOOKUP($B168,'(勿動)組件目錄表'!$D$15:$R$1094,5,FALSE),"-")</f>
        <v>-</v>
      </c>
      <c r="G168" s="11" t="str">
        <f>IFERROR(VLOOKUP($B168,'(勿動)組件目錄表'!$D$15:$R$1094,8,FALSE),"-")</f>
        <v>-</v>
      </c>
      <c r="H168" s="11" t="str">
        <f>IFERROR(VLOOKUP($B168,'(勿動)組件目錄表'!$D$15:$R$1094,9,FALSE),"-")</f>
        <v>-</v>
      </c>
      <c r="I168" s="11" t="str">
        <f>IFERROR(VLOOKUP($B168,'(勿動)組件目錄表'!$D$15:$R$1094,10,FALSE),"-")</f>
        <v>-</v>
      </c>
      <c r="J168" s="11" t="str">
        <f>IFERROR(VLOOKUP($B168,'(勿動)組件目錄表'!$D$15:$R$1094,11,FALSE),"-")</f>
        <v>-</v>
      </c>
      <c r="K168" s="11" t="str">
        <f>IFERROR(VLOOKUP($B168,'(勿動)組件目錄表'!$D$15:$R$1094,12,FALSE),"-")</f>
        <v>-</v>
      </c>
      <c r="L168" s="11" t="str">
        <f>IFERROR(VLOOKUP($B168,'(勿動)組件目錄表'!$D$15:$R$1094,13,FALSE),"-")</f>
        <v>-</v>
      </c>
      <c r="M168" s="11" t="str">
        <f>IFERROR(VLOOKUP($B168,'(勿動)組件目錄表'!$D$15:$R$1094,14,FALSE),"-")</f>
        <v>-</v>
      </c>
      <c r="N168" s="15">
        <f t="shared" si="1"/>
        <v>0</v>
      </c>
      <c r="O168" s="16"/>
    </row>
    <row r="169" spans="1:15" ht="15.75" customHeight="1">
      <c r="A169" s="18"/>
      <c r="B169" s="7"/>
      <c r="C169" s="8" t="str">
        <f>IFERROR(VLOOKUP($B169,'(勿動)組件目錄表'!$D$15:$R$1094,2,FALSE),"-")</f>
        <v>-</v>
      </c>
      <c r="D169" s="8" t="str">
        <f>IFERROR(VLOOKUP($B169,'(勿動)組件目錄表'!$D$15:$R$1094,3,FALSE),"-")</f>
        <v>-</v>
      </c>
      <c r="E169" s="9" t="str">
        <f>IFERROR(VLOOKUP($B169,'(勿動)組件目錄表'!$D$15:$R$1094,4,FALSE),"-")</f>
        <v>-</v>
      </c>
      <c r="F169" s="10" t="str">
        <f>IFERROR(VLOOKUP($B169,'(勿動)組件目錄表'!$D$15:$R$1094,5,FALSE),"-")</f>
        <v>-</v>
      </c>
      <c r="G169" s="11" t="str">
        <f>IFERROR(VLOOKUP($B169,'(勿動)組件目錄表'!$D$15:$R$1094,8,FALSE),"-")</f>
        <v>-</v>
      </c>
      <c r="H169" s="11" t="str">
        <f>IFERROR(VLOOKUP($B169,'(勿動)組件目錄表'!$D$15:$R$1094,9,FALSE),"-")</f>
        <v>-</v>
      </c>
      <c r="I169" s="11" t="str">
        <f>IFERROR(VLOOKUP($B169,'(勿動)組件目錄表'!$D$15:$R$1094,10,FALSE),"-")</f>
        <v>-</v>
      </c>
      <c r="J169" s="11" t="str">
        <f>IFERROR(VLOOKUP($B169,'(勿動)組件目錄表'!$D$15:$R$1094,11,FALSE),"-")</f>
        <v>-</v>
      </c>
      <c r="K169" s="11" t="str">
        <f>IFERROR(VLOOKUP($B169,'(勿動)組件目錄表'!$D$15:$R$1094,12,FALSE),"-")</f>
        <v>-</v>
      </c>
      <c r="L169" s="11" t="str">
        <f>IFERROR(VLOOKUP($B169,'(勿動)組件目錄表'!$D$15:$R$1094,13,FALSE),"-")</f>
        <v>-</v>
      </c>
      <c r="M169" s="11" t="str">
        <f>IFERROR(VLOOKUP($B169,'(勿動)組件目錄表'!$D$15:$R$1094,14,FALSE),"-")</f>
        <v>-</v>
      </c>
      <c r="N169" s="15">
        <f t="shared" si="1"/>
        <v>0</v>
      </c>
      <c r="O169" s="16"/>
    </row>
    <row r="170" spans="1:15" ht="15.75" customHeight="1">
      <c r="A170" s="18"/>
      <c r="B170" s="7"/>
      <c r="C170" s="8" t="str">
        <f>IFERROR(VLOOKUP($B170,'(勿動)組件目錄表'!$D$15:$R$1094,2,FALSE),"-")</f>
        <v>-</v>
      </c>
      <c r="D170" s="8" t="str">
        <f>IFERROR(VLOOKUP($B170,'(勿動)組件目錄表'!$D$15:$R$1094,3,FALSE),"-")</f>
        <v>-</v>
      </c>
      <c r="E170" s="9" t="str">
        <f>IFERROR(VLOOKUP($B170,'(勿動)組件目錄表'!$D$15:$R$1094,4,FALSE),"-")</f>
        <v>-</v>
      </c>
      <c r="F170" s="10" t="str">
        <f>IFERROR(VLOOKUP($B170,'(勿動)組件目錄表'!$D$15:$R$1094,5,FALSE),"-")</f>
        <v>-</v>
      </c>
      <c r="G170" s="11" t="str">
        <f>IFERROR(VLOOKUP($B170,'(勿動)組件目錄表'!$D$15:$R$1094,8,FALSE),"-")</f>
        <v>-</v>
      </c>
      <c r="H170" s="11" t="str">
        <f>IFERROR(VLOOKUP($B170,'(勿動)組件目錄表'!$D$15:$R$1094,9,FALSE),"-")</f>
        <v>-</v>
      </c>
      <c r="I170" s="11" t="str">
        <f>IFERROR(VLOOKUP($B170,'(勿動)組件目錄表'!$D$15:$R$1094,10,FALSE),"-")</f>
        <v>-</v>
      </c>
      <c r="J170" s="11" t="str">
        <f>IFERROR(VLOOKUP($B170,'(勿動)組件目錄表'!$D$15:$R$1094,11,FALSE),"-")</f>
        <v>-</v>
      </c>
      <c r="K170" s="11" t="str">
        <f>IFERROR(VLOOKUP($B170,'(勿動)組件目錄表'!$D$15:$R$1094,12,FALSE),"-")</f>
        <v>-</v>
      </c>
      <c r="L170" s="11" t="str">
        <f>IFERROR(VLOOKUP($B170,'(勿動)組件目錄表'!$D$15:$R$1094,13,FALSE),"-")</f>
        <v>-</v>
      </c>
      <c r="M170" s="11" t="str">
        <f>IFERROR(VLOOKUP($B170,'(勿動)組件目錄表'!$D$15:$R$1094,14,FALSE),"-")</f>
        <v>-</v>
      </c>
      <c r="N170" s="15">
        <f t="shared" si="1"/>
        <v>0</v>
      </c>
      <c r="O170" s="16"/>
    </row>
    <row r="171" spans="1:15" ht="15.75" customHeight="1">
      <c r="A171" s="18"/>
      <c r="B171" s="7"/>
      <c r="C171" s="8" t="str">
        <f>IFERROR(VLOOKUP($B171,'(勿動)組件目錄表'!$D$15:$R$1094,2,FALSE),"-")</f>
        <v>-</v>
      </c>
      <c r="D171" s="8" t="str">
        <f>IFERROR(VLOOKUP($B171,'(勿動)組件目錄表'!$D$15:$R$1094,3,FALSE),"-")</f>
        <v>-</v>
      </c>
      <c r="E171" s="9" t="str">
        <f>IFERROR(VLOOKUP($B171,'(勿動)組件目錄表'!$D$15:$R$1094,4,FALSE),"-")</f>
        <v>-</v>
      </c>
      <c r="F171" s="10" t="str">
        <f>IFERROR(VLOOKUP($B171,'(勿動)組件目錄表'!$D$15:$R$1094,5,FALSE),"-")</f>
        <v>-</v>
      </c>
      <c r="G171" s="11" t="str">
        <f>IFERROR(VLOOKUP($B171,'(勿動)組件目錄表'!$D$15:$R$1094,8,FALSE),"-")</f>
        <v>-</v>
      </c>
      <c r="H171" s="11" t="str">
        <f>IFERROR(VLOOKUP($B171,'(勿動)組件目錄表'!$D$15:$R$1094,9,FALSE),"-")</f>
        <v>-</v>
      </c>
      <c r="I171" s="11" t="str">
        <f>IFERROR(VLOOKUP($B171,'(勿動)組件目錄表'!$D$15:$R$1094,10,FALSE),"-")</f>
        <v>-</v>
      </c>
      <c r="J171" s="11" t="str">
        <f>IFERROR(VLOOKUP($B171,'(勿動)組件目錄表'!$D$15:$R$1094,11,FALSE),"-")</f>
        <v>-</v>
      </c>
      <c r="K171" s="11" t="str">
        <f>IFERROR(VLOOKUP($B171,'(勿動)組件目錄表'!$D$15:$R$1094,12,FALSE),"-")</f>
        <v>-</v>
      </c>
      <c r="L171" s="11" t="str">
        <f>IFERROR(VLOOKUP($B171,'(勿動)組件目錄表'!$D$15:$R$1094,13,FALSE),"-")</f>
        <v>-</v>
      </c>
      <c r="M171" s="11" t="str">
        <f>IFERROR(VLOOKUP($B171,'(勿動)組件目錄表'!$D$15:$R$1094,14,FALSE),"-")</f>
        <v>-</v>
      </c>
      <c r="N171" s="15">
        <f t="shared" si="1"/>
        <v>0</v>
      </c>
      <c r="O171" s="16"/>
    </row>
    <row r="172" spans="1:15" ht="15.75" customHeight="1">
      <c r="A172" s="18"/>
      <c r="B172" s="7"/>
      <c r="C172" s="8" t="str">
        <f>IFERROR(VLOOKUP($B172,'(勿動)組件目錄表'!$D$15:$R$1094,2,FALSE),"-")</f>
        <v>-</v>
      </c>
      <c r="D172" s="8" t="str">
        <f>IFERROR(VLOOKUP($B172,'(勿動)組件目錄表'!$D$15:$R$1094,3,FALSE),"-")</f>
        <v>-</v>
      </c>
      <c r="E172" s="9" t="str">
        <f>IFERROR(VLOOKUP($B172,'(勿動)組件目錄表'!$D$15:$R$1094,4,FALSE),"-")</f>
        <v>-</v>
      </c>
      <c r="F172" s="10" t="str">
        <f>IFERROR(VLOOKUP($B172,'(勿動)組件目錄表'!$D$15:$R$1094,5,FALSE),"-")</f>
        <v>-</v>
      </c>
      <c r="G172" s="11" t="str">
        <f>IFERROR(VLOOKUP($B172,'(勿動)組件目錄表'!$D$15:$R$1094,8,FALSE),"-")</f>
        <v>-</v>
      </c>
      <c r="H172" s="11" t="str">
        <f>IFERROR(VLOOKUP($B172,'(勿動)組件目錄表'!$D$15:$R$1094,9,FALSE),"-")</f>
        <v>-</v>
      </c>
      <c r="I172" s="11" t="str">
        <f>IFERROR(VLOOKUP($B172,'(勿動)組件目錄表'!$D$15:$R$1094,10,FALSE),"-")</f>
        <v>-</v>
      </c>
      <c r="J172" s="11" t="str">
        <f>IFERROR(VLOOKUP($B172,'(勿動)組件目錄表'!$D$15:$R$1094,11,FALSE),"-")</f>
        <v>-</v>
      </c>
      <c r="K172" s="11" t="str">
        <f>IFERROR(VLOOKUP($B172,'(勿動)組件目錄表'!$D$15:$R$1094,12,FALSE),"-")</f>
        <v>-</v>
      </c>
      <c r="L172" s="11" t="str">
        <f>IFERROR(VLOOKUP($B172,'(勿動)組件目錄表'!$D$15:$R$1094,13,FALSE),"-")</f>
        <v>-</v>
      </c>
      <c r="M172" s="11" t="str">
        <f>IFERROR(VLOOKUP($B172,'(勿動)組件目錄表'!$D$15:$R$1094,14,FALSE),"-")</f>
        <v>-</v>
      </c>
      <c r="N172" s="15">
        <f t="shared" si="1"/>
        <v>0</v>
      </c>
      <c r="O172" s="16"/>
    </row>
    <row r="173" spans="1:15" ht="15.75" customHeight="1">
      <c r="A173" s="18"/>
      <c r="B173" s="7"/>
      <c r="C173" s="8" t="str">
        <f>IFERROR(VLOOKUP($B173,'(勿動)組件目錄表'!$D$15:$R$1094,2,FALSE),"-")</f>
        <v>-</v>
      </c>
      <c r="D173" s="8" t="str">
        <f>IFERROR(VLOOKUP($B173,'(勿動)組件目錄表'!$D$15:$R$1094,3,FALSE),"-")</f>
        <v>-</v>
      </c>
      <c r="E173" s="9" t="str">
        <f>IFERROR(VLOOKUP($B173,'(勿動)組件目錄表'!$D$15:$R$1094,4,FALSE),"-")</f>
        <v>-</v>
      </c>
      <c r="F173" s="10" t="str">
        <f>IFERROR(VLOOKUP($B173,'(勿動)組件目錄表'!$D$15:$R$1094,5,FALSE),"-")</f>
        <v>-</v>
      </c>
      <c r="G173" s="11" t="str">
        <f>IFERROR(VLOOKUP($B173,'(勿動)組件目錄表'!$D$15:$R$1094,8,FALSE),"-")</f>
        <v>-</v>
      </c>
      <c r="H173" s="11" t="str">
        <f>IFERROR(VLOOKUP($B173,'(勿動)組件目錄表'!$D$15:$R$1094,9,FALSE),"-")</f>
        <v>-</v>
      </c>
      <c r="I173" s="11" t="str">
        <f>IFERROR(VLOOKUP($B173,'(勿動)組件目錄表'!$D$15:$R$1094,10,FALSE),"-")</f>
        <v>-</v>
      </c>
      <c r="J173" s="11" t="str">
        <f>IFERROR(VLOOKUP($B173,'(勿動)組件目錄表'!$D$15:$R$1094,11,FALSE),"-")</f>
        <v>-</v>
      </c>
      <c r="K173" s="11" t="str">
        <f>IFERROR(VLOOKUP($B173,'(勿動)組件目錄表'!$D$15:$R$1094,12,FALSE),"-")</f>
        <v>-</v>
      </c>
      <c r="L173" s="11" t="str">
        <f>IFERROR(VLOOKUP($B173,'(勿動)組件目錄表'!$D$15:$R$1094,13,FALSE),"-")</f>
        <v>-</v>
      </c>
      <c r="M173" s="11" t="str">
        <f>IFERROR(VLOOKUP($B173,'(勿動)組件目錄表'!$D$15:$R$1094,14,FALSE),"-")</f>
        <v>-</v>
      </c>
      <c r="N173" s="15">
        <f t="shared" si="1"/>
        <v>0</v>
      </c>
      <c r="O173" s="16"/>
    </row>
    <row r="174" spans="1:15" ht="15.75" customHeight="1">
      <c r="A174" s="18"/>
      <c r="B174" s="7"/>
      <c r="C174" s="8" t="str">
        <f>IFERROR(VLOOKUP($B174,'(勿動)組件目錄表'!$D$15:$R$1094,2,FALSE),"-")</f>
        <v>-</v>
      </c>
      <c r="D174" s="8" t="str">
        <f>IFERROR(VLOOKUP($B174,'(勿動)組件目錄表'!$D$15:$R$1094,3,FALSE),"-")</f>
        <v>-</v>
      </c>
      <c r="E174" s="9" t="str">
        <f>IFERROR(VLOOKUP($B174,'(勿動)組件目錄表'!$D$15:$R$1094,4,FALSE),"-")</f>
        <v>-</v>
      </c>
      <c r="F174" s="10" t="str">
        <f>IFERROR(VLOOKUP($B174,'(勿動)組件目錄表'!$D$15:$R$1094,5,FALSE),"-")</f>
        <v>-</v>
      </c>
      <c r="G174" s="11" t="str">
        <f>IFERROR(VLOOKUP($B174,'(勿動)組件目錄表'!$D$15:$R$1094,8,FALSE),"-")</f>
        <v>-</v>
      </c>
      <c r="H174" s="11" t="str">
        <f>IFERROR(VLOOKUP($B174,'(勿動)組件目錄表'!$D$15:$R$1094,9,FALSE),"-")</f>
        <v>-</v>
      </c>
      <c r="I174" s="11" t="str">
        <f>IFERROR(VLOOKUP($B174,'(勿動)組件目錄表'!$D$15:$R$1094,10,FALSE),"-")</f>
        <v>-</v>
      </c>
      <c r="J174" s="11" t="str">
        <f>IFERROR(VLOOKUP($B174,'(勿動)組件目錄表'!$D$15:$R$1094,11,FALSE),"-")</f>
        <v>-</v>
      </c>
      <c r="K174" s="11" t="str">
        <f>IFERROR(VLOOKUP($B174,'(勿動)組件目錄表'!$D$15:$R$1094,12,FALSE),"-")</f>
        <v>-</v>
      </c>
      <c r="L174" s="11" t="str">
        <f>IFERROR(VLOOKUP($B174,'(勿動)組件目錄表'!$D$15:$R$1094,13,FALSE),"-")</f>
        <v>-</v>
      </c>
      <c r="M174" s="11" t="str">
        <f>IFERROR(VLOOKUP($B174,'(勿動)組件目錄表'!$D$15:$R$1094,14,FALSE),"-")</f>
        <v>-</v>
      </c>
      <c r="N174" s="15">
        <f t="shared" si="1"/>
        <v>0</v>
      </c>
      <c r="O174" s="16"/>
    </row>
    <row r="175" spans="1:15" ht="15.75" customHeight="1">
      <c r="A175" s="18"/>
      <c r="B175" s="7"/>
      <c r="C175" s="8" t="str">
        <f>IFERROR(VLOOKUP($B175,'(勿動)組件目錄表'!$D$15:$R$1094,2,FALSE),"-")</f>
        <v>-</v>
      </c>
      <c r="D175" s="8" t="str">
        <f>IFERROR(VLOOKUP($B175,'(勿動)組件目錄表'!$D$15:$R$1094,3,FALSE),"-")</f>
        <v>-</v>
      </c>
      <c r="E175" s="9" t="str">
        <f>IFERROR(VLOOKUP($B175,'(勿動)組件目錄表'!$D$15:$R$1094,4,FALSE),"-")</f>
        <v>-</v>
      </c>
      <c r="F175" s="10" t="str">
        <f>IFERROR(VLOOKUP($B175,'(勿動)組件目錄表'!$D$15:$R$1094,5,FALSE),"-")</f>
        <v>-</v>
      </c>
      <c r="G175" s="11" t="str">
        <f>IFERROR(VLOOKUP($B175,'(勿動)組件目錄表'!$D$15:$R$1094,8,FALSE),"-")</f>
        <v>-</v>
      </c>
      <c r="H175" s="11" t="str">
        <f>IFERROR(VLOOKUP($B175,'(勿動)組件目錄表'!$D$15:$R$1094,9,FALSE),"-")</f>
        <v>-</v>
      </c>
      <c r="I175" s="11" t="str">
        <f>IFERROR(VLOOKUP($B175,'(勿動)組件目錄表'!$D$15:$R$1094,10,FALSE),"-")</f>
        <v>-</v>
      </c>
      <c r="J175" s="11" t="str">
        <f>IFERROR(VLOOKUP($B175,'(勿動)組件目錄表'!$D$15:$R$1094,11,FALSE),"-")</f>
        <v>-</v>
      </c>
      <c r="K175" s="11" t="str">
        <f>IFERROR(VLOOKUP($B175,'(勿動)組件目錄表'!$D$15:$R$1094,12,FALSE),"-")</f>
        <v>-</v>
      </c>
      <c r="L175" s="11" t="str">
        <f>IFERROR(VLOOKUP($B175,'(勿動)組件目錄表'!$D$15:$R$1094,13,FALSE),"-")</f>
        <v>-</v>
      </c>
      <c r="M175" s="11" t="str">
        <f>IFERROR(VLOOKUP($B175,'(勿動)組件目錄表'!$D$15:$R$1094,14,FALSE),"-")</f>
        <v>-</v>
      </c>
      <c r="N175" s="15">
        <f t="shared" si="1"/>
        <v>0</v>
      </c>
      <c r="O175" s="16"/>
    </row>
    <row r="176" spans="1:15" ht="15.75" customHeight="1">
      <c r="A176" s="18"/>
      <c r="B176" s="7"/>
      <c r="C176" s="8" t="str">
        <f>IFERROR(VLOOKUP($B176,'(勿動)組件目錄表'!$D$15:$R$1094,2,FALSE),"-")</f>
        <v>-</v>
      </c>
      <c r="D176" s="8" t="str">
        <f>IFERROR(VLOOKUP($B176,'(勿動)組件目錄表'!$D$15:$R$1094,3,FALSE),"-")</f>
        <v>-</v>
      </c>
      <c r="E176" s="9" t="str">
        <f>IFERROR(VLOOKUP($B176,'(勿動)組件目錄表'!$D$15:$R$1094,4,FALSE),"-")</f>
        <v>-</v>
      </c>
      <c r="F176" s="10" t="str">
        <f>IFERROR(VLOOKUP($B176,'(勿動)組件目錄表'!$D$15:$R$1094,5,FALSE),"-")</f>
        <v>-</v>
      </c>
      <c r="G176" s="11" t="str">
        <f>IFERROR(VLOOKUP($B176,'(勿動)組件目錄表'!$D$15:$R$1094,8,FALSE),"-")</f>
        <v>-</v>
      </c>
      <c r="H176" s="11" t="str">
        <f>IFERROR(VLOOKUP($B176,'(勿動)組件目錄表'!$D$15:$R$1094,9,FALSE),"-")</f>
        <v>-</v>
      </c>
      <c r="I176" s="11" t="str">
        <f>IFERROR(VLOOKUP($B176,'(勿動)組件目錄表'!$D$15:$R$1094,10,FALSE),"-")</f>
        <v>-</v>
      </c>
      <c r="J176" s="11" t="str">
        <f>IFERROR(VLOOKUP($B176,'(勿動)組件目錄表'!$D$15:$R$1094,11,FALSE),"-")</f>
        <v>-</v>
      </c>
      <c r="K176" s="11" t="str">
        <f>IFERROR(VLOOKUP($B176,'(勿動)組件目錄表'!$D$15:$R$1094,12,FALSE),"-")</f>
        <v>-</v>
      </c>
      <c r="L176" s="11" t="str">
        <f>IFERROR(VLOOKUP($B176,'(勿動)組件目錄表'!$D$15:$R$1094,13,FALSE),"-")</f>
        <v>-</v>
      </c>
      <c r="M176" s="11" t="str">
        <f>IFERROR(VLOOKUP($B176,'(勿動)組件目錄表'!$D$15:$R$1094,14,FALSE),"-")</f>
        <v>-</v>
      </c>
      <c r="N176" s="15">
        <f t="shared" si="1"/>
        <v>0</v>
      </c>
      <c r="O176" s="16"/>
    </row>
    <row r="177" spans="1:15" ht="15.75" customHeight="1">
      <c r="A177" s="18"/>
      <c r="B177" s="7"/>
      <c r="C177" s="8" t="str">
        <f>IFERROR(VLOOKUP($B177,'(勿動)組件目錄表'!$D$15:$R$1094,2,FALSE),"-")</f>
        <v>-</v>
      </c>
      <c r="D177" s="8" t="str">
        <f>IFERROR(VLOOKUP($B177,'(勿動)組件目錄表'!$D$15:$R$1094,3,FALSE),"-")</f>
        <v>-</v>
      </c>
      <c r="E177" s="9" t="str">
        <f>IFERROR(VLOOKUP($B177,'(勿動)組件目錄表'!$D$15:$R$1094,4,FALSE),"-")</f>
        <v>-</v>
      </c>
      <c r="F177" s="10" t="str">
        <f>IFERROR(VLOOKUP($B177,'(勿動)組件目錄表'!$D$15:$R$1094,5,FALSE),"-")</f>
        <v>-</v>
      </c>
      <c r="G177" s="11" t="str">
        <f>IFERROR(VLOOKUP($B177,'(勿動)組件目錄表'!$D$15:$R$1094,8,FALSE),"-")</f>
        <v>-</v>
      </c>
      <c r="H177" s="11" t="str">
        <f>IFERROR(VLOOKUP($B177,'(勿動)組件目錄表'!$D$15:$R$1094,9,FALSE),"-")</f>
        <v>-</v>
      </c>
      <c r="I177" s="11" t="str">
        <f>IFERROR(VLOOKUP($B177,'(勿動)組件目錄表'!$D$15:$R$1094,10,FALSE),"-")</f>
        <v>-</v>
      </c>
      <c r="J177" s="11" t="str">
        <f>IFERROR(VLOOKUP($B177,'(勿動)組件目錄表'!$D$15:$R$1094,11,FALSE),"-")</f>
        <v>-</v>
      </c>
      <c r="K177" s="11" t="str">
        <f>IFERROR(VLOOKUP($B177,'(勿動)組件目錄表'!$D$15:$R$1094,12,FALSE),"-")</f>
        <v>-</v>
      </c>
      <c r="L177" s="11" t="str">
        <f>IFERROR(VLOOKUP($B177,'(勿動)組件目錄表'!$D$15:$R$1094,13,FALSE),"-")</f>
        <v>-</v>
      </c>
      <c r="M177" s="11" t="str">
        <f>IFERROR(VLOOKUP($B177,'(勿動)組件目錄表'!$D$15:$R$1094,14,FALSE),"-")</f>
        <v>-</v>
      </c>
      <c r="N177" s="15">
        <f t="shared" si="1"/>
        <v>0</v>
      </c>
      <c r="O177" s="16"/>
    </row>
    <row r="178" spans="1:15" ht="15.75" customHeight="1">
      <c r="A178" s="18"/>
      <c r="B178" s="7"/>
      <c r="C178" s="8" t="str">
        <f>IFERROR(VLOOKUP($B178,'(勿動)組件目錄表'!$D$15:$R$1094,2,FALSE),"-")</f>
        <v>-</v>
      </c>
      <c r="D178" s="8" t="str">
        <f>IFERROR(VLOOKUP($B178,'(勿動)組件目錄表'!$D$15:$R$1094,3,FALSE),"-")</f>
        <v>-</v>
      </c>
      <c r="E178" s="9" t="str">
        <f>IFERROR(VLOOKUP($B178,'(勿動)組件目錄表'!$D$15:$R$1094,4,FALSE),"-")</f>
        <v>-</v>
      </c>
      <c r="F178" s="10" t="str">
        <f>IFERROR(VLOOKUP($B178,'(勿動)組件目錄表'!$D$15:$R$1094,5,FALSE),"-")</f>
        <v>-</v>
      </c>
      <c r="G178" s="11" t="str">
        <f>IFERROR(VLOOKUP($B178,'(勿動)組件目錄表'!$D$15:$R$1094,8,FALSE),"-")</f>
        <v>-</v>
      </c>
      <c r="H178" s="11" t="str">
        <f>IFERROR(VLOOKUP($B178,'(勿動)組件目錄表'!$D$15:$R$1094,9,FALSE),"-")</f>
        <v>-</v>
      </c>
      <c r="I178" s="11" t="str">
        <f>IFERROR(VLOOKUP($B178,'(勿動)組件目錄表'!$D$15:$R$1094,10,FALSE),"-")</f>
        <v>-</v>
      </c>
      <c r="J178" s="11" t="str">
        <f>IFERROR(VLOOKUP($B178,'(勿動)組件目錄表'!$D$15:$R$1094,11,FALSE),"-")</f>
        <v>-</v>
      </c>
      <c r="K178" s="11" t="str">
        <f>IFERROR(VLOOKUP($B178,'(勿動)組件目錄表'!$D$15:$R$1094,12,FALSE),"-")</f>
        <v>-</v>
      </c>
      <c r="L178" s="11" t="str">
        <f>IFERROR(VLOOKUP($B178,'(勿動)組件目錄表'!$D$15:$R$1094,13,FALSE),"-")</f>
        <v>-</v>
      </c>
      <c r="M178" s="11" t="str">
        <f>IFERROR(VLOOKUP($B178,'(勿動)組件目錄表'!$D$15:$R$1094,14,FALSE),"-")</f>
        <v>-</v>
      </c>
      <c r="N178" s="15">
        <f t="shared" si="1"/>
        <v>0</v>
      </c>
      <c r="O178" s="16"/>
    </row>
    <row r="179" spans="1:15" ht="15.75" customHeight="1">
      <c r="A179" s="18"/>
      <c r="B179" s="7"/>
      <c r="C179" s="8" t="str">
        <f>IFERROR(VLOOKUP($B179,'(勿動)組件目錄表'!$D$15:$R$1094,2,FALSE),"-")</f>
        <v>-</v>
      </c>
      <c r="D179" s="8" t="str">
        <f>IFERROR(VLOOKUP($B179,'(勿動)組件目錄表'!$D$15:$R$1094,3,FALSE),"-")</f>
        <v>-</v>
      </c>
      <c r="E179" s="9" t="str">
        <f>IFERROR(VLOOKUP($B179,'(勿動)組件目錄表'!$D$15:$R$1094,4,FALSE),"-")</f>
        <v>-</v>
      </c>
      <c r="F179" s="10" t="str">
        <f>IFERROR(VLOOKUP($B179,'(勿動)組件目錄表'!$D$15:$R$1094,5,FALSE),"-")</f>
        <v>-</v>
      </c>
      <c r="G179" s="11" t="str">
        <f>IFERROR(VLOOKUP($B179,'(勿動)組件目錄表'!$D$15:$R$1094,8,FALSE),"-")</f>
        <v>-</v>
      </c>
      <c r="H179" s="11" t="str">
        <f>IFERROR(VLOOKUP($B179,'(勿動)組件目錄表'!$D$15:$R$1094,9,FALSE),"-")</f>
        <v>-</v>
      </c>
      <c r="I179" s="11" t="str">
        <f>IFERROR(VLOOKUP($B179,'(勿動)組件目錄表'!$D$15:$R$1094,10,FALSE),"-")</f>
        <v>-</v>
      </c>
      <c r="J179" s="11" t="str">
        <f>IFERROR(VLOOKUP($B179,'(勿動)組件目錄表'!$D$15:$R$1094,11,FALSE),"-")</f>
        <v>-</v>
      </c>
      <c r="K179" s="11" t="str">
        <f>IFERROR(VLOOKUP($B179,'(勿動)組件目錄表'!$D$15:$R$1094,12,FALSE),"-")</f>
        <v>-</v>
      </c>
      <c r="L179" s="11" t="str">
        <f>IFERROR(VLOOKUP($B179,'(勿動)組件目錄表'!$D$15:$R$1094,13,FALSE),"-")</f>
        <v>-</v>
      </c>
      <c r="M179" s="11" t="str">
        <f>IFERROR(VLOOKUP($B179,'(勿動)組件目錄表'!$D$15:$R$1094,14,FALSE),"-")</f>
        <v>-</v>
      </c>
      <c r="N179" s="15">
        <f t="shared" si="1"/>
        <v>0</v>
      </c>
      <c r="O179" s="16"/>
    </row>
    <row r="180" spans="1:15" ht="15.75" customHeight="1">
      <c r="A180" s="18"/>
      <c r="B180" s="7"/>
      <c r="C180" s="8" t="str">
        <f>IFERROR(VLOOKUP($B180,'(勿動)組件目錄表'!$D$15:$R$1094,2,FALSE),"-")</f>
        <v>-</v>
      </c>
      <c r="D180" s="8" t="str">
        <f>IFERROR(VLOOKUP($B180,'(勿動)組件目錄表'!$D$15:$R$1094,3,FALSE),"-")</f>
        <v>-</v>
      </c>
      <c r="E180" s="9" t="str">
        <f>IFERROR(VLOOKUP($B180,'(勿動)組件目錄表'!$D$15:$R$1094,4,FALSE),"-")</f>
        <v>-</v>
      </c>
      <c r="F180" s="10" t="str">
        <f>IFERROR(VLOOKUP($B180,'(勿動)組件目錄表'!$D$15:$R$1094,5,FALSE),"-")</f>
        <v>-</v>
      </c>
      <c r="G180" s="11" t="str">
        <f>IFERROR(VLOOKUP($B180,'(勿動)組件目錄表'!$D$15:$R$1094,8,FALSE),"-")</f>
        <v>-</v>
      </c>
      <c r="H180" s="11" t="str">
        <f>IFERROR(VLOOKUP($B180,'(勿動)組件目錄表'!$D$15:$R$1094,9,FALSE),"-")</f>
        <v>-</v>
      </c>
      <c r="I180" s="11" t="str">
        <f>IFERROR(VLOOKUP($B180,'(勿動)組件目錄表'!$D$15:$R$1094,10,FALSE),"-")</f>
        <v>-</v>
      </c>
      <c r="J180" s="11" t="str">
        <f>IFERROR(VLOOKUP($B180,'(勿動)組件目錄表'!$D$15:$R$1094,11,FALSE),"-")</f>
        <v>-</v>
      </c>
      <c r="K180" s="11" t="str">
        <f>IFERROR(VLOOKUP($B180,'(勿動)組件目錄表'!$D$15:$R$1094,12,FALSE),"-")</f>
        <v>-</v>
      </c>
      <c r="L180" s="11" t="str">
        <f>IFERROR(VLOOKUP($B180,'(勿動)組件目錄表'!$D$15:$R$1094,13,FALSE),"-")</f>
        <v>-</v>
      </c>
      <c r="M180" s="11" t="str">
        <f>IFERROR(VLOOKUP($B180,'(勿動)組件目錄表'!$D$15:$R$1094,14,FALSE),"-")</f>
        <v>-</v>
      </c>
      <c r="N180" s="15">
        <f t="shared" si="1"/>
        <v>0</v>
      </c>
      <c r="O180" s="16"/>
    </row>
    <row r="181" spans="1:15" ht="15.75" customHeight="1">
      <c r="A181" s="18"/>
      <c r="B181" s="7"/>
      <c r="C181" s="8" t="str">
        <f>IFERROR(VLOOKUP($B181,'(勿動)組件目錄表'!$D$15:$R$1094,2,FALSE),"-")</f>
        <v>-</v>
      </c>
      <c r="D181" s="8" t="str">
        <f>IFERROR(VLOOKUP($B181,'(勿動)組件目錄表'!$D$15:$R$1094,3,FALSE),"-")</f>
        <v>-</v>
      </c>
      <c r="E181" s="9" t="str">
        <f>IFERROR(VLOOKUP($B181,'(勿動)組件目錄表'!$D$15:$R$1094,4,FALSE),"-")</f>
        <v>-</v>
      </c>
      <c r="F181" s="10" t="str">
        <f>IFERROR(VLOOKUP($B181,'(勿動)組件目錄表'!$D$15:$R$1094,5,FALSE),"-")</f>
        <v>-</v>
      </c>
      <c r="G181" s="11" t="str">
        <f>IFERROR(VLOOKUP($B181,'(勿動)組件目錄表'!$D$15:$R$1094,8,FALSE),"-")</f>
        <v>-</v>
      </c>
      <c r="H181" s="11" t="str">
        <f>IFERROR(VLOOKUP($B181,'(勿動)組件目錄表'!$D$15:$R$1094,9,FALSE),"-")</f>
        <v>-</v>
      </c>
      <c r="I181" s="11" t="str">
        <f>IFERROR(VLOOKUP($B181,'(勿動)組件目錄表'!$D$15:$R$1094,10,FALSE),"-")</f>
        <v>-</v>
      </c>
      <c r="J181" s="11" t="str">
        <f>IFERROR(VLOOKUP($B181,'(勿動)組件目錄表'!$D$15:$R$1094,11,FALSE),"-")</f>
        <v>-</v>
      </c>
      <c r="K181" s="11" t="str">
        <f>IFERROR(VLOOKUP($B181,'(勿動)組件目錄表'!$D$15:$R$1094,12,FALSE),"-")</f>
        <v>-</v>
      </c>
      <c r="L181" s="11" t="str">
        <f>IFERROR(VLOOKUP($B181,'(勿動)組件目錄表'!$D$15:$R$1094,13,FALSE),"-")</f>
        <v>-</v>
      </c>
      <c r="M181" s="11" t="str">
        <f>IFERROR(VLOOKUP($B181,'(勿動)組件目錄表'!$D$15:$R$1094,14,FALSE),"-")</f>
        <v>-</v>
      </c>
      <c r="N181" s="15">
        <f t="shared" si="1"/>
        <v>0</v>
      </c>
      <c r="O181" s="16"/>
    </row>
    <row r="182" spans="1:15" ht="15.75" customHeight="1">
      <c r="A182" s="18"/>
      <c r="B182" s="7"/>
      <c r="C182" s="8" t="str">
        <f>IFERROR(VLOOKUP($B182,'(勿動)組件目錄表'!$D$15:$R$1094,2,FALSE),"-")</f>
        <v>-</v>
      </c>
      <c r="D182" s="8" t="str">
        <f>IFERROR(VLOOKUP($B182,'(勿動)組件目錄表'!$D$15:$R$1094,3,FALSE),"-")</f>
        <v>-</v>
      </c>
      <c r="E182" s="9" t="str">
        <f>IFERROR(VLOOKUP($B182,'(勿動)組件目錄表'!$D$15:$R$1094,4,FALSE),"-")</f>
        <v>-</v>
      </c>
      <c r="F182" s="10" t="str">
        <f>IFERROR(VLOOKUP($B182,'(勿動)組件目錄表'!$D$15:$R$1094,5,FALSE),"-")</f>
        <v>-</v>
      </c>
      <c r="G182" s="11" t="str">
        <f>IFERROR(VLOOKUP($B182,'(勿動)組件目錄表'!$D$15:$R$1094,8,FALSE),"-")</f>
        <v>-</v>
      </c>
      <c r="H182" s="11" t="str">
        <f>IFERROR(VLOOKUP($B182,'(勿動)組件目錄表'!$D$15:$R$1094,9,FALSE),"-")</f>
        <v>-</v>
      </c>
      <c r="I182" s="11" t="str">
        <f>IFERROR(VLOOKUP($B182,'(勿動)組件目錄表'!$D$15:$R$1094,10,FALSE),"-")</f>
        <v>-</v>
      </c>
      <c r="J182" s="11" t="str">
        <f>IFERROR(VLOOKUP($B182,'(勿動)組件目錄表'!$D$15:$R$1094,11,FALSE),"-")</f>
        <v>-</v>
      </c>
      <c r="K182" s="11" t="str">
        <f>IFERROR(VLOOKUP($B182,'(勿動)組件目錄表'!$D$15:$R$1094,12,FALSE),"-")</f>
        <v>-</v>
      </c>
      <c r="L182" s="11" t="str">
        <f>IFERROR(VLOOKUP($B182,'(勿動)組件目錄表'!$D$15:$R$1094,13,FALSE),"-")</f>
        <v>-</v>
      </c>
      <c r="M182" s="11" t="str">
        <f>IFERROR(VLOOKUP($B182,'(勿動)組件目錄表'!$D$15:$R$1094,14,FALSE),"-")</f>
        <v>-</v>
      </c>
      <c r="N182" s="15">
        <f t="shared" si="1"/>
        <v>0</v>
      </c>
      <c r="O182" s="16"/>
    </row>
    <row r="183" spans="1:15" ht="15.75" customHeight="1">
      <c r="A183" s="18"/>
      <c r="B183" s="7"/>
      <c r="C183" s="8" t="str">
        <f>IFERROR(VLOOKUP($B183,'(勿動)組件目錄表'!$D$15:$R$1094,2,FALSE),"-")</f>
        <v>-</v>
      </c>
      <c r="D183" s="8" t="str">
        <f>IFERROR(VLOOKUP($B183,'(勿動)組件目錄表'!$D$15:$R$1094,3,FALSE),"-")</f>
        <v>-</v>
      </c>
      <c r="E183" s="9" t="str">
        <f>IFERROR(VLOOKUP($B183,'(勿動)組件目錄表'!$D$15:$R$1094,4,FALSE),"-")</f>
        <v>-</v>
      </c>
      <c r="F183" s="10" t="str">
        <f>IFERROR(VLOOKUP($B183,'(勿動)組件目錄表'!$D$15:$R$1094,5,FALSE),"-")</f>
        <v>-</v>
      </c>
      <c r="G183" s="11" t="str">
        <f>IFERROR(VLOOKUP($B183,'(勿動)組件目錄表'!$D$15:$R$1094,8,FALSE),"-")</f>
        <v>-</v>
      </c>
      <c r="H183" s="11" t="str">
        <f>IFERROR(VLOOKUP($B183,'(勿動)組件目錄表'!$D$15:$R$1094,9,FALSE),"-")</f>
        <v>-</v>
      </c>
      <c r="I183" s="11" t="str">
        <f>IFERROR(VLOOKUP($B183,'(勿動)組件目錄表'!$D$15:$R$1094,10,FALSE),"-")</f>
        <v>-</v>
      </c>
      <c r="J183" s="11" t="str">
        <f>IFERROR(VLOOKUP($B183,'(勿動)組件目錄表'!$D$15:$R$1094,11,FALSE),"-")</f>
        <v>-</v>
      </c>
      <c r="K183" s="11" t="str">
        <f>IFERROR(VLOOKUP($B183,'(勿動)組件目錄表'!$D$15:$R$1094,12,FALSE),"-")</f>
        <v>-</v>
      </c>
      <c r="L183" s="11" t="str">
        <f>IFERROR(VLOOKUP($B183,'(勿動)組件目錄表'!$D$15:$R$1094,13,FALSE),"-")</f>
        <v>-</v>
      </c>
      <c r="M183" s="11" t="str">
        <f>IFERROR(VLOOKUP($B183,'(勿動)組件目錄表'!$D$15:$R$1094,14,FALSE),"-")</f>
        <v>-</v>
      </c>
      <c r="N183" s="15">
        <f t="shared" si="1"/>
        <v>0</v>
      </c>
      <c r="O183" s="16"/>
    </row>
    <row r="184" spans="1:15" ht="15.75" customHeight="1">
      <c r="A184" s="18"/>
      <c r="B184" s="7"/>
      <c r="C184" s="8" t="str">
        <f>IFERROR(VLOOKUP($B184,'(勿動)組件目錄表'!$D$15:$R$1094,2,FALSE),"-")</f>
        <v>-</v>
      </c>
      <c r="D184" s="8" t="str">
        <f>IFERROR(VLOOKUP($B184,'(勿動)組件目錄表'!$D$15:$R$1094,3,FALSE),"-")</f>
        <v>-</v>
      </c>
      <c r="E184" s="9" t="str">
        <f>IFERROR(VLOOKUP($B184,'(勿動)組件目錄表'!$D$15:$R$1094,4,FALSE),"-")</f>
        <v>-</v>
      </c>
      <c r="F184" s="10" t="str">
        <f>IFERROR(VLOOKUP($B184,'(勿動)組件目錄表'!$D$15:$R$1094,5,FALSE),"-")</f>
        <v>-</v>
      </c>
      <c r="G184" s="11" t="str">
        <f>IFERROR(VLOOKUP($B184,'(勿動)組件目錄表'!$D$15:$R$1094,8,FALSE),"-")</f>
        <v>-</v>
      </c>
      <c r="H184" s="11" t="str">
        <f>IFERROR(VLOOKUP($B184,'(勿動)組件目錄表'!$D$15:$R$1094,9,FALSE),"-")</f>
        <v>-</v>
      </c>
      <c r="I184" s="11" t="str">
        <f>IFERROR(VLOOKUP($B184,'(勿動)組件目錄表'!$D$15:$R$1094,10,FALSE),"-")</f>
        <v>-</v>
      </c>
      <c r="J184" s="11" t="str">
        <f>IFERROR(VLOOKUP($B184,'(勿動)組件目錄表'!$D$15:$R$1094,11,FALSE),"-")</f>
        <v>-</v>
      </c>
      <c r="K184" s="11" t="str">
        <f>IFERROR(VLOOKUP($B184,'(勿動)組件目錄表'!$D$15:$R$1094,12,FALSE),"-")</f>
        <v>-</v>
      </c>
      <c r="L184" s="11" t="str">
        <f>IFERROR(VLOOKUP($B184,'(勿動)組件目錄表'!$D$15:$R$1094,13,FALSE),"-")</f>
        <v>-</v>
      </c>
      <c r="M184" s="11" t="str">
        <f>IFERROR(VLOOKUP($B184,'(勿動)組件目錄表'!$D$15:$R$1094,14,FALSE),"-")</f>
        <v>-</v>
      </c>
      <c r="N184" s="15">
        <f t="shared" si="1"/>
        <v>0</v>
      </c>
      <c r="O184" s="16"/>
    </row>
    <row r="185" spans="1:15" ht="15.75" customHeight="1">
      <c r="A185" s="18"/>
      <c r="B185" s="7"/>
      <c r="C185" s="8" t="str">
        <f>IFERROR(VLOOKUP($B185,'(勿動)組件目錄表'!$D$15:$R$1094,2,FALSE),"-")</f>
        <v>-</v>
      </c>
      <c r="D185" s="8" t="str">
        <f>IFERROR(VLOOKUP($B185,'(勿動)組件目錄表'!$D$15:$R$1094,3,FALSE),"-")</f>
        <v>-</v>
      </c>
      <c r="E185" s="9" t="str">
        <f>IFERROR(VLOOKUP($B185,'(勿動)組件目錄表'!$D$15:$R$1094,4,FALSE),"-")</f>
        <v>-</v>
      </c>
      <c r="F185" s="10" t="str">
        <f>IFERROR(VLOOKUP($B185,'(勿動)組件目錄表'!$D$15:$R$1094,5,FALSE),"-")</f>
        <v>-</v>
      </c>
      <c r="G185" s="11" t="str">
        <f>IFERROR(VLOOKUP($B185,'(勿動)組件目錄表'!$D$15:$R$1094,8,FALSE),"-")</f>
        <v>-</v>
      </c>
      <c r="H185" s="11" t="str">
        <f>IFERROR(VLOOKUP($B185,'(勿動)組件目錄表'!$D$15:$R$1094,9,FALSE),"-")</f>
        <v>-</v>
      </c>
      <c r="I185" s="11" t="str">
        <f>IFERROR(VLOOKUP($B185,'(勿動)組件目錄表'!$D$15:$R$1094,10,FALSE),"-")</f>
        <v>-</v>
      </c>
      <c r="J185" s="11" t="str">
        <f>IFERROR(VLOOKUP($B185,'(勿動)組件目錄表'!$D$15:$R$1094,11,FALSE),"-")</f>
        <v>-</v>
      </c>
      <c r="K185" s="11" t="str">
        <f>IFERROR(VLOOKUP($B185,'(勿動)組件目錄表'!$D$15:$R$1094,12,FALSE),"-")</f>
        <v>-</v>
      </c>
      <c r="L185" s="11" t="str">
        <f>IFERROR(VLOOKUP($B185,'(勿動)組件目錄表'!$D$15:$R$1094,13,FALSE),"-")</f>
        <v>-</v>
      </c>
      <c r="M185" s="11" t="str">
        <f>IFERROR(VLOOKUP($B185,'(勿動)組件目錄表'!$D$15:$R$1094,14,FALSE),"-")</f>
        <v>-</v>
      </c>
      <c r="N185" s="15">
        <f t="shared" si="1"/>
        <v>0</v>
      </c>
      <c r="O185" s="16"/>
    </row>
    <row r="186" spans="1:15" ht="15.75" customHeight="1">
      <c r="A186" s="18"/>
      <c r="B186" s="7"/>
      <c r="C186" s="8" t="str">
        <f>IFERROR(VLOOKUP($B186,'(勿動)組件目錄表'!$D$15:$R$1094,2,FALSE),"-")</f>
        <v>-</v>
      </c>
      <c r="D186" s="8" t="str">
        <f>IFERROR(VLOOKUP($B186,'(勿動)組件目錄表'!$D$15:$R$1094,3,FALSE),"-")</f>
        <v>-</v>
      </c>
      <c r="E186" s="9" t="str">
        <f>IFERROR(VLOOKUP($B186,'(勿動)組件目錄表'!$D$15:$R$1094,4,FALSE),"-")</f>
        <v>-</v>
      </c>
      <c r="F186" s="10" t="str">
        <f>IFERROR(VLOOKUP($B186,'(勿動)組件目錄表'!$D$15:$R$1094,5,FALSE),"-")</f>
        <v>-</v>
      </c>
      <c r="G186" s="11" t="str">
        <f>IFERROR(VLOOKUP($B186,'(勿動)組件目錄表'!$D$15:$R$1094,8,FALSE),"-")</f>
        <v>-</v>
      </c>
      <c r="H186" s="11" t="str">
        <f>IFERROR(VLOOKUP($B186,'(勿動)組件目錄表'!$D$15:$R$1094,9,FALSE),"-")</f>
        <v>-</v>
      </c>
      <c r="I186" s="11" t="str">
        <f>IFERROR(VLOOKUP($B186,'(勿動)組件目錄表'!$D$15:$R$1094,10,FALSE),"-")</f>
        <v>-</v>
      </c>
      <c r="J186" s="11" t="str">
        <f>IFERROR(VLOOKUP($B186,'(勿動)組件目錄表'!$D$15:$R$1094,11,FALSE),"-")</f>
        <v>-</v>
      </c>
      <c r="K186" s="11" t="str">
        <f>IFERROR(VLOOKUP($B186,'(勿動)組件目錄表'!$D$15:$R$1094,12,FALSE),"-")</f>
        <v>-</v>
      </c>
      <c r="L186" s="11" t="str">
        <f>IFERROR(VLOOKUP($B186,'(勿動)組件目錄表'!$D$15:$R$1094,13,FALSE),"-")</f>
        <v>-</v>
      </c>
      <c r="M186" s="11" t="str">
        <f>IFERROR(VLOOKUP($B186,'(勿動)組件目錄表'!$D$15:$R$1094,14,FALSE),"-")</f>
        <v>-</v>
      </c>
      <c r="N186" s="15">
        <f t="shared" si="1"/>
        <v>0</v>
      </c>
      <c r="O186" s="16"/>
    </row>
    <row r="187" spans="1:15" ht="15.75" customHeight="1">
      <c r="A187" s="18"/>
      <c r="B187" s="7"/>
      <c r="C187" s="8" t="str">
        <f>IFERROR(VLOOKUP($B187,'(勿動)組件目錄表'!$D$15:$R$1094,2,FALSE),"-")</f>
        <v>-</v>
      </c>
      <c r="D187" s="8" t="str">
        <f>IFERROR(VLOOKUP($B187,'(勿動)組件目錄表'!$D$15:$R$1094,3,FALSE),"-")</f>
        <v>-</v>
      </c>
      <c r="E187" s="9" t="str">
        <f>IFERROR(VLOOKUP($B187,'(勿動)組件目錄表'!$D$15:$R$1094,4,FALSE),"-")</f>
        <v>-</v>
      </c>
      <c r="F187" s="10" t="str">
        <f>IFERROR(VLOOKUP($B187,'(勿動)組件目錄表'!$D$15:$R$1094,5,FALSE),"-")</f>
        <v>-</v>
      </c>
      <c r="G187" s="11" t="str">
        <f>IFERROR(VLOOKUP($B187,'(勿動)組件目錄表'!$D$15:$R$1094,8,FALSE),"-")</f>
        <v>-</v>
      </c>
      <c r="H187" s="11" t="str">
        <f>IFERROR(VLOOKUP($B187,'(勿動)組件目錄表'!$D$15:$R$1094,9,FALSE),"-")</f>
        <v>-</v>
      </c>
      <c r="I187" s="11" t="str">
        <f>IFERROR(VLOOKUP($B187,'(勿動)組件目錄表'!$D$15:$R$1094,10,FALSE),"-")</f>
        <v>-</v>
      </c>
      <c r="J187" s="11" t="str">
        <f>IFERROR(VLOOKUP($B187,'(勿動)組件目錄表'!$D$15:$R$1094,11,FALSE),"-")</f>
        <v>-</v>
      </c>
      <c r="K187" s="11" t="str">
        <f>IFERROR(VLOOKUP($B187,'(勿動)組件目錄表'!$D$15:$R$1094,12,FALSE),"-")</f>
        <v>-</v>
      </c>
      <c r="L187" s="11" t="str">
        <f>IFERROR(VLOOKUP($B187,'(勿動)組件目錄表'!$D$15:$R$1094,13,FALSE),"-")</f>
        <v>-</v>
      </c>
      <c r="M187" s="11" t="str">
        <f>IFERROR(VLOOKUP($B187,'(勿動)組件目錄表'!$D$15:$R$1094,14,FALSE),"-")</f>
        <v>-</v>
      </c>
      <c r="N187" s="15">
        <f t="shared" si="1"/>
        <v>0</v>
      </c>
      <c r="O187" s="16"/>
    </row>
    <row r="188" spans="1:15" ht="15.75" customHeight="1">
      <c r="A188" s="18"/>
      <c r="B188" s="7"/>
      <c r="C188" s="8" t="str">
        <f>IFERROR(VLOOKUP($B188,'(勿動)組件目錄表'!$D$15:$R$1094,2,FALSE),"-")</f>
        <v>-</v>
      </c>
      <c r="D188" s="8" t="str">
        <f>IFERROR(VLOOKUP($B188,'(勿動)組件目錄表'!$D$15:$R$1094,3,FALSE),"-")</f>
        <v>-</v>
      </c>
      <c r="E188" s="9" t="str">
        <f>IFERROR(VLOOKUP($B188,'(勿動)組件目錄表'!$D$15:$R$1094,4,FALSE),"-")</f>
        <v>-</v>
      </c>
      <c r="F188" s="10" t="str">
        <f>IFERROR(VLOOKUP($B188,'(勿動)組件目錄表'!$D$15:$R$1094,5,FALSE),"-")</f>
        <v>-</v>
      </c>
      <c r="G188" s="11" t="str">
        <f>IFERROR(VLOOKUP($B188,'(勿動)組件目錄表'!$D$15:$R$1094,8,FALSE),"-")</f>
        <v>-</v>
      </c>
      <c r="H188" s="11" t="str">
        <f>IFERROR(VLOOKUP($B188,'(勿動)組件目錄表'!$D$15:$R$1094,9,FALSE),"-")</f>
        <v>-</v>
      </c>
      <c r="I188" s="11" t="str">
        <f>IFERROR(VLOOKUP($B188,'(勿動)組件目錄表'!$D$15:$R$1094,10,FALSE),"-")</f>
        <v>-</v>
      </c>
      <c r="J188" s="11" t="str">
        <f>IFERROR(VLOOKUP($B188,'(勿動)組件目錄表'!$D$15:$R$1094,11,FALSE),"-")</f>
        <v>-</v>
      </c>
      <c r="K188" s="11" t="str">
        <f>IFERROR(VLOOKUP($B188,'(勿動)組件目錄表'!$D$15:$R$1094,12,FALSE),"-")</f>
        <v>-</v>
      </c>
      <c r="L188" s="11" t="str">
        <f>IFERROR(VLOOKUP($B188,'(勿動)組件目錄表'!$D$15:$R$1094,13,FALSE),"-")</f>
        <v>-</v>
      </c>
      <c r="M188" s="11" t="str">
        <f>IFERROR(VLOOKUP($B188,'(勿動)組件目錄表'!$D$15:$R$1094,14,FALSE),"-")</f>
        <v>-</v>
      </c>
      <c r="N188" s="15">
        <f t="shared" si="1"/>
        <v>0</v>
      </c>
      <c r="O188" s="16"/>
    </row>
    <row r="189" spans="1:15" ht="15.75" customHeight="1">
      <c r="A189" s="18"/>
      <c r="B189" s="7"/>
      <c r="C189" s="8" t="str">
        <f>IFERROR(VLOOKUP($B189,'(勿動)組件目錄表'!$D$15:$R$1094,2,FALSE),"-")</f>
        <v>-</v>
      </c>
      <c r="D189" s="8" t="str">
        <f>IFERROR(VLOOKUP($B189,'(勿動)組件目錄表'!$D$15:$R$1094,3,FALSE),"-")</f>
        <v>-</v>
      </c>
      <c r="E189" s="9" t="str">
        <f>IFERROR(VLOOKUP($B189,'(勿動)組件目錄表'!$D$15:$R$1094,4,FALSE),"-")</f>
        <v>-</v>
      </c>
      <c r="F189" s="10" t="str">
        <f>IFERROR(VLOOKUP($B189,'(勿動)組件目錄表'!$D$15:$R$1094,5,FALSE),"-")</f>
        <v>-</v>
      </c>
      <c r="G189" s="11" t="str">
        <f>IFERROR(VLOOKUP($B189,'(勿動)組件目錄表'!$D$15:$R$1094,8,FALSE),"-")</f>
        <v>-</v>
      </c>
      <c r="H189" s="11" t="str">
        <f>IFERROR(VLOOKUP($B189,'(勿動)組件目錄表'!$D$15:$R$1094,9,FALSE),"-")</f>
        <v>-</v>
      </c>
      <c r="I189" s="11" t="str">
        <f>IFERROR(VLOOKUP($B189,'(勿動)組件目錄表'!$D$15:$R$1094,10,FALSE),"-")</f>
        <v>-</v>
      </c>
      <c r="J189" s="11" t="str">
        <f>IFERROR(VLOOKUP($B189,'(勿動)組件目錄表'!$D$15:$R$1094,11,FALSE),"-")</f>
        <v>-</v>
      </c>
      <c r="K189" s="11" t="str">
        <f>IFERROR(VLOOKUP($B189,'(勿動)組件目錄表'!$D$15:$R$1094,12,FALSE),"-")</f>
        <v>-</v>
      </c>
      <c r="L189" s="11" t="str">
        <f>IFERROR(VLOOKUP($B189,'(勿動)組件目錄表'!$D$15:$R$1094,13,FALSE),"-")</f>
        <v>-</v>
      </c>
      <c r="M189" s="11" t="str">
        <f>IFERROR(VLOOKUP($B189,'(勿動)組件目錄表'!$D$15:$R$1094,14,FALSE),"-")</f>
        <v>-</v>
      </c>
      <c r="N189" s="15">
        <f t="shared" si="1"/>
        <v>0</v>
      </c>
      <c r="O189" s="16"/>
    </row>
    <row r="190" spans="1:15" ht="15.75" customHeight="1">
      <c r="A190" s="18"/>
      <c r="B190" s="7"/>
      <c r="C190" s="8" t="str">
        <f>IFERROR(VLOOKUP($B190,'(勿動)組件目錄表'!$D$15:$R$1094,2,FALSE),"-")</f>
        <v>-</v>
      </c>
      <c r="D190" s="8" t="str">
        <f>IFERROR(VLOOKUP($B190,'(勿動)組件目錄表'!$D$15:$R$1094,3,FALSE),"-")</f>
        <v>-</v>
      </c>
      <c r="E190" s="9" t="str">
        <f>IFERROR(VLOOKUP($B190,'(勿動)組件目錄表'!$D$15:$R$1094,4,FALSE),"-")</f>
        <v>-</v>
      </c>
      <c r="F190" s="10" t="str">
        <f>IFERROR(VLOOKUP($B190,'(勿動)組件目錄表'!$D$15:$R$1094,5,FALSE),"-")</f>
        <v>-</v>
      </c>
      <c r="G190" s="11" t="str">
        <f>IFERROR(VLOOKUP($B190,'(勿動)組件目錄表'!$D$15:$R$1094,8,FALSE),"-")</f>
        <v>-</v>
      </c>
      <c r="H190" s="11" t="str">
        <f>IFERROR(VLOOKUP($B190,'(勿動)組件目錄表'!$D$15:$R$1094,9,FALSE),"-")</f>
        <v>-</v>
      </c>
      <c r="I190" s="11" t="str">
        <f>IFERROR(VLOOKUP($B190,'(勿動)組件目錄表'!$D$15:$R$1094,10,FALSE),"-")</f>
        <v>-</v>
      </c>
      <c r="J190" s="11" t="str">
        <f>IFERROR(VLOOKUP($B190,'(勿動)組件目錄表'!$D$15:$R$1094,11,FALSE),"-")</f>
        <v>-</v>
      </c>
      <c r="K190" s="11" t="str">
        <f>IFERROR(VLOOKUP($B190,'(勿動)組件目錄表'!$D$15:$R$1094,12,FALSE),"-")</f>
        <v>-</v>
      </c>
      <c r="L190" s="11" t="str">
        <f>IFERROR(VLOOKUP($B190,'(勿動)組件目錄表'!$D$15:$R$1094,13,FALSE),"-")</f>
        <v>-</v>
      </c>
      <c r="M190" s="11" t="str">
        <f>IFERROR(VLOOKUP($B190,'(勿動)組件目錄表'!$D$15:$R$1094,14,FALSE),"-")</f>
        <v>-</v>
      </c>
      <c r="N190" s="15">
        <f t="shared" si="1"/>
        <v>0</v>
      </c>
      <c r="O190" s="16"/>
    </row>
    <row r="191" spans="1:15" ht="15.75" customHeight="1">
      <c r="A191" s="18"/>
      <c r="B191" s="7"/>
      <c r="C191" s="8" t="str">
        <f>IFERROR(VLOOKUP($B191,'(勿動)組件目錄表'!$D$15:$R$1094,2,FALSE),"-")</f>
        <v>-</v>
      </c>
      <c r="D191" s="8" t="str">
        <f>IFERROR(VLOOKUP($B191,'(勿動)組件目錄表'!$D$15:$R$1094,3,FALSE),"-")</f>
        <v>-</v>
      </c>
      <c r="E191" s="9" t="str">
        <f>IFERROR(VLOOKUP($B191,'(勿動)組件目錄表'!$D$15:$R$1094,4,FALSE),"-")</f>
        <v>-</v>
      </c>
      <c r="F191" s="10" t="str">
        <f>IFERROR(VLOOKUP($B191,'(勿動)組件目錄表'!$D$15:$R$1094,5,FALSE),"-")</f>
        <v>-</v>
      </c>
      <c r="G191" s="11" t="str">
        <f>IFERROR(VLOOKUP($B191,'(勿動)組件目錄表'!$D$15:$R$1094,8,FALSE),"-")</f>
        <v>-</v>
      </c>
      <c r="H191" s="11" t="str">
        <f>IFERROR(VLOOKUP($B191,'(勿動)組件目錄表'!$D$15:$R$1094,9,FALSE),"-")</f>
        <v>-</v>
      </c>
      <c r="I191" s="11" t="str">
        <f>IFERROR(VLOOKUP($B191,'(勿動)組件目錄表'!$D$15:$R$1094,10,FALSE),"-")</f>
        <v>-</v>
      </c>
      <c r="J191" s="11" t="str">
        <f>IFERROR(VLOOKUP($B191,'(勿動)組件目錄表'!$D$15:$R$1094,11,FALSE),"-")</f>
        <v>-</v>
      </c>
      <c r="K191" s="11" t="str">
        <f>IFERROR(VLOOKUP($B191,'(勿動)組件目錄表'!$D$15:$R$1094,12,FALSE),"-")</f>
        <v>-</v>
      </c>
      <c r="L191" s="11" t="str">
        <f>IFERROR(VLOOKUP($B191,'(勿動)組件目錄表'!$D$15:$R$1094,13,FALSE),"-")</f>
        <v>-</v>
      </c>
      <c r="M191" s="11" t="str">
        <f>IFERROR(VLOOKUP($B191,'(勿動)組件目錄表'!$D$15:$R$1094,14,FALSE),"-")</f>
        <v>-</v>
      </c>
      <c r="N191" s="15">
        <f t="shared" si="1"/>
        <v>0</v>
      </c>
      <c r="O191" s="16"/>
    </row>
    <row r="192" spans="1:15" ht="15.75" customHeight="1">
      <c r="A192" s="18"/>
      <c r="B192" s="7"/>
      <c r="C192" s="8" t="str">
        <f>IFERROR(VLOOKUP($B192,'(勿動)組件目錄表'!$D$15:$R$1094,2,FALSE),"-")</f>
        <v>-</v>
      </c>
      <c r="D192" s="8" t="str">
        <f>IFERROR(VLOOKUP($B192,'(勿動)組件目錄表'!$D$15:$R$1094,3,FALSE),"-")</f>
        <v>-</v>
      </c>
      <c r="E192" s="9" t="str">
        <f>IFERROR(VLOOKUP($B192,'(勿動)組件目錄表'!$D$15:$R$1094,4,FALSE),"-")</f>
        <v>-</v>
      </c>
      <c r="F192" s="10" t="str">
        <f>IFERROR(VLOOKUP($B192,'(勿動)組件目錄表'!$D$15:$R$1094,5,FALSE),"-")</f>
        <v>-</v>
      </c>
      <c r="G192" s="11" t="str">
        <f>IFERROR(VLOOKUP($B192,'(勿動)組件目錄表'!$D$15:$R$1094,8,FALSE),"-")</f>
        <v>-</v>
      </c>
      <c r="H192" s="11" t="str">
        <f>IFERROR(VLOOKUP($B192,'(勿動)組件目錄表'!$D$15:$R$1094,9,FALSE),"-")</f>
        <v>-</v>
      </c>
      <c r="I192" s="11" t="str">
        <f>IFERROR(VLOOKUP($B192,'(勿動)組件目錄表'!$D$15:$R$1094,10,FALSE),"-")</f>
        <v>-</v>
      </c>
      <c r="J192" s="11" t="str">
        <f>IFERROR(VLOOKUP($B192,'(勿動)組件目錄表'!$D$15:$R$1094,11,FALSE),"-")</f>
        <v>-</v>
      </c>
      <c r="K192" s="11" t="str">
        <f>IFERROR(VLOOKUP($B192,'(勿動)組件目錄表'!$D$15:$R$1094,12,FALSE),"-")</f>
        <v>-</v>
      </c>
      <c r="L192" s="11" t="str">
        <f>IFERROR(VLOOKUP($B192,'(勿動)組件目錄表'!$D$15:$R$1094,13,FALSE),"-")</f>
        <v>-</v>
      </c>
      <c r="M192" s="11" t="str">
        <f>IFERROR(VLOOKUP($B192,'(勿動)組件目錄表'!$D$15:$R$1094,14,FALSE),"-")</f>
        <v>-</v>
      </c>
      <c r="N192" s="15">
        <f t="shared" si="1"/>
        <v>0</v>
      </c>
      <c r="O192" s="16"/>
    </row>
    <row r="193" spans="1:15" ht="15.75" customHeight="1">
      <c r="A193" s="18"/>
      <c r="B193" s="7"/>
      <c r="C193" s="8" t="str">
        <f>IFERROR(VLOOKUP($B193,'(勿動)組件目錄表'!$D$15:$R$1094,2,FALSE),"-")</f>
        <v>-</v>
      </c>
      <c r="D193" s="8" t="str">
        <f>IFERROR(VLOOKUP($B193,'(勿動)組件目錄表'!$D$15:$R$1094,3,FALSE),"-")</f>
        <v>-</v>
      </c>
      <c r="E193" s="9" t="str">
        <f>IFERROR(VLOOKUP($B193,'(勿動)組件目錄表'!$D$15:$R$1094,4,FALSE),"-")</f>
        <v>-</v>
      </c>
      <c r="F193" s="10" t="str">
        <f>IFERROR(VLOOKUP($B193,'(勿動)組件目錄表'!$D$15:$R$1094,5,FALSE),"-")</f>
        <v>-</v>
      </c>
      <c r="G193" s="11" t="str">
        <f>IFERROR(VLOOKUP($B193,'(勿動)組件目錄表'!$D$15:$R$1094,8,FALSE),"-")</f>
        <v>-</v>
      </c>
      <c r="H193" s="11" t="str">
        <f>IFERROR(VLOOKUP($B193,'(勿動)組件目錄表'!$D$15:$R$1094,9,FALSE),"-")</f>
        <v>-</v>
      </c>
      <c r="I193" s="11" t="str">
        <f>IFERROR(VLOOKUP($B193,'(勿動)組件目錄表'!$D$15:$R$1094,10,FALSE),"-")</f>
        <v>-</v>
      </c>
      <c r="J193" s="11" t="str">
        <f>IFERROR(VLOOKUP($B193,'(勿動)組件目錄表'!$D$15:$R$1094,11,FALSE),"-")</f>
        <v>-</v>
      </c>
      <c r="K193" s="11" t="str">
        <f>IFERROR(VLOOKUP($B193,'(勿動)組件目錄表'!$D$15:$R$1094,12,FALSE),"-")</f>
        <v>-</v>
      </c>
      <c r="L193" s="11" t="str">
        <f>IFERROR(VLOOKUP($B193,'(勿動)組件目錄表'!$D$15:$R$1094,13,FALSE),"-")</f>
        <v>-</v>
      </c>
      <c r="M193" s="11" t="str">
        <f>IFERROR(VLOOKUP($B193,'(勿動)組件目錄表'!$D$15:$R$1094,14,FALSE),"-")</f>
        <v>-</v>
      </c>
      <c r="N193" s="15">
        <f t="shared" si="1"/>
        <v>0</v>
      </c>
      <c r="O193" s="16"/>
    </row>
    <row r="194" spans="1:15" ht="15.75" customHeight="1">
      <c r="A194" s="18"/>
      <c r="B194" s="7"/>
      <c r="C194" s="8" t="str">
        <f>IFERROR(VLOOKUP($B194,'(勿動)組件目錄表'!$D$15:$R$1094,2,FALSE),"-")</f>
        <v>-</v>
      </c>
      <c r="D194" s="8" t="str">
        <f>IFERROR(VLOOKUP($B194,'(勿動)組件目錄表'!$D$15:$R$1094,3,FALSE),"-")</f>
        <v>-</v>
      </c>
      <c r="E194" s="9" t="str">
        <f>IFERROR(VLOOKUP($B194,'(勿動)組件目錄表'!$D$15:$R$1094,4,FALSE),"-")</f>
        <v>-</v>
      </c>
      <c r="F194" s="10" t="str">
        <f>IFERROR(VLOOKUP($B194,'(勿動)組件目錄表'!$D$15:$R$1094,5,FALSE),"-")</f>
        <v>-</v>
      </c>
      <c r="G194" s="11" t="str">
        <f>IFERROR(VLOOKUP($B194,'(勿動)組件目錄表'!$D$15:$R$1094,8,FALSE),"-")</f>
        <v>-</v>
      </c>
      <c r="H194" s="11" t="str">
        <f>IFERROR(VLOOKUP($B194,'(勿動)組件目錄表'!$D$15:$R$1094,9,FALSE),"-")</f>
        <v>-</v>
      </c>
      <c r="I194" s="11" t="str">
        <f>IFERROR(VLOOKUP($B194,'(勿動)組件目錄表'!$D$15:$R$1094,10,FALSE),"-")</f>
        <v>-</v>
      </c>
      <c r="J194" s="11" t="str">
        <f>IFERROR(VLOOKUP($B194,'(勿動)組件目錄表'!$D$15:$R$1094,11,FALSE),"-")</f>
        <v>-</v>
      </c>
      <c r="K194" s="11" t="str">
        <f>IFERROR(VLOOKUP($B194,'(勿動)組件目錄表'!$D$15:$R$1094,12,FALSE),"-")</f>
        <v>-</v>
      </c>
      <c r="L194" s="11" t="str">
        <f>IFERROR(VLOOKUP($B194,'(勿動)組件目錄表'!$D$15:$R$1094,13,FALSE),"-")</f>
        <v>-</v>
      </c>
      <c r="M194" s="11" t="str">
        <f>IFERROR(VLOOKUP($B194,'(勿動)組件目錄表'!$D$15:$R$1094,14,FALSE),"-")</f>
        <v>-</v>
      </c>
      <c r="N194" s="15">
        <f t="shared" si="1"/>
        <v>0</v>
      </c>
      <c r="O194" s="16"/>
    </row>
    <row r="195" spans="1:15" ht="15.75" customHeight="1">
      <c r="A195" s="18"/>
      <c r="B195" s="7"/>
      <c r="C195" s="8" t="str">
        <f>IFERROR(VLOOKUP($B195,'(勿動)組件目錄表'!$D$15:$R$1094,2,FALSE),"-")</f>
        <v>-</v>
      </c>
      <c r="D195" s="8" t="str">
        <f>IFERROR(VLOOKUP($B195,'(勿動)組件目錄表'!$D$15:$R$1094,3,FALSE),"-")</f>
        <v>-</v>
      </c>
      <c r="E195" s="9" t="str">
        <f>IFERROR(VLOOKUP($B195,'(勿動)組件目錄表'!$D$15:$R$1094,4,FALSE),"-")</f>
        <v>-</v>
      </c>
      <c r="F195" s="10" t="str">
        <f>IFERROR(VLOOKUP($B195,'(勿動)組件目錄表'!$D$15:$R$1094,5,FALSE),"-")</f>
        <v>-</v>
      </c>
      <c r="G195" s="11" t="str">
        <f>IFERROR(VLOOKUP($B195,'(勿動)組件目錄表'!$D$15:$R$1094,8,FALSE),"-")</f>
        <v>-</v>
      </c>
      <c r="H195" s="11" t="str">
        <f>IFERROR(VLOOKUP($B195,'(勿動)組件目錄表'!$D$15:$R$1094,9,FALSE),"-")</f>
        <v>-</v>
      </c>
      <c r="I195" s="11" t="str">
        <f>IFERROR(VLOOKUP($B195,'(勿動)組件目錄表'!$D$15:$R$1094,10,FALSE),"-")</f>
        <v>-</v>
      </c>
      <c r="J195" s="11" t="str">
        <f>IFERROR(VLOOKUP($B195,'(勿動)組件目錄表'!$D$15:$R$1094,11,FALSE),"-")</f>
        <v>-</v>
      </c>
      <c r="K195" s="11" t="str">
        <f>IFERROR(VLOOKUP($B195,'(勿動)組件目錄表'!$D$15:$R$1094,12,FALSE),"-")</f>
        <v>-</v>
      </c>
      <c r="L195" s="11" t="str">
        <f>IFERROR(VLOOKUP($B195,'(勿動)組件目錄表'!$D$15:$R$1094,13,FALSE),"-")</f>
        <v>-</v>
      </c>
      <c r="M195" s="11" t="str">
        <f>IFERROR(VLOOKUP($B195,'(勿動)組件目錄表'!$D$15:$R$1094,14,FALSE),"-")</f>
        <v>-</v>
      </c>
      <c r="N195" s="15">
        <f t="shared" si="1"/>
        <v>0</v>
      </c>
      <c r="O195" s="16"/>
    </row>
    <row r="196" spans="1:15" ht="15.75" customHeight="1">
      <c r="A196" s="18"/>
      <c r="B196" s="7"/>
      <c r="C196" s="8" t="str">
        <f>IFERROR(VLOOKUP($B196,'(勿動)組件目錄表'!$D$15:$R$1094,2,FALSE),"-")</f>
        <v>-</v>
      </c>
      <c r="D196" s="8" t="str">
        <f>IFERROR(VLOOKUP($B196,'(勿動)組件目錄表'!$D$15:$R$1094,3,FALSE),"-")</f>
        <v>-</v>
      </c>
      <c r="E196" s="9" t="str">
        <f>IFERROR(VLOOKUP($B196,'(勿動)組件目錄表'!$D$15:$R$1094,4,FALSE),"-")</f>
        <v>-</v>
      </c>
      <c r="F196" s="10" t="str">
        <f>IFERROR(VLOOKUP($B196,'(勿動)組件目錄表'!$D$15:$R$1094,5,FALSE),"-")</f>
        <v>-</v>
      </c>
      <c r="G196" s="11" t="str">
        <f>IFERROR(VLOOKUP($B196,'(勿動)組件目錄表'!$D$15:$R$1094,8,FALSE),"-")</f>
        <v>-</v>
      </c>
      <c r="H196" s="11" t="str">
        <f>IFERROR(VLOOKUP($B196,'(勿動)組件目錄表'!$D$15:$R$1094,9,FALSE),"-")</f>
        <v>-</v>
      </c>
      <c r="I196" s="11" t="str">
        <f>IFERROR(VLOOKUP($B196,'(勿動)組件目錄表'!$D$15:$R$1094,10,FALSE),"-")</f>
        <v>-</v>
      </c>
      <c r="J196" s="11" t="str">
        <f>IFERROR(VLOOKUP($B196,'(勿動)組件目錄表'!$D$15:$R$1094,11,FALSE),"-")</f>
        <v>-</v>
      </c>
      <c r="K196" s="11" t="str">
        <f>IFERROR(VLOOKUP($B196,'(勿動)組件目錄表'!$D$15:$R$1094,12,FALSE),"-")</f>
        <v>-</v>
      </c>
      <c r="L196" s="11" t="str">
        <f>IFERROR(VLOOKUP($B196,'(勿動)組件目錄表'!$D$15:$R$1094,13,FALSE),"-")</f>
        <v>-</v>
      </c>
      <c r="M196" s="11" t="str">
        <f>IFERROR(VLOOKUP($B196,'(勿動)組件目錄表'!$D$15:$R$1094,14,FALSE),"-")</f>
        <v>-</v>
      </c>
      <c r="N196" s="15">
        <f t="shared" si="1"/>
        <v>0</v>
      </c>
      <c r="O196" s="16"/>
    </row>
    <row r="197" spans="1:15" ht="15.75" customHeight="1">
      <c r="A197" s="18"/>
      <c r="B197" s="7"/>
      <c r="C197" s="8" t="str">
        <f>IFERROR(VLOOKUP($B197,'(勿動)組件目錄表'!$D$15:$R$1094,2,FALSE),"-")</f>
        <v>-</v>
      </c>
      <c r="D197" s="8" t="str">
        <f>IFERROR(VLOOKUP($B197,'(勿動)組件目錄表'!$D$15:$R$1094,3,FALSE),"-")</f>
        <v>-</v>
      </c>
      <c r="E197" s="9" t="str">
        <f>IFERROR(VLOOKUP($B197,'(勿動)組件目錄表'!$D$15:$R$1094,4,FALSE),"-")</f>
        <v>-</v>
      </c>
      <c r="F197" s="10" t="str">
        <f>IFERROR(VLOOKUP($B197,'(勿動)組件目錄表'!$D$15:$R$1094,5,FALSE),"-")</f>
        <v>-</v>
      </c>
      <c r="G197" s="11" t="str">
        <f>IFERROR(VLOOKUP($B197,'(勿動)組件目錄表'!$D$15:$R$1094,8,FALSE),"-")</f>
        <v>-</v>
      </c>
      <c r="H197" s="11" t="str">
        <f>IFERROR(VLOOKUP($B197,'(勿動)組件目錄表'!$D$15:$R$1094,9,FALSE),"-")</f>
        <v>-</v>
      </c>
      <c r="I197" s="11" t="str">
        <f>IFERROR(VLOOKUP($B197,'(勿動)組件目錄表'!$D$15:$R$1094,10,FALSE),"-")</f>
        <v>-</v>
      </c>
      <c r="J197" s="11" t="str">
        <f>IFERROR(VLOOKUP($B197,'(勿動)組件目錄表'!$D$15:$R$1094,11,FALSE),"-")</f>
        <v>-</v>
      </c>
      <c r="K197" s="11" t="str">
        <f>IFERROR(VLOOKUP($B197,'(勿動)組件目錄表'!$D$15:$R$1094,12,FALSE),"-")</f>
        <v>-</v>
      </c>
      <c r="L197" s="11" t="str">
        <f>IFERROR(VLOOKUP($B197,'(勿動)組件目錄表'!$D$15:$R$1094,13,FALSE),"-")</f>
        <v>-</v>
      </c>
      <c r="M197" s="11" t="str">
        <f>IFERROR(VLOOKUP($B197,'(勿動)組件目錄表'!$D$15:$R$1094,14,FALSE),"-")</f>
        <v>-</v>
      </c>
      <c r="N197" s="15">
        <f t="shared" si="1"/>
        <v>0</v>
      </c>
      <c r="O197" s="16"/>
    </row>
    <row r="198" spans="1:15" ht="15.75" customHeight="1">
      <c r="A198" s="18"/>
      <c r="B198" s="7"/>
      <c r="C198" s="8" t="str">
        <f>IFERROR(VLOOKUP($B198,'(勿動)組件目錄表'!$D$15:$R$1094,2,FALSE),"-")</f>
        <v>-</v>
      </c>
      <c r="D198" s="8" t="str">
        <f>IFERROR(VLOOKUP($B198,'(勿動)組件目錄表'!$D$15:$R$1094,3,FALSE),"-")</f>
        <v>-</v>
      </c>
      <c r="E198" s="9" t="str">
        <f>IFERROR(VLOOKUP($B198,'(勿動)組件目錄表'!$D$15:$R$1094,4,FALSE),"-")</f>
        <v>-</v>
      </c>
      <c r="F198" s="10" t="str">
        <f>IFERROR(VLOOKUP($B198,'(勿動)組件目錄表'!$D$15:$R$1094,5,FALSE),"-")</f>
        <v>-</v>
      </c>
      <c r="G198" s="11" t="str">
        <f>IFERROR(VLOOKUP($B198,'(勿動)組件目錄表'!$D$15:$R$1094,8,FALSE),"-")</f>
        <v>-</v>
      </c>
      <c r="H198" s="11" t="str">
        <f>IFERROR(VLOOKUP($B198,'(勿動)組件目錄表'!$D$15:$R$1094,9,FALSE),"-")</f>
        <v>-</v>
      </c>
      <c r="I198" s="11" t="str">
        <f>IFERROR(VLOOKUP($B198,'(勿動)組件目錄表'!$D$15:$R$1094,10,FALSE),"-")</f>
        <v>-</v>
      </c>
      <c r="J198" s="11" t="str">
        <f>IFERROR(VLOOKUP($B198,'(勿動)組件目錄表'!$D$15:$R$1094,11,FALSE),"-")</f>
        <v>-</v>
      </c>
      <c r="K198" s="11" t="str">
        <f>IFERROR(VLOOKUP($B198,'(勿動)組件目錄表'!$D$15:$R$1094,12,FALSE),"-")</f>
        <v>-</v>
      </c>
      <c r="L198" s="11" t="str">
        <f>IFERROR(VLOOKUP($B198,'(勿動)組件目錄表'!$D$15:$R$1094,13,FALSE),"-")</f>
        <v>-</v>
      </c>
      <c r="M198" s="11" t="str">
        <f>IFERROR(VLOOKUP($B198,'(勿動)組件目錄表'!$D$15:$R$1094,14,FALSE),"-")</f>
        <v>-</v>
      </c>
      <c r="N198" s="15">
        <f t="shared" si="1"/>
        <v>0</v>
      </c>
      <c r="O198" s="16"/>
    </row>
    <row r="199" spans="1:15" ht="15.75" customHeight="1">
      <c r="A199" s="18"/>
      <c r="B199" s="7"/>
      <c r="C199" s="8" t="str">
        <f>IFERROR(VLOOKUP($B199,'(勿動)組件目錄表'!$D$15:$R$1094,2,FALSE),"-")</f>
        <v>-</v>
      </c>
      <c r="D199" s="8" t="str">
        <f>IFERROR(VLOOKUP($B199,'(勿動)組件目錄表'!$D$15:$R$1094,3,FALSE),"-")</f>
        <v>-</v>
      </c>
      <c r="E199" s="9" t="str">
        <f>IFERROR(VLOOKUP($B199,'(勿動)組件目錄表'!$D$15:$R$1094,4,FALSE),"-")</f>
        <v>-</v>
      </c>
      <c r="F199" s="10" t="str">
        <f>IFERROR(VLOOKUP($B199,'(勿動)組件目錄表'!$D$15:$R$1094,5,FALSE),"-")</f>
        <v>-</v>
      </c>
      <c r="G199" s="11" t="str">
        <f>IFERROR(VLOOKUP($B199,'(勿動)組件目錄表'!$D$15:$R$1094,8,FALSE),"-")</f>
        <v>-</v>
      </c>
      <c r="H199" s="11" t="str">
        <f>IFERROR(VLOOKUP($B199,'(勿動)組件目錄表'!$D$15:$R$1094,9,FALSE),"-")</f>
        <v>-</v>
      </c>
      <c r="I199" s="11" t="str">
        <f>IFERROR(VLOOKUP($B199,'(勿動)組件目錄表'!$D$15:$R$1094,10,FALSE),"-")</f>
        <v>-</v>
      </c>
      <c r="J199" s="11" t="str">
        <f>IFERROR(VLOOKUP($B199,'(勿動)組件目錄表'!$D$15:$R$1094,11,FALSE),"-")</f>
        <v>-</v>
      </c>
      <c r="K199" s="11" t="str">
        <f>IFERROR(VLOOKUP($B199,'(勿動)組件目錄表'!$D$15:$R$1094,12,FALSE),"-")</f>
        <v>-</v>
      </c>
      <c r="L199" s="11" t="str">
        <f>IFERROR(VLOOKUP($B199,'(勿動)組件目錄表'!$D$15:$R$1094,13,FALSE),"-")</f>
        <v>-</v>
      </c>
      <c r="M199" s="11" t="str">
        <f>IFERROR(VLOOKUP($B199,'(勿動)組件目錄表'!$D$15:$R$1094,14,FALSE),"-")</f>
        <v>-</v>
      </c>
      <c r="N199" s="15">
        <f t="shared" si="1"/>
        <v>0</v>
      </c>
      <c r="O199" s="16"/>
    </row>
    <row r="200" spans="1:15" ht="15.75" customHeight="1">
      <c r="A200" s="18"/>
      <c r="B200" s="7"/>
      <c r="C200" s="8" t="str">
        <f>IFERROR(VLOOKUP($B200,'(勿動)組件目錄表'!$D$15:$R$1094,2,FALSE),"-")</f>
        <v>-</v>
      </c>
      <c r="D200" s="8" t="str">
        <f>IFERROR(VLOOKUP($B200,'(勿動)組件目錄表'!$D$15:$R$1094,3,FALSE),"-")</f>
        <v>-</v>
      </c>
      <c r="E200" s="9" t="str">
        <f>IFERROR(VLOOKUP($B200,'(勿動)組件目錄表'!$D$15:$R$1094,4,FALSE),"-")</f>
        <v>-</v>
      </c>
      <c r="F200" s="10" t="str">
        <f>IFERROR(VLOOKUP($B200,'(勿動)組件目錄表'!$D$15:$R$1094,5,FALSE),"-")</f>
        <v>-</v>
      </c>
      <c r="G200" s="11" t="str">
        <f>IFERROR(VLOOKUP($B200,'(勿動)組件目錄表'!$D$15:$R$1094,8,FALSE),"-")</f>
        <v>-</v>
      </c>
      <c r="H200" s="11" t="str">
        <f>IFERROR(VLOOKUP($B200,'(勿動)組件目錄表'!$D$15:$R$1094,9,FALSE),"-")</f>
        <v>-</v>
      </c>
      <c r="I200" s="11" t="str">
        <f>IFERROR(VLOOKUP($B200,'(勿動)組件目錄表'!$D$15:$R$1094,10,FALSE),"-")</f>
        <v>-</v>
      </c>
      <c r="J200" s="11" t="str">
        <f>IFERROR(VLOOKUP($B200,'(勿動)組件目錄表'!$D$15:$R$1094,11,FALSE),"-")</f>
        <v>-</v>
      </c>
      <c r="K200" s="11" t="str">
        <f>IFERROR(VLOOKUP($B200,'(勿動)組件目錄表'!$D$15:$R$1094,12,FALSE),"-")</f>
        <v>-</v>
      </c>
      <c r="L200" s="11" t="str">
        <f>IFERROR(VLOOKUP($B200,'(勿動)組件目錄表'!$D$15:$R$1094,13,FALSE),"-")</f>
        <v>-</v>
      </c>
      <c r="M200" s="11" t="str">
        <f>IFERROR(VLOOKUP($B200,'(勿動)組件目錄表'!$D$15:$R$1094,14,FALSE),"-")</f>
        <v>-</v>
      </c>
      <c r="N200" s="15">
        <f t="shared" si="1"/>
        <v>0</v>
      </c>
      <c r="O200" s="16"/>
    </row>
    <row r="201" spans="1:15" ht="15.75" customHeight="1">
      <c r="A201" s="18"/>
      <c r="B201" s="7"/>
      <c r="C201" s="8" t="str">
        <f>IFERROR(VLOOKUP($B201,'(勿動)組件目錄表'!$D$15:$R$1094,2,FALSE),"-")</f>
        <v>-</v>
      </c>
      <c r="D201" s="8" t="str">
        <f>IFERROR(VLOOKUP($B201,'(勿動)組件目錄表'!$D$15:$R$1094,3,FALSE),"-")</f>
        <v>-</v>
      </c>
      <c r="E201" s="9" t="str">
        <f>IFERROR(VLOOKUP($B201,'(勿動)組件目錄表'!$D$15:$R$1094,4,FALSE),"-")</f>
        <v>-</v>
      </c>
      <c r="F201" s="10" t="str">
        <f>IFERROR(VLOOKUP($B201,'(勿動)組件目錄表'!$D$15:$R$1094,5,FALSE),"-")</f>
        <v>-</v>
      </c>
      <c r="G201" s="11" t="str">
        <f>IFERROR(VLOOKUP($B201,'(勿動)組件目錄表'!$D$15:$R$1094,8,FALSE),"-")</f>
        <v>-</v>
      </c>
      <c r="H201" s="11" t="str">
        <f>IFERROR(VLOOKUP($B201,'(勿動)組件目錄表'!$D$15:$R$1094,9,FALSE),"-")</f>
        <v>-</v>
      </c>
      <c r="I201" s="11" t="str">
        <f>IFERROR(VLOOKUP($B201,'(勿動)組件目錄表'!$D$15:$R$1094,10,FALSE),"-")</f>
        <v>-</v>
      </c>
      <c r="J201" s="11" t="str">
        <f>IFERROR(VLOOKUP($B201,'(勿動)組件目錄表'!$D$15:$R$1094,11,FALSE),"-")</f>
        <v>-</v>
      </c>
      <c r="K201" s="11" t="str">
        <f>IFERROR(VLOOKUP($B201,'(勿動)組件目錄表'!$D$15:$R$1094,12,FALSE),"-")</f>
        <v>-</v>
      </c>
      <c r="L201" s="11" t="str">
        <f>IFERROR(VLOOKUP($B201,'(勿動)組件目錄表'!$D$15:$R$1094,13,FALSE),"-")</f>
        <v>-</v>
      </c>
      <c r="M201" s="11" t="str">
        <f>IFERROR(VLOOKUP($B201,'(勿動)組件目錄表'!$D$15:$R$1094,14,FALSE),"-")</f>
        <v>-</v>
      </c>
      <c r="N201" s="15">
        <f t="shared" si="1"/>
        <v>0</v>
      </c>
      <c r="O201" s="16"/>
    </row>
    <row r="202" spans="1:15" ht="15.75" customHeight="1">
      <c r="A202" s="18"/>
      <c r="B202" s="7"/>
      <c r="C202" s="8" t="str">
        <f>IFERROR(VLOOKUP($B202,'(勿動)組件目錄表'!$D$15:$R$1094,2,FALSE),"-")</f>
        <v>-</v>
      </c>
      <c r="D202" s="8" t="str">
        <f>IFERROR(VLOOKUP($B202,'(勿動)組件目錄表'!$D$15:$R$1094,3,FALSE),"-")</f>
        <v>-</v>
      </c>
      <c r="E202" s="9" t="str">
        <f>IFERROR(VLOOKUP($B202,'(勿動)組件目錄表'!$D$15:$R$1094,4,FALSE),"-")</f>
        <v>-</v>
      </c>
      <c r="F202" s="10" t="str">
        <f>IFERROR(VLOOKUP($B202,'(勿動)組件目錄表'!$D$15:$R$1094,5,FALSE),"-")</f>
        <v>-</v>
      </c>
      <c r="G202" s="11" t="str">
        <f>IFERROR(VLOOKUP($B202,'(勿動)組件目錄表'!$D$15:$R$1094,8,FALSE),"-")</f>
        <v>-</v>
      </c>
      <c r="H202" s="11" t="str">
        <f>IFERROR(VLOOKUP($B202,'(勿動)組件目錄表'!$D$15:$R$1094,9,FALSE),"-")</f>
        <v>-</v>
      </c>
      <c r="I202" s="11" t="str">
        <f>IFERROR(VLOOKUP($B202,'(勿動)組件目錄表'!$D$15:$R$1094,10,FALSE),"-")</f>
        <v>-</v>
      </c>
      <c r="J202" s="11" t="str">
        <f>IFERROR(VLOOKUP($B202,'(勿動)組件目錄表'!$D$15:$R$1094,11,FALSE),"-")</f>
        <v>-</v>
      </c>
      <c r="K202" s="11" t="str">
        <f>IFERROR(VLOOKUP($B202,'(勿動)組件目錄表'!$D$15:$R$1094,12,FALSE),"-")</f>
        <v>-</v>
      </c>
      <c r="L202" s="11" t="str">
        <f>IFERROR(VLOOKUP($B202,'(勿動)組件目錄表'!$D$15:$R$1094,13,FALSE),"-")</f>
        <v>-</v>
      </c>
      <c r="M202" s="11" t="str">
        <f>IFERROR(VLOOKUP($B202,'(勿動)組件目錄表'!$D$15:$R$1094,14,FALSE),"-")</f>
        <v>-</v>
      </c>
      <c r="N202" s="15">
        <f t="shared" si="1"/>
        <v>0</v>
      </c>
      <c r="O202" s="16"/>
    </row>
    <row r="203" spans="1:15" ht="15.75" customHeight="1">
      <c r="A203" s="18"/>
      <c r="B203" s="7"/>
      <c r="C203" s="8" t="str">
        <f>IFERROR(VLOOKUP($B203,'(勿動)組件目錄表'!$D$15:$R$1094,2,FALSE),"-")</f>
        <v>-</v>
      </c>
      <c r="D203" s="8" t="str">
        <f>IFERROR(VLOOKUP($B203,'(勿動)組件目錄表'!$D$15:$R$1094,3,FALSE),"-")</f>
        <v>-</v>
      </c>
      <c r="E203" s="9" t="str">
        <f>IFERROR(VLOOKUP($B203,'(勿動)組件目錄表'!$D$15:$R$1094,4,FALSE),"-")</f>
        <v>-</v>
      </c>
      <c r="F203" s="10" t="str">
        <f>IFERROR(VLOOKUP($B203,'(勿動)組件目錄表'!$D$15:$R$1094,5,FALSE),"-")</f>
        <v>-</v>
      </c>
      <c r="G203" s="11" t="str">
        <f>IFERROR(VLOOKUP($B203,'(勿動)組件目錄表'!$D$15:$R$1094,8,FALSE),"-")</f>
        <v>-</v>
      </c>
      <c r="H203" s="11" t="str">
        <f>IFERROR(VLOOKUP($B203,'(勿動)組件目錄表'!$D$15:$R$1094,9,FALSE),"-")</f>
        <v>-</v>
      </c>
      <c r="I203" s="11" t="str">
        <f>IFERROR(VLOOKUP($B203,'(勿動)組件目錄表'!$D$15:$R$1094,10,FALSE),"-")</f>
        <v>-</v>
      </c>
      <c r="J203" s="11" t="str">
        <f>IFERROR(VLOOKUP($B203,'(勿動)組件目錄表'!$D$15:$R$1094,11,FALSE),"-")</f>
        <v>-</v>
      </c>
      <c r="K203" s="11" t="str">
        <f>IFERROR(VLOOKUP($B203,'(勿動)組件目錄表'!$D$15:$R$1094,12,FALSE),"-")</f>
        <v>-</v>
      </c>
      <c r="L203" s="11" t="str">
        <f>IFERROR(VLOOKUP($B203,'(勿動)組件目錄表'!$D$15:$R$1094,13,FALSE),"-")</f>
        <v>-</v>
      </c>
      <c r="M203" s="11" t="str">
        <f>IFERROR(VLOOKUP($B203,'(勿動)組件目錄表'!$D$15:$R$1094,14,FALSE),"-")</f>
        <v>-</v>
      </c>
      <c r="N203" s="15">
        <f t="shared" si="1"/>
        <v>0</v>
      </c>
      <c r="O203" s="16"/>
    </row>
    <row r="204" spans="1:15" ht="15.75" customHeight="1">
      <c r="A204" s="18"/>
      <c r="B204" s="7"/>
      <c r="C204" s="8" t="str">
        <f>IFERROR(VLOOKUP($B204,'(勿動)組件目錄表'!$D$15:$R$1094,2,FALSE),"-")</f>
        <v>-</v>
      </c>
      <c r="D204" s="8" t="str">
        <f>IFERROR(VLOOKUP($B204,'(勿動)組件目錄表'!$D$15:$R$1094,3,FALSE),"-")</f>
        <v>-</v>
      </c>
      <c r="E204" s="9" t="str">
        <f>IFERROR(VLOOKUP($B204,'(勿動)組件目錄表'!$D$15:$R$1094,4,FALSE),"-")</f>
        <v>-</v>
      </c>
      <c r="F204" s="10" t="str">
        <f>IFERROR(VLOOKUP($B204,'(勿動)組件目錄表'!$D$15:$R$1094,5,FALSE),"-")</f>
        <v>-</v>
      </c>
      <c r="G204" s="11" t="str">
        <f>IFERROR(VLOOKUP($B204,'(勿動)組件目錄表'!$D$15:$R$1094,8,FALSE),"-")</f>
        <v>-</v>
      </c>
      <c r="H204" s="11" t="str">
        <f>IFERROR(VLOOKUP($B204,'(勿動)組件目錄表'!$D$15:$R$1094,9,FALSE),"-")</f>
        <v>-</v>
      </c>
      <c r="I204" s="11" t="str">
        <f>IFERROR(VLOOKUP($B204,'(勿動)組件目錄表'!$D$15:$R$1094,10,FALSE),"-")</f>
        <v>-</v>
      </c>
      <c r="J204" s="11" t="str">
        <f>IFERROR(VLOOKUP($B204,'(勿動)組件目錄表'!$D$15:$R$1094,11,FALSE),"-")</f>
        <v>-</v>
      </c>
      <c r="K204" s="11" t="str">
        <f>IFERROR(VLOOKUP($B204,'(勿動)組件目錄表'!$D$15:$R$1094,12,FALSE),"-")</f>
        <v>-</v>
      </c>
      <c r="L204" s="11" t="str">
        <f>IFERROR(VLOOKUP($B204,'(勿動)組件目錄表'!$D$15:$R$1094,13,FALSE),"-")</f>
        <v>-</v>
      </c>
      <c r="M204" s="11" t="str">
        <f>IFERROR(VLOOKUP($B204,'(勿動)組件目錄表'!$D$15:$R$1094,14,FALSE),"-")</f>
        <v>-</v>
      </c>
      <c r="N204" s="15">
        <f t="shared" si="1"/>
        <v>0</v>
      </c>
      <c r="O204" s="16"/>
    </row>
    <row r="205" spans="1:15" ht="15.75" customHeight="1">
      <c r="A205" s="18"/>
      <c r="B205" s="7"/>
      <c r="C205" s="8" t="str">
        <f>IFERROR(VLOOKUP($B205,'(勿動)組件目錄表'!$D$15:$R$1094,2,FALSE),"-")</f>
        <v>-</v>
      </c>
      <c r="D205" s="8" t="str">
        <f>IFERROR(VLOOKUP($B205,'(勿動)組件目錄表'!$D$15:$R$1094,3,FALSE),"-")</f>
        <v>-</v>
      </c>
      <c r="E205" s="9" t="str">
        <f>IFERROR(VLOOKUP($B205,'(勿動)組件目錄表'!$D$15:$R$1094,4,FALSE),"-")</f>
        <v>-</v>
      </c>
      <c r="F205" s="10" t="str">
        <f>IFERROR(VLOOKUP($B205,'(勿動)組件目錄表'!$D$15:$R$1094,5,FALSE),"-")</f>
        <v>-</v>
      </c>
      <c r="G205" s="11" t="str">
        <f>IFERROR(VLOOKUP($B205,'(勿動)組件目錄表'!$D$15:$R$1094,8,FALSE),"-")</f>
        <v>-</v>
      </c>
      <c r="H205" s="11" t="str">
        <f>IFERROR(VLOOKUP($B205,'(勿動)組件目錄表'!$D$15:$R$1094,9,FALSE),"-")</f>
        <v>-</v>
      </c>
      <c r="I205" s="11" t="str">
        <f>IFERROR(VLOOKUP($B205,'(勿動)組件目錄表'!$D$15:$R$1094,10,FALSE),"-")</f>
        <v>-</v>
      </c>
      <c r="J205" s="11" t="str">
        <f>IFERROR(VLOOKUP($B205,'(勿動)組件目錄表'!$D$15:$R$1094,11,FALSE),"-")</f>
        <v>-</v>
      </c>
      <c r="K205" s="11" t="str">
        <f>IFERROR(VLOOKUP($B205,'(勿動)組件目錄表'!$D$15:$R$1094,12,FALSE),"-")</f>
        <v>-</v>
      </c>
      <c r="L205" s="11" t="str">
        <f>IFERROR(VLOOKUP($B205,'(勿動)組件目錄表'!$D$15:$R$1094,13,FALSE),"-")</f>
        <v>-</v>
      </c>
      <c r="M205" s="11" t="str">
        <f>IFERROR(VLOOKUP($B205,'(勿動)組件目錄表'!$D$15:$R$1094,14,FALSE),"-")</f>
        <v>-</v>
      </c>
      <c r="N205" s="15">
        <f t="shared" si="1"/>
        <v>0</v>
      </c>
      <c r="O205" s="16"/>
    </row>
    <row r="206" spans="1:15" ht="15.75" customHeight="1">
      <c r="A206" s="18"/>
      <c r="B206" s="7"/>
      <c r="C206" s="8" t="str">
        <f>IFERROR(VLOOKUP($B206,'(勿動)組件目錄表'!$D$15:$R$1094,2,FALSE),"-")</f>
        <v>-</v>
      </c>
      <c r="D206" s="8" t="str">
        <f>IFERROR(VLOOKUP($B206,'(勿動)組件目錄表'!$D$15:$R$1094,3,FALSE),"-")</f>
        <v>-</v>
      </c>
      <c r="E206" s="9" t="str">
        <f>IFERROR(VLOOKUP($B206,'(勿動)組件目錄表'!$D$15:$R$1094,4,FALSE),"-")</f>
        <v>-</v>
      </c>
      <c r="F206" s="10" t="str">
        <f>IFERROR(VLOOKUP($B206,'(勿動)組件目錄表'!$D$15:$R$1094,5,FALSE),"-")</f>
        <v>-</v>
      </c>
      <c r="G206" s="11" t="str">
        <f>IFERROR(VLOOKUP($B206,'(勿動)組件目錄表'!$D$15:$R$1094,8,FALSE),"-")</f>
        <v>-</v>
      </c>
      <c r="H206" s="11" t="str">
        <f>IFERROR(VLOOKUP($B206,'(勿動)組件目錄表'!$D$15:$R$1094,9,FALSE),"-")</f>
        <v>-</v>
      </c>
      <c r="I206" s="11" t="str">
        <f>IFERROR(VLOOKUP($B206,'(勿動)組件目錄表'!$D$15:$R$1094,10,FALSE),"-")</f>
        <v>-</v>
      </c>
      <c r="J206" s="11" t="str">
        <f>IFERROR(VLOOKUP($B206,'(勿動)組件目錄表'!$D$15:$R$1094,11,FALSE),"-")</f>
        <v>-</v>
      </c>
      <c r="K206" s="11" t="str">
        <f>IFERROR(VLOOKUP($B206,'(勿動)組件目錄表'!$D$15:$R$1094,12,FALSE),"-")</f>
        <v>-</v>
      </c>
      <c r="L206" s="11" t="str">
        <f>IFERROR(VLOOKUP($B206,'(勿動)組件目錄表'!$D$15:$R$1094,13,FALSE),"-")</f>
        <v>-</v>
      </c>
      <c r="M206" s="11" t="str">
        <f>IFERROR(VLOOKUP($B206,'(勿動)組件目錄表'!$D$15:$R$1094,14,FALSE),"-")</f>
        <v>-</v>
      </c>
      <c r="N206" s="15">
        <f t="shared" si="1"/>
        <v>0</v>
      </c>
      <c r="O206" s="16"/>
    </row>
    <row r="207" spans="1:15" ht="15.75" customHeight="1">
      <c r="A207" s="18"/>
      <c r="B207" s="7"/>
      <c r="C207" s="8" t="str">
        <f>IFERROR(VLOOKUP($B207,'(勿動)組件目錄表'!$D$15:$R$1094,2,FALSE),"-")</f>
        <v>-</v>
      </c>
      <c r="D207" s="8" t="str">
        <f>IFERROR(VLOOKUP($B207,'(勿動)組件目錄表'!$D$15:$R$1094,3,FALSE),"-")</f>
        <v>-</v>
      </c>
      <c r="E207" s="9" t="str">
        <f>IFERROR(VLOOKUP($B207,'(勿動)組件目錄表'!$D$15:$R$1094,4,FALSE),"-")</f>
        <v>-</v>
      </c>
      <c r="F207" s="10" t="str">
        <f>IFERROR(VLOOKUP($B207,'(勿動)組件目錄表'!$D$15:$R$1094,5,FALSE),"-")</f>
        <v>-</v>
      </c>
      <c r="G207" s="11" t="str">
        <f>IFERROR(VLOOKUP($B207,'(勿動)組件目錄表'!$D$15:$R$1094,8,FALSE),"-")</f>
        <v>-</v>
      </c>
      <c r="H207" s="11" t="str">
        <f>IFERROR(VLOOKUP($B207,'(勿動)組件目錄表'!$D$15:$R$1094,9,FALSE),"-")</f>
        <v>-</v>
      </c>
      <c r="I207" s="11" t="str">
        <f>IFERROR(VLOOKUP($B207,'(勿動)組件目錄表'!$D$15:$R$1094,10,FALSE),"-")</f>
        <v>-</v>
      </c>
      <c r="J207" s="11" t="str">
        <f>IFERROR(VLOOKUP($B207,'(勿動)組件目錄表'!$D$15:$R$1094,11,FALSE),"-")</f>
        <v>-</v>
      </c>
      <c r="K207" s="11" t="str">
        <f>IFERROR(VLOOKUP($B207,'(勿動)組件目錄表'!$D$15:$R$1094,12,FALSE),"-")</f>
        <v>-</v>
      </c>
      <c r="L207" s="11" t="str">
        <f>IFERROR(VLOOKUP($B207,'(勿動)組件目錄表'!$D$15:$R$1094,13,FALSE),"-")</f>
        <v>-</v>
      </c>
      <c r="M207" s="11" t="str">
        <f>IFERROR(VLOOKUP($B207,'(勿動)組件目錄表'!$D$15:$R$1094,14,FALSE),"-")</f>
        <v>-</v>
      </c>
      <c r="N207" s="15">
        <f t="shared" si="1"/>
        <v>0</v>
      </c>
      <c r="O207" s="16"/>
    </row>
    <row r="208" spans="1:15" ht="15.75" customHeight="1">
      <c r="A208" s="18"/>
      <c r="B208" s="7"/>
      <c r="C208" s="8" t="str">
        <f>IFERROR(VLOOKUP($B208,'(勿動)組件目錄表'!$D$15:$R$1094,2,FALSE),"-")</f>
        <v>-</v>
      </c>
      <c r="D208" s="8" t="str">
        <f>IFERROR(VLOOKUP($B208,'(勿動)組件目錄表'!$D$15:$R$1094,3,FALSE),"-")</f>
        <v>-</v>
      </c>
      <c r="E208" s="9" t="str">
        <f>IFERROR(VLOOKUP($B208,'(勿動)組件目錄表'!$D$15:$R$1094,4,FALSE),"-")</f>
        <v>-</v>
      </c>
      <c r="F208" s="10" t="str">
        <f>IFERROR(VLOOKUP($B208,'(勿動)組件目錄表'!$D$15:$R$1094,5,FALSE),"-")</f>
        <v>-</v>
      </c>
      <c r="G208" s="11" t="str">
        <f>IFERROR(VLOOKUP($B208,'(勿動)組件目錄表'!$D$15:$R$1094,8,FALSE),"-")</f>
        <v>-</v>
      </c>
      <c r="H208" s="11" t="str">
        <f>IFERROR(VLOOKUP($B208,'(勿動)組件目錄表'!$D$15:$R$1094,9,FALSE),"-")</f>
        <v>-</v>
      </c>
      <c r="I208" s="11" t="str">
        <f>IFERROR(VLOOKUP($B208,'(勿動)組件目錄表'!$D$15:$R$1094,10,FALSE),"-")</f>
        <v>-</v>
      </c>
      <c r="J208" s="11" t="str">
        <f>IFERROR(VLOOKUP($B208,'(勿動)組件目錄表'!$D$15:$R$1094,11,FALSE),"-")</f>
        <v>-</v>
      </c>
      <c r="K208" s="11" t="str">
        <f>IFERROR(VLOOKUP($B208,'(勿動)組件目錄表'!$D$15:$R$1094,12,FALSE),"-")</f>
        <v>-</v>
      </c>
      <c r="L208" s="11" t="str">
        <f>IFERROR(VLOOKUP($B208,'(勿動)組件目錄表'!$D$15:$R$1094,13,FALSE),"-")</f>
        <v>-</v>
      </c>
      <c r="M208" s="11" t="str">
        <f>IFERROR(VLOOKUP($B208,'(勿動)組件目錄表'!$D$15:$R$1094,14,FALSE),"-")</f>
        <v>-</v>
      </c>
      <c r="N208" s="15">
        <f t="shared" si="1"/>
        <v>0</v>
      </c>
      <c r="O208" s="16"/>
    </row>
    <row r="209" spans="1:15" ht="15.75" customHeight="1">
      <c r="A209" s="18"/>
      <c r="B209" s="7"/>
      <c r="C209" s="8" t="str">
        <f>IFERROR(VLOOKUP($B209,'(勿動)組件目錄表'!$D$15:$R$1094,2,FALSE),"-")</f>
        <v>-</v>
      </c>
      <c r="D209" s="8" t="str">
        <f>IFERROR(VLOOKUP($B209,'(勿動)組件目錄表'!$D$15:$R$1094,3,FALSE),"-")</f>
        <v>-</v>
      </c>
      <c r="E209" s="9" t="str">
        <f>IFERROR(VLOOKUP($B209,'(勿動)組件目錄表'!$D$15:$R$1094,4,FALSE),"-")</f>
        <v>-</v>
      </c>
      <c r="F209" s="10" t="str">
        <f>IFERROR(VLOOKUP($B209,'(勿動)組件目錄表'!$D$15:$R$1094,5,FALSE),"-")</f>
        <v>-</v>
      </c>
      <c r="G209" s="11" t="str">
        <f>IFERROR(VLOOKUP($B209,'(勿動)組件目錄表'!$D$15:$R$1094,8,FALSE),"-")</f>
        <v>-</v>
      </c>
      <c r="H209" s="11" t="str">
        <f>IFERROR(VLOOKUP($B209,'(勿動)組件目錄表'!$D$15:$R$1094,9,FALSE),"-")</f>
        <v>-</v>
      </c>
      <c r="I209" s="11" t="str">
        <f>IFERROR(VLOOKUP($B209,'(勿動)組件目錄表'!$D$15:$R$1094,10,FALSE),"-")</f>
        <v>-</v>
      </c>
      <c r="J209" s="11" t="str">
        <f>IFERROR(VLOOKUP($B209,'(勿動)組件目錄表'!$D$15:$R$1094,11,FALSE),"-")</f>
        <v>-</v>
      </c>
      <c r="K209" s="11" t="str">
        <f>IFERROR(VLOOKUP($B209,'(勿動)組件目錄表'!$D$15:$R$1094,12,FALSE),"-")</f>
        <v>-</v>
      </c>
      <c r="L209" s="11" t="str">
        <f>IFERROR(VLOOKUP($B209,'(勿動)組件目錄表'!$D$15:$R$1094,13,FALSE),"-")</f>
        <v>-</v>
      </c>
      <c r="M209" s="11" t="str">
        <f>IFERROR(VLOOKUP($B209,'(勿動)組件目錄表'!$D$15:$R$1094,14,FALSE),"-")</f>
        <v>-</v>
      </c>
      <c r="N209" s="15">
        <f t="shared" si="1"/>
        <v>0</v>
      </c>
      <c r="O209" s="16"/>
    </row>
    <row r="210" spans="1:15" ht="15.75" customHeight="1">
      <c r="A210" s="18"/>
      <c r="B210" s="7"/>
      <c r="C210" s="8" t="str">
        <f>IFERROR(VLOOKUP($B210,'(勿動)組件目錄表'!$D$15:$R$1094,2,FALSE),"-")</f>
        <v>-</v>
      </c>
      <c r="D210" s="8" t="str">
        <f>IFERROR(VLOOKUP($B210,'(勿動)組件目錄表'!$D$15:$R$1094,3,FALSE),"-")</f>
        <v>-</v>
      </c>
      <c r="E210" s="9" t="str">
        <f>IFERROR(VLOOKUP($B210,'(勿動)組件目錄表'!$D$15:$R$1094,4,FALSE),"-")</f>
        <v>-</v>
      </c>
      <c r="F210" s="10" t="str">
        <f>IFERROR(VLOOKUP($B210,'(勿動)組件目錄表'!$D$15:$R$1094,5,FALSE),"-")</f>
        <v>-</v>
      </c>
      <c r="G210" s="11" t="str">
        <f>IFERROR(VLOOKUP($B210,'(勿動)組件目錄表'!$D$15:$R$1094,8,FALSE),"-")</f>
        <v>-</v>
      </c>
      <c r="H210" s="11" t="str">
        <f>IFERROR(VLOOKUP($B210,'(勿動)組件目錄表'!$D$15:$R$1094,9,FALSE),"-")</f>
        <v>-</v>
      </c>
      <c r="I210" s="11" t="str">
        <f>IFERROR(VLOOKUP($B210,'(勿動)組件目錄表'!$D$15:$R$1094,10,FALSE),"-")</f>
        <v>-</v>
      </c>
      <c r="J210" s="11" t="str">
        <f>IFERROR(VLOOKUP($B210,'(勿動)組件目錄表'!$D$15:$R$1094,11,FALSE),"-")</f>
        <v>-</v>
      </c>
      <c r="K210" s="11" t="str">
        <f>IFERROR(VLOOKUP($B210,'(勿動)組件目錄表'!$D$15:$R$1094,12,FALSE),"-")</f>
        <v>-</v>
      </c>
      <c r="L210" s="11" t="str">
        <f>IFERROR(VLOOKUP($B210,'(勿動)組件目錄表'!$D$15:$R$1094,13,FALSE),"-")</f>
        <v>-</v>
      </c>
      <c r="M210" s="11" t="str">
        <f>IFERROR(VLOOKUP($B210,'(勿動)組件目錄表'!$D$15:$R$1094,14,FALSE),"-")</f>
        <v>-</v>
      </c>
      <c r="N210" s="15">
        <f t="shared" si="1"/>
        <v>0</v>
      </c>
      <c r="O210" s="16"/>
    </row>
    <row r="211" spans="1:15" ht="15.75" customHeight="1">
      <c r="A211" s="18"/>
      <c r="B211" s="7"/>
      <c r="C211" s="8" t="str">
        <f>IFERROR(VLOOKUP($B211,'(勿動)組件目錄表'!$D$15:$R$1094,2,FALSE),"-")</f>
        <v>-</v>
      </c>
      <c r="D211" s="8" t="str">
        <f>IFERROR(VLOOKUP($B211,'(勿動)組件目錄表'!$D$15:$R$1094,3,FALSE),"-")</f>
        <v>-</v>
      </c>
      <c r="E211" s="9" t="str">
        <f>IFERROR(VLOOKUP($B211,'(勿動)組件目錄表'!$D$15:$R$1094,4,FALSE),"-")</f>
        <v>-</v>
      </c>
      <c r="F211" s="10" t="str">
        <f>IFERROR(VLOOKUP($B211,'(勿動)組件目錄表'!$D$15:$R$1094,5,FALSE),"-")</f>
        <v>-</v>
      </c>
      <c r="G211" s="11" t="str">
        <f>IFERROR(VLOOKUP($B211,'(勿動)組件目錄表'!$D$15:$R$1094,8,FALSE),"-")</f>
        <v>-</v>
      </c>
      <c r="H211" s="11" t="str">
        <f>IFERROR(VLOOKUP($B211,'(勿動)組件目錄表'!$D$15:$R$1094,9,FALSE),"-")</f>
        <v>-</v>
      </c>
      <c r="I211" s="11" t="str">
        <f>IFERROR(VLOOKUP($B211,'(勿動)組件目錄表'!$D$15:$R$1094,10,FALSE),"-")</f>
        <v>-</v>
      </c>
      <c r="J211" s="11" t="str">
        <f>IFERROR(VLOOKUP($B211,'(勿動)組件目錄表'!$D$15:$R$1094,11,FALSE),"-")</f>
        <v>-</v>
      </c>
      <c r="K211" s="11" t="str">
        <f>IFERROR(VLOOKUP($B211,'(勿動)組件目錄表'!$D$15:$R$1094,12,FALSE),"-")</f>
        <v>-</v>
      </c>
      <c r="L211" s="11" t="str">
        <f>IFERROR(VLOOKUP($B211,'(勿動)組件目錄表'!$D$15:$R$1094,13,FALSE),"-")</f>
        <v>-</v>
      </c>
      <c r="M211" s="11" t="str">
        <f>IFERROR(VLOOKUP($B211,'(勿動)組件目錄表'!$D$15:$R$1094,14,FALSE),"-")</f>
        <v>-</v>
      </c>
      <c r="N211" s="15">
        <f t="shared" si="1"/>
        <v>0</v>
      </c>
      <c r="O211" s="16"/>
    </row>
    <row r="212" spans="1:15" ht="15.75" customHeight="1">
      <c r="A212" s="18"/>
      <c r="B212" s="7"/>
      <c r="C212" s="8" t="str">
        <f>IFERROR(VLOOKUP($B212,'(勿動)組件目錄表'!$D$15:$R$1094,2,FALSE),"-")</f>
        <v>-</v>
      </c>
      <c r="D212" s="8" t="str">
        <f>IFERROR(VLOOKUP($B212,'(勿動)組件目錄表'!$D$15:$R$1094,3,FALSE),"-")</f>
        <v>-</v>
      </c>
      <c r="E212" s="9" t="str">
        <f>IFERROR(VLOOKUP($B212,'(勿動)組件目錄表'!$D$15:$R$1094,4,FALSE),"-")</f>
        <v>-</v>
      </c>
      <c r="F212" s="10" t="str">
        <f>IFERROR(VLOOKUP($B212,'(勿動)組件目錄表'!$D$15:$R$1094,5,FALSE),"-")</f>
        <v>-</v>
      </c>
      <c r="G212" s="11" t="str">
        <f>IFERROR(VLOOKUP($B212,'(勿動)組件目錄表'!$D$15:$R$1094,8,FALSE),"-")</f>
        <v>-</v>
      </c>
      <c r="H212" s="11" t="str">
        <f>IFERROR(VLOOKUP($B212,'(勿動)組件目錄表'!$D$15:$R$1094,9,FALSE),"-")</f>
        <v>-</v>
      </c>
      <c r="I212" s="11" t="str">
        <f>IFERROR(VLOOKUP($B212,'(勿動)組件目錄表'!$D$15:$R$1094,10,FALSE),"-")</f>
        <v>-</v>
      </c>
      <c r="J212" s="11" t="str">
        <f>IFERROR(VLOOKUP($B212,'(勿動)組件目錄表'!$D$15:$R$1094,11,FALSE),"-")</f>
        <v>-</v>
      </c>
      <c r="K212" s="11" t="str">
        <f>IFERROR(VLOOKUP($B212,'(勿動)組件目錄表'!$D$15:$R$1094,12,FALSE),"-")</f>
        <v>-</v>
      </c>
      <c r="L212" s="11" t="str">
        <f>IFERROR(VLOOKUP($B212,'(勿動)組件目錄表'!$D$15:$R$1094,13,FALSE),"-")</f>
        <v>-</v>
      </c>
      <c r="M212" s="11" t="str">
        <f>IFERROR(VLOOKUP($B212,'(勿動)組件目錄表'!$D$15:$R$1094,14,FALSE),"-")</f>
        <v>-</v>
      </c>
      <c r="N212" s="15">
        <f t="shared" si="1"/>
        <v>0</v>
      </c>
      <c r="O212" s="16"/>
    </row>
    <row r="213" spans="1:15" ht="15.75" customHeight="1">
      <c r="A213" s="18"/>
      <c r="B213" s="7"/>
      <c r="C213" s="8" t="str">
        <f>IFERROR(VLOOKUP($B213,'(勿動)組件目錄表'!$D$15:$R$1094,2,FALSE),"-")</f>
        <v>-</v>
      </c>
      <c r="D213" s="8" t="str">
        <f>IFERROR(VLOOKUP($B213,'(勿動)組件目錄表'!$D$15:$R$1094,3,FALSE),"-")</f>
        <v>-</v>
      </c>
      <c r="E213" s="9" t="str">
        <f>IFERROR(VLOOKUP($B213,'(勿動)組件目錄表'!$D$15:$R$1094,4,FALSE),"-")</f>
        <v>-</v>
      </c>
      <c r="F213" s="10" t="str">
        <f>IFERROR(VLOOKUP($B213,'(勿動)組件目錄表'!$D$15:$R$1094,5,FALSE),"-")</f>
        <v>-</v>
      </c>
      <c r="G213" s="11" t="str">
        <f>IFERROR(VLOOKUP($B213,'(勿動)組件目錄表'!$D$15:$R$1094,8,FALSE),"-")</f>
        <v>-</v>
      </c>
      <c r="H213" s="11" t="str">
        <f>IFERROR(VLOOKUP($B213,'(勿動)組件目錄表'!$D$15:$R$1094,9,FALSE),"-")</f>
        <v>-</v>
      </c>
      <c r="I213" s="11" t="str">
        <f>IFERROR(VLOOKUP($B213,'(勿動)組件目錄表'!$D$15:$R$1094,10,FALSE),"-")</f>
        <v>-</v>
      </c>
      <c r="J213" s="11" t="str">
        <f>IFERROR(VLOOKUP($B213,'(勿動)組件目錄表'!$D$15:$R$1094,11,FALSE),"-")</f>
        <v>-</v>
      </c>
      <c r="K213" s="11" t="str">
        <f>IFERROR(VLOOKUP($B213,'(勿動)組件目錄表'!$D$15:$R$1094,12,FALSE),"-")</f>
        <v>-</v>
      </c>
      <c r="L213" s="11" t="str">
        <f>IFERROR(VLOOKUP($B213,'(勿動)組件目錄表'!$D$15:$R$1094,13,FALSE),"-")</f>
        <v>-</v>
      </c>
      <c r="M213" s="11" t="str">
        <f>IFERROR(VLOOKUP($B213,'(勿動)組件目錄表'!$D$15:$R$1094,14,FALSE),"-")</f>
        <v>-</v>
      </c>
      <c r="N213" s="15">
        <f t="shared" si="1"/>
        <v>0</v>
      </c>
      <c r="O213" s="16"/>
    </row>
    <row r="214" spans="1:15" ht="15.75" customHeight="1">
      <c r="A214" s="18"/>
      <c r="B214" s="7"/>
      <c r="C214" s="8" t="str">
        <f>IFERROR(VLOOKUP($B214,'(勿動)組件目錄表'!$D$15:$R$1094,2,FALSE),"-")</f>
        <v>-</v>
      </c>
      <c r="D214" s="8" t="str">
        <f>IFERROR(VLOOKUP($B214,'(勿動)組件目錄表'!$D$15:$R$1094,3,FALSE),"-")</f>
        <v>-</v>
      </c>
      <c r="E214" s="9" t="str">
        <f>IFERROR(VLOOKUP($B214,'(勿動)組件目錄表'!$D$15:$R$1094,4,FALSE),"-")</f>
        <v>-</v>
      </c>
      <c r="F214" s="10" t="str">
        <f>IFERROR(VLOOKUP($B214,'(勿動)組件目錄表'!$D$15:$R$1094,5,FALSE),"-")</f>
        <v>-</v>
      </c>
      <c r="G214" s="11" t="str">
        <f>IFERROR(VLOOKUP($B214,'(勿動)組件目錄表'!$D$15:$R$1094,8,FALSE),"-")</f>
        <v>-</v>
      </c>
      <c r="H214" s="11" t="str">
        <f>IFERROR(VLOOKUP($B214,'(勿動)組件目錄表'!$D$15:$R$1094,9,FALSE),"-")</f>
        <v>-</v>
      </c>
      <c r="I214" s="11" t="str">
        <f>IFERROR(VLOOKUP($B214,'(勿動)組件目錄表'!$D$15:$R$1094,10,FALSE),"-")</f>
        <v>-</v>
      </c>
      <c r="J214" s="11" t="str">
        <f>IFERROR(VLOOKUP($B214,'(勿動)組件目錄表'!$D$15:$R$1094,11,FALSE),"-")</f>
        <v>-</v>
      </c>
      <c r="K214" s="11" t="str">
        <f>IFERROR(VLOOKUP($B214,'(勿動)組件目錄表'!$D$15:$R$1094,12,FALSE),"-")</f>
        <v>-</v>
      </c>
      <c r="L214" s="11" t="str">
        <f>IFERROR(VLOOKUP($B214,'(勿動)組件目錄表'!$D$15:$R$1094,13,FALSE),"-")</f>
        <v>-</v>
      </c>
      <c r="M214" s="11" t="str">
        <f>IFERROR(VLOOKUP($B214,'(勿動)組件目錄表'!$D$15:$R$1094,14,FALSE),"-")</f>
        <v>-</v>
      </c>
      <c r="N214" s="15">
        <f t="shared" si="1"/>
        <v>0</v>
      </c>
      <c r="O214" s="16"/>
    </row>
    <row r="215" spans="1:15" ht="15.75" customHeight="1">
      <c r="A215" s="18"/>
      <c r="B215" s="7"/>
      <c r="C215" s="8" t="str">
        <f>IFERROR(VLOOKUP($B215,'(勿動)組件目錄表'!$D$15:$R$1094,2,FALSE),"-")</f>
        <v>-</v>
      </c>
      <c r="D215" s="8" t="str">
        <f>IFERROR(VLOOKUP($B215,'(勿動)組件目錄表'!$D$15:$R$1094,3,FALSE),"-")</f>
        <v>-</v>
      </c>
      <c r="E215" s="9" t="str">
        <f>IFERROR(VLOOKUP($B215,'(勿動)組件目錄表'!$D$15:$R$1094,4,FALSE),"-")</f>
        <v>-</v>
      </c>
      <c r="F215" s="10" t="str">
        <f>IFERROR(VLOOKUP($B215,'(勿動)組件目錄表'!$D$15:$R$1094,5,FALSE),"-")</f>
        <v>-</v>
      </c>
      <c r="G215" s="11" t="str">
        <f>IFERROR(VLOOKUP($B215,'(勿動)組件目錄表'!$D$15:$R$1094,8,FALSE),"-")</f>
        <v>-</v>
      </c>
      <c r="H215" s="11" t="str">
        <f>IFERROR(VLOOKUP($B215,'(勿動)組件目錄表'!$D$15:$R$1094,9,FALSE),"-")</f>
        <v>-</v>
      </c>
      <c r="I215" s="11" t="str">
        <f>IFERROR(VLOOKUP($B215,'(勿動)組件目錄表'!$D$15:$R$1094,10,FALSE),"-")</f>
        <v>-</v>
      </c>
      <c r="J215" s="11" t="str">
        <f>IFERROR(VLOOKUP($B215,'(勿動)組件目錄表'!$D$15:$R$1094,11,FALSE),"-")</f>
        <v>-</v>
      </c>
      <c r="K215" s="11" t="str">
        <f>IFERROR(VLOOKUP($B215,'(勿動)組件目錄表'!$D$15:$R$1094,12,FALSE),"-")</f>
        <v>-</v>
      </c>
      <c r="L215" s="11" t="str">
        <f>IFERROR(VLOOKUP($B215,'(勿動)組件目錄表'!$D$15:$R$1094,13,FALSE),"-")</f>
        <v>-</v>
      </c>
      <c r="M215" s="11" t="str">
        <f>IFERROR(VLOOKUP($B215,'(勿動)組件目錄表'!$D$15:$R$1094,14,FALSE),"-")</f>
        <v>-</v>
      </c>
      <c r="N215" s="15">
        <f t="shared" si="1"/>
        <v>0</v>
      </c>
      <c r="O215" s="16"/>
    </row>
    <row r="216" spans="1:15" ht="15.75" customHeight="1">
      <c r="A216" s="18"/>
      <c r="B216" s="7"/>
      <c r="C216" s="8" t="str">
        <f>IFERROR(VLOOKUP($B216,'(勿動)組件目錄表'!$D$15:$R$1094,2,FALSE),"-")</f>
        <v>-</v>
      </c>
      <c r="D216" s="8" t="str">
        <f>IFERROR(VLOOKUP($B216,'(勿動)組件目錄表'!$D$15:$R$1094,3,FALSE),"-")</f>
        <v>-</v>
      </c>
      <c r="E216" s="9" t="str">
        <f>IFERROR(VLOOKUP($B216,'(勿動)組件目錄表'!$D$15:$R$1094,4,FALSE),"-")</f>
        <v>-</v>
      </c>
      <c r="F216" s="10" t="str">
        <f>IFERROR(VLOOKUP($B216,'(勿動)組件目錄表'!$D$15:$R$1094,5,FALSE),"-")</f>
        <v>-</v>
      </c>
      <c r="G216" s="11" t="str">
        <f>IFERROR(VLOOKUP($B216,'(勿動)組件目錄表'!$D$15:$R$1094,8,FALSE),"-")</f>
        <v>-</v>
      </c>
      <c r="H216" s="11" t="str">
        <f>IFERROR(VLOOKUP($B216,'(勿動)組件目錄表'!$D$15:$R$1094,9,FALSE),"-")</f>
        <v>-</v>
      </c>
      <c r="I216" s="11" t="str">
        <f>IFERROR(VLOOKUP($B216,'(勿動)組件目錄表'!$D$15:$R$1094,10,FALSE),"-")</f>
        <v>-</v>
      </c>
      <c r="J216" s="11" t="str">
        <f>IFERROR(VLOOKUP($B216,'(勿動)組件目錄表'!$D$15:$R$1094,11,FALSE),"-")</f>
        <v>-</v>
      </c>
      <c r="K216" s="11" t="str">
        <f>IFERROR(VLOOKUP($B216,'(勿動)組件目錄表'!$D$15:$R$1094,12,FALSE),"-")</f>
        <v>-</v>
      </c>
      <c r="L216" s="11" t="str">
        <f>IFERROR(VLOOKUP($B216,'(勿動)組件目錄表'!$D$15:$R$1094,13,FALSE),"-")</f>
        <v>-</v>
      </c>
      <c r="M216" s="11" t="str">
        <f>IFERROR(VLOOKUP($B216,'(勿動)組件目錄表'!$D$15:$R$1094,14,FALSE),"-")</f>
        <v>-</v>
      </c>
      <c r="N216" s="15">
        <f t="shared" si="1"/>
        <v>0</v>
      </c>
      <c r="O216" s="16"/>
    </row>
    <row r="217" spans="1:15" ht="15.75" customHeight="1">
      <c r="A217" s="18"/>
      <c r="B217" s="7"/>
      <c r="C217" s="8" t="str">
        <f>IFERROR(VLOOKUP($B217,'(勿動)組件目錄表'!$D$15:$R$1094,2,FALSE),"-")</f>
        <v>-</v>
      </c>
      <c r="D217" s="8" t="str">
        <f>IFERROR(VLOOKUP($B217,'(勿動)組件目錄表'!$D$15:$R$1094,3,FALSE),"-")</f>
        <v>-</v>
      </c>
      <c r="E217" s="9" t="str">
        <f>IFERROR(VLOOKUP($B217,'(勿動)組件目錄表'!$D$15:$R$1094,4,FALSE),"-")</f>
        <v>-</v>
      </c>
      <c r="F217" s="10" t="str">
        <f>IFERROR(VLOOKUP($B217,'(勿動)組件目錄表'!$D$15:$R$1094,5,FALSE),"-")</f>
        <v>-</v>
      </c>
      <c r="G217" s="11" t="str">
        <f>IFERROR(VLOOKUP($B217,'(勿動)組件目錄表'!$D$15:$R$1094,8,FALSE),"-")</f>
        <v>-</v>
      </c>
      <c r="H217" s="11" t="str">
        <f>IFERROR(VLOOKUP($B217,'(勿動)組件目錄表'!$D$15:$R$1094,9,FALSE),"-")</f>
        <v>-</v>
      </c>
      <c r="I217" s="11" t="str">
        <f>IFERROR(VLOOKUP($B217,'(勿動)組件目錄表'!$D$15:$R$1094,10,FALSE),"-")</f>
        <v>-</v>
      </c>
      <c r="J217" s="11" t="str">
        <f>IFERROR(VLOOKUP($B217,'(勿動)組件目錄表'!$D$15:$R$1094,11,FALSE),"-")</f>
        <v>-</v>
      </c>
      <c r="K217" s="11" t="str">
        <f>IFERROR(VLOOKUP($B217,'(勿動)組件目錄表'!$D$15:$R$1094,12,FALSE),"-")</f>
        <v>-</v>
      </c>
      <c r="L217" s="11" t="str">
        <f>IFERROR(VLOOKUP($B217,'(勿動)組件目錄表'!$D$15:$R$1094,13,FALSE),"-")</f>
        <v>-</v>
      </c>
      <c r="M217" s="11" t="str">
        <f>IFERROR(VLOOKUP($B217,'(勿動)組件目錄表'!$D$15:$R$1094,14,FALSE),"-")</f>
        <v>-</v>
      </c>
      <c r="N217" s="15">
        <f t="shared" si="1"/>
        <v>0</v>
      </c>
      <c r="O217" s="16"/>
    </row>
    <row r="218" spans="1:15" ht="15.75" customHeight="1">
      <c r="A218" s="18"/>
      <c r="B218" s="7"/>
      <c r="C218" s="8" t="str">
        <f>IFERROR(VLOOKUP($B218,'(勿動)組件目錄表'!$D$15:$R$1094,2,FALSE),"-")</f>
        <v>-</v>
      </c>
      <c r="D218" s="8" t="str">
        <f>IFERROR(VLOOKUP($B218,'(勿動)組件目錄表'!$D$15:$R$1094,3,FALSE),"-")</f>
        <v>-</v>
      </c>
      <c r="E218" s="9" t="str">
        <f>IFERROR(VLOOKUP($B218,'(勿動)組件目錄表'!$D$15:$R$1094,4,FALSE),"-")</f>
        <v>-</v>
      </c>
      <c r="F218" s="10" t="str">
        <f>IFERROR(VLOOKUP($B218,'(勿動)組件目錄表'!$D$15:$R$1094,5,FALSE),"-")</f>
        <v>-</v>
      </c>
      <c r="G218" s="11" t="str">
        <f>IFERROR(VLOOKUP($B218,'(勿動)組件目錄表'!$D$15:$R$1094,8,FALSE),"-")</f>
        <v>-</v>
      </c>
      <c r="H218" s="11" t="str">
        <f>IFERROR(VLOOKUP($B218,'(勿動)組件目錄表'!$D$15:$R$1094,9,FALSE),"-")</f>
        <v>-</v>
      </c>
      <c r="I218" s="11" t="str">
        <f>IFERROR(VLOOKUP($B218,'(勿動)組件目錄表'!$D$15:$R$1094,10,FALSE),"-")</f>
        <v>-</v>
      </c>
      <c r="J218" s="11" t="str">
        <f>IFERROR(VLOOKUP($B218,'(勿動)組件目錄表'!$D$15:$R$1094,11,FALSE),"-")</f>
        <v>-</v>
      </c>
      <c r="K218" s="11" t="str">
        <f>IFERROR(VLOOKUP($B218,'(勿動)組件目錄表'!$D$15:$R$1094,12,FALSE),"-")</f>
        <v>-</v>
      </c>
      <c r="L218" s="11" t="str">
        <f>IFERROR(VLOOKUP($B218,'(勿動)組件目錄表'!$D$15:$R$1094,13,FALSE),"-")</f>
        <v>-</v>
      </c>
      <c r="M218" s="11" t="str">
        <f>IFERROR(VLOOKUP($B218,'(勿動)組件目錄表'!$D$15:$R$1094,14,FALSE),"-")</f>
        <v>-</v>
      </c>
      <c r="N218" s="15">
        <f t="shared" si="1"/>
        <v>0</v>
      </c>
      <c r="O218" s="16"/>
    </row>
    <row r="219" spans="1:15" ht="15.75" customHeight="1">
      <c r="A219" s="18"/>
      <c r="B219" s="7"/>
      <c r="C219" s="8" t="str">
        <f>IFERROR(VLOOKUP($B219,'(勿動)組件目錄表'!$D$15:$R$1094,2,FALSE),"-")</f>
        <v>-</v>
      </c>
      <c r="D219" s="8" t="str">
        <f>IFERROR(VLOOKUP($B219,'(勿動)組件目錄表'!$D$15:$R$1094,3,FALSE),"-")</f>
        <v>-</v>
      </c>
      <c r="E219" s="9" t="str">
        <f>IFERROR(VLOOKUP($B219,'(勿動)組件目錄表'!$D$15:$R$1094,4,FALSE),"-")</f>
        <v>-</v>
      </c>
      <c r="F219" s="10" t="str">
        <f>IFERROR(VLOOKUP($B219,'(勿動)組件目錄表'!$D$15:$R$1094,5,FALSE),"-")</f>
        <v>-</v>
      </c>
      <c r="G219" s="11" t="str">
        <f>IFERROR(VLOOKUP($B219,'(勿動)組件目錄表'!$D$15:$R$1094,8,FALSE),"-")</f>
        <v>-</v>
      </c>
      <c r="H219" s="11" t="str">
        <f>IFERROR(VLOOKUP($B219,'(勿動)組件目錄表'!$D$15:$R$1094,9,FALSE),"-")</f>
        <v>-</v>
      </c>
      <c r="I219" s="11" t="str">
        <f>IFERROR(VLOOKUP($B219,'(勿動)組件目錄表'!$D$15:$R$1094,10,FALSE),"-")</f>
        <v>-</v>
      </c>
      <c r="J219" s="11" t="str">
        <f>IFERROR(VLOOKUP($B219,'(勿動)組件目錄表'!$D$15:$R$1094,11,FALSE),"-")</f>
        <v>-</v>
      </c>
      <c r="K219" s="11" t="str">
        <f>IFERROR(VLOOKUP($B219,'(勿動)組件目錄表'!$D$15:$R$1094,12,FALSE),"-")</f>
        <v>-</v>
      </c>
      <c r="L219" s="11" t="str">
        <f>IFERROR(VLOOKUP($B219,'(勿動)組件目錄表'!$D$15:$R$1094,13,FALSE),"-")</f>
        <v>-</v>
      </c>
      <c r="M219" s="11" t="str">
        <f>IFERROR(VLOOKUP($B219,'(勿動)組件目錄表'!$D$15:$R$1094,14,FALSE),"-")</f>
        <v>-</v>
      </c>
      <c r="N219" s="15">
        <f t="shared" si="1"/>
        <v>0</v>
      </c>
      <c r="O219" s="16"/>
    </row>
    <row r="220" spans="1:15" ht="15.75" customHeight="1">
      <c r="A220" s="18"/>
      <c r="B220" s="7"/>
      <c r="C220" s="8" t="str">
        <f>IFERROR(VLOOKUP($B220,'(勿動)組件目錄表'!$D$15:$R$1094,2,FALSE),"-")</f>
        <v>-</v>
      </c>
      <c r="D220" s="8" t="str">
        <f>IFERROR(VLOOKUP($B220,'(勿動)組件目錄表'!$D$15:$R$1094,3,FALSE),"-")</f>
        <v>-</v>
      </c>
      <c r="E220" s="9" t="str">
        <f>IFERROR(VLOOKUP($B220,'(勿動)組件目錄表'!$D$15:$R$1094,4,FALSE),"-")</f>
        <v>-</v>
      </c>
      <c r="F220" s="10" t="str">
        <f>IFERROR(VLOOKUP($B220,'(勿動)組件目錄表'!$D$15:$R$1094,5,FALSE),"-")</f>
        <v>-</v>
      </c>
      <c r="G220" s="11" t="str">
        <f>IFERROR(VLOOKUP($B220,'(勿動)組件目錄表'!$D$15:$R$1094,8,FALSE),"-")</f>
        <v>-</v>
      </c>
      <c r="H220" s="11" t="str">
        <f>IFERROR(VLOOKUP($B220,'(勿動)組件目錄表'!$D$15:$R$1094,9,FALSE),"-")</f>
        <v>-</v>
      </c>
      <c r="I220" s="11" t="str">
        <f>IFERROR(VLOOKUP($B220,'(勿動)組件目錄表'!$D$15:$R$1094,10,FALSE),"-")</f>
        <v>-</v>
      </c>
      <c r="J220" s="11" t="str">
        <f>IFERROR(VLOOKUP($B220,'(勿動)組件目錄表'!$D$15:$R$1094,11,FALSE),"-")</f>
        <v>-</v>
      </c>
      <c r="K220" s="11" t="str">
        <f>IFERROR(VLOOKUP($B220,'(勿動)組件目錄表'!$D$15:$R$1094,12,FALSE),"-")</f>
        <v>-</v>
      </c>
      <c r="L220" s="11" t="str">
        <f>IFERROR(VLOOKUP($B220,'(勿動)組件目錄表'!$D$15:$R$1094,13,FALSE),"-")</f>
        <v>-</v>
      </c>
      <c r="M220" s="11" t="str">
        <f>IFERROR(VLOOKUP($B220,'(勿動)組件目錄表'!$D$15:$R$1094,14,FALSE),"-")</f>
        <v>-</v>
      </c>
      <c r="N220" s="15">
        <f t="shared" si="1"/>
        <v>0</v>
      </c>
      <c r="O220" s="16"/>
    </row>
    <row r="221" spans="1:15" ht="15.75" customHeight="1">
      <c r="A221" s="18"/>
      <c r="B221" s="7"/>
      <c r="C221" s="8" t="str">
        <f>IFERROR(VLOOKUP($B221,'(勿動)組件目錄表'!$D$15:$R$1094,2,FALSE),"-")</f>
        <v>-</v>
      </c>
      <c r="D221" s="8" t="str">
        <f>IFERROR(VLOOKUP($B221,'(勿動)組件目錄表'!$D$15:$R$1094,3,FALSE),"-")</f>
        <v>-</v>
      </c>
      <c r="E221" s="9" t="str">
        <f>IFERROR(VLOOKUP($B221,'(勿動)組件目錄表'!$D$15:$R$1094,4,FALSE),"-")</f>
        <v>-</v>
      </c>
      <c r="F221" s="10" t="str">
        <f>IFERROR(VLOOKUP($B221,'(勿動)組件目錄表'!$D$15:$R$1094,5,FALSE),"-")</f>
        <v>-</v>
      </c>
      <c r="G221" s="11" t="str">
        <f>IFERROR(VLOOKUP($B221,'(勿動)組件目錄表'!$D$15:$R$1094,8,FALSE),"-")</f>
        <v>-</v>
      </c>
      <c r="H221" s="11" t="str">
        <f>IFERROR(VLOOKUP($B221,'(勿動)組件目錄表'!$D$15:$R$1094,9,FALSE),"-")</f>
        <v>-</v>
      </c>
      <c r="I221" s="11" t="str">
        <f>IFERROR(VLOOKUP($B221,'(勿動)組件目錄表'!$D$15:$R$1094,10,FALSE),"-")</f>
        <v>-</v>
      </c>
      <c r="J221" s="11" t="str">
        <f>IFERROR(VLOOKUP($B221,'(勿動)組件目錄表'!$D$15:$R$1094,11,FALSE),"-")</f>
        <v>-</v>
      </c>
      <c r="K221" s="11" t="str">
        <f>IFERROR(VLOOKUP($B221,'(勿動)組件目錄表'!$D$15:$R$1094,12,FALSE),"-")</f>
        <v>-</v>
      </c>
      <c r="L221" s="11" t="str">
        <f>IFERROR(VLOOKUP($B221,'(勿動)組件目錄表'!$D$15:$R$1094,13,FALSE),"-")</f>
        <v>-</v>
      </c>
      <c r="M221" s="11" t="str">
        <f>IFERROR(VLOOKUP($B221,'(勿動)組件目錄表'!$D$15:$R$1094,14,FALSE),"-")</f>
        <v>-</v>
      </c>
      <c r="N221" s="15">
        <f t="shared" si="1"/>
        <v>0</v>
      </c>
      <c r="O221" s="16"/>
    </row>
    <row r="222" spans="1:15" ht="15.75" customHeight="1">
      <c r="A222" s="18"/>
      <c r="B222" s="7"/>
      <c r="C222" s="8" t="str">
        <f>IFERROR(VLOOKUP($B222,'(勿動)組件目錄表'!$D$15:$R$1094,2,FALSE),"-")</f>
        <v>-</v>
      </c>
      <c r="D222" s="8" t="str">
        <f>IFERROR(VLOOKUP($B222,'(勿動)組件目錄表'!$D$15:$R$1094,3,FALSE),"-")</f>
        <v>-</v>
      </c>
      <c r="E222" s="9" t="str">
        <f>IFERROR(VLOOKUP($B222,'(勿動)組件目錄表'!$D$15:$R$1094,4,FALSE),"-")</f>
        <v>-</v>
      </c>
      <c r="F222" s="10" t="str">
        <f>IFERROR(VLOOKUP($B222,'(勿動)組件目錄表'!$D$15:$R$1094,5,FALSE),"-")</f>
        <v>-</v>
      </c>
      <c r="G222" s="11" t="str">
        <f>IFERROR(VLOOKUP($B222,'(勿動)組件目錄表'!$D$15:$R$1094,8,FALSE),"-")</f>
        <v>-</v>
      </c>
      <c r="H222" s="11" t="str">
        <f>IFERROR(VLOOKUP($B222,'(勿動)組件目錄表'!$D$15:$R$1094,9,FALSE),"-")</f>
        <v>-</v>
      </c>
      <c r="I222" s="11" t="str">
        <f>IFERROR(VLOOKUP($B222,'(勿動)組件目錄表'!$D$15:$R$1094,10,FALSE),"-")</f>
        <v>-</v>
      </c>
      <c r="J222" s="11" t="str">
        <f>IFERROR(VLOOKUP($B222,'(勿動)組件目錄表'!$D$15:$R$1094,11,FALSE),"-")</f>
        <v>-</v>
      </c>
      <c r="K222" s="11" t="str">
        <f>IFERROR(VLOOKUP($B222,'(勿動)組件目錄表'!$D$15:$R$1094,12,FALSE),"-")</f>
        <v>-</v>
      </c>
      <c r="L222" s="11" t="str">
        <f>IFERROR(VLOOKUP($B222,'(勿動)組件目錄表'!$D$15:$R$1094,13,FALSE),"-")</f>
        <v>-</v>
      </c>
      <c r="M222" s="11" t="str">
        <f>IFERROR(VLOOKUP($B222,'(勿動)組件目錄表'!$D$15:$R$1094,14,FALSE),"-")</f>
        <v>-</v>
      </c>
      <c r="N222" s="15">
        <f t="shared" si="1"/>
        <v>0</v>
      </c>
      <c r="O222" s="16"/>
    </row>
    <row r="223" spans="1:15" ht="15.75" customHeight="1">
      <c r="A223" s="18"/>
      <c r="B223" s="7"/>
      <c r="C223" s="8" t="str">
        <f>IFERROR(VLOOKUP($B223,'(勿動)組件目錄表'!$D$15:$R$1094,2,FALSE),"-")</f>
        <v>-</v>
      </c>
      <c r="D223" s="8" t="str">
        <f>IFERROR(VLOOKUP($B223,'(勿動)組件目錄表'!$D$15:$R$1094,3,FALSE),"-")</f>
        <v>-</v>
      </c>
      <c r="E223" s="9" t="str">
        <f>IFERROR(VLOOKUP($B223,'(勿動)組件目錄表'!$D$15:$R$1094,4,FALSE),"-")</f>
        <v>-</v>
      </c>
      <c r="F223" s="10" t="str">
        <f>IFERROR(VLOOKUP($B223,'(勿動)組件目錄表'!$D$15:$R$1094,5,FALSE),"-")</f>
        <v>-</v>
      </c>
      <c r="G223" s="11" t="str">
        <f>IFERROR(VLOOKUP($B223,'(勿動)組件目錄表'!$D$15:$R$1094,8,FALSE),"-")</f>
        <v>-</v>
      </c>
      <c r="H223" s="11" t="str">
        <f>IFERROR(VLOOKUP($B223,'(勿動)組件目錄表'!$D$15:$R$1094,9,FALSE),"-")</f>
        <v>-</v>
      </c>
      <c r="I223" s="11" t="str">
        <f>IFERROR(VLOOKUP($B223,'(勿動)組件目錄表'!$D$15:$R$1094,10,FALSE),"-")</f>
        <v>-</v>
      </c>
      <c r="J223" s="11" t="str">
        <f>IFERROR(VLOOKUP($B223,'(勿動)組件目錄表'!$D$15:$R$1094,11,FALSE),"-")</f>
        <v>-</v>
      </c>
      <c r="K223" s="11" t="str">
        <f>IFERROR(VLOOKUP($B223,'(勿動)組件目錄表'!$D$15:$R$1094,12,FALSE),"-")</f>
        <v>-</v>
      </c>
      <c r="L223" s="11" t="str">
        <f>IFERROR(VLOOKUP($B223,'(勿動)組件目錄表'!$D$15:$R$1094,13,FALSE),"-")</f>
        <v>-</v>
      </c>
      <c r="M223" s="11" t="str">
        <f>IFERROR(VLOOKUP($B223,'(勿動)組件目錄表'!$D$15:$R$1094,14,FALSE),"-")</f>
        <v>-</v>
      </c>
      <c r="N223" s="15">
        <f t="shared" si="1"/>
        <v>0</v>
      </c>
      <c r="O223" s="16"/>
    </row>
    <row r="224" spans="1:15" ht="15.75" customHeight="1">
      <c r="A224" s="18"/>
      <c r="B224" s="7"/>
      <c r="C224" s="8" t="str">
        <f>IFERROR(VLOOKUP($B224,'(勿動)組件目錄表'!$D$15:$R$1094,2,FALSE),"-")</f>
        <v>-</v>
      </c>
      <c r="D224" s="8" t="str">
        <f>IFERROR(VLOOKUP($B224,'(勿動)組件目錄表'!$D$15:$R$1094,3,FALSE),"-")</f>
        <v>-</v>
      </c>
      <c r="E224" s="9" t="str">
        <f>IFERROR(VLOOKUP($B224,'(勿動)組件目錄表'!$D$15:$R$1094,4,FALSE),"-")</f>
        <v>-</v>
      </c>
      <c r="F224" s="10" t="str">
        <f>IFERROR(VLOOKUP($B224,'(勿動)組件目錄表'!$D$15:$R$1094,5,FALSE),"-")</f>
        <v>-</v>
      </c>
      <c r="G224" s="11" t="str">
        <f>IFERROR(VLOOKUP($B224,'(勿動)組件目錄表'!$D$15:$R$1094,8,FALSE),"-")</f>
        <v>-</v>
      </c>
      <c r="H224" s="11" t="str">
        <f>IFERROR(VLOOKUP($B224,'(勿動)組件目錄表'!$D$15:$R$1094,9,FALSE),"-")</f>
        <v>-</v>
      </c>
      <c r="I224" s="11" t="str">
        <f>IFERROR(VLOOKUP($B224,'(勿動)組件目錄表'!$D$15:$R$1094,10,FALSE),"-")</f>
        <v>-</v>
      </c>
      <c r="J224" s="11" t="str">
        <f>IFERROR(VLOOKUP($B224,'(勿動)組件目錄表'!$D$15:$R$1094,11,FALSE),"-")</f>
        <v>-</v>
      </c>
      <c r="K224" s="11" t="str">
        <f>IFERROR(VLOOKUP($B224,'(勿動)組件目錄表'!$D$15:$R$1094,12,FALSE),"-")</f>
        <v>-</v>
      </c>
      <c r="L224" s="11" t="str">
        <f>IFERROR(VLOOKUP($B224,'(勿動)組件目錄表'!$D$15:$R$1094,13,FALSE),"-")</f>
        <v>-</v>
      </c>
      <c r="M224" s="11" t="str">
        <f>IFERROR(VLOOKUP($B224,'(勿動)組件目錄表'!$D$15:$R$1094,14,FALSE),"-")</f>
        <v>-</v>
      </c>
      <c r="N224" s="15">
        <f t="shared" si="1"/>
        <v>0</v>
      </c>
      <c r="O224" s="16"/>
    </row>
    <row r="225" spans="1:15" ht="15.75" customHeight="1">
      <c r="A225" s="18"/>
      <c r="B225" s="7"/>
      <c r="C225" s="8" t="str">
        <f>IFERROR(VLOOKUP($B225,'(勿動)組件目錄表'!$D$15:$R$1094,2,FALSE),"-")</f>
        <v>-</v>
      </c>
      <c r="D225" s="8" t="str">
        <f>IFERROR(VLOOKUP($B225,'(勿動)組件目錄表'!$D$15:$R$1094,3,FALSE),"-")</f>
        <v>-</v>
      </c>
      <c r="E225" s="9" t="str">
        <f>IFERROR(VLOOKUP($B225,'(勿動)組件目錄表'!$D$15:$R$1094,4,FALSE),"-")</f>
        <v>-</v>
      </c>
      <c r="F225" s="10" t="str">
        <f>IFERROR(VLOOKUP($B225,'(勿動)組件目錄表'!$D$15:$R$1094,5,FALSE),"-")</f>
        <v>-</v>
      </c>
      <c r="G225" s="11" t="str">
        <f>IFERROR(VLOOKUP($B225,'(勿動)組件目錄表'!$D$15:$R$1094,8,FALSE),"-")</f>
        <v>-</v>
      </c>
      <c r="H225" s="11" t="str">
        <f>IFERROR(VLOOKUP($B225,'(勿動)組件目錄表'!$D$15:$R$1094,9,FALSE),"-")</f>
        <v>-</v>
      </c>
      <c r="I225" s="11" t="str">
        <f>IFERROR(VLOOKUP($B225,'(勿動)組件目錄表'!$D$15:$R$1094,10,FALSE),"-")</f>
        <v>-</v>
      </c>
      <c r="J225" s="11" t="str">
        <f>IFERROR(VLOOKUP($B225,'(勿動)組件目錄表'!$D$15:$R$1094,11,FALSE),"-")</f>
        <v>-</v>
      </c>
      <c r="K225" s="11" t="str">
        <f>IFERROR(VLOOKUP($B225,'(勿動)組件目錄表'!$D$15:$R$1094,12,FALSE),"-")</f>
        <v>-</v>
      </c>
      <c r="L225" s="11" t="str">
        <f>IFERROR(VLOOKUP($B225,'(勿動)組件目錄表'!$D$15:$R$1094,13,FALSE),"-")</f>
        <v>-</v>
      </c>
      <c r="M225" s="11" t="str">
        <f>IFERROR(VLOOKUP($B225,'(勿動)組件目錄表'!$D$15:$R$1094,14,FALSE),"-")</f>
        <v>-</v>
      </c>
      <c r="N225" s="15">
        <f t="shared" si="1"/>
        <v>0</v>
      </c>
      <c r="O225" s="16"/>
    </row>
    <row r="226" spans="1:15" ht="15.75" customHeight="1">
      <c r="A226" s="18"/>
      <c r="B226" s="7"/>
      <c r="C226" s="8" t="str">
        <f>IFERROR(VLOOKUP($B226,'(勿動)組件目錄表'!$D$15:$R$1094,2,FALSE),"-")</f>
        <v>-</v>
      </c>
      <c r="D226" s="8" t="str">
        <f>IFERROR(VLOOKUP($B226,'(勿動)組件目錄表'!$D$15:$R$1094,3,FALSE),"-")</f>
        <v>-</v>
      </c>
      <c r="E226" s="9" t="str">
        <f>IFERROR(VLOOKUP($B226,'(勿動)組件目錄表'!$D$15:$R$1094,4,FALSE),"-")</f>
        <v>-</v>
      </c>
      <c r="F226" s="10" t="str">
        <f>IFERROR(VLOOKUP($B226,'(勿動)組件目錄表'!$D$15:$R$1094,5,FALSE),"-")</f>
        <v>-</v>
      </c>
      <c r="G226" s="11" t="str">
        <f>IFERROR(VLOOKUP($B226,'(勿動)組件目錄表'!$D$15:$R$1094,8,FALSE),"-")</f>
        <v>-</v>
      </c>
      <c r="H226" s="11" t="str">
        <f>IFERROR(VLOOKUP($B226,'(勿動)組件目錄表'!$D$15:$R$1094,9,FALSE),"-")</f>
        <v>-</v>
      </c>
      <c r="I226" s="11" t="str">
        <f>IFERROR(VLOOKUP($B226,'(勿動)組件目錄表'!$D$15:$R$1094,10,FALSE),"-")</f>
        <v>-</v>
      </c>
      <c r="J226" s="11" t="str">
        <f>IFERROR(VLOOKUP($B226,'(勿動)組件目錄表'!$D$15:$R$1094,11,FALSE),"-")</f>
        <v>-</v>
      </c>
      <c r="K226" s="11" t="str">
        <f>IFERROR(VLOOKUP($B226,'(勿動)組件目錄表'!$D$15:$R$1094,12,FALSE),"-")</f>
        <v>-</v>
      </c>
      <c r="L226" s="11" t="str">
        <f>IFERROR(VLOOKUP($B226,'(勿動)組件目錄表'!$D$15:$R$1094,13,FALSE),"-")</f>
        <v>-</v>
      </c>
      <c r="M226" s="11" t="str">
        <f>IFERROR(VLOOKUP($B226,'(勿動)組件目錄表'!$D$15:$R$1094,14,FALSE),"-")</f>
        <v>-</v>
      </c>
      <c r="N226" s="15">
        <f t="shared" si="1"/>
        <v>0</v>
      </c>
      <c r="O226" s="16"/>
    </row>
    <row r="227" spans="1:15" ht="15.75" customHeight="1">
      <c r="A227" s="18"/>
      <c r="B227" s="7"/>
      <c r="C227" s="8" t="str">
        <f>IFERROR(VLOOKUP($B227,'(勿動)組件目錄表'!$D$15:$R$1094,2,FALSE),"-")</f>
        <v>-</v>
      </c>
      <c r="D227" s="8" t="str">
        <f>IFERROR(VLOOKUP($B227,'(勿動)組件目錄表'!$D$15:$R$1094,3,FALSE),"-")</f>
        <v>-</v>
      </c>
      <c r="E227" s="9" t="str">
        <f>IFERROR(VLOOKUP($B227,'(勿動)組件目錄表'!$D$15:$R$1094,4,FALSE),"-")</f>
        <v>-</v>
      </c>
      <c r="F227" s="10" t="str">
        <f>IFERROR(VLOOKUP($B227,'(勿動)組件目錄表'!$D$15:$R$1094,5,FALSE),"-")</f>
        <v>-</v>
      </c>
      <c r="G227" s="11" t="str">
        <f>IFERROR(VLOOKUP($B227,'(勿動)組件目錄表'!$D$15:$R$1094,8,FALSE),"-")</f>
        <v>-</v>
      </c>
      <c r="H227" s="11" t="str">
        <f>IFERROR(VLOOKUP($B227,'(勿動)組件目錄表'!$D$15:$R$1094,9,FALSE),"-")</f>
        <v>-</v>
      </c>
      <c r="I227" s="11" t="str">
        <f>IFERROR(VLOOKUP($B227,'(勿動)組件目錄表'!$D$15:$R$1094,10,FALSE),"-")</f>
        <v>-</v>
      </c>
      <c r="J227" s="11" t="str">
        <f>IFERROR(VLOOKUP($B227,'(勿動)組件目錄表'!$D$15:$R$1094,11,FALSE),"-")</f>
        <v>-</v>
      </c>
      <c r="K227" s="11" t="str">
        <f>IFERROR(VLOOKUP($B227,'(勿動)組件目錄表'!$D$15:$R$1094,12,FALSE),"-")</f>
        <v>-</v>
      </c>
      <c r="L227" s="11" t="str">
        <f>IFERROR(VLOOKUP($B227,'(勿動)組件目錄表'!$D$15:$R$1094,13,FALSE),"-")</f>
        <v>-</v>
      </c>
      <c r="M227" s="11" t="str">
        <f>IFERROR(VLOOKUP($B227,'(勿動)組件目錄表'!$D$15:$R$1094,14,FALSE),"-")</f>
        <v>-</v>
      </c>
      <c r="N227" s="15">
        <f t="shared" si="1"/>
        <v>0</v>
      </c>
      <c r="O227" s="16"/>
    </row>
    <row r="228" spans="1:15" ht="15.75" customHeight="1">
      <c r="A228" s="18"/>
      <c r="B228" s="7"/>
      <c r="C228" s="8" t="str">
        <f>IFERROR(VLOOKUP($B228,'(勿動)組件目錄表'!$D$15:$R$1094,2,FALSE),"-")</f>
        <v>-</v>
      </c>
      <c r="D228" s="8" t="str">
        <f>IFERROR(VLOOKUP($B228,'(勿動)組件目錄表'!$D$15:$R$1094,3,FALSE),"-")</f>
        <v>-</v>
      </c>
      <c r="E228" s="9" t="str">
        <f>IFERROR(VLOOKUP($B228,'(勿動)組件目錄表'!$D$15:$R$1094,4,FALSE),"-")</f>
        <v>-</v>
      </c>
      <c r="F228" s="10" t="str">
        <f>IFERROR(VLOOKUP($B228,'(勿動)組件目錄表'!$D$15:$R$1094,5,FALSE),"-")</f>
        <v>-</v>
      </c>
      <c r="G228" s="11" t="str">
        <f>IFERROR(VLOOKUP($B228,'(勿動)組件目錄表'!$D$15:$R$1094,8,FALSE),"-")</f>
        <v>-</v>
      </c>
      <c r="H228" s="11" t="str">
        <f>IFERROR(VLOOKUP($B228,'(勿動)組件目錄表'!$D$15:$R$1094,9,FALSE),"-")</f>
        <v>-</v>
      </c>
      <c r="I228" s="11" t="str">
        <f>IFERROR(VLOOKUP($B228,'(勿動)組件目錄表'!$D$15:$R$1094,10,FALSE),"-")</f>
        <v>-</v>
      </c>
      <c r="J228" s="11" t="str">
        <f>IFERROR(VLOOKUP($B228,'(勿動)組件目錄表'!$D$15:$R$1094,11,FALSE),"-")</f>
        <v>-</v>
      </c>
      <c r="K228" s="11" t="str">
        <f>IFERROR(VLOOKUP($B228,'(勿動)組件目錄表'!$D$15:$R$1094,12,FALSE),"-")</f>
        <v>-</v>
      </c>
      <c r="L228" s="11" t="str">
        <f>IFERROR(VLOOKUP($B228,'(勿動)組件目錄表'!$D$15:$R$1094,13,FALSE),"-")</f>
        <v>-</v>
      </c>
      <c r="M228" s="11" t="str">
        <f>IFERROR(VLOOKUP($B228,'(勿動)組件目錄表'!$D$15:$R$1094,14,FALSE),"-")</f>
        <v>-</v>
      </c>
      <c r="N228" s="15">
        <f t="shared" si="1"/>
        <v>0</v>
      </c>
      <c r="O228" s="16"/>
    </row>
    <row r="229" spans="1:15" ht="15.75" customHeight="1">
      <c r="A229" s="18"/>
      <c r="B229" s="7"/>
      <c r="C229" s="8" t="str">
        <f>IFERROR(VLOOKUP($B229,'(勿動)組件目錄表'!$D$15:$R$1094,2,FALSE),"-")</f>
        <v>-</v>
      </c>
      <c r="D229" s="8" t="str">
        <f>IFERROR(VLOOKUP($B229,'(勿動)組件目錄表'!$D$15:$R$1094,3,FALSE),"-")</f>
        <v>-</v>
      </c>
      <c r="E229" s="9" t="str">
        <f>IFERROR(VLOOKUP($B229,'(勿動)組件目錄表'!$D$15:$R$1094,4,FALSE),"-")</f>
        <v>-</v>
      </c>
      <c r="F229" s="10" t="str">
        <f>IFERROR(VLOOKUP($B229,'(勿動)組件目錄表'!$D$15:$R$1094,5,FALSE),"-")</f>
        <v>-</v>
      </c>
      <c r="G229" s="11" t="str">
        <f>IFERROR(VLOOKUP($B229,'(勿動)組件目錄表'!$D$15:$R$1094,8,FALSE),"-")</f>
        <v>-</v>
      </c>
      <c r="H229" s="11" t="str">
        <f>IFERROR(VLOOKUP($B229,'(勿動)組件目錄表'!$D$15:$R$1094,9,FALSE),"-")</f>
        <v>-</v>
      </c>
      <c r="I229" s="11" t="str">
        <f>IFERROR(VLOOKUP($B229,'(勿動)組件目錄表'!$D$15:$R$1094,10,FALSE),"-")</f>
        <v>-</v>
      </c>
      <c r="J229" s="11" t="str">
        <f>IFERROR(VLOOKUP($B229,'(勿動)組件目錄表'!$D$15:$R$1094,11,FALSE),"-")</f>
        <v>-</v>
      </c>
      <c r="K229" s="11" t="str">
        <f>IFERROR(VLOOKUP($B229,'(勿動)組件目錄表'!$D$15:$R$1094,12,FALSE),"-")</f>
        <v>-</v>
      </c>
      <c r="L229" s="11" t="str">
        <f>IFERROR(VLOOKUP($B229,'(勿動)組件目錄表'!$D$15:$R$1094,13,FALSE),"-")</f>
        <v>-</v>
      </c>
      <c r="M229" s="11" t="str">
        <f>IFERROR(VLOOKUP($B229,'(勿動)組件目錄表'!$D$15:$R$1094,14,FALSE),"-")</f>
        <v>-</v>
      </c>
      <c r="N229" s="15">
        <f t="shared" si="1"/>
        <v>0</v>
      </c>
      <c r="O229" s="16"/>
    </row>
    <row r="230" spans="1:15" ht="15.75" customHeight="1">
      <c r="A230" s="18"/>
      <c r="B230" s="7"/>
      <c r="C230" s="8" t="str">
        <f>IFERROR(VLOOKUP($B230,'(勿動)組件目錄表'!$D$15:$R$1094,2,FALSE),"-")</f>
        <v>-</v>
      </c>
      <c r="D230" s="8" t="str">
        <f>IFERROR(VLOOKUP($B230,'(勿動)組件目錄表'!$D$15:$R$1094,3,FALSE),"-")</f>
        <v>-</v>
      </c>
      <c r="E230" s="9" t="str">
        <f>IFERROR(VLOOKUP($B230,'(勿動)組件目錄表'!$D$15:$R$1094,4,FALSE),"-")</f>
        <v>-</v>
      </c>
      <c r="F230" s="10" t="str">
        <f>IFERROR(VLOOKUP($B230,'(勿動)組件目錄表'!$D$15:$R$1094,5,FALSE),"-")</f>
        <v>-</v>
      </c>
      <c r="G230" s="11" t="str">
        <f>IFERROR(VLOOKUP($B230,'(勿動)組件目錄表'!$D$15:$R$1094,8,FALSE),"-")</f>
        <v>-</v>
      </c>
      <c r="H230" s="11" t="str">
        <f>IFERROR(VLOOKUP($B230,'(勿動)組件目錄表'!$D$15:$R$1094,9,FALSE),"-")</f>
        <v>-</v>
      </c>
      <c r="I230" s="11" t="str">
        <f>IFERROR(VLOOKUP($B230,'(勿動)組件目錄表'!$D$15:$R$1094,10,FALSE),"-")</f>
        <v>-</v>
      </c>
      <c r="J230" s="11" t="str">
        <f>IFERROR(VLOOKUP($B230,'(勿動)組件目錄表'!$D$15:$R$1094,11,FALSE),"-")</f>
        <v>-</v>
      </c>
      <c r="K230" s="11" t="str">
        <f>IFERROR(VLOOKUP($B230,'(勿動)組件目錄表'!$D$15:$R$1094,12,FALSE),"-")</f>
        <v>-</v>
      </c>
      <c r="L230" s="11" t="str">
        <f>IFERROR(VLOOKUP($B230,'(勿動)組件目錄表'!$D$15:$R$1094,13,FALSE),"-")</f>
        <v>-</v>
      </c>
      <c r="M230" s="11" t="str">
        <f>IFERROR(VLOOKUP($B230,'(勿動)組件目錄表'!$D$15:$R$1094,14,FALSE),"-")</f>
        <v>-</v>
      </c>
      <c r="N230" s="15">
        <f t="shared" si="1"/>
        <v>0</v>
      </c>
      <c r="O230" s="16"/>
    </row>
    <row r="231" spans="1:15" ht="15.75" customHeight="1">
      <c r="A231" s="18"/>
      <c r="B231" s="7"/>
      <c r="C231" s="8" t="str">
        <f>IFERROR(VLOOKUP($B231,'(勿動)組件目錄表'!$D$15:$R$1094,2,FALSE),"-")</f>
        <v>-</v>
      </c>
      <c r="D231" s="8" t="str">
        <f>IFERROR(VLOOKUP($B231,'(勿動)組件目錄表'!$D$15:$R$1094,3,FALSE),"-")</f>
        <v>-</v>
      </c>
      <c r="E231" s="9" t="str">
        <f>IFERROR(VLOOKUP($B231,'(勿動)組件目錄表'!$D$15:$R$1094,4,FALSE),"-")</f>
        <v>-</v>
      </c>
      <c r="F231" s="10" t="str">
        <f>IFERROR(VLOOKUP($B231,'(勿動)組件目錄表'!$D$15:$R$1094,5,FALSE),"-")</f>
        <v>-</v>
      </c>
      <c r="G231" s="11" t="str">
        <f>IFERROR(VLOOKUP($B231,'(勿動)組件目錄表'!$D$15:$R$1094,8,FALSE),"-")</f>
        <v>-</v>
      </c>
      <c r="H231" s="11" t="str">
        <f>IFERROR(VLOOKUP($B231,'(勿動)組件目錄表'!$D$15:$R$1094,9,FALSE),"-")</f>
        <v>-</v>
      </c>
      <c r="I231" s="11" t="str">
        <f>IFERROR(VLOOKUP($B231,'(勿動)組件目錄表'!$D$15:$R$1094,10,FALSE),"-")</f>
        <v>-</v>
      </c>
      <c r="J231" s="11" t="str">
        <f>IFERROR(VLOOKUP($B231,'(勿動)組件目錄表'!$D$15:$R$1094,11,FALSE),"-")</f>
        <v>-</v>
      </c>
      <c r="K231" s="11" t="str">
        <f>IFERROR(VLOOKUP($B231,'(勿動)組件目錄表'!$D$15:$R$1094,12,FALSE),"-")</f>
        <v>-</v>
      </c>
      <c r="L231" s="11" t="str">
        <f>IFERROR(VLOOKUP($B231,'(勿動)組件目錄表'!$D$15:$R$1094,13,FALSE),"-")</f>
        <v>-</v>
      </c>
      <c r="M231" s="11" t="str">
        <f>IFERROR(VLOOKUP($B231,'(勿動)組件目錄表'!$D$15:$R$1094,14,FALSE),"-")</f>
        <v>-</v>
      </c>
      <c r="N231" s="15">
        <f t="shared" si="1"/>
        <v>0</v>
      </c>
      <c r="O231" s="16"/>
    </row>
    <row r="232" spans="1:15" ht="15.75" customHeight="1">
      <c r="A232" s="18"/>
      <c r="B232" s="7"/>
      <c r="C232" s="8" t="str">
        <f>IFERROR(VLOOKUP($B232,'(勿動)組件目錄表'!$D$15:$R$1094,2,FALSE),"-")</f>
        <v>-</v>
      </c>
      <c r="D232" s="8" t="str">
        <f>IFERROR(VLOOKUP($B232,'(勿動)組件目錄表'!$D$15:$R$1094,3,FALSE),"-")</f>
        <v>-</v>
      </c>
      <c r="E232" s="9" t="str">
        <f>IFERROR(VLOOKUP($B232,'(勿動)組件目錄表'!$D$15:$R$1094,4,FALSE),"-")</f>
        <v>-</v>
      </c>
      <c r="F232" s="10" t="str">
        <f>IFERROR(VLOOKUP($B232,'(勿動)組件目錄表'!$D$15:$R$1094,5,FALSE),"-")</f>
        <v>-</v>
      </c>
      <c r="G232" s="11" t="str">
        <f>IFERROR(VLOOKUP($B232,'(勿動)組件目錄表'!$D$15:$R$1094,8,FALSE),"-")</f>
        <v>-</v>
      </c>
      <c r="H232" s="11" t="str">
        <f>IFERROR(VLOOKUP($B232,'(勿動)組件目錄表'!$D$15:$R$1094,9,FALSE),"-")</f>
        <v>-</v>
      </c>
      <c r="I232" s="11" t="str">
        <f>IFERROR(VLOOKUP($B232,'(勿動)組件目錄表'!$D$15:$R$1094,10,FALSE),"-")</f>
        <v>-</v>
      </c>
      <c r="J232" s="11" t="str">
        <f>IFERROR(VLOOKUP($B232,'(勿動)組件目錄表'!$D$15:$R$1094,11,FALSE),"-")</f>
        <v>-</v>
      </c>
      <c r="K232" s="11" t="str">
        <f>IFERROR(VLOOKUP($B232,'(勿動)組件目錄表'!$D$15:$R$1094,12,FALSE),"-")</f>
        <v>-</v>
      </c>
      <c r="L232" s="11" t="str">
        <f>IFERROR(VLOOKUP($B232,'(勿動)組件目錄表'!$D$15:$R$1094,13,FALSE),"-")</f>
        <v>-</v>
      </c>
      <c r="M232" s="11" t="str">
        <f>IFERROR(VLOOKUP($B232,'(勿動)組件目錄表'!$D$15:$R$1094,14,FALSE),"-")</f>
        <v>-</v>
      </c>
      <c r="N232" s="15">
        <f t="shared" si="1"/>
        <v>0</v>
      </c>
      <c r="O232" s="16"/>
    </row>
    <row r="233" spans="1:15" ht="15.75" customHeight="1">
      <c r="A233" s="18"/>
      <c r="B233" s="7"/>
      <c r="C233" s="8" t="str">
        <f>IFERROR(VLOOKUP($B233,'(勿動)組件目錄表'!$D$15:$R$1094,2,FALSE),"-")</f>
        <v>-</v>
      </c>
      <c r="D233" s="8" t="str">
        <f>IFERROR(VLOOKUP($B233,'(勿動)組件目錄表'!$D$15:$R$1094,3,FALSE),"-")</f>
        <v>-</v>
      </c>
      <c r="E233" s="9" t="str">
        <f>IFERROR(VLOOKUP($B233,'(勿動)組件目錄表'!$D$15:$R$1094,4,FALSE),"-")</f>
        <v>-</v>
      </c>
      <c r="F233" s="10" t="str">
        <f>IFERROR(VLOOKUP($B233,'(勿動)組件目錄表'!$D$15:$R$1094,5,FALSE),"-")</f>
        <v>-</v>
      </c>
      <c r="G233" s="11" t="str">
        <f>IFERROR(VLOOKUP($B233,'(勿動)組件目錄表'!$D$15:$R$1094,8,FALSE),"-")</f>
        <v>-</v>
      </c>
      <c r="H233" s="11" t="str">
        <f>IFERROR(VLOOKUP($B233,'(勿動)組件目錄表'!$D$15:$R$1094,9,FALSE),"-")</f>
        <v>-</v>
      </c>
      <c r="I233" s="11" t="str">
        <f>IFERROR(VLOOKUP($B233,'(勿動)組件目錄表'!$D$15:$R$1094,10,FALSE),"-")</f>
        <v>-</v>
      </c>
      <c r="J233" s="11" t="str">
        <f>IFERROR(VLOOKUP($B233,'(勿動)組件目錄表'!$D$15:$R$1094,11,FALSE),"-")</f>
        <v>-</v>
      </c>
      <c r="K233" s="11" t="str">
        <f>IFERROR(VLOOKUP($B233,'(勿動)組件目錄表'!$D$15:$R$1094,12,FALSE),"-")</f>
        <v>-</v>
      </c>
      <c r="L233" s="11" t="str">
        <f>IFERROR(VLOOKUP($B233,'(勿動)組件目錄表'!$D$15:$R$1094,13,FALSE),"-")</f>
        <v>-</v>
      </c>
      <c r="M233" s="11" t="str">
        <f>IFERROR(VLOOKUP($B233,'(勿動)組件目錄表'!$D$15:$R$1094,14,FALSE),"-")</f>
        <v>-</v>
      </c>
      <c r="N233" s="15">
        <f t="shared" si="1"/>
        <v>0</v>
      </c>
      <c r="O233" s="16"/>
    </row>
    <row r="234" spans="1:15" ht="15.75" customHeight="1">
      <c r="A234" s="18"/>
      <c r="B234" s="7"/>
      <c r="C234" s="8" t="str">
        <f>IFERROR(VLOOKUP($B234,'(勿動)組件目錄表'!$D$15:$R$1094,2,FALSE),"-")</f>
        <v>-</v>
      </c>
      <c r="D234" s="8" t="str">
        <f>IFERROR(VLOOKUP($B234,'(勿動)組件目錄表'!$D$15:$R$1094,3,FALSE),"-")</f>
        <v>-</v>
      </c>
      <c r="E234" s="9" t="str">
        <f>IFERROR(VLOOKUP($B234,'(勿動)組件目錄表'!$D$15:$R$1094,4,FALSE),"-")</f>
        <v>-</v>
      </c>
      <c r="F234" s="10" t="str">
        <f>IFERROR(VLOOKUP($B234,'(勿動)組件目錄表'!$D$15:$R$1094,5,FALSE),"-")</f>
        <v>-</v>
      </c>
      <c r="G234" s="11" t="str">
        <f>IFERROR(VLOOKUP($B234,'(勿動)組件目錄表'!$D$15:$R$1094,8,FALSE),"-")</f>
        <v>-</v>
      </c>
      <c r="H234" s="11" t="str">
        <f>IFERROR(VLOOKUP($B234,'(勿動)組件目錄表'!$D$15:$R$1094,9,FALSE),"-")</f>
        <v>-</v>
      </c>
      <c r="I234" s="11" t="str">
        <f>IFERROR(VLOOKUP($B234,'(勿動)組件目錄表'!$D$15:$R$1094,10,FALSE),"-")</f>
        <v>-</v>
      </c>
      <c r="J234" s="11" t="str">
        <f>IFERROR(VLOOKUP($B234,'(勿動)組件目錄表'!$D$15:$R$1094,11,FALSE),"-")</f>
        <v>-</v>
      </c>
      <c r="K234" s="11" t="str">
        <f>IFERROR(VLOOKUP($B234,'(勿動)組件目錄表'!$D$15:$R$1094,12,FALSE),"-")</f>
        <v>-</v>
      </c>
      <c r="L234" s="11" t="str">
        <f>IFERROR(VLOOKUP($B234,'(勿動)組件目錄表'!$D$15:$R$1094,13,FALSE),"-")</f>
        <v>-</v>
      </c>
      <c r="M234" s="11" t="str">
        <f>IFERROR(VLOOKUP($B234,'(勿動)組件目錄表'!$D$15:$R$1094,14,FALSE),"-")</f>
        <v>-</v>
      </c>
      <c r="N234" s="15">
        <f t="shared" si="1"/>
        <v>0</v>
      </c>
      <c r="O234" s="16"/>
    </row>
    <row r="235" spans="1:15" ht="15.75" customHeight="1">
      <c r="A235" s="18"/>
      <c r="B235" s="7"/>
      <c r="C235" s="8" t="str">
        <f>IFERROR(VLOOKUP($B235,'(勿動)組件目錄表'!$D$15:$R$1094,2,FALSE),"-")</f>
        <v>-</v>
      </c>
      <c r="D235" s="8" t="str">
        <f>IFERROR(VLOOKUP($B235,'(勿動)組件目錄表'!$D$15:$R$1094,3,FALSE),"-")</f>
        <v>-</v>
      </c>
      <c r="E235" s="9" t="str">
        <f>IFERROR(VLOOKUP($B235,'(勿動)組件目錄表'!$D$15:$R$1094,4,FALSE),"-")</f>
        <v>-</v>
      </c>
      <c r="F235" s="10" t="str">
        <f>IFERROR(VLOOKUP($B235,'(勿動)組件目錄表'!$D$15:$R$1094,5,FALSE),"-")</f>
        <v>-</v>
      </c>
      <c r="G235" s="11" t="str">
        <f>IFERROR(VLOOKUP($B235,'(勿動)組件目錄表'!$D$15:$R$1094,8,FALSE),"-")</f>
        <v>-</v>
      </c>
      <c r="H235" s="11" t="str">
        <f>IFERROR(VLOOKUP($B235,'(勿動)組件目錄表'!$D$15:$R$1094,9,FALSE),"-")</f>
        <v>-</v>
      </c>
      <c r="I235" s="11" t="str">
        <f>IFERROR(VLOOKUP($B235,'(勿動)組件目錄表'!$D$15:$R$1094,10,FALSE),"-")</f>
        <v>-</v>
      </c>
      <c r="J235" s="11" t="str">
        <f>IFERROR(VLOOKUP($B235,'(勿動)組件目錄表'!$D$15:$R$1094,11,FALSE),"-")</f>
        <v>-</v>
      </c>
      <c r="K235" s="11" t="str">
        <f>IFERROR(VLOOKUP($B235,'(勿動)組件目錄表'!$D$15:$R$1094,12,FALSE),"-")</f>
        <v>-</v>
      </c>
      <c r="L235" s="11" t="str">
        <f>IFERROR(VLOOKUP($B235,'(勿動)組件目錄表'!$D$15:$R$1094,13,FALSE),"-")</f>
        <v>-</v>
      </c>
      <c r="M235" s="11" t="str">
        <f>IFERROR(VLOOKUP($B235,'(勿動)組件目錄表'!$D$15:$R$1094,14,FALSE),"-")</f>
        <v>-</v>
      </c>
      <c r="N235" s="15">
        <f t="shared" si="1"/>
        <v>0</v>
      </c>
      <c r="O235" s="16"/>
    </row>
    <row r="236" spans="1:15" ht="15.75" customHeight="1">
      <c r="A236" s="18"/>
      <c r="B236" s="7"/>
      <c r="C236" s="8" t="str">
        <f>IFERROR(VLOOKUP($B236,'(勿動)組件目錄表'!$D$15:$R$1094,2,FALSE),"-")</f>
        <v>-</v>
      </c>
      <c r="D236" s="8" t="str">
        <f>IFERROR(VLOOKUP($B236,'(勿動)組件目錄表'!$D$15:$R$1094,3,FALSE),"-")</f>
        <v>-</v>
      </c>
      <c r="E236" s="9" t="str">
        <f>IFERROR(VLOOKUP($B236,'(勿動)組件目錄表'!$D$15:$R$1094,4,FALSE),"-")</f>
        <v>-</v>
      </c>
      <c r="F236" s="10" t="str">
        <f>IFERROR(VLOOKUP($B236,'(勿動)組件目錄表'!$D$15:$R$1094,5,FALSE),"-")</f>
        <v>-</v>
      </c>
      <c r="G236" s="11" t="str">
        <f>IFERROR(VLOOKUP($B236,'(勿動)組件目錄表'!$D$15:$R$1094,8,FALSE),"-")</f>
        <v>-</v>
      </c>
      <c r="H236" s="11" t="str">
        <f>IFERROR(VLOOKUP($B236,'(勿動)組件目錄表'!$D$15:$R$1094,9,FALSE),"-")</f>
        <v>-</v>
      </c>
      <c r="I236" s="11" t="str">
        <f>IFERROR(VLOOKUP($B236,'(勿動)組件目錄表'!$D$15:$R$1094,10,FALSE),"-")</f>
        <v>-</v>
      </c>
      <c r="J236" s="11" t="str">
        <f>IFERROR(VLOOKUP($B236,'(勿動)組件目錄表'!$D$15:$R$1094,11,FALSE),"-")</f>
        <v>-</v>
      </c>
      <c r="K236" s="11" t="str">
        <f>IFERROR(VLOOKUP($B236,'(勿動)組件目錄表'!$D$15:$R$1094,12,FALSE),"-")</f>
        <v>-</v>
      </c>
      <c r="L236" s="11" t="str">
        <f>IFERROR(VLOOKUP($B236,'(勿動)組件目錄表'!$D$15:$R$1094,13,FALSE),"-")</f>
        <v>-</v>
      </c>
      <c r="M236" s="11" t="str">
        <f>IFERROR(VLOOKUP($B236,'(勿動)組件目錄表'!$D$15:$R$1094,14,FALSE),"-")</f>
        <v>-</v>
      </c>
      <c r="N236" s="15">
        <f t="shared" si="1"/>
        <v>0</v>
      </c>
      <c r="O236" s="16"/>
    </row>
    <row r="237" spans="1:15" ht="15.75" customHeight="1">
      <c r="A237" s="18"/>
      <c r="B237" s="7"/>
      <c r="C237" s="8" t="str">
        <f>IFERROR(VLOOKUP($B237,'(勿動)組件目錄表'!$D$15:$R$1094,2,FALSE),"-")</f>
        <v>-</v>
      </c>
      <c r="D237" s="8" t="str">
        <f>IFERROR(VLOOKUP($B237,'(勿動)組件目錄表'!$D$15:$R$1094,3,FALSE),"-")</f>
        <v>-</v>
      </c>
      <c r="E237" s="9" t="str">
        <f>IFERROR(VLOOKUP($B237,'(勿動)組件目錄表'!$D$15:$R$1094,4,FALSE),"-")</f>
        <v>-</v>
      </c>
      <c r="F237" s="10" t="str">
        <f>IFERROR(VLOOKUP($B237,'(勿動)組件目錄表'!$D$15:$R$1094,5,FALSE),"-")</f>
        <v>-</v>
      </c>
      <c r="G237" s="11" t="str">
        <f>IFERROR(VLOOKUP($B237,'(勿動)組件目錄表'!$D$15:$R$1094,8,FALSE),"-")</f>
        <v>-</v>
      </c>
      <c r="H237" s="11" t="str">
        <f>IFERROR(VLOOKUP($B237,'(勿動)組件目錄表'!$D$15:$R$1094,9,FALSE),"-")</f>
        <v>-</v>
      </c>
      <c r="I237" s="11" t="str">
        <f>IFERROR(VLOOKUP($B237,'(勿動)組件目錄表'!$D$15:$R$1094,10,FALSE),"-")</f>
        <v>-</v>
      </c>
      <c r="J237" s="11" t="str">
        <f>IFERROR(VLOOKUP($B237,'(勿動)組件目錄表'!$D$15:$R$1094,11,FALSE),"-")</f>
        <v>-</v>
      </c>
      <c r="K237" s="11" t="str">
        <f>IFERROR(VLOOKUP($B237,'(勿動)組件目錄表'!$D$15:$R$1094,12,FALSE),"-")</f>
        <v>-</v>
      </c>
      <c r="L237" s="11" t="str">
        <f>IFERROR(VLOOKUP($B237,'(勿動)組件目錄表'!$D$15:$R$1094,13,FALSE),"-")</f>
        <v>-</v>
      </c>
      <c r="M237" s="11" t="str">
        <f>IFERROR(VLOOKUP($B237,'(勿動)組件目錄表'!$D$15:$R$1094,14,FALSE),"-")</f>
        <v>-</v>
      </c>
      <c r="N237" s="15">
        <f t="shared" si="1"/>
        <v>0</v>
      </c>
      <c r="O237" s="16"/>
    </row>
    <row r="238" spans="1:15" ht="15.75" customHeight="1">
      <c r="A238" s="18"/>
      <c r="B238" s="7"/>
      <c r="C238" s="8" t="str">
        <f>IFERROR(VLOOKUP($B238,'(勿動)組件目錄表'!$D$15:$R$1094,2,FALSE),"-")</f>
        <v>-</v>
      </c>
      <c r="D238" s="8" t="str">
        <f>IFERROR(VLOOKUP($B238,'(勿動)組件目錄表'!$D$15:$R$1094,3,FALSE),"-")</f>
        <v>-</v>
      </c>
      <c r="E238" s="9" t="str">
        <f>IFERROR(VLOOKUP($B238,'(勿動)組件目錄表'!$D$15:$R$1094,4,FALSE),"-")</f>
        <v>-</v>
      </c>
      <c r="F238" s="10" t="str">
        <f>IFERROR(VLOOKUP($B238,'(勿動)組件目錄表'!$D$15:$R$1094,5,FALSE),"-")</f>
        <v>-</v>
      </c>
      <c r="G238" s="11" t="str">
        <f>IFERROR(VLOOKUP($B238,'(勿動)組件目錄表'!$D$15:$R$1094,8,FALSE),"-")</f>
        <v>-</v>
      </c>
      <c r="H238" s="11" t="str">
        <f>IFERROR(VLOOKUP($B238,'(勿動)組件目錄表'!$D$15:$R$1094,9,FALSE),"-")</f>
        <v>-</v>
      </c>
      <c r="I238" s="11" t="str">
        <f>IFERROR(VLOOKUP($B238,'(勿動)組件目錄表'!$D$15:$R$1094,10,FALSE),"-")</f>
        <v>-</v>
      </c>
      <c r="J238" s="11" t="str">
        <f>IFERROR(VLOOKUP($B238,'(勿動)組件目錄表'!$D$15:$R$1094,11,FALSE),"-")</f>
        <v>-</v>
      </c>
      <c r="K238" s="11" t="str">
        <f>IFERROR(VLOOKUP($B238,'(勿動)組件目錄表'!$D$15:$R$1094,12,FALSE),"-")</f>
        <v>-</v>
      </c>
      <c r="L238" s="11" t="str">
        <f>IFERROR(VLOOKUP($B238,'(勿動)組件目錄表'!$D$15:$R$1094,13,FALSE),"-")</f>
        <v>-</v>
      </c>
      <c r="M238" s="11" t="str">
        <f>IFERROR(VLOOKUP($B238,'(勿動)組件目錄表'!$D$15:$R$1094,14,FALSE),"-")</f>
        <v>-</v>
      </c>
      <c r="N238" s="15">
        <f t="shared" si="1"/>
        <v>0</v>
      </c>
      <c r="O238" s="16"/>
    </row>
    <row r="239" spans="1:15" ht="15.75" customHeight="1">
      <c r="A239" s="18"/>
      <c r="B239" s="7"/>
      <c r="C239" s="8" t="str">
        <f>IFERROR(VLOOKUP($B239,'(勿動)組件目錄表'!$D$15:$R$1094,2,FALSE),"-")</f>
        <v>-</v>
      </c>
      <c r="D239" s="8" t="str">
        <f>IFERROR(VLOOKUP($B239,'(勿動)組件目錄表'!$D$15:$R$1094,3,FALSE),"-")</f>
        <v>-</v>
      </c>
      <c r="E239" s="9" t="str">
        <f>IFERROR(VLOOKUP($B239,'(勿動)組件目錄表'!$D$15:$R$1094,4,FALSE),"-")</f>
        <v>-</v>
      </c>
      <c r="F239" s="10" t="str">
        <f>IFERROR(VLOOKUP($B239,'(勿動)組件目錄表'!$D$15:$R$1094,5,FALSE),"-")</f>
        <v>-</v>
      </c>
      <c r="G239" s="11" t="str">
        <f>IFERROR(VLOOKUP($B239,'(勿動)組件目錄表'!$D$15:$R$1094,8,FALSE),"-")</f>
        <v>-</v>
      </c>
      <c r="H239" s="11" t="str">
        <f>IFERROR(VLOOKUP($B239,'(勿動)組件目錄表'!$D$15:$R$1094,9,FALSE),"-")</f>
        <v>-</v>
      </c>
      <c r="I239" s="11" t="str">
        <f>IFERROR(VLOOKUP($B239,'(勿動)組件目錄表'!$D$15:$R$1094,10,FALSE),"-")</f>
        <v>-</v>
      </c>
      <c r="J239" s="11" t="str">
        <f>IFERROR(VLOOKUP($B239,'(勿動)組件目錄表'!$D$15:$R$1094,11,FALSE),"-")</f>
        <v>-</v>
      </c>
      <c r="K239" s="11" t="str">
        <f>IFERROR(VLOOKUP($B239,'(勿動)組件目錄表'!$D$15:$R$1094,12,FALSE),"-")</f>
        <v>-</v>
      </c>
      <c r="L239" s="11" t="str">
        <f>IFERROR(VLOOKUP($B239,'(勿動)組件目錄表'!$D$15:$R$1094,13,FALSE),"-")</f>
        <v>-</v>
      </c>
      <c r="M239" s="11" t="str">
        <f>IFERROR(VLOOKUP($B239,'(勿動)組件目錄表'!$D$15:$R$1094,14,FALSE),"-")</f>
        <v>-</v>
      </c>
      <c r="N239" s="15">
        <f t="shared" si="1"/>
        <v>0</v>
      </c>
      <c r="O239" s="16"/>
    </row>
    <row r="240" spans="1:15" ht="15.75" customHeight="1">
      <c r="A240" s="18"/>
      <c r="B240" s="7"/>
      <c r="C240" s="8" t="str">
        <f>IFERROR(VLOOKUP($B240,'(勿動)組件目錄表'!$D$15:$R$1094,2,FALSE),"-")</f>
        <v>-</v>
      </c>
      <c r="D240" s="8" t="str">
        <f>IFERROR(VLOOKUP($B240,'(勿動)組件目錄表'!$D$15:$R$1094,3,FALSE),"-")</f>
        <v>-</v>
      </c>
      <c r="E240" s="9" t="str">
        <f>IFERROR(VLOOKUP($B240,'(勿動)組件目錄表'!$D$15:$R$1094,4,FALSE),"-")</f>
        <v>-</v>
      </c>
      <c r="F240" s="10" t="str">
        <f>IFERROR(VLOOKUP($B240,'(勿動)組件目錄表'!$D$15:$R$1094,5,FALSE),"-")</f>
        <v>-</v>
      </c>
      <c r="G240" s="11" t="str">
        <f>IFERROR(VLOOKUP($B240,'(勿動)組件目錄表'!$D$15:$R$1094,8,FALSE),"-")</f>
        <v>-</v>
      </c>
      <c r="H240" s="11" t="str">
        <f>IFERROR(VLOOKUP($B240,'(勿動)組件目錄表'!$D$15:$R$1094,9,FALSE),"-")</f>
        <v>-</v>
      </c>
      <c r="I240" s="11" t="str">
        <f>IFERROR(VLOOKUP($B240,'(勿動)組件目錄表'!$D$15:$R$1094,10,FALSE),"-")</f>
        <v>-</v>
      </c>
      <c r="J240" s="11" t="str">
        <f>IFERROR(VLOOKUP($B240,'(勿動)組件目錄表'!$D$15:$R$1094,11,FALSE),"-")</f>
        <v>-</v>
      </c>
      <c r="K240" s="11" t="str">
        <f>IFERROR(VLOOKUP($B240,'(勿動)組件目錄表'!$D$15:$R$1094,12,FALSE),"-")</f>
        <v>-</v>
      </c>
      <c r="L240" s="11" t="str">
        <f>IFERROR(VLOOKUP($B240,'(勿動)組件目錄表'!$D$15:$R$1094,13,FALSE),"-")</f>
        <v>-</v>
      </c>
      <c r="M240" s="11" t="str">
        <f>IFERROR(VLOOKUP($B240,'(勿動)組件目錄表'!$D$15:$R$1094,14,FALSE),"-")</f>
        <v>-</v>
      </c>
      <c r="N240" s="15">
        <f t="shared" si="1"/>
        <v>0</v>
      </c>
      <c r="O240" s="16"/>
    </row>
    <row r="241" spans="1:15" ht="15.75" customHeight="1">
      <c r="A241" s="18"/>
      <c r="B241" s="7"/>
      <c r="C241" s="8" t="str">
        <f>IFERROR(VLOOKUP($B241,'(勿動)組件目錄表'!$D$15:$R$1094,2,FALSE),"-")</f>
        <v>-</v>
      </c>
      <c r="D241" s="8" t="str">
        <f>IFERROR(VLOOKUP($B241,'(勿動)組件目錄表'!$D$15:$R$1094,3,FALSE),"-")</f>
        <v>-</v>
      </c>
      <c r="E241" s="9" t="str">
        <f>IFERROR(VLOOKUP($B241,'(勿動)組件目錄表'!$D$15:$R$1094,4,FALSE),"-")</f>
        <v>-</v>
      </c>
      <c r="F241" s="10" t="str">
        <f>IFERROR(VLOOKUP($B241,'(勿動)組件目錄表'!$D$15:$R$1094,5,FALSE),"-")</f>
        <v>-</v>
      </c>
      <c r="G241" s="11" t="str">
        <f>IFERROR(VLOOKUP($B241,'(勿動)組件目錄表'!$D$15:$R$1094,8,FALSE),"-")</f>
        <v>-</v>
      </c>
      <c r="H241" s="11" t="str">
        <f>IFERROR(VLOOKUP($B241,'(勿動)組件目錄表'!$D$15:$R$1094,9,FALSE),"-")</f>
        <v>-</v>
      </c>
      <c r="I241" s="11" t="str">
        <f>IFERROR(VLOOKUP($B241,'(勿動)組件目錄表'!$D$15:$R$1094,10,FALSE),"-")</f>
        <v>-</v>
      </c>
      <c r="J241" s="11" t="str">
        <f>IFERROR(VLOOKUP($B241,'(勿動)組件目錄表'!$D$15:$R$1094,11,FALSE),"-")</f>
        <v>-</v>
      </c>
      <c r="K241" s="11" t="str">
        <f>IFERROR(VLOOKUP($B241,'(勿動)組件目錄表'!$D$15:$R$1094,12,FALSE),"-")</f>
        <v>-</v>
      </c>
      <c r="L241" s="11" t="str">
        <f>IFERROR(VLOOKUP($B241,'(勿動)組件目錄表'!$D$15:$R$1094,13,FALSE),"-")</f>
        <v>-</v>
      </c>
      <c r="M241" s="11" t="str">
        <f>IFERROR(VLOOKUP($B241,'(勿動)組件目錄表'!$D$15:$R$1094,14,FALSE),"-")</f>
        <v>-</v>
      </c>
      <c r="N241" s="15">
        <f t="shared" si="1"/>
        <v>0</v>
      </c>
      <c r="O241" s="16"/>
    </row>
    <row r="242" spans="1:15" ht="15.75" customHeight="1">
      <c r="A242" s="18"/>
      <c r="B242" s="7"/>
      <c r="C242" s="8" t="str">
        <f>IFERROR(VLOOKUP($B242,'(勿動)組件目錄表'!$D$15:$R$1094,2,FALSE),"-")</f>
        <v>-</v>
      </c>
      <c r="D242" s="8" t="str">
        <f>IFERROR(VLOOKUP($B242,'(勿動)組件目錄表'!$D$15:$R$1094,3,FALSE),"-")</f>
        <v>-</v>
      </c>
      <c r="E242" s="9" t="str">
        <f>IFERROR(VLOOKUP($B242,'(勿動)組件目錄表'!$D$15:$R$1094,4,FALSE),"-")</f>
        <v>-</v>
      </c>
      <c r="F242" s="10" t="str">
        <f>IFERROR(VLOOKUP($B242,'(勿動)組件目錄表'!$D$15:$R$1094,5,FALSE),"-")</f>
        <v>-</v>
      </c>
      <c r="G242" s="11" t="str">
        <f>IFERROR(VLOOKUP($B242,'(勿動)組件目錄表'!$D$15:$R$1094,8,FALSE),"-")</f>
        <v>-</v>
      </c>
      <c r="H242" s="11" t="str">
        <f>IFERROR(VLOOKUP($B242,'(勿動)組件目錄表'!$D$15:$R$1094,9,FALSE),"-")</f>
        <v>-</v>
      </c>
      <c r="I242" s="11" t="str">
        <f>IFERROR(VLOOKUP($B242,'(勿動)組件目錄表'!$D$15:$R$1094,10,FALSE),"-")</f>
        <v>-</v>
      </c>
      <c r="J242" s="11" t="str">
        <f>IFERROR(VLOOKUP($B242,'(勿動)組件目錄表'!$D$15:$R$1094,11,FALSE),"-")</f>
        <v>-</v>
      </c>
      <c r="K242" s="11" t="str">
        <f>IFERROR(VLOOKUP($B242,'(勿動)組件目錄表'!$D$15:$R$1094,12,FALSE),"-")</f>
        <v>-</v>
      </c>
      <c r="L242" s="11" t="str">
        <f>IFERROR(VLOOKUP($B242,'(勿動)組件目錄表'!$D$15:$R$1094,13,FALSE),"-")</f>
        <v>-</v>
      </c>
      <c r="M242" s="11" t="str">
        <f>IFERROR(VLOOKUP($B242,'(勿動)組件目錄表'!$D$15:$R$1094,14,FALSE),"-")</f>
        <v>-</v>
      </c>
      <c r="N242" s="15">
        <f t="shared" si="1"/>
        <v>0</v>
      </c>
      <c r="O242" s="16"/>
    </row>
    <row r="243" spans="1:15" ht="15.75" customHeight="1">
      <c r="A243" s="18"/>
      <c r="B243" s="7"/>
      <c r="C243" s="8" t="str">
        <f>IFERROR(VLOOKUP($B243,'(勿動)組件目錄表'!$D$15:$R$1094,2,FALSE),"-")</f>
        <v>-</v>
      </c>
      <c r="D243" s="8" t="str">
        <f>IFERROR(VLOOKUP($B243,'(勿動)組件目錄表'!$D$15:$R$1094,3,FALSE),"-")</f>
        <v>-</v>
      </c>
      <c r="E243" s="9" t="str">
        <f>IFERROR(VLOOKUP($B243,'(勿動)組件目錄表'!$D$15:$R$1094,4,FALSE),"-")</f>
        <v>-</v>
      </c>
      <c r="F243" s="10" t="str">
        <f>IFERROR(VLOOKUP($B243,'(勿動)組件目錄表'!$D$15:$R$1094,5,FALSE),"-")</f>
        <v>-</v>
      </c>
      <c r="G243" s="11" t="str">
        <f>IFERROR(VLOOKUP($B243,'(勿動)組件目錄表'!$D$15:$R$1094,8,FALSE),"-")</f>
        <v>-</v>
      </c>
      <c r="H243" s="11" t="str">
        <f>IFERROR(VLOOKUP($B243,'(勿動)組件目錄表'!$D$15:$R$1094,9,FALSE),"-")</f>
        <v>-</v>
      </c>
      <c r="I243" s="11" t="str">
        <f>IFERROR(VLOOKUP($B243,'(勿動)組件目錄表'!$D$15:$R$1094,10,FALSE),"-")</f>
        <v>-</v>
      </c>
      <c r="J243" s="11" t="str">
        <f>IFERROR(VLOOKUP($B243,'(勿動)組件目錄表'!$D$15:$R$1094,11,FALSE),"-")</f>
        <v>-</v>
      </c>
      <c r="K243" s="11" t="str">
        <f>IFERROR(VLOOKUP($B243,'(勿動)組件目錄表'!$D$15:$R$1094,12,FALSE),"-")</f>
        <v>-</v>
      </c>
      <c r="L243" s="11" t="str">
        <f>IFERROR(VLOOKUP($B243,'(勿動)組件目錄表'!$D$15:$R$1094,13,FALSE),"-")</f>
        <v>-</v>
      </c>
      <c r="M243" s="11" t="str">
        <f>IFERROR(VLOOKUP($B243,'(勿動)組件目錄表'!$D$15:$R$1094,14,FALSE),"-")</f>
        <v>-</v>
      </c>
      <c r="N243" s="15">
        <f t="shared" si="1"/>
        <v>0</v>
      </c>
      <c r="O243" s="16"/>
    </row>
    <row r="244" spans="1:15" ht="15.75" customHeight="1">
      <c r="A244" s="18"/>
      <c r="B244" s="7"/>
      <c r="C244" s="8" t="str">
        <f>IFERROR(VLOOKUP($B244,'(勿動)組件目錄表'!$D$15:$R$1094,2,FALSE),"-")</f>
        <v>-</v>
      </c>
      <c r="D244" s="8" t="str">
        <f>IFERROR(VLOOKUP($B244,'(勿動)組件目錄表'!$D$15:$R$1094,3,FALSE),"-")</f>
        <v>-</v>
      </c>
      <c r="E244" s="9" t="str">
        <f>IFERROR(VLOOKUP($B244,'(勿動)組件目錄表'!$D$15:$R$1094,4,FALSE),"-")</f>
        <v>-</v>
      </c>
      <c r="F244" s="10" t="str">
        <f>IFERROR(VLOOKUP($B244,'(勿動)組件目錄表'!$D$15:$R$1094,5,FALSE),"-")</f>
        <v>-</v>
      </c>
      <c r="G244" s="11" t="str">
        <f>IFERROR(VLOOKUP($B244,'(勿動)組件目錄表'!$D$15:$R$1094,8,FALSE),"-")</f>
        <v>-</v>
      </c>
      <c r="H244" s="11" t="str">
        <f>IFERROR(VLOOKUP($B244,'(勿動)組件目錄表'!$D$15:$R$1094,9,FALSE),"-")</f>
        <v>-</v>
      </c>
      <c r="I244" s="11" t="str">
        <f>IFERROR(VLOOKUP($B244,'(勿動)組件目錄表'!$D$15:$R$1094,10,FALSE),"-")</f>
        <v>-</v>
      </c>
      <c r="J244" s="11" t="str">
        <f>IFERROR(VLOOKUP($B244,'(勿動)組件目錄表'!$D$15:$R$1094,11,FALSE),"-")</f>
        <v>-</v>
      </c>
      <c r="K244" s="11" t="str">
        <f>IFERROR(VLOOKUP($B244,'(勿動)組件目錄表'!$D$15:$R$1094,12,FALSE),"-")</f>
        <v>-</v>
      </c>
      <c r="L244" s="11" t="str">
        <f>IFERROR(VLOOKUP($B244,'(勿動)組件目錄表'!$D$15:$R$1094,13,FALSE),"-")</f>
        <v>-</v>
      </c>
      <c r="M244" s="11" t="str">
        <f>IFERROR(VLOOKUP($B244,'(勿動)組件目錄表'!$D$15:$R$1094,14,FALSE),"-")</f>
        <v>-</v>
      </c>
      <c r="N244" s="15">
        <f t="shared" si="1"/>
        <v>0</v>
      </c>
      <c r="O244" s="16"/>
    </row>
    <row r="245" spans="1:15" ht="15.75" customHeight="1">
      <c r="A245" s="18"/>
      <c r="B245" s="7"/>
      <c r="C245" s="8" t="str">
        <f>IFERROR(VLOOKUP($B245,'(勿動)組件目錄表'!$D$15:$R$1094,2,FALSE),"-")</f>
        <v>-</v>
      </c>
      <c r="D245" s="8" t="str">
        <f>IFERROR(VLOOKUP($B245,'(勿動)組件目錄表'!$D$15:$R$1094,3,FALSE),"-")</f>
        <v>-</v>
      </c>
      <c r="E245" s="9" t="str">
        <f>IFERROR(VLOOKUP($B245,'(勿動)組件目錄表'!$D$15:$R$1094,4,FALSE),"-")</f>
        <v>-</v>
      </c>
      <c r="F245" s="10" t="str">
        <f>IFERROR(VLOOKUP($B245,'(勿動)組件目錄表'!$D$15:$R$1094,5,FALSE),"-")</f>
        <v>-</v>
      </c>
      <c r="G245" s="11" t="str">
        <f>IFERROR(VLOOKUP($B245,'(勿動)組件目錄表'!$D$15:$R$1094,8,FALSE),"-")</f>
        <v>-</v>
      </c>
      <c r="H245" s="11" t="str">
        <f>IFERROR(VLOOKUP($B245,'(勿動)組件目錄表'!$D$15:$R$1094,9,FALSE),"-")</f>
        <v>-</v>
      </c>
      <c r="I245" s="11" t="str">
        <f>IFERROR(VLOOKUP($B245,'(勿動)組件目錄表'!$D$15:$R$1094,10,FALSE),"-")</f>
        <v>-</v>
      </c>
      <c r="J245" s="11" t="str">
        <f>IFERROR(VLOOKUP($B245,'(勿動)組件目錄表'!$D$15:$R$1094,11,FALSE),"-")</f>
        <v>-</v>
      </c>
      <c r="K245" s="11" t="str">
        <f>IFERROR(VLOOKUP($B245,'(勿動)組件目錄表'!$D$15:$R$1094,12,FALSE),"-")</f>
        <v>-</v>
      </c>
      <c r="L245" s="11" t="str">
        <f>IFERROR(VLOOKUP($B245,'(勿動)組件目錄表'!$D$15:$R$1094,13,FALSE),"-")</f>
        <v>-</v>
      </c>
      <c r="M245" s="11" t="str">
        <f>IFERROR(VLOOKUP($B245,'(勿動)組件目錄表'!$D$15:$R$1094,14,FALSE),"-")</f>
        <v>-</v>
      </c>
      <c r="N245" s="15">
        <f t="shared" si="1"/>
        <v>0</v>
      </c>
      <c r="O245" s="16"/>
    </row>
    <row r="246" spans="1:15" ht="15.75" customHeight="1">
      <c r="A246" s="18"/>
      <c r="B246" s="7"/>
      <c r="C246" s="8" t="str">
        <f>IFERROR(VLOOKUP($B246,'(勿動)組件目錄表'!$D$15:$R$1094,2,FALSE),"-")</f>
        <v>-</v>
      </c>
      <c r="D246" s="8" t="str">
        <f>IFERROR(VLOOKUP($B246,'(勿動)組件目錄表'!$D$15:$R$1094,3,FALSE),"-")</f>
        <v>-</v>
      </c>
      <c r="E246" s="9" t="str">
        <f>IFERROR(VLOOKUP($B246,'(勿動)組件目錄表'!$D$15:$R$1094,4,FALSE),"-")</f>
        <v>-</v>
      </c>
      <c r="F246" s="10" t="str">
        <f>IFERROR(VLOOKUP($B246,'(勿動)組件目錄表'!$D$15:$R$1094,5,FALSE),"-")</f>
        <v>-</v>
      </c>
      <c r="G246" s="11" t="str">
        <f>IFERROR(VLOOKUP($B246,'(勿動)組件目錄表'!$D$15:$R$1094,8,FALSE),"-")</f>
        <v>-</v>
      </c>
      <c r="H246" s="11" t="str">
        <f>IFERROR(VLOOKUP($B246,'(勿動)組件目錄表'!$D$15:$R$1094,9,FALSE),"-")</f>
        <v>-</v>
      </c>
      <c r="I246" s="11" t="str">
        <f>IFERROR(VLOOKUP($B246,'(勿動)組件目錄表'!$D$15:$R$1094,10,FALSE),"-")</f>
        <v>-</v>
      </c>
      <c r="J246" s="11" t="str">
        <f>IFERROR(VLOOKUP($B246,'(勿動)組件目錄表'!$D$15:$R$1094,11,FALSE),"-")</f>
        <v>-</v>
      </c>
      <c r="K246" s="11" t="str">
        <f>IFERROR(VLOOKUP($B246,'(勿動)組件目錄表'!$D$15:$R$1094,12,FALSE),"-")</f>
        <v>-</v>
      </c>
      <c r="L246" s="11" t="str">
        <f>IFERROR(VLOOKUP($B246,'(勿動)組件目錄表'!$D$15:$R$1094,13,FALSE),"-")</f>
        <v>-</v>
      </c>
      <c r="M246" s="11" t="str">
        <f>IFERROR(VLOOKUP($B246,'(勿動)組件目錄表'!$D$15:$R$1094,14,FALSE),"-")</f>
        <v>-</v>
      </c>
      <c r="N246" s="15">
        <f t="shared" si="1"/>
        <v>0</v>
      </c>
      <c r="O246" s="16"/>
    </row>
    <row r="247" spans="1:15" ht="15.75" customHeight="1">
      <c r="A247" s="18"/>
      <c r="B247" s="7"/>
      <c r="C247" s="8" t="str">
        <f>IFERROR(VLOOKUP($B247,'(勿動)組件目錄表'!$D$15:$R$1094,2,FALSE),"-")</f>
        <v>-</v>
      </c>
      <c r="D247" s="8" t="str">
        <f>IFERROR(VLOOKUP($B247,'(勿動)組件目錄表'!$D$15:$R$1094,3,FALSE),"-")</f>
        <v>-</v>
      </c>
      <c r="E247" s="9" t="str">
        <f>IFERROR(VLOOKUP($B247,'(勿動)組件目錄表'!$D$15:$R$1094,4,FALSE),"-")</f>
        <v>-</v>
      </c>
      <c r="F247" s="10" t="str">
        <f>IFERROR(VLOOKUP($B247,'(勿動)組件目錄表'!$D$15:$R$1094,5,FALSE),"-")</f>
        <v>-</v>
      </c>
      <c r="G247" s="11" t="str">
        <f>IFERROR(VLOOKUP($B247,'(勿動)組件目錄表'!$D$15:$R$1094,8,FALSE),"-")</f>
        <v>-</v>
      </c>
      <c r="H247" s="11" t="str">
        <f>IFERROR(VLOOKUP($B247,'(勿動)組件目錄表'!$D$15:$R$1094,9,FALSE),"-")</f>
        <v>-</v>
      </c>
      <c r="I247" s="11" t="str">
        <f>IFERROR(VLOOKUP($B247,'(勿動)組件目錄表'!$D$15:$R$1094,10,FALSE),"-")</f>
        <v>-</v>
      </c>
      <c r="J247" s="11" t="str">
        <f>IFERROR(VLOOKUP($B247,'(勿動)組件目錄表'!$D$15:$R$1094,11,FALSE),"-")</f>
        <v>-</v>
      </c>
      <c r="K247" s="11" t="str">
        <f>IFERROR(VLOOKUP($B247,'(勿動)組件目錄表'!$D$15:$R$1094,12,FALSE),"-")</f>
        <v>-</v>
      </c>
      <c r="L247" s="11" t="str">
        <f>IFERROR(VLOOKUP($B247,'(勿動)組件目錄表'!$D$15:$R$1094,13,FALSE),"-")</f>
        <v>-</v>
      </c>
      <c r="M247" s="11" t="str">
        <f>IFERROR(VLOOKUP($B247,'(勿動)組件目錄表'!$D$15:$R$1094,14,FALSE),"-")</f>
        <v>-</v>
      </c>
      <c r="N247" s="15">
        <f t="shared" si="1"/>
        <v>0</v>
      </c>
      <c r="O247" s="16"/>
    </row>
    <row r="248" spans="1:15" ht="15.75" customHeight="1">
      <c r="A248" s="18"/>
      <c r="B248" s="7"/>
      <c r="C248" s="8" t="str">
        <f>IFERROR(VLOOKUP($B248,'(勿動)組件目錄表'!$D$15:$R$1094,2,FALSE),"-")</f>
        <v>-</v>
      </c>
      <c r="D248" s="8" t="str">
        <f>IFERROR(VLOOKUP($B248,'(勿動)組件目錄表'!$D$15:$R$1094,3,FALSE),"-")</f>
        <v>-</v>
      </c>
      <c r="E248" s="9" t="str">
        <f>IFERROR(VLOOKUP($B248,'(勿動)組件目錄表'!$D$15:$R$1094,4,FALSE),"-")</f>
        <v>-</v>
      </c>
      <c r="F248" s="10" t="str">
        <f>IFERROR(VLOOKUP($B248,'(勿動)組件目錄表'!$D$15:$R$1094,5,FALSE),"-")</f>
        <v>-</v>
      </c>
      <c r="G248" s="11" t="str">
        <f>IFERROR(VLOOKUP($B248,'(勿動)組件目錄表'!$D$15:$R$1094,8,FALSE),"-")</f>
        <v>-</v>
      </c>
      <c r="H248" s="11" t="str">
        <f>IFERROR(VLOOKUP($B248,'(勿動)組件目錄表'!$D$15:$R$1094,9,FALSE),"-")</f>
        <v>-</v>
      </c>
      <c r="I248" s="11" t="str">
        <f>IFERROR(VLOOKUP($B248,'(勿動)組件目錄表'!$D$15:$R$1094,10,FALSE),"-")</f>
        <v>-</v>
      </c>
      <c r="J248" s="11" t="str">
        <f>IFERROR(VLOOKUP($B248,'(勿動)組件目錄表'!$D$15:$R$1094,11,FALSE),"-")</f>
        <v>-</v>
      </c>
      <c r="K248" s="11" t="str">
        <f>IFERROR(VLOOKUP($B248,'(勿動)組件目錄表'!$D$15:$R$1094,12,FALSE),"-")</f>
        <v>-</v>
      </c>
      <c r="L248" s="11" t="str">
        <f>IFERROR(VLOOKUP($B248,'(勿動)組件目錄表'!$D$15:$R$1094,13,FALSE),"-")</f>
        <v>-</v>
      </c>
      <c r="M248" s="11" t="str">
        <f>IFERROR(VLOOKUP($B248,'(勿動)組件目錄表'!$D$15:$R$1094,14,FALSE),"-")</f>
        <v>-</v>
      </c>
      <c r="N248" s="15">
        <f t="shared" si="1"/>
        <v>0</v>
      </c>
      <c r="O248" s="16"/>
    </row>
    <row r="249" spans="1:15" ht="15.75" customHeight="1">
      <c r="A249" s="18"/>
      <c r="B249" s="7"/>
      <c r="C249" s="8" t="str">
        <f>IFERROR(VLOOKUP($B249,'(勿動)組件目錄表'!$D$15:$R$1094,2,FALSE),"-")</f>
        <v>-</v>
      </c>
      <c r="D249" s="8" t="str">
        <f>IFERROR(VLOOKUP($B249,'(勿動)組件目錄表'!$D$15:$R$1094,3,FALSE),"-")</f>
        <v>-</v>
      </c>
      <c r="E249" s="9" t="str">
        <f>IFERROR(VLOOKUP($B249,'(勿動)組件目錄表'!$D$15:$R$1094,4,FALSE),"-")</f>
        <v>-</v>
      </c>
      <c r="F249" s="10" t="str">
        <f>IFERROR(VLOOKUP($B249,'(勿動)組件目錄表'!$D$15:$R$1094,5,FALSE),"-")</f>
        <v>-</v>
      </c>
      <c r="G249" s="11" t="str">
        <f>IFERROR(VLOOKUP($B249,'(勿動)組件目錄表'!$D$15:$R$1094,8,FALSE),"-")</f>
        <v>-</v>
      </c>
      <c r="H249" s="11" t="str">
        <f>IFERROR(VLOOKUP($B249,'(勿動)組件目錄表'!$D$15:$R$1094,9,FALSE),"-")</f>
        <v>-</v>
      </c>
      <c r="I249" s="11" t="str">
        <f>IFERROR(VLOOKUP($B249,'(勿動)組件目錄表'!$D$15:$R$1094,10,FALSE),"-")</f>
        <v>-</v>
      </c>
      <c r="J249" s="11" t="str">
        <f>IFERROR(VLOOKUP($B249,'(勿動)組件目錄表'!$D$15:$R$1094,11,FALSE),"-")</f>
        <v>-</v>
      </c>
      <c r="K249" s="11" t="str">
        <f>IFERROR(VLOOKUP($B249,'(勿動)組件目錄表'!$D$15:$R$1094,12,FALSE),"-")</f>
        <v>-</v>
      </c>
      <c r="L249" s="11" t="str">
        <f>IFERROR(VLOOKUP($B249,'(勿動)組件目錄表'!$D$15:$R$1094,13,FALSE),"-")</f>
        <v>-</v>
      </c>
      <c r="M249" s="11" t="str">
        <f>IFERROR(VLOOKUP($B249,'(勿動)組件目錄表'!$D$15:$R$1094,14,FALSE),"-")</f>
        <v>-</v>
      </c>
      <c r="N249" s="15">
        <f t="shared" si="1"/>
        <v>0</v>
      </c>
      <c r="O249" s="16"/>
    </row>
    <row r="250" spans="1:15" ht="15.75" customHeight="1">
      <c r="A250" s="18"/>
      <c r="B250" s="7"/>
      <c r="C250" s="8" t="str">
        <f>IFERROR(VLOOKUP($B250,'(勿動)組件目錄表'!$D$15:$R$1094,2,FALSE),"-")</f>
        <v>-</v>
      </c>
      <c r="D250" s="8" t="str">
        <f>IFERROR(VLOOKUP($B250,'(勿動)組件目錄表'!$D$15:$R$1094,3,FALSE),"-")</f>
        <v>-</v>
      </c>
      <c r="E250" s="9" t="str">
        <f>IFERROR(VLOOKUP($B250,'(勿動)組件目錄表'!$D$15:$R$1094,4,FALSE),"-")</f>
        <v>-</v>
      </c>
      <c r="F250" s="10" t="str">
        <f>IFERROR(VLOOKUP($B250,'(勿動)組件目錄表'!$D$15:$R$1094,5,FALSE),"-")</f>
        <v>-</v>
      </c>
      <c r="G250" s="11" t="str">
        <f>IFERROR(VLOOKUP($B250,'(勿動)組件目錄表'!$D$15:$R$1094,8,FALSE),"-")</f>
        <v>-</v>
      </c>
      <c r="H250" s="11" t="str">
        <f>IFERROR(VLOOKUP($B250,'(勿動)組件目錄表'!$D$15:$R$1094,9,FALSE),"-")</f>
        <v>-</v>
      </c>
      <c r="I250" s="11" t="str">
        <f>IFERROR(VLOOKUP($B250,'(勿動)組件目錄表'!$D$15:$R$1094,10,FALSE),"-")</f>
        <v>-</v>
      </c>
      <c r="J250" s="11" t="str">
        <f>IFERROR(VLOOKUP($B250,'(勿動)組件目錄表'!$D$15:$R$1094,11,FALSE),"-")</f>
        <v>-</v>
      </c>
      <c r="K250" s="11" t="str">
        <f>IFERROR(VLOOKUP($B250,'(勿動)組件目錄表'!$D$15:$R$1094,12,FALSE),"-")</f>
        <v>-</v>
      </c>
      <c r="L250" s="11" t="str">
        <f>IFERROR(VLOOKUP($B250,'(勿動)組件目錄表'!$D$15:$R$1094,13,FALSE),"-")</f>
        <v>-</v>
      </c>
      <c r="M250" s="11" t="str">
        <f>IFERROR(VLOOKUP($B250,'(勿動)組件目錄表'!$D$15:$R$1094,14,FALSE),"-")</f>
        <v>-</v>
      </c>
      <c r="N250" s="15">
        <f t="shared" si="1"/>
        <v>0</v>
      </c>
      <c r="O250" s="16"/>
    </row>
    <row r="251" spans="1:15" ht="15.75" customHeight="1">
      <c r="A251" s="18"/>
      <c r="B251" s="7"/>
      <c r="C251" s="8" t="str">
        <f>IFERROR(VLOOKUP($B251,'(勿動)組件目錄表'!$D$15:$R$1094,2,FALSE),"-")</f>
        <v>-</v>
      </c>
      <c r="D251" s="8" t="str">
        <f>IFERROR(VLOOKUP($B251,'(勿動)組件目錄表'!$D$15:$R$1094,3,FALSE),"-")</f>
        <v>-</v>
      </c>
      <c r="E251" s="9" t="str">
        <f>IFERROR(VLOOKUP($B251,'(勿動)組件目錄表'!$D$15:$R$1094,4,FALSE),"-")</f>
        <v>-</v>
      </c>
      <c r="F251" s="10" t="str">
        <f>IFERROR(VLOOKUP($B251,'(勿動)組件目錄表'!$D$15:$R$1094,5,FALSE),"-")</f>
        <v>-</v>
      </c>
      <c r="G251" s="11" t="str">
        <f>IFERROR(VLOOKUP($B251,'(勿動)組件目錄表'!$D$15:$R$1094,8,FALSE),"-")</f>
        <v>-</v>
      </c>
      <c r="H251" s="11" t="str">
        <f>IFERROR(VLOOKUP($B251,'(勿動)組件目錄表'!$D$15:$R$1094,9,FALSE),"-")</f>
        <v>-</v>
      </c>
      <c r="I251" s="11" t="str">
        <f>IFERROR(VLOOKUP($B251,'(勿動)組件目錄表'!$D$15:$R$1094,10,FALSE),"-")</f>
        <v>-</v>
      </c>
      <c r="J251" s="11" t="str">
        <f>IFERROR(VLOOKUP($B251,'(勿動)組件目錄表'!$D$15:$R$1094,11,FALSE),"-")</f>
        <v>-</v>
      </c>
      <c r="K251" s="11" t="str">
        <f>IFERROR(VLOOKUP($B251,'(勿動)組件目錄表'!$D$15:$R$1094,12,FALSE),"-")</f>
        <v>-</v>
      </c>
      <c r="L251" s="11" t="str">
        <f>IFERROR(VLOOKUP($B251,'(勿動)組件目錄表'!$D$15:$R$1094,13,FALSE),"-")</f>
        <v>-</v>
      </c>
      <c r="M251" s="11" t="str">
        <f>IFERROR(VLOOKUP($B251,'(勿動)組件目錄表'!$D$15:$R$1094,14,FALSE),"-")</f>
        <v>-</v>
      </c>
      <c r="N251" s="15">
        <f t="shared" si="1"/>
        <v>0</v>
      </c>
      <c r="O251" s="16"/>
    </row>
    <row r="252" spans="1:15" ht="15.75" customHeight="1">
      <c r="A252" s="18"/>
      <c r="B252" s="7"/>
      <c r="C252" s="8" t="str">
        <f>IFERROR(VLOOKUP($B252,'(勿動)組件目錄表'!$D$15:$R$1094,2,FALSE),"-")</f>
        <v>-</v>
      </c>
      <c r="D252" s="8" t="str">
        <f>IFERROR(VLOOKUP($B252,'(勿動)組件目錄表'!$D$15:$R$1094,3,FALSE),"-")</f>
        <v>-</v>
      </c>
      <c r="E252" s="9" t="str">
        <f>IFERROR(VLOOKUP($B252,'(勿動)組件目錄表'!$D$15:$R$1094,4,FALSE),"-")</f>
        <v>-</v>
      </c>
      <c r="F252" s="10" t="str">
        <f>IFERROR(VLOOKUP($B252,'(勿動)組件目錄表'!$D$15:$R$1094,5,FALSE),"-")</f>
        <v>-</v>
      </c>
      <c r="G252" s="11" t="str">
        <f>IFERROR(VLOOKUP($B252,'(勿動)組件目錄表'!$D$15:$R$1094,8,FALSE),"-")</f>
        <v>-</v>
      </c>
      <c r="H252" s="11" t="str">
        <f>IFERROR(VLOOKUP($B252,'(勿動)組件目錄表'!$D$15:$R$1094,9,FALSE),"-")</f>
        <v>-</v>
      </c>
      <c r="I252" s="11" t="str">
        <f>IFERROR(VLOOKUP($B252,'(勿動)組件目錄表'!$D$15:$R$1094,10,FALSE),"-")</f>
        <v>-</v>
      </c>
      <c r="J252" s="11" t="str">
        <f>IFERROR(VLOOKUP($B252,'(勿動)組件目錄表'!$D$15:$R$1094,11,FALSE),"-")</f>
        <v>-</v>
      </c>
      <c r="K252" s="11" t="str">
        <f>IFERROR(VLOOKUP($B252,'(勿動)組件目錄表'!$D$15:$R$1094,12,FALSE),"-")</f>
        <v>-</v>
      </c>
      <c r="L252" s="11" t="str">
        <f>IFERROR(VLOOKUP($B252,'(勿動)組件目錄表'!$D$15:$R$1094,13,FALSE),"-")</f>
        <v>-</v>
      </c>
      <c r="M252" s="11" t="str">
        <f>IFERROR(VLOOKUP($B252,'(勿動)組件目錄表'!$D$15:$R$1094,14,FALSE),"-")</f>
        <v>-</v>
      </c>
      <c r="N252" s="15">
        <f t="shared" si="1"/>
        <v>0</v>
      </c>
      <c r="O252" s="16"/>
    </row>
    <row r="253" spans="1:15" ht="15.75" customHeight="1">
      <c r="A253" s="18"/>
      <c r="B253" s="7"/>
      <c r="C253" s="8" t="str">
        <f>IFERROR(VLOOKUP($B253,'(勿動)組件目錄表'!$D$15:$R$1094,2,FALSE),"-")</f>
        <v>-</v>
      </c>
      <c r="D253" s="8" t="str">
        <f>IFERROR(VLOOKUP($B253,'(勿動)組件目錄表'!$D$15:$R$1094,3,FALSE),"-")</f>
        <v>-</v>
      </c>
      <c r="E253" s="9" t="str">
        <f>IFERROR(VLOOKUP($B253,'(勿動)組件目錄表'!$D$15:$R$1094,4,FALSE),"-")</f>
        <v>-</v>
      </c>
      <c r="F253" s="10" t="str">
        <f>IFERROR(VLOOKUP($B253,'(勿動)組件目錄表'!$D$15:$R$1094,5,FALSE),"-")</f>
        <v>-</v>
      </c>
      <c r="G253" s="11" t="str">
        <f>IFERROR(VLOOKUP($B253,'(勿動)組件目錄表'!$D$15:$R$1094,8,FALSE),"-")</f>
        <v>-</v>
      </c>
      <c r="H253" s="11" t="str">
        <f>IFERROR(VLOOKUP($B253,'(勿動)組件目錄表'!$D$15:$R$1094,9,FALSE),"-")</f>
        <v>-</v>
      </c>
      <c r="I253" s="11" t="str">
        <f>IFERROR(VLOOKUP($B253,'(勿動)組件目錄表'!$D$15:$R$1094,10,FALSE),"-")</f>
        <v>-</v>
      </c>
      <c r="J253" s="11" t="str">
        <f>IFERROR(VLOOKUP($B253,'(勿動)組件目錄表'!$D$15:$R$1094,11,FALSE),"-")</f>
        <v>-</v>
      </c>
      <c r="K253" s="11" t="str">
        <f>IFERROR(VLOOKUP($B253,'(勿動)組件目錄表'!$D$15:$R$1094,12,FALSE),"-")</f>
        <v>-</v>
      </c>
      <c r="L253" s="11" t="str">
        <f>IFERROR(VLOOKUP($B253,'(勿動)組件目錄表'!$D$15:$R$1094,13,FALSE),"-")</f>
        <v>-</v>
      </c>
      <c r="M253" s="11" t="str">
        <f>IFERROR(VLOOKUP($B253,'(勿動)組件目錄表'!$D$15:$R$1094,14,FALSE),"-")</f>
        <v>-</v>
      </c>
      <c r="N253" s="15">
        <f t="shared" si="1"/>
        <v>0</v>
      </c>
      <c r="O253" s="16"/>
    </row>
    <row r="254" spans="1:15" ht="15.75" customHeight="1">
      <c r="A254" s="18"/>
      <c r="B254" s="7"/>
      <c r="C254" s="8" t="str">
        <f>IFERROR(VLOOKUP($B254,'(勿動)組件目錄表'!$D$15:$R$1094,2,FALSE),"-")</f>
        <v>-</v>
      </c>
      <c r="D254" s="8" t="str">
        <f>IFERROR(VLOOKUP($B254,'(勿動)組件目錄表'!$D$15:$R$1094,3,FALSE),"-")</f>
        <v>-</v>
      </c>
      <c r="E254" s="9" t="str">
        <f>IFERROR(VLOOKUP($B254,'(勿動)組件目錄表'!$D$15:$R$1094,4,FALSE),"-")</f>
        <v>-</v>
      </c>
      <c r="F254" s="10" t="str">
        <f>IFERROR(VLOOKUP($B254,'(勿動)組件目錄表'!$D$15:$R$1094,5,FALSE),"-")</f>
        <v>-</v>
      </c>
      <c r="G254" s="11" t="str">
        <f>IFERROR(VLOOKUP($B254,'(勿動)組件目錄表'!$D$15:$R$1094,8,FALSE),"-")</f>
        <v>-</v>
      </c>
      <c r="H254" s="11" t="str">
        <f>IFERROR(VLOOKUP($B254,'(勿動)組件目錄表'!$D$15:$R$1094,9,FALSE),"-")</f>
        <v>-</v>
      </c>
      <c r="I254" s="11" t="str">
        <f>IFERROR(VLOOKUP($B254,'(勿動)組件目錄表'!$D$15:$R$1094,10,FALSE),"-")</f>
        <v>-</v>
      </c>
      <c r="J254" s="11" t="str">
        <f>IFERROR(VLOOKUP($B254,'(勿動)組件目錄表'!$D$15:$R$1094,11,FALSE),"-")</f>
        <v>-</v>
      </c>
      <c r="K254" s="11" t="str">
        <f>IFERROR(VLOOKUP($B254,'(勿動)組件目錄表'!$D$15:$R$1094,12,FALSE),"-")</f>
        <v>-</v>
      </c>
      <c r="L254" s="11" t="str">
        <f>IFERROR(VLOOKUP($B254,'(勿動)組件目錄表'!$D$15:$R$1094,13,FALSE),"-")</f>
        <v>-</v>
      </c>
      <c r="M254" s="11" t="str">
        <f>IFERROR(VLOOKUP($B254,'(勿動)組件目錄表'!$D$15:$R$1094,14,FALSE),"-")</f>
        <v>-</v>
      </c>
      <c r="N254" s="15">
        <f t="shared" si="1"/>
        <v>0</v>
      </c>
      <c r="O254" s="16"/>
    </row>
    <row r="255" spans="1:15" ht="15.75" customHeight="1">
      <c r="A255" s="18"/>
      <c r="B255" s="7"/>
      <c r="C255" s="8" t="str">
        <f>IFERROR(VLOOKUP($B255,'(勿動)組件目錄表'!$D$15:$R$1094,2,FALSE),"-")</f>
        <v>-</v>
      </c>
      <c r="D255" s="8" t="str">
        <f>IFERROR(VLOOKUP($B255,'(勿動)組件目錄表'!$D$15:$R$1094,3,FALSE),"-")</f>
        <v>-</v>
      </c>
      <c r="E255" s="9" t="str">
        <f>IFERROR(VLOOKUP($B255,'(勿動)組件目錄表'!$D$15:$R$1094,4,FALSE),"-")</f>
        <v>-</v>
      </c>
      <c r="F255" s="10" t="str">
        <f>IFERROR(VLOOKUP($B255,'(勿動)組件目錄表'!$D$15:$R$1094,5,FALSE),"-")</f>
        <v>-</v>
      </c>
      <c r="G255" s="11" t="str">
        <f>IFERROR(VLOOKUP($B255,'(勿動)組件目錄表'!$D$15:$R$1094,8,FALSE),"-")</f>
        <v>-</v>
      </c>
      <c r="H255" s="11" t="str">
        <f>IFERROR(VLOOKUP($B255,'(勿動)組件目錄表'!$D$15:$R$1094,9,FALSE),"-")</f>
        <v>-</v>
      </c>
      <c r="I255" s="11" t="str">
        <f>IFERROR(VLOOKUP($B255,'(勿動)組件目錄表'!$D$15:$R$1094,10,FALSE),"-")</f>
        <v>-</v>
      </c>
      <c r="J255" s="11" t="str">
        <f>IFERROR(VLOOKUP($B255,'(勿動)組件目錄表'!$D$15:$R$1094,11,FALSE),"-")</f>
        <v>-</v>
      </c>
      <c r="K255" s="11" t="str">
        <f>IFERROR(VLOOKUP($B255,'(勿動)組件目錄表'!$D$15:$R$1094,12,FALSE),"-")</f>
        <v>-</v>
      </c>
      <c r="L255" s="11" t="str">
        <f>IFERROR(VLOOKUP($B255,'(勿動)組件目錄表'!$D$15:$R$1094,13,FALSE),"-")</f>
        <v>-</v>
      </c>
      <c r="M255" s="11" t="str">
        <f>IFERROR(VLOOKUP($B255,'(勿動)組件目錄表'!$D$15:$R$1094,14,FALSE),"-")</f>
        <v>-</v>
      </c>
      <c r="N255" s="15">
        <f t="shared" si="1"/>
        <v>0</v>
      </c>
      <c r="O255" s="16"/>
    </row>
    <row r="256" spans="1:15" ht="15.75" customHeight="1">
      <c r="A256" s="18"/>
      <c r="B256" s="7"/>
      <c r="C256" s="8" t="str">
        <f>IFERROR(VLOOKUP($B256,'(勿動)組件目錄表'!$D$15:$R$1094,2,FALSE),"-")</f>
        <v>-</v>
      </c>
      <c r="D256" s="8" t="str">
        <f>IFERROR(VLOOKUP($B256,'(勿動)組件目錄表'!$D$15:$R$1094,3,FALSE),"-")</f>
        <v>-</v>
      </c>
      <c r="E256" s="9" t="str">
        <f>IFERROR(VLOOKUP($B256,'(勿動)組件目錄表'!$D$15:$R$1094,4,FALSE),"-")</f>
        <v>-</v>
      </c>
      <c r="F256" s="10" t="str">
        <f>IFERROR(VLOOKUP($B256,'(勿動)組件目錄表'!$D$15:$R$1094,5,FALSE),"-")</f>
        <v>-</v>
      </c>
      <c r="G256" s="11" t="str">
        <f>IFERROR(VLOOKUP($B256,'(勿動)組件目錄表'!$D$15:$R$1094,8,FALSE),"-")</f>
        <v>-</v>
      </c>
      <c r="H256" s="11" t="str">
        <f>IFERROR(VLOOKUP($B256,'(勿動)組件目錄表'!$D$15:$R$1094,9,FALSE),"-")</f>
        <v>-</v>
      </c>
      <c r="I256" s="11" t="str">
        <f>IFERROR(VLOOKUP($B256,'(勿動)組件目錄表'!$D$15:$R$1094,10,FALSE),"-")</f>
        <v>-</v>
      </c>
      <c r="J256" s="11" t="str">
        <f>IFERROR(VLOOKUP($B256,'(勿動)組件目錄表'!$D$15:$R$1094,11,FALSE),"-")</f>
        <v>-</v>
      </c>
      <c r="K256" s="11" t="str">
        <f>IFERROR(VLOOKUP($B256,'(勿動)組件目錄表'!$D$15:$R$1094,12,FALSE),"-")</f>
        <v>-</v>
      </c>
      <c r="L256" s="11" t="str">
        <f>IFERROR(VLOOKUP($B256,'(勿動)組件目錄表'!$D$15:$R$1094,13,FALSE),"-")</f>
        <v>-</v>
      </c>
      <c r="M256" s="11" t="str">
        <f>IFERROR(VLOOKUP($B256,'(勿動)組件目錄表'!$D$15:$R$1094,14,FALSE),"-")</f>
        <v>-</v>
      </c>
      <c r="N256" s="15">
        <f t="shared" si="1"/>
        <v>0</v>
      </c>
      <c r="O256" s="16"/>
    </row>
    <row r="257" spans="1:15" ht="15.75" customHeight="1">
      <c r="A257" s="18"/>
      <c r="B257" s="7"/>
      <c r="C257" s="8" t="str">
        <f>IFERROR(VLOOKUP($B257,'(勿動)組件目錄表'!$D$15:$R$1094,2,FALSE),"-")</f>
        <v>-</v>
      </c>
      <c r="D257" s="8" t="str">
        <f>IFERROR(VLOOKUP($B257,'(勿動)組件目錄表'!$D$15:$R$1094,3,FALSE),"-")</f>
        <v>-</v>
      </c>
      <c r="E257" s="9" t="str">
        <f>IFERROR(VLOOKUP($B257,'(勿動)組件目錄表'!$D$15:$R$1094,4,FALSE),"-")</f>
        <v>-</v>
      </c>
      <c r="F257" s="10" t="str">
        <f>IFERROR(VLOOKUP($B257,'(勿動)組件目錄表'!$D$15:$R$1094,5,FALSE),"-")</f>
        <v>-</v>
      </c>
      <c r="G257" s="11" t="str">
        <f>IFERROR(VLOOKUP($B257,'(勿動)組件目錄表'!$D$15:$R$1094,8,FALSE),"-")</f>
        <v>-</v>
      </c>
      <c r="H257" s="11" t="str">
        <f>IFERROR(VLOOKUP($B257,'(勿動)組件目錄表'!$D$15:$R$1094,9,FALSE),"-")</f>
        <v>-</v>
      </c>
      <c r="I257" s="11" t="str">
        <f>IFERROR(VLOOKUP($B257,'(勿動)組件目錄表'!$D$15:$R$1094,10,FALSE),"-")</f>
        <v>-</v>
      </c>
      <c r="J257" s="11" t="str">
        <f>IFERROR(VLOOKUP($B257,'(勿動)組件目錄表'!$D$15:$R$1094,11,FALSE),"-")</f>
        <v>-</v>
      </c>
      <c r="K257" s="11" t="str">
        <f>IFERROR(VLOOKUP($B257,'(勿動)組件目錄表'!$D$15:$R$1094,12,FALSE),"-")</f>
        <v>-</v>
      </c>
      <c r="L257" s="11" t="str">
        <f>IFERROR(VLOOKUP($B257,'(勿動)組件目錄表'!$D$15:$R$1094,13,FALSE),"-")</f>
        <v>-</v>
      </c>
      <c r="M257" s="11" t="str">
        <f>IFERROR(VLOOKUP($B257,'(勿動)組件目錄表'!$D$15:$R$1094,14,FALSE),"-")</f>
        <v>-</v>
      </c>
      <c r="N257" s="15">
        <f t="shared" si="1"/>
        <v>0</v>
      </c>
      <c r="O257" s="16"/>
    </row>
    <row r="258" spans="1:15" ht="15.75" customHeight="1">
      <c r="A258" s="18"/>
      <c r="B258" s="7"/>
      <c r="C258" s="8" t="str">
        <f>IFERROR(VLOOKUP($B258,'(勿動)組件目錄表'!$D$15:$R$1094,2,FALSE),"-")</f>
        <v>-</v>
      </c>
      <c r="D258" s="8" t="str">
        <f>IFERROR(VLOOKUP($B258,'(勿動)組件目錄表'!$D$15:$R$1094,3,FALSE),"-")</f>
        <v>-</v>
      </c>
      <c r="E258" s="9" t="str">
        <f>IFERROR(VLOOKUP($B258,'(勿動)組件目錄表'!$D$15:$R$1094,4,FALSE),"-")</f>
        <v>-</v>
      </c>
      <c r="F258" s="10" t="str">
        <f>IFERROR(VLOOKUP($B258,'(勿動)組件目錄表'!$D$15:$R$1094,5,FALSE),"-")</f>
        <v>-</v>
      </c>
      <c r="G258" s="11" t="str">
        <f>IFERROR(VLOOKUP($B258,'(勿動)組件目錄表'!$D$15:$R$1094,8,FALSE),"-")</f>
        <v>-</v>
      </c>
      <c r="H258" s="11" t="str">
        <f>IFERROR(VLOOKUP($B258,'(勿動)組件目錄表'!$D$15:$R$1094,9,FALSE),"-")</f>
        <v>-</v>
      </c>
      <c r="I258" s="11" t="str">
        <f>IFERROR(VLOOKUP($B258,'(勿動)組件目錄表'!$D$15:$R$1094,10,FALSE),"-")</f>
        <v>-</v>
      </c>
      <c r="J258" s="11" t="str">
        <f>IFERROR(VLOOKUP($B258,'(勿動)組件目錄表'!$D$15:$R$1094,11,FALSE),"-")</f>
        <v>-</v>
      </c>
      <c r="K258" s="11" t="str">
        <f>IFERROR(VLOOKUP($B258,'(勿動)組件目錄表'!$D$15:$R$1094,12,FALSE),"-")</f>
        <v>-</v>
      </c>
      <c r="L258" s="11" t="str">
        <f>IFERROR(VLOOKUP($B258,'(勿動)組件目錄表'!$D$15:$R$1094,13,FALSE),"-")</f>
        <v>-</v>
      </c>
      <c r="M258" s="11" t="str">
        <f>IFERROR(VLOOKUP($B258,'(勿動)組件目錄表'!$D$15:$R$1094,14,FALSE),"-")</f>
        <v>-</v>
      </c>
      <c r="N258" s="15">
        <f t="shared" si="1"/>
        <v>0</v>
      </c>
      <c r="O258" s="16"/>
    </row>
    <row r="259" spans="1:15" ht="15.75" customHeight="1">
      <c r="A259" s="18"/>
      <c r="B259" s="7"/>
      <c r="C259" s="8" t="str">
        <f>IFERROR(VLOOKUP($B259,'(勿動)組件目錄表'!$D$15:$R$1094,2,FALSE),"-")</f>
        <v>-</v>
      </c>
      <c r="D259" s="8" t="str">
        <f>IFERROR(VLOOKUP($B259,'(勿動)組件目錄表'!$D$15:$R$1094,3,FALSE),"-")</f>
        <v>-</v>
      </c>
      <c r="E259" s="9" t="str">
        <f>IFERROR(VLOOKUP($B259,'(勿動)組件目錄表'!$D$15:$R$1094,4,FALSE),"-")</f>
        <v>-</v>
      </c>
      <c r="F259" s="10" t="str">
        <f>IFERROR(VLOOKUP($B259,'(勿動)組件目錄表'!$D$15:$R$1094,5,FALSE),"-")</f>
        <v>-</v>
      </c>
      <c r="G259" s="11" t="str">
        <f>IFERROR(VLOOKUP($B259,'(勿動)組件目錄表'!$D$15:$R$1094,8,FALSE),"-")</f>
        <v>-</v>
      </c>
      <c r="H259" s="11" t="str">
        <f>IFERROR(VLOOKUP($B259,'(勿動)組件目錄表'!$D$15:$R$1094,9,FALSE),"-")</f>
        <v>-</v>
      </c>
      <c r="I259" s="11" t="str">
        <f>IFERROR(VLOOKUP($B259,'(勿動)組件目錄表'!$D$15:$R$1094,10,FALSE),"-")</f>
        <v>-</v>
      </c>
      <c r="J259" s="11" t="str">
        <f>IFERROR(VLOOKUP($B259,'(勿動)組件目錄表'!$D$15:$R$1094,11,FALSE),"-")</f>
        <v>-</v>
      </c>
      <c r="K259" s="11" t="str">
        <f>IFERROR(VLOOKUP($B259,'(勿動)組件目錄表'!$D$15:$R$1094,12,FALSE),"-")</f>
        <v>-</v>
      </c>
      <c r="L259" s="11" t="str">
        <f>IFERROR(VLOOKUP($B259,'(勿動)組件目錄表'!$D$15:$R$1094,13,FALSE),"-")</f>
        <v>-</v>
      </c>
      <c r="M259" s="11" t="str">
        <f>IFERROR(VLOOKUP($B259,'(勿動)組件目錄表'!$D$15:$R$1094,14,FALSE),"-")</f>
        <v>-</v>
      </c>
      <c r="N259" s="15">
        <f t="shared" si="1"/>
        <v>0</v>
      </c>
      <c r="O259" s="16"/>
    </row>
    <row r="260" spans="1:15" ht="15.75" customHeight="1">
      <c r="A260" s="18"/>
      <c r="B260" s="7"/>
      <c r="C260" s="8" t="str">
        <f>IFERROR(VLOOKUP($B260,'(勿動)組件目錄表'!$D$15:$R$1094,2,FALSE),"-")</f>
        <v>-</v>
      </c>
      <c r="D260" s="8" t="str">
        <f>IFERROR(VLOOKUP($B260,'(勿動)組件目錄表'!$D$15:$R$1094,3,FALSE),"-")</f>
        <v>-</v>
      </c>
      <c r="E260" s="9" t="str">
        <f>IFERROR(VLOOKUP($B260,'(勿動)組件目錄表'!$D$15:$R$1094,4,FALSE),"-")</f>
        <v>-</v>
      </c>
      <c r="F260" s="10" t="str">
        <f>IFERROR(VLOOKUP($B260,'(勿動)組件目錄表'!$D$15:$R$1094,5,FALSE),"-")</f>
        <v>-</v>
      </c>
      <c r="G260" s="11" t="str">
        <f>IFERROR(VLOOKUP($B260,'(勿動)組件目錄表'!$D$15:$R$1094,8,FALSE),"-")</f>
        <v>-</v>
      </c>
      <c r="H260" s="11" t="str">
        <f>IFERROR(VLOOKUP($B260,'(勿動)組件目錄表'!$D$15:$R$1094,9,FALSE),"-")</f>
        <v>-</v>
      </c>
      <c r="I260" s="11" t="str">
        <f>IFERROR(VLOOKUP($B260,'(勿動)組件目錄表'!$D$15:$R$1094,10,FALSE),"-")</f>
        <v>-</v>
      </c>
      <c r="J260" s="11" t="str">
        <f>IFERROR(VLOOKUP($B260,'(勿動)組件目錄表'!$D$15:$R$1094,11,FALSE),"-")</f>
        <v>-</v>
      </c>
      <c r="K260" s="11" t="str">
        <f>IFERROR(VLOOKUP($B260,'(勿動)組件目錄表'!$D$15:$R$1094,12,FALSE),"-")</f>
        <v>-</v>
      </c>
      <c r="L260" s="11" t="str">
        <f>IFERROR(VLOOKUP($B260,'(勿動)組件目錄表'!$D$15:$R$1094,13,FALSE),"-")</f>
        <v>-</v>
      </c>
      <c r="M260" s="11" t="str">
        <f>IFERROR(VLOOKUP($B260,'(勿動)組件目錄表'!$D$15:$R$1094,14,FALSE),"-")</f>
        <v>-</v>
      </c>
      <c r="N260" s="15">
        <f t="shared" si="1"/>
        <v>0</v>
      </c>
      <c r="O260" s="16"/>
    </row>
    <row r="261" spans="1:15" ht="15.75" customHeight="1">
      <c r="A261" s="18"/>
      <c r="B261" s="7"/>
      <c r="C261" s="8" t="str">
        <f>IFERROR(VLOOKUP($B261,'(勿動)組件目錄表'!$D$15:$R$1094,2,FALSE),"-")</f>
        <v>-</v>
      </c>
      <c r="D261" s="8" t="str">
        <f>IFERROR(VLOOKUP($B261,'(勿動)組件目錄表'!$D$15:$R$1094,3,FALSE),"-")</f>
        <v>-</v>
      </c>
      <c r="E261" s="9" t="str">
        <f>IFERROR(VLOOKUP($B261,'(勿動)組件目錄表'!$D$15:$R$1094,4,FALSE),"-")</f>
        <v>-</v>
      </c>
      <c r="F261" s="10" t="str">
        <f>IFERROR(VLOOKUP($B261,'(勿動)組件目錄表'!$D$15:$R$1094,5,FALSE),"-")</f>
        <v>-</v>
      </c>
      <c r="G261" s="11" t="str">
        <f>IFERROR(VLOOKUP($B261,'(勿動)組件目錄表'!$D$15:$R$1094,8,FALSE),"-")</f>
        <v>-</v>
      </c>
      <c r="H261" s="11" t="str">
        <f>IFERROR(VLOOKUP($B261,'(勿動)組件目錄表'!$D$15:$R$1094,9,FALSE),"-")</f>
        <v>-</v>
      </c>
      <c r="I261" s="11" t="str">
        <f>IFERROR(VLOOKUP($B261,'(勿動)組件目錄表'!$D$15:$R$1094,10,FALSE),"-")</f>
        <v>-</v>
      </c>
      <c r="J261" s="11" t="str">
        <f>IFERROR(VLOOKUP($B261,'(勿動)組件目錄表'!$D$15:$R$1094,11,FALSE),"-")</f>
        <v>-</v>
      </c>
      <c r="K261" s="11" t="str">
        <f>IFERROR(VLOOKUP($B261,'(勿動)組件目錄表'!$D$15:$R$1094,12,FALSE),"-")</f>
        <v>-</v>
      </c>
      <c r="L261" s="11" t="str">
        <f>IFERROR(VLOOKUP($B261,'(勿動)組件目錄表'!$D$15:$R$1094,13,FALSE),"-")</f>
        <v>-</v>
      </c>
      <c r="M261" s="11" t="str">
        <f>IFERROR(VLOOKUP($B261,'(勿動)組件目錄表'!$D$15:$R$1094,14,FALSE),"-")</f>
        <v>-</v>
      </c>
      <c r="N261" s="15">
        <f t="shared" si="1"/>
        <v>0</v>
      </c>
      <c r="O261" s="16"/>
    </row>
    <row r="262" spans="1:15" ht="15.75" customHeight="1">
      <c r="A262" s="18"/>
      <c r="B262" s="7"/>
      <c r="C262" s="8" t="str">
        <f>IFERROR(VLOOKUP($B262,'(勿動)組件目錄表'!$D$15:$R$1094,2,FALSE),"-")</f>
        <v>-</v>
      </c>
      <c r="D262" s="8" t="str">
        <f>IFERROR(VLOOKUP($B262,'(勿動)組件目錄表'!$D$15:$R$1094,3,FALSE),"-")</f>
        <v>-</v>
      </c>
      <c r="E262" s="9" t="str">
        <f>IFERROR(VLOOKUP($B262,'(勿動)組件目錄表'!$D$15:$R$1094,4,FALSE),"-")</f>
        <v>-</v>
      </c>
      <c r="F262" s="10" t="str">
        <f>IFERROR(VLOOKUP($B262,'(勿動)組件目錄表'!$D$15:$R$1094,5,FALSE),"-")</f>
        <v>-</v>
      </c>
      <c r="G262" s="11" t="str">
        <f>IFERROR(VLOOKUP($B262,'(勿動)組件目錄表'!$D$15:$R$1094,8,FALSE),"-")</f>
        <v>-</v>
      </c>
      <c r="H262" s="11" t="str">
        <f>IFERROR(VLOOKUP($B262,'(勿動)組件目錄表'!$D$15:$R$1094,9,FALSE),"-")</f>
        <v>-</v>
      </c>
      <c r="I262" s="11" t="str">
        <f>IFERROR(VLOOKUP($B262,'(勿動)組件目錄表'!$D$15:$R$1094,10,FALSE),"-")</f>
        <v>-</v>
      </c>
      <c r="J262" s="11" t="str">
        <f>IFERROR(VLOOKUP($B262,'(勿動)組件目錄表'!$D$15:$R$1094,11,FALSE),"-")</f>
        <v>-</v>
      </c>
      <c r="K262" s="11" t="str">
        <f>IFERROR(VLOOKUP($B262,'(勿動)組件目錄表'!$D$15:$R$1094,12,FALSE),"-")</f>
        <v>-</v>
      </c>
      <c r="L262" s="11" t="str">
        <f>IFERROR(VLOOKUP($B262,'(勿動)組件目錄表'!$D$15:$R$1094,13,FALSE),"-")</f>
        <v>-</v>
      </c>
      <c r="M262" s="11" t="str">
        <f>IFERROR(VLOOKUP($B262,'(勿動)組件目錄表'!$D$15:$R$1094,14,FALSE),"-")</f>
        <v>-</v>
      </c>
      <c r="N262" s="15">
        <f t="shared" si="1"/>
        <v>0</v>
      </c>
      <c r="O262" s="16"/>
    </row>
    <row r="263" spans="1:15" ht="15.75" customHeight="1">
      <c r="A263" s="18"/>
      <c r="B263" s="7"/>
      <c r="C263" s="8" t="str">
        <f>IFERROR(VLOOKUP($B263,'(勿動)組件目錄表'!$D$15:$R$1094,2,FALSE),"-")</f>
        <v>-</v>
      </c>
      <c r="D263" s="8" t="str">
        <f>IFERROR(VLOOKUP($B263,'(勿動)組件目錄表'!$D$15:$R$1094,3,FALSE),"-")</f>
        <v>-</v>
      </c>
      <c r="E263" s="9" t="str">
        <f>IFERROR(VLOOKUP($B263,'(勿動)組件目錄表'!$D$15:$R$1094,4,FALSE),"-")</f>
        <v>-</v>
      </c>
      <c r="F263" s="10" t="str">
        <f>IFERROR(VLOOKUP($B263,'(勿動)組件目錄表'!$D$15:$R$1094,5,FALSE),"-")</f>
        <v>-</v>
      </c>
      <c r="G263" s="11" t="str">
        <f>IFERROR(VLOOKUP($B263,'(勿動)組件目錄表'!$D$15:$R$1094,8,FALSE),"-")</f>
        <v>-</v>
      </c>
      <c r="H263" s="11" t="str">
        <f>IFERROR(VLOOKUP($B263,'(勿動)組件目錄表'!$D$15:$R$1094,9,FALSE),"-")</f>
        <v>-</v>
      </c>
      <c r="I263" s="11" t="str">
        <f>IFERROR(VLOOKUP($B263,'(勿動)組件目錄表'!$D$15:$R$1094,10,FALSE),"-")</f>
        <v>-</v>
      </c>
      <c r="J263" s="11" t="str">
        <f>IFERROR(VLOOKUP($B263,'(勿動)組件目錄表'!$D$15:$R$1094,11,FALSE),"-")</f>
        <v>-</v>
      </c>
      <c r="K263" s="11" t="str">
        <f>IFERROR(VLOOKUP($B263,'(勿動)組件目錄表'!$D$15:$R$1094,12,FALSE),"-")</f>
        <v>-</v>
      </c>
      <c r="L263" s="11" t="str">
        <f>IFERROR(VLOOKUP($B263,'(勿動)組件目錄表'!$D$15:$R$1094,13,FALSE),"-")</f>
        <v>-</v>
      </c>
      <c r="M263" s="11" t="str">
        <f>IFERROR(VLOOKUP($B263,'(勿動)組件目錄表'!$D$15:$R$1094,14,FALSE),"-")</f>
        <v>-</v>
      </c>
      <c r="N263" s="15">
        <f t="shared" si="1"/>
        <v>0</v>
      </c>
      <c r="O263" s="16"/>
    </row>
    <row r="264" spans="1:15" ht="15.75" customHeight="1">
      <c r="A264" s="18"/>
      <c r="B264" s="7"/>
      <c r="C264" s="8" t="str">
        <f>IFERROR(VLOOKUP($B264,'(勿動)組件目錄表'!$D$15:$R$1094,2,FALSE),"-")</f>
        <v>-</v>
      </c>
      <c r="D264" s="8" t="str">
        <f>IFERROR(VLOOKUP($B264,'(勿動)組件目錄表'!$D$15:$R$1094,3,FALSE),"-")</f>
        <v>-</v>
      </c>
      <c r="E264" s="9" t="str">
        <f>IFERROR(VLOOKUP($B264,'(勿動)組件目錄表'!$D$15:$R$1094,4,FALSE),"-")</f>
        <v>-</v>
      </c>
      <c r="F264" s="10" t="str">
        <f>IFERROR(VLOOKUP($B264,'(勿動)組件目錄表'!$D$15:$R$1094,5,FALSE),"-")</f>
        <v>-</v>
      </c>
      <c r="G264" s="11" t="str">
        <f>IFERROR(VLOOKUP($B264,'(勿動)組件目錄表'!$D$15:$R$1094,8,FALSE),"-")</f>
        <v>-</v>
      </c>
      <c r="H264" s="11" t="str">
        <f>IFERROR(VLOOKUP($B264,'(勿動)組件目錄表'!$D$15:$R$1094,9,FALSE),"-")</f>
        <v>-</v>
      </c>
      <c r="I264" s="11" t="str">
        <f>IFERROR(VLOOKUP($B264,'(勿動)組件目錄表'!$D$15:$R$1094,10,FALSE),"-")</f>
        <v>-</v>
      </c>
      <c r="J264" s="11" t="str">
        <f>IFERROR(VLOOKUP($B264,'(勿動)組件目錄表'!$D$15:$R$1094,11,FALSE),"-")</f>
        <v>-</v>
      </c>
      <c r="K264" s="11" t="str">
        <f>IFERROR(VLOOKUP($B264,'(勿動)組件目錄表'!$D$15:$R$1094,12,FALSE),"-")</f>
        <v>-</v>
      </c>
      <c r="L264" s="11" t="str">
        <f>IFERROR(VLOOKUP($B264,'(勿動)組件目錄表'!$D$15:$R$1094,13,FALSE),"-")</f>
        <v>-</v>
      </c>
      <c r="M264" s="11" t="str">
        <f>IFERROR(VLOOKUP($B264,'(勿動)組件目錄表'!$D$15:$R$1094,14,FALSE),"-")</f>
        <v>-</v>
      </c>
      <c r="N264" s="15">
        <f t="shared" si="1"/>
        <v>0</v>
      </c>
      <c r="O264" s="16"/>
    </row>
    <row r="265" spans="1:15" ht="15.75" customHeight="1">
      <c r="A265" s="18"/>
      <c r="B265" s="7"/>
      <c r="C265" s="8" t="str">
        <f>IFERROR(VLOOKUP($B265,'(勿動)組件目錄表'!$D$15:$R$1094,2,FALSE),"-")</f>
        <v>-</v>
      </c>
      <c r="D265" s="8" t="str">
        <f>IFERROR(VLOOKUP($B265,'(勿動)組件目錄表'!$D$15:$R$1094,3,FALSE),"-")</f>
        <v>-</v>
      </c>
      <c r="E265" s="9" t="str">
        <f>IFERROR(VLOOKUP($B265,'(勿動)組件目錄表'!$D$15:$R$1094,4,FALSE),"-")</f>
        <v>-</v>
      </c>
      <c r="F265" s="10" t="str">
        <f>IFERROR(VLOOKUP($B265,'(勿動)組件目錄表'!$D$15:$R$1094,5,FALSE),"-")</f>
        <v>-</v>
      </c>
      <c r="G265" s="11" t="str">
        <f>IFERROR(VLOOKUP($B265,'(勿動)組件目錄表'!$D$15:$R$1094,8,FALSE),"-")</f>
        <v>-</v>
      </c>
      <c r="H265" s="11" t="str">
        <f>IFERROR(VLOOKUP($B265,'(勿動)組件目錄表'!$D$15:$R$1094,9,FALSE),"-")</f>
        <v>-</v>
      </c>
      <c r="I265" s="11" t="str">
        <f>IFERROR(VLOOKUP($B265,'(勿動)組件目錄表'!$D$15:$R$1094,10,FALSE),"-")</f>
        <v>-</v>
      </c>
      <c r="J265" s="11" t="str">
        <f>IFERROR(VLOOKUP($B265,'(勿動)組件目錄表'!$D$15:$R$1094,11,FALSE),"-")</f>
        <v>-</v>
      </c>
      <c r="K265" s="11" t="str">
        <f>IFERROR(VLOOKUP($B265,'(勿動)組件目錄表'!$D$15:$R$1094,12,FALSE),"-")</f>
        <v>-</v>
      </c>
      <c r="L265" s="11" t="str">
        <f>IFERROR(VLOOKUP($B265,'(勿動)組件目錄表'!$D$15:$R$1094,13,FALSE),"-")</f>
        <v>-</v>
      </c>
      <c r="M265" s="11" t="str">
        <f>IFERROR(VLOOKUP($B265,'(勿動)組件目錄表'!$D$15:$R$1094,14,FALSE),"-")</f>
        <v>-</v>
      </c>
      <c r="N265" s="15">
        <f t="shared" si="1"/>
        <v>0</v>
      </c>
      <c r="O265" s="16"/>
    </row>
    <row r="266" spans="1:15" ht="15.75" customHeight="1">
      <c r="A266" s="18"/>
      <c r="B266" s="7"/>
      <c r="C266" s="8" t="str">
        <f>IFERROR(VLOOKUP($B266,'(勿動)組件目錄表'!$D$15:$R$1094,2,FALSE),"-")</f>
        <v>-</v>
      </c>
      <c r="D266" s="8" t="str">
        <f>IFERROR(VLOOKUP($B266,'(勿動)組件目錄表'!$D$15:$R$1094,3,FALSE),"-")</f>
        <v>-</v>
      </c>
      <c r="E266" s="9" t="str">
        <f>IFERROR(VLOOKUP($B266,'(勿動)組件目錄表'!$D$15:$R$1094,4,FALSE),"-")</f>
        <v>-</v>
      </c>
      <c r="F266" s="10" t="str">
        <f>IFERROR(VLOOKUP($B266,'(勿動)組件目錄表'!$D$15:$R$1094,5,FALSE),"-")</f>
        <v>-</v>
      </c>
      <c r="G266" s="11" t="str">
        <f>IFERROR(VLOOKUP($B266,'(勿動)組件目錄表'!$D$15:$R$1094,8,FALSE),"-")</f>
        <v>-</v>
      </c>
      <c r="H266" s="11" t="str">
        <f>IFERROR(VLOOKUP($B266,'(勿動)組件目錄表'!$D$15:$R$1094,9,FALSE),"-")</f>
        <v>-</v>
      </c>
      <c r="I266" s="11" t="str">
        <f>IFERROR(VLOOKUP($B266,'(勿動)組件目錄表'!$D$15:$R$1094,10,FALSE),"-")</f>
        <v>-</v>
      </c>
      <c r="J266" s="11" t="str">
        <f>IFERROR(VLOOKUP($B266,'(勿動)組件目錄表'!$D$15:$R$1094,11,FALSE),"-")</f>
        <v>-</v>
      </c>
      <c r="K266" s="11" t="str">
        <f>IFERROR(VLOOKUP($B266,'(勿動)組件目錄表'!$D$15:$R$1094,12,FALSE),"-")</f>
        <v>-</v>
      </c>
      <c r="L266" s="11" t="str">
        <f>IFERROR(VLOOKUP($B266,'(勿動)組件目錄表'!$D$15:$R$1094,13,FALSE),"-")</f>
        <v>-</v>
      </c>
      <c r="M266" s="11" t="str">
        <f>IFERROR(VLOOKUP($B266,'(勿動)組件目錄表'!$D$15:$R$1094,14,FALSE),"-")</f>
        <v>-</v>
      </c>
      <c r="N266" s="15">
        <f t="shared" si="1"/>
        <v>0</v>
      </c>
      <c r="O266" s="16"/>
    </row>
    <row r="267" spans="1:15" ht="15.75" customHeight="1">
      <c r="A267" s="18"/>
      <c r="B267" s="7"/>
      <c r="C267" s="8" t="str">
        <f>IFERROR(VLOOKUP($B267,'(勿動)組件目錄表'!$D$15:$R$1094,2,FALSE),"-")</f>
        <v>-</v>
      </c>
      <c r="D267" s="8" t="str">
        <f>IFERROR(VLOOKUP($B267,'(勿動)組件目錄表'!$D$15:$R$1094,3,FALSE),"-")</f>
        <v>-</v>
      </c>
      <c r="E267" s="9" t="str">
        <f>IFERROR(VLOOKUP($B267,'(勿動)組件目錄表'!$D$15:$R$1094,4,FALSE),"-")</f>
        <v>-</v>
      </c>
      <c r="F267" s="10" t="str">
        <f>IFERROR(VLOOKUP($B267,'(勿動)組件目錄表'!$D$15:$R$1094,5,FALSE),"-")</f>
        <v>-</v>
      </c>
      <c r="G267" s="11" t="str">
        <f>IFERROR(VLOOKUP($B267,'(勿動)組件目錄表'!$D$15:$R$1094,8,FALSE),"-")</f>
        <v>-</v>
      </c>
      <c r="H267" s="11" t="str">
        <f>IFERROR(VLOOKUP($B267,'(勿動)組件目錄表'!$D$15:$R$1094,9,FALSE),"-")</f>
        <v>-</v>
      </c>
      <c r="I267" s="11" t="str">
        <f>IFERROR(VLOOKUP($B267,'(勿動)組件目錄表'!$D$15:$R$1094,10,FALSE),"-")</f>
        <v>-</v>
      </c>
      <c r="J267" s="11" t="str">
        <f>IFERROR(VLOOKUP($B267,'(勿動)組件目錄表'!$D$15:$R$1094,11,FALSE),"-")</f>
        <v>-</v>
      </c>
      <c r="K267" s="11" t="str">
        <f>IFERROR(VLOOKUP($B267,'(勿動)組件目錄表'!$D$15:$R$1094,12,FALSE),"-")</f>
        <v>-</v>
      </c>
      <c r="L267" s="11" t="str">
        <f>IFERROR(VLOOKUP($B267,'(勿動)組件目錄表'!$D$15:$R$1094,13,FALSE),"-")</f>
        <v>-</v>
      </c>
      <c r="M267" s="11" t="str">
        <f>IFERROR(VLOOKUP($B267,'(勿動)組件目錄表'!$D$15:$R$1094,14,FALSE),"-")</f>
        <v>-</v>
      </c>
      <c r="N267" s="15">
        <f t="shared" si="1"/>
        <v>0</v>
      </c>
      <c r="O267" s="16"/>
    </row>
    <row r="268" spans="1:15" ht="15.75" customHeight="1">
      <c r="A268" s="18"/>
      <c r="B268" s="7"/>
      <c r="C268" s="8" t="str">
        <f>IFERROR(VLOOKUP($B268,'(勿動)組件目錄表'!$D$15:$R$1094,2,FALSE),"-")</f>
        <v>-</v>
      </c>
      <c r="D268" s="8" t="str">
        <f>IFERROR(VLOOKUP($B268,'(勿動)組件目錄表'!$D$15:$R$1094,3,FALSE),"-")</f>
        <v>-</v>
      </c>
      <c r="E268" s="9" t="str">
        <f>IFERROR(VLOOKUP($B268,'(勿動)組件目錄表'!$D$15:$R$1094,4,FALSE),"-")</f>
        <v>-</v>
      </c>
      <c r="F268" s="10" t="str">
        <f>IFERROR(VLOOKUP($B268,'(勿動)組件目錄表'!$D$15:$R$1094,5,FALSE),"-")</f>
        <v>-</v>
      </c>
      <c r="G268" s="11" t="str">
        <f>IFERROR(VLOOKUP($B268,'(勿動)組件目錄表'!$D$15:$R$1094,8,FALSE),"-")</f>
        <v>-</v>
      </c>
      <c r="H268" s="11" t="str">
        <f>IFERROR(VLOOKUP($B268,'(勿動)組件目錄表'!$D$15:$R$1094,9,FALSE),"-")</f>
        <v>-</v>
      </c>
      <c r="I268" s="11" t="str">
        <f>IFERROR(VLOOKUP($B268,'(勿動)組件目錄表'!$D$15:$R$1094,10,FALSE),"-")</f>
        <v>-</v>
      </c>
      <c r="J268" s="11" t="str">
        <f>IFERROR(VLOOKUP($B268,'(勿動)組件目錄表'!$D$15:$R$1094,11,FALSE),"-")</f>
        <v>-</v>
      </c>
      <c r="K268" s="11" t="str">
        <f>IFERROR(VLOOKUP($B268,'(勿動)組件目錄表'!$D$15:$R$1094,12,FALSE),"-")</f>
        <v>-</v>
      </c>
      <c r="L268" s="11" t="str">
        <f>IFERROR(VLOOKUP($B268,'(勿動)組件目錄表'!$D$15:$R$1094,13,FALSE),"-")</f>
        <v>-</v>
      </c>
      <c r="M268" s="11" t="str">
        <f>IFERROR(VLOOKUP($B268,'(勿動)組件目錄表'!$D$15:$R$1094,14,FALSE),"-")</f>
        <v>-</v>
      </c>
      <c r="N268" s="15">
        <f t="shared" si="1"/>
        <v>0</v>
      </c>
      <c r="O268" s="16"/>
    </row>
    <row r="269" spans="1:15" ht="15.75" customHeight="1">
      <c r="A269" s="18"/>
      <c r="B269" s="7"/>
      <c r="C269" s="8" t="str">
        <f>IFERROR(VLOOKUP($B269,'(勿動)組件目錄表'!$D$15:$R$1094,2,FALSE),"-")</f>
        <v>-</v>
      </c>
      <c r="D269" s="8" t="str">
        <f>IFERROR(VLOOKUP($B269,'(勿動)組件目錄表'!$D$15:$R$1094,3,FALSE),"-")</f>
        <v>-</v>
      </c>
      <c r="E269" s="9" t="str">
        <f>IFERROR(VLOOKUP($B269,'(勿動)組件目錄表'!$D$15:$R$1094,4,FALSE),"-")</f>
        <v>-</v>
      </c>
      <c r="F269" s="10" t="str">
        <f>IFERROR(VLOOKUP($B269,'(勿動)組件目錄表'!$D$15:$R$1094,5,FALSE),"-")</f>
        <v>-</v>
      </c>
      <c r="G269" s="11" t="str">
        <f>IFERROR(VLOOKUP($B269,'(勿動)組件目錄表'!$D$15:$R$1094,8,FALSE),"-")</f>
        <v>-</v>
      </c>
      <c r="H269" s="11" t="str">
        <f>IFERROR(VLOOKUP($B269,'(勿動)組件目錄表'!$D$15:$R$1094,9,FALSE),"-")</f>
        <v>-</v>
      </c>
      <c r="I269" s="11" t="str">
        <f>IFERROR(VLOOKUP($B269,'(勿動)組件目錄表'!$D$15:$R$1094,10,FALSE),"-")</f>
        <v>-</v>
      </c>
      <c r="J269" s="11" t="str">
        <f>IFERROR(VLOOKUP($B269,'(勿動)組件目錄表'!$D$15:$R$1094,11,FALSE),"-")</f>
        <v>-</v>
      </c>
      <c r="K269" s="11" t="str">
        <f>IFERROR(VLOOKUP($B269,'(勿動)組件目錄表'!$D$15:$R$1094,12,FALSE),"-")</f>
        <v>-</v>
      </c>
      <c r="L269" s="11" t="str">
        <f>IFERROR(VLOOKUP($B269,'(勿動)組件目錄表'!$D$15:$R$1094,13,FALSE),"-")</f>
        <v>-</v>
      </c>
      <c r="M269" s="11" t="str">
        <f>IFERROR(VLOOKUP($B269,'(勿動)組件目錄表'!$D$15:$R$1094,14,FALSE),"-")</f>
        <v>-</v>
      </c>
      <c r="N269" s="15">
        <f t="shared" si="1"/>
        <v>0</v>
      </c>
      <c r="O269" s="16"/>
    </row>
    <row r="270" spans="1:15" ht="15.75" customHeight="1">
      <c r="A270" s="18"/>
      <c r="B270" s="7"/>
      <c r="C270" s="8" t="str">
        <f>IFERROR(VLOOKUP($B270,'(勿動)組件目錄表'!$D$15:$R$1094,2,FALSE),"-")</f>
        <v>-</v>
      </c>
      <c r="D270" s="8" t="str">
        <f>IFERROR(VLOOKUP($B270,'(勿動)組件目錄表'!$D$15:$R$1094,3,FALSE),"-")</f>
        <v>-</v>
      </c>
      <c r="E270" s="9" t="str">
        <f>IFERROR(VLOOKUP($B270,'(勿動)組件目錄表'!$D$15:$R$1094,4,FALSE),"-")</f>
        <v>-</v>
      </c>
      <c r="F270" s="10" t="str">
        <f>IFERROR(VLOOKUP($B270,'(勿動)組件目錄表'!$D$15:$R$1094,5,FALSE),"-")</f>
        <v>-</v>
      </c>
      <c r="G270" s="11" t="str">
        <f>IFERROR(VLOOKUP($B270,'(勿動)組件目錄表'!$D$15:$R$1094,8,FALSE),"-")</f>
        <v>-</v>
      </c>
      <c r="H270" s="11" t="str">
        <f>IFERROR(VLOOKUP($B270,'(勿動)組件目錄表'!$D$15:$R$1094,9,FALSE),"-")</f>
        <v>-</v>
      </c>
      <c r="I270" s="11" t="str">
        <f>IFERROR(VLOOKUP($B270,'(勿動)組件目錄表'!$D$15:$R$1094,10,FALSE),"-")</f>
        <v>-</v>
      </c>
      <c r="J270" s="11" t="str">
        <f>IFERROR(VLOOKUP($B270,'(勿動)組件目錄表'!$D$15:$R$1094,11,FALSE),"-")</f>
        <v>-</v>
      </c>
      <c r="K270" s="11" t="str">
        <f>IFERROR(VLOOKUP($B270,'(勿動)組件目錄表'!$D$15:$R$1094,12,FALSE),"-")</f>
        <v>-</v>
      </c>
      <c r="L270" s="11" t="str">
        <f>IFERROR(VLOOKUP($B270,'(勿動)組件目錄表'!$D$15:$R$1094,13,FALSE),"-")</f>
        <v>-</v>
      </c>
      <c r="M270" s="11" t="str">
        <f>IFERROR(VLOOKUP($B270,'(勿動)組件目錄表'!$D$15:$R$1094,14,FALSE),"-")</f>
        <v>-</v>
      </c>
      <c r="N270" s="15">
        <f t="shared" si="1"/>
        <v>0</v>
      </c>
      <c r="O270" s="16"/>
    </row>
    <row r="271" spans="1:15" ht="15.75" customHeight="1">
      <c r="A271" s="18"/>
      <c r="B271" s="7"/>
      <c r="C271" s="8" t="str">
        <f>IFERROR(VLOOKUP($B271,'(勿動)組件目錄表'!$D$15:$R$1094,2,FALSE),"-")</f>
        <v>-</v>
      </c>
      <c r="D271" s="8" t="str">
        <f>IFERROR(VLOOKUP($B271,'(勿動)組件目錄表'!$D$15:$R$1094,3,FALSE),"-")</f>
        <v>-</v>
      </c>
      <c r="E271" s="9" t="str">
        <f>IFERROR(VLOOKUP($B271,'(勿動)組件目錄表'!$D$15:$R$1094,4,FALSE),"-")</f>
        <v>-</v>
      </c>
      <c r="F271" s="10" t="str">
        <f>IFERROR(VLOOKUP($B271,'(勿動)組件目錄表'!$D$15:$R$1094,5,FALSE),"-")</f>
        <v>-</v>
      </c>
      <c r="G271" s="11" t="str">
        <f>IFERROR(VLOOKUP($B271,'(勿動)組件目錄表'!$D$15:$R$1094,8,FALSE),"-")</f>
        <v>-</v>
      </c>
      <c r="H271" s="11" t="str">
        <f>IFERROR(VLOOKUP($B271,'(勿動)組件目錄表'!$D$15:$R$1094,9,FALSE),"-")</f>
        <v>-</v>
      </c>
      <c r="I271" s="11" t="str">
        <f>IFERROR(VLOOKUP($B271,'(勿動)組件目錄表'!$D$15:$R$1094,10,FALSE),"-")</f>
        <v>-</v>
      </c>
      <c r="J271" s="11" t="str">
        <f>IFERROR(VLOOKUP($B271,'(勿動)組件目錄表'!$D$15:$R$1094,11,FALSE),"-")</f>
        <v>-</v>
      </c>
      <c r="K271" s="11" t="str">
        <f>IFERROR(VLOOKUP($B271,'(勿動)組件目錄表'!$D$15:$R$1094,12,FALSE),"-")</f>
        <v>-</v>
      </c>
      <c r="L271" s="11" t="str">
        <f>IFERROR(VLOOKUP($B271,'(勿動)組件目錄表'!$D$15:$R$1094,13,FALSE),"-")</f>
        <v>-</v>
      </c>
      <c r="M271" s="11" t="str">
        <f>IFERROR(VLOOKUP($B271,'(勿動)組件目錄表'!$D$15:$R$1094,14,FALSE),"-")</f>
        <v>-</v>
      </c>
      <c r="N271" s="15">
        <f t="shared" si="1"/>
        <v>0</v>
      </c>
      <c r="O271" s="16"/>
    </row>
    <row r="272" spans="1:15" ht="15.75" customHeight="1">
      <c r="A272" s="18"/>
      <c r="B272" s="7"/>
      <c r="C272" s="8" t="str">
        <f>IFERROR(VLOOKUP($B272,'(勿動)組件目錄表'!$D$15:$R$1094,2,FALSE),"-")</f>
        <v>-</v>
      </c>
      <c r="D272" s="8" t="str">
        <f>IFERROR(VLOOKUP($B272,'(勿動)組件目錄表'!$D$15:$R$1094,3,FALSE),"-")</f>
        <v>-</v>
      </c>
      <c r="E272" s="9" t="str">
        <f>IFERROR(VLOOKUP($B272,'(勿動)組件目錄表'!$D$15:$R$1094,4,FALSE),"-")</f>
        <v>-</v>
      </c>
      <c r="F272" s="10" t="str">
        <f>IFERROR(VLOOKUP($B272,'(勿動)組件目錄表'!$D$15:$R$1094,5,FALSE),"-")</f>
        <v>-</v>
      </c>
      <c r="G272" s="11" t="str">
        <f>IFERROR(VLOOKUP($B272,'(勿動)組件目錄表'!$D$15:$R$1094,8,FALSE),"-")</f>
        <v>-</v>
      </c>
      <c r="H272" s="11" t="str">
        <f>IFERROR(VLOOKUP($B272,'(勿動)組件目錄表'!$D$15:$R$1094,9,FALSE),"-")</f>
        <v>-</v>
      </c>
      <c r="I272" s="11" t="str">
        <f>IFERROR(VLOOKUP($B272,'(勿動)組件目錄表'!$D$15:$R$1094,10,FALSE),"-")</f>
        <v>-</v>
      </c>
      <c r="J272" s="11" t="str">
        <f>IFERROR(VLOOKUP($B272,'(勿動)組件目錄表'!$D$15:$R$1094,11,FALSE),"-")</f>
        <v>-</v>
      </c>
      <c r="K272" s="11" t="str">
        <f>IFERROR(VLOOKUP($B272,'(勿動)組件目錄表'!$D$15:$R$1094,12,FALSE),"-")</f>
        <v>-</v>
      </c>
      <c r="L272" s="11" t="str">
        <f>IFERROR(VLOOKUP($B272,'(勿動)組件目錄表'!$D$15:$R$1094,13,FALSE),"-")</f>
        <v>-</v>
      </c>
      <c r="M272" s="11" t="str">
        <f>IFERROR(VLOOKUP($B272,'(勿動)組件目錄表'!$D$15:$R$1094,14,FALSE),"-")</f>
        <v>-</v>
      </c>
      <c r="N272" s="15">
        <f t="shared" si="1"/>
        <v>0</v>
      </c>
      <c r="O272" s="16"/>
    </row>
    <row r="273" spans="1:15" ht="15.75" customHeight="1">
      <c r="A273" s="18"/>
      <c r="B273" s="7"/>
      <c r="C273" s="8" t="str">
        <f>IFERROR(VLOOKUP($B273,'(勿動)組件目錄表'!$D$15:$R$1094,2,FALSE),"-")</f>
        <v>-</v>
      </c>
      <c r="D273" s="8" t="str">
        <f>IFERROR(VLOOKUP($B273,'(勿動)組件目錄表'!$D$15:$R$1094,3,FALSE),"-")</f>
        <v>-</v>
      </c>
      <c r="E273" s="9" t="str">
        <f>IFERROR(VLOOKUP($B273,'(勿動)組件目錄表'!$D$15:$R$1094,4,FALSE),"-")</f>
        <v>-</v>
      </c>
      <c r="F273" s="10" t="str">
        <f>IFERROR(VLOOKUP($B273,'(勿動)組件目錄表'!$D$15:$R$1094,5,FALSE),"-")</f>
        <v>-</v>
      </c>
      <c r="G273" s="11" t="str">
        <f>IFERROR(VLOOKUP($B273,'(勿動)組件目錄表'!$D$15:$R$1094,8,FALSE),"-")</f>
        <v>-</v>
      </c>
      <c r="H273" s="11" t="str">
        <f>IFERROR(VLOOKUP($B273,'(勿動)組件目錄表'!$D$15:$R$1094,9,FALSE),"-")</f>
        <v>-</v>
      </c>
      <c r="I273" s="11" t="str">
        <f>IFERROR(VLOOKUP($B273,'(勿動)組件目錄表'!$D$15:$R$1094,10,FALSE),"-")</f>
        <v>-</v>
      </c>
      <c r="J273" s="11" t="str">
        <f>IFERROR(VLOOKUP($B273,'(勿動)組件目錄表'!$D$15:$R$1094,11,FALSE),"-")</f>
        <v>-</v>
      </c>
      <c r="K273" s="11" t="str">
        <f>IFERROR(VLOOKUP($B273,'(勿動)組件目錄表'!$D$15:$R$1094,12,FALSE),"-")</f>
        <v>-</v>
      </c>
      <c r="L273" s="11" t="str">
        <f>IFERROR(VLOOKUP($B273,'(勿動)組件目錄表'!$D$15:$R$1094,13,FALSE),"-")</f>
        <v>-</v>
      </c>
      <c r="M273" s="11" t="str">
        <f>IFERROR(VLOOKUP($B273,'(勿動)組件目錄表'!$D$15:$R$1094,14,FALSE),"-")</f>
        <v>-</v>
      </c>
      <c r="N273" s="15">
        <f t="shared" si="1"/>
        <v>0</v>
      </c>
      <c r="O273" s="16"/>
    </row>
    <row r="274" spans="1:15" ht="15.75" customHeight="1">
      <c r="A274" s="18"/>
      <c r="B274" s="7"/>
      <c r="C274" s="8" t="str">
        <f>IFERROR(VLOOKUP($B274,'(勿動)組件目錄表'!$D$15:$R$1094,2,FALSE),"-")</f>
        <v>-</v>
      </c>
      <c r="D274" s="8" t="str">
        <f>IFERROR(VLOOKUP($B274,'(勿動)組件目錄表'!$D$15:$R$1094,3,FALSE),"-")</f>
        <v>-</v>
      </c>
      <c r="E274" s="9" t="str">
        <f>IFERROR(VLOOKUP($B274,'(勿動)組件目錄表'!$D$15:$R$1094,4,FALSE),"-")</f>
        <v>-</v>
      </c>
      <c r="F274" s="10" t="str">
        <f>IFERROR(VLOOKUP($B274,'(勿動)組件目錄表'!$D$15:$R$1094,5,FALSE),"-")</f>
        <v>-</v>
      </c>
      <c r="G274" s="11" t="str">
        <f>IFERROR(VLOOKUP($B274,'(勿動)組件目錄表'!$D$15:$R$1094,8,FALSE),"-")</f>
        <v>-</v>
      </c>
      <c r="H274" s="11" t="str">
        <f>IFERROR(VLOOKUP($B274,'(勿動)組件目錄表'!$D$15:$R$1094,9,FALSE),"-")</f>
        <v>-</v>
      </c>
      <c r="I274" s="11" t="str">
        <f>IFERROR(VLOOKUP($B274,'(勿動)組件目錄表'!$D$15:$R$1094,10,FALSE),"-")</f>
        <v>-</v>
      </c>
      <c r="J274" s="11" t="str">
        <f>IFERROR(VLOOKUP($B274,'(勿動)組件目錄表'!$D$15:$R$1094,11,FALSE),"-")</f>
        <v>-</v>
      </c>
      <c r="K274" s="11" t="str">
        <f>IFERROR(VLOOKUP($B274,'(勿動)組件目錄表'!$D$15:$R$1094,12,FALSE),"-")</f>
        <v>-</v>
      </c>
      <c r="L274" s="11" t="str">
        <f>IFERROR(VLOOKUP($B274,'(勿動)組件目錄表'!$D$15:$R$1094,13,FALSE),"-")</f>
        <v>-</v>
      </c>
      <c r="M274" s="11" t="str">
        <f>IFERROR(VLOOKUP($B274,'(勿動)組件目錄表'!$D$15:$R$1094,14,FALSE),"-")</f>
        <v>-</v>
      </c>
      <c r="N274" s="15">
        <f t="shared" si="1"/>
        <v>0</v>
      </c>
      <c r="O274" s="16"/>
    </row>
    <row r="275" spans="1:15" ht="15.75" customHeight="1">
      <c r="A275" s="18"/>
      <c r="B275" s="7"/>
      <c r="C275" s="8" t="str">
        <f>IFERROR(VLOOKUP($B275,'(勿動)組件目錄表'!$D$15:$R$1094,2,FALSE),"-")</f>
        <v>-</v>
      </c>
      <c r="D275" s="8" t="str">
        <f>IFERROR(VLOOKUP($B275,'(勿動)組件目錄表'!$D$15:$R$1094,3,FALSE),"-")</f>
        <v>-</v>
      </c>
      <c r="E275" s="9" t="str">
        <f>IFERROR(VLOOKUP($B275,'(勿動)組件目錄表'!$D$15:$R$1094,4,FALSE),"-")</f>
        <v>-</v>
      </c>
      <c r="F275" s="10" t="str">
        <f>IFERROR(VLOOKUP($B275,'(勿動)組件目錄表'!$D$15:$R$1094,5,FALSE),"-")</f>
        <v>-</v>
      </c>
      <c r="G275" s="11" t="str">
        <f>IFERROR(VLOOKUP($B275,'(勿動)組件目錄表'!$D$15:$R$1094,8,FALSE),"-")</f>
        <v>-</v>
      </c>
      <c r="H275" s="11" t="str">
        <f>IFERROR(VLOOKUP($B275,'(勿動)組件目錄表'!$D$15:$R$1094,9,FALSE),"-")</f>
        <v>-</v>
      </c>
      <c r="I275" s="11" t="str">
        <f>IFERROR(VLOOKUP($B275,'(勿動)組件目錄表'!$D$15:$R$1094,10,FALSE),"-")</f>
        <v>-</v>
      </c>
      <c r="J275" s="11" t="str">
        <f>IFERROR(VLOOKUP($B275,'(勿動)組件目錄表'!$D$15:$R$1094,11,FALSE),"-")</f>
        <v>-</v>
      </c>
      <c r="K275" s="11" t="str">
        <f>IFERROR(VLOOKUP($B275,'(勿動)組件目錄表'!$D$15:$R$1094,12,FALSE),"-")</f>
        <v>-</v>
      </c>
      <c r="L275" s="11" t="str">
        <f>IFERROR(VLOOKUP($B275,'(勿動)組件目錄表'!$D$15:$R$1094,13,FALSE),"-")</f>
        <v>-</v>
      </c>
      <c r="M275" s="11" t="str">
        <f>IFERROR(VLOOKUP($B275,'(勿動)組件目錄表'!$D$15:$R$1094,14,FALSE),"-")</f>
        <v>-</v>
      </c>
      <c r="N275" s="15">
        <f t="shared" si="1"/>
        <v>0</v>
      </c>
      <c r="O275" s="16"/>
    </row>
    <row r="276" spans="1:15" ht="15.75" customHeight="1">
      <c r="A276" s="18"/>
      <c r="B276" s="7"/>
      <c r="C276" s="8" t="str">
        <f>IFERROR(VLOOKUP($B276,'(勿動)組件目錄表'!$D$15:$R$1094,2,FALSE),"-")</f>
        <v>-</v>
      </c>
      <c r="D276" s="8" t="str">
        <f>IFERROR(VLOOKUP($B276,'(勿動)組件目錄表'!$D$15:$R$1094,3,FALSE),"-")</f>
        <v>-</v>
      </c>
      <c r="E276" s="9" t="str">
        <f>IFERROR(VLOOKUP($B276,'(勿動)組件目錄表'!$D$15:$R$1094,4,FALSE),"-")</f>
        <v>-</v>
      </c>
      <c r="F276" s="10" t="str">
        <f>IFERROR(VLOOKUP($B276,'(勿動)組件目錄表'!$D$15:$R$1094,5,FALSE),"-")</f>
        <v>-</v>
      </c>
      <c r="G276" s="11" t="str">
        <f>IFERROR(VLOOKUP($B276,'(勿動)組件目錄表'!$D$15:$R$1094,8,FALSE),"-")</f>
        <v>-</v>
      </c>
      <c r="H276" s="11" t="str">
        <f>IFERROR(VLOOKUP($B276,'(勿動)組件目錄表'!$D$15:$R$1094,9,FALSE),"-")</f>
        <v>-</v>
      </c>
      <c r="I276" s="11" t="str">
        <f>IFERROR(VLOOKUP($B276,'(勿動)組件目錄表'!$D$15:$R$1094,10,FALSE),"-")</f>
        <v>-</v>
      </c>
      <c r="J276" s="11" t="str">
        <f>IFERROR(VLOOKUP($B276,'(勿動)組件目錄表'!$D$15:$R$1094,11,FALSE),"-")</f>
        <v>-</v>
      </c>
      <c r="K276" s="11" t="str">
        <f>IFERROR(VLOOKUP($B276,'(勿動)組件目錄表'!$D$15:$R$1094,12,FALSE),"-")</f>
        <v>-</v>
      </c>
      <c r="L276" s="11" t="str">
        <f>IFERROR(VLOOKUP($B276,'(勿動)組件目錄表'!$D$15:$R$1094,13,FALSE),"-")</f>
        <v>-</v>
      </c>
      <c r="M276" s="11" t="str">
        <f>IFERROR(VLOOKUP($B276,'(勿動)組件目錄表'!$D$15:$R$1094,14,FALSE),"-")</f>
        <v>-</v>
      </c>
      <c r="N276" s="15">
        <f t="shared" si="1"/>
        <v>0</v>
      </c>
      <c r="O276" s="16"/>
    </row>
    <row r="277" spans="1:15" ht="15.75" customHeight="1">
      <c r="A277" s="18"/>
      <c r="B277" s="7"/>
      <c r="C277" s="8" t="str">
        <f>IFERROR(VLOOKUP($B277,'(勿動)組件目錄表'!$D$15:$R$1094,2,FALSE),"-")</f>
        <v>-</v>
      </c>
      <c r="D277" s="8" t="str">
        <f>IFERROR(VLOOKUP($B277,'(勿動)組件目錄表'!$D$15:$R$1094,3,FALSE),"-")</f>
        <v>-</v>
      </c>
      <c r="E277" s="9" t="str">
        <f>IFERROR(VLOOKUP($B277,'(勿動)組件目錄表'!$D$15:$R$1094,4,FALSE),"-")</f>
        <v>-</v>
      </c>
      <c r="F277" s="10" t="str">
        <f>IFERROR(VLOOKUP($B277,'(勿動)組件目錄表'!$D$15:$R$1094,5,FALSE),"-")</f>
        <v>-</v>
      </c>
      <c r="G277" s="11" t="str">
        <f>IFERROR(VLOOKUP($B277,'(勿動)組件目錄表'!$D$15:$R$1094,8,FALSE),"-")</f>
        <v>-</v>
      </c>
      <c r="H277" s="11" t="str">
        <f>IFERROR(VLOOKUP($B277,'(勿動)組件目錄表'!$D$15:$R$1094,9,FALSE),"-")</f>
        <v>-</v>
      </c>
      <c r="I277" s="11" t="str">
        <f>IFERROR(VLOOKUP($B277,'(勿動)組件目錄表'!$D$15:$R$1094,10,FALSE),"-")</f>
        <v>-</v>
      </c>
      <c r="J277" s="11" t="str">
        <f>IFERROR(VLOOKUP($B277,'(勿動)組件目錄表'!$D$15:$R$1094,11,FALSE),"-")</f>
        <v>-</v>
      </c>
      <c r="K277" s="11" t="str">
        <f>IFERROR(VLOOKUP($B277,'(勿動)組件目錄表'!$D$15:$R$1094,12,FALSE),"-")</f>
        <v>-</v>
      </c>
      <c r="L277" s="11" t="str">
        <f>IFERROR(VLOOKUP($B277,'(勿動)組件目錄表'!$D$15:$R$1094,13,FALSE),"-")</f>
        <v>-</v>
      </c>
      <c r="M277" s="11" t="str">
        <f>IFERROR(VLOOKUP($B277,'(勿動)組件目錄表'!$D$15:$R$1094,14,FALSE),"-")</f>
        <v>-</v>
      </c>
      <c r="N277" s="15">
        <f t="shared" si="1"/>
        <v>0</v>
      </c>
      <c r="O277" s="16"/>
    </row>
    <row r="278" spans="1:15" ht="15.75" customHeight="1">
      <c r="A278" s="18"/>
      <c r="B278" s="7"/>
      <c r="C278" s="8" t="str">
        <f>IFERROR(VLOOKUP($B278,'(勿動)組件目錄表'!$D$15:$R$1094,2,FALSE),"-")</f>
        <v>-</v>
      </c>
      <c r="D278" s="8" t="str">
        <f>IFERROR(VLOOKUP($B278,'(勿動)組件目錄表'!$D$15:$R$1094,3,FALSE),"-")</f>
        <v>-</v>
      </c>
      <c r="E278" s="9" t="str">
        <f>IFERROR(VLOOKUP($B278,'(勿動)組件目錄表'!$D$15:$R$1094,4,FALSE),"-")</f>
        <v>-</v>
      </c>
      <c r="F278" s="10" t="str">
        <f>IFERROR(VLOOKUP($B278,'(勿動)組件目錄表'!$D$15:$R$1094,5,FALSE),"-")</f>
        <v>-</v>
      </c>
      <c r="G278" s="11" t="str">
        <f>IFERROR(VLOOKUP($B278,'(勿動)組件目錄表'!$D$15:$R$1094,8,FALSE),"-")</f>
        <v>-</v>
      </c>
      <c r="H278" s="11" t="str">
        <f>IFERROR(VLOOKUP($B278,'(勿動)組件目錄表'!$D$15:$R$1094,9,FALSE),"-")</f>
        <v>-</v>
      </c>
      <c r="I278" s="11" t="str">
        <f>IFERROR(VLOOKUP($B278,'(勿動)組件目錄表'!$D$15:$R$1094,10,FALSE),"-")</f>
        <v>-</v>
      </c>
      <c r="J278" s="11" t="str">
        <f>IFERROR(VLOOKUP($B278,'(勿動)組件目錄表'!$D$15:$R$1094,11,FALSE),"-")</f>
        <v>-</v>
      </c>
      <c r="K278" s="11" t="str">
        <f>IFERROR(VLOOKUP($B278,'(勿動)組件目錄表'!$D$15:$R$1094,12,FALSE),"-")</f>
        <v>-</v>
      </c>
      <c r="L278" s="11" t="str">
        <f>IFERROR(VLOOKUP($B278,'(勿動)組件目錄表'!$D$15:$R$1094,13,FALSE),"-")</f>
        <v>-</v>
      </c>
      <c r="M278" s="11" t="str">
        <f>IFERROR(VLOOKUP($B278,'(勿動)組件目錄表'!$D$15:$R$1094,14,FALSE),"-")</f>
        <v>-</v>
      </c>
      <c r="N278" s="15">
        <f t="shared" si="1"/>
        <v>0</v>
      </c>
      <c r="O278" s="16"/>
    </row>
    <row r="279" spans="1:15" ht="15.75" customHeight="1">
      <c r="A279" s="18"/>
      <c r="B279" s="7"/>
      <c r="C279" s="8" t="str">
        <f>IFERROR(VLOOKUP($B279,'(勿動)組件目錄表'!$D$15:$R$1094,2,FALSE),"-")</f>
        <v>-</v>
      </c>
      <c r="D279" s="8" t="str">
        <f>IFERROR(VLOOKUP($B279,'(勿動)組件目錄表'!$D$15:$R$1094,3,FALSE),"-")</f>
        <v>-</v>
      </c>
      <c r="E279" s="9" t="str">
        <f>IFERROR(VLOOKUP($B279,'(勿動)組件目錄表'!$D$15:$R$1094,4,FALSE),"-")</f>
        <v>-</v>
      </c>
      <c r="F279" s="10" t="str">
        <f>IFERROR(VLOOKUP($B279,'(勿動)組件目錄表'!$D$15:$R$1094,5,FALSE),"-")</f>
        <v>-</v>
      </c>
      <c r="G279" s="11" t="str">
        <f>IFERROR(VLOOKUP($B279,'(勿動)組件目錄表'!$D$15:$R$1094,8,FALSE),"-")</f>
        <v>-</v>
      </c>
      <c r="H279" s="11" t="str">
        <f>IFERROR(VLOOKUP($B279,'(勿動)組件目錄表'!$D$15:$R$1094,9,FALSE),"-")</f>
        <v>-</v>
      </c>
      <c r="I279" s="11" t="str">
        <f>IFERROR(VLOOKUP($B279,'(勿動)組件目錄表'!$D$15:$R$1094,10,FALSE),"-")</f>
        <v>-</v>
      </c>
      <c r="J279" s="11" t="str">
        <f>IFERROR(VLOOKUP($B279,'(勿動)組件目錄表'!$D$15:$R$1094,11,FALSE),"-")</f>
        <v>-</v>
      </c>
      <c r="K279" s="11" t="str">
        <f>IFERROR(VLOOKUP($B279,'(勿動)組件目錄表'!$D$15:$R$1094,12,FALSE),"-")</f>
        <v>-</v>
      </c>
      <c r="L279" s="11" t="str">
        <f>IFERROR(VLOOKUP($B279,'(勿動)組件目錄表'!$D$15:$R$1094,13,FALSE),"-")</f>
        <v>-</v>
      </c>
      <c r="M279" s="11" t="str">
        <f>IFERROR(VLOOKUP($B279,'(勿動)組件目錄表'!$D$15:$R$1094,14,FALSE),"-")</f>
        <v>-</v>
      </c>
      <c r="N279" s="15">
        <f t="shared" si="1"/>
        <v>0</v>
      </c>
      <c r="O279" s="16"/>
    </row>
    <row r="280" spans="1:15" ht="15.75" customHeight="1">
      <c r="A280" s="18"/>
      <c r="B280" s="7"/>
      <c r="C280" s="8" t="str">
        <f>IFERROR(VLOOKUP($B280,'(勿動)組件目錄表'!$D$15:$R$1094,2,FALSE),"-")</f>
        <v>-</v>
      </c>
      <c r="D280" s="8" t="str">
        <f>IFERROR(VLOOKUP($B280,'(勿動)組件目錄表'!$D$15:$R$1094,3,FALSE),"-")</f>
        <v>-</v>
      </c>
      <c r="E280" s="9" t="str">
        <f>IFERROR(VLOOKUP($B280,'(勿動)組件目錄表'!$D$15:$R$1094,4,FALSE),"-")</f>
        <v>-</v>
      </c>
      <c r="F280" s="10" t="str">
        <f>IFERROR(VLOOKUP($B280,'(勿動)組件目錄表'!$D$15:$R$1094,5,FALSE),"-")</f>
        <v>-</v>
      </c>
      <c r="G280" s="11" t="str">
        <f>IFERROR(VLOOKUP($B280,'(勿動)組件目錄表'!$D$15:$R$1094,8,FALSE),"-")</f>
        <v>-</v>
      </c>
      <c r="H280" s="11" t="str">
        <f>IFERROR(VLOOKUP($B280,'(勿動)組件目錄表'!$D$15:$R$1094,9,FALSE),"-")</f>
        <v>-</v>
      </c>
      <c r="I280" s="11" t="str">
        <f>IFERROR(VLOOKUP($B280,'(勿動)組件目錄表'!$D$15:$R$1094,10,FALSE),"-")</f>
        <v>-</v>
      </c>
      <c r="J280" s="11" t="str">
        <f>IFERROR(VLOOKUP($B280,'(勿動)組件目錄表'!$D$15:$R$1094,11,FALSE),"-")</f>
        <v>-</v>
      </c>
      <c r="K280" s="11" t="str">
        <f>IFERROR(VLOOKUP($B280,'(勿動)組件目錄表'!$D$15:$R$1094,12,FALSE),"-")</f>
        <v>-</v>
      </c>
      <c r="L280" s="11" t="str">
        <f>IFERROR(VLOOKUP($B280,'(勿動)組件目錄表'!$D$15:$R$1094,13,FALSE),"-")</f>
        <v>-</v>
      </c>
      <c r="M280" s="11" t="str">
        <f>IFERROR(VLOOKUP($B280,'(勿動)組件目錄表'!$D$15:$R$1094,14,FALSE),"-")</f>
        <v>-</v>
      </c>
      <c r="N280" s="15">
        <f t="shared" si="1"/>
        <v>0</v>
      </c>
      <c r="O280" s="16"/>
    </row>
    <row r="281" spans="1:15" ht="15.75" customHeight="1">
      <c r="A281" s="18"/>
      <c r="B281" s="7"/>
      <c r="C281" s="8" t="str">
        <f>IFERROR(VLOOKUP($B281,'(勿動)組件目錄表'!$D$15:$R$1094,2,FALSE),"-")</f>
        <v>-</v>
      </c>
      <c r="D281" s="8" t="str">
        <f>IFERROR(VLOOKUP($B281,'(勿動)組件目錄表'!$D$15:$R$1094,3,FALSE),"-")</f>
        <v>-</v>
      </c>
      <c r="E281" s="9" t="str">
        <f>IFERROR(VLOOKUP($B281,'(勿動)組件目錄表'!$D$15:$R$1094,4,FALSE),"-")</f>
        <v>-</v>
      </c>
      <c r="F281" s="10" t="str">
        <f>IFERROR(VLOOKUP($B281,'(勿動)組件目錄表'!$D$15:$R$1094,5,FALSE),"-")</f>
        <v>-</v>
      </c>
      <c r="G281" s="11" t="str">
        <f>IFERROR(VLOOKUP($B281,'(勿動)組件目錄表'!$D$15:$R$1094,8,FALSE),"-")</f>
        <v>-</v>
      </c>
      <c r="H281" s="11" t="str">
        <f>IFERROR(VLOOKUP($B281,'(勿動)組件目錄表'!$D$15:$R$1094,9,FALSE),"-")</f>
        <v>-</v>
      </c>
      <c r="I281" s="11" t="str">
        <f>IFERROR(VLOOKUP($B281,'(勿動)組件目錄表'!$D$15:$R$1094,10,FALSE),"-")</f>
        <v>-</v>
      </c>
      <c r="J281" s="11" t="str">
        <f>IFERROR(VLOOKUP($B281,'(勿動)組件目錄表'!$D$15:$R$1094,11,FALSE),"-")</f>
        <v>-</v>
      </c>
      <c r="K281" s="11" t="str">
        <f>IFERROR(VLOOKUP($B281,'(勿動)組件目錄表'!$D$15:$R$1094,12,FALSE),"-")</f>
        <v>-</v>
      </c>
      <c r="L281" s="11" t="str">
        <f>IFERROR(VLOOKUP($B281,'(勿動)組件目錄表'!$D$15:$R$1094,13,FALSE),"-")</f>
        <v>-</v>
      </c>
      <c r="M281" s="11" t="str">
        <f>IFERROR(VLOOKUP($B281,'(勿動)組件目錄表'!$D$15:$R$1094,14,FALSE),"-")</f>
        <v>-</v>
      </c>
      <c r="N281" s="15">
        <f t="shared" si="1"/>
        <v>0</v>
      </c>
      <c r="O281" s="16"/>
    </row>
    <row r="282" spans="1:15" ht="15.75" customHeight="1">
      <c r="A282" s="18"/>
      <c r="B282" s="7"/>
      <c r="C282" s="8" t="str">
        <f>IFERROR(VLOOKUP($B282,'(勿動)組件目錄表'!$D$15:$R$1094,2,FALSE),"-")</f>
        <v>-</v>
      </c>
      <c r="D282" s="8" t="str">
        <f>IFERROR(VLOOKUP($B282,'(勿動)組件目錄表'!$D$15:$R$1094,3,FALSE),"-")</f>
        <v>-</v>
      </c>
      <c r="E282" s="9" t="str">
        <f>IFERROR(VLOOKUP($B282,'(勿動)組件目錄表'!$D$15:$R$1094,4,FALSE),"-")</f>
        <v>-</v>
      </c>
      <c r="F282" s="10" t="str">
        <f>IFERROR(VLOOKUP($B282,'(勿動)組件目錄表'!$D$15:$R$1094,5,FALSE),"-")</f>
        <v>-</v>
      </c>
      <c r="G282" s="11" t="str">
        <f>IFERROR(VLOOKUP($B282,'(勿動)組件目錄表'!$D$15:$R$1094,8,FALSE),"-")</f>
        <v>-</v>
      </c>
      <c r="H282" s="11" t="str">
        <f>IFERROR(VLOOKUP($B282,'(勿動)組件目錄表'!$D$15:$R$1094,9,FALSE),"-")</f>
        <v>-</v>
      </c>
      <c r="I282" s="11" t="str">
        <f>IFERROR(VLOOKUP($B282,'(勿動)組件目錄表'!$D$15:$R$1094,10,FALSE),"-")</f>
        <v>-</v>
      </c>
      <c r="J282" s="11" t="str">
        <f>IFERROR(VLOOKUP($B282,'(勿動)組件目錄表'!$D$15:$R$1094,11,FALSE),"-")</f>
        <v>-</v>
      </c>
      <c r="K282" s="11" t="str">
        <f>IFERROR(VLOOKUP($B282,'(勿動)組件目錄表'!$D$15:$R$1094,12,FALSE),"-")</f>
        <v>-</v>
      </c>
      <c r="L282" s="11" t="str">
        <f>IFERROR(VLOOKUP($B282,'(勿動)組件目錄表'!$D$15:$R$1094,13,FALSE),"-")</f>
        <v>-</v>
      </c>
      <c r="M282" s="11" t="str">
        <f>IFERROR(VLOOKUP($B282,'(勿動)組件目錄表'!$D$15:$R$1094,14,FALSE),"-")</f>
        <v>-</v>
      </c>
      <c r="N282" s="15">
        <f t="shared" si="1"/>
        <v>0</v>
      </c>
      <c r="O282" s="16"/>
    </row>
    <row r="283" spans="1:15" ht="15.75" customHeight="1">
      <c r="A283" s="18"/>
      <c r="B283" s="7"/>
      <c r="C283" s="8" t="str">
        <f>IFERROR(VLOOKUP($B283,'(勿動)組件目錄表'!$D$15:$R$1094,2,FALSE),"-")</f>
        <v>-</v>
      </c>
      <c r="D283" s="8" t="str">
        <f>IFERROR(VLOOKUP($B283,'(勿動)組件目錄表'!$D$15:$R$1094,3,FALSE),"-")</f>
        <v>-</v>
      </c>
      <c r="E283" s="9" t="str">
        <f>IFERROR(VLOOKUP($B283,'(勿動)組件目錄表'!$D$15:$R$1094,4,FALSE),"-")</f>
        <v>-</v>
      </c>
      <c r="F283" s="10" t="str">
        <f>IFERROR(VLOOKUP($B283,'(勿動)組件目錄表'!$D$15:$R$1094,5,FALSE),"-")</f>
        <v>-</v>
      </c>
      <c r="G283" s="11" t="str">
        <f>IFERROR(VLOOKUP($B283,'(勿動)組件目錄表'!$D$15:$R$1094,8,FALSE),"-")</f>
        <v>-</v>
      </c>
      <c r="H283" s="11" t="str">
        <f>IFERROR(VLOOKUP($B283,'(勿動)組件目錄表'!$D$15:$R$1094,9,FALSE),"-")</f>
        <v>-</v>
      </c>
      <c r="I283" s="11" t="str">
        <f>IFERROR(VLOOKUP($B283,'(勿動)組件目錄表'!$D$15:$R$1094,10,FALSE),"-")</f>
        <v>-</v>
      </c>
      <c r="J283" s="11" t="str">
        <f>IFERROR(VLOOKUP($B283,'(勿動)組件目錄表'!$D$15:$R$1094,11,FALSE),"-")</f>
        <v>-</v>
      </c>
      <c r="K283" s="11" t="str">
        <f>IFERROR(VLOOKUP($B283,'(勿動)組件目錄表'!$D$15:$R$1094,12,FALSE),"-")</f>
        <v>-</v>
      </c>
      <c r="L283" s="11" t="str">
        <f>IFERROR(VLOOKUP($B283,'(勿動)組件目錄表'!$D$15:$R$1094,13,FALSE),"-")</f>
        <v>-</v>
      </c>
      <c r="M283" s="11" t="str">
        <f>IFERROR(VLOOKUP($B283,'(勿動)組件目錄表'!$D$15:$R$1094,14,FALSE),"-")</f>
        <v>-</v>
      </c>
      <c r="N283" s="15">
        <f t="shared" si="1"/>
        <v>0</v>
      </c>
      <c r="O283" s="16"/>
    </row>
    <row r="284" spans="1:15" ht="15.75" customHeight="1">
      <c r="A284" s="18"/>
      <c r="B284" s="7"/>
      <c r="C284" s="8" t="str">
        <f>IFERROR(VLOOKUP($B284,'(勿動)組件目錄表'!$D$15:$R$1094,2,FALSE),"-")</f>
        <v>-</v>
      </c>
      <c r="D284" s="8" t="str">
        <f>IFERROR(VLOOKUP($B284,'(勿動)組件目錄表'!$D$15:$R$1094,3,FALSE),"-")</f>
        <v>-</v>
      </c>
      <c r="E284" s="9" t="str">
        <f>IFERROR(VLOOKUP($B284,'(勿動)組件目錄表'!$D$15:$R$1094,4,FALSE),"-")</f>
        <v>-</v>
      </c>
      <c r="F284" s="10" t="str">
        <f>IFERROR(VLOOKUP($B284,'(勿動)組件目錄表'!$D$15:$R$1094,5,FALSE),"-")</f>
        <v>-</v>
      </c>
      <c r="G284" s="11" t="str">
        <f>IFERROR(VLOOKUP($B284,'(勿動)組件目錄表'!$D$15:$R$1094,8,FALSE),"-")</f>
        <v>-</v>
      </c>
      <c r="H284" s="11" t="str">
        <f>IFERROR(VLOOKUP($B284,'(勿動)組件目錄表'!$D$15:$R$1094,9,FALSE),"-")</f>
        <v>-</v>
      </c>
      <c r="I284" s="11" t="str">
        <f>IFERROR(VLOOKUP($B284,'(勿動)組件目錄表'!$D$15:$R$1094,10,FALSE),"-")</f>
        <v>-</v>
      </c>
      <c r="J284" s="11" t="str">
        <f>IFERROR(VLOOKUP($B284,'(勿動)組件目錄表'!$D$15:$R$1094,11,FALSE),"-")</f>
        <v>-</v>
      </c>
      <c r="K284" s="11" t="str">
        <f>IFERROR(VLOOKUP($B284,'(勿動)組件目錄表'!$D$15:$R$1094,12,FALSE),"-")</f>
        <v>-</v>
      </c>
      <c r="L284" s="11" t="str">
        <f>IFERROR(VLOOKUP($B284,'(勿動)組件目錄表'!$D$15:$R$1094,13,FALSE),"-")</f>
        <v>-</v>
      </c>
      <c r="M284" s="11" t="str">
        <f>IFERROR(VLOOKUP($B284,'(勿動)組件目錄表'!$D$15:$R$1094,14,FALSE),"-")</f>
        <v>-</v>
      </c>
      <c r="N284" s="15">
        <f t="shared" si="1"/>
        <v>0</v>
      </c>
      <c r="O284" s="16"/>
    </row>
    <row r="285" spans="1:15" ht="15.75" customHeight="1">
      <c r="A285" s="18"/>
      <c r="B285" s="7"/>
      <c r="C285" s="8" t="str">
        <f>IFERROR(VLOOKUP($B285,'(勿動)組件目錄表'!$D$15:$R$1094,2,FALSE),"-")</f>
        <v>-</v>
      </c>
      <c r="D285" s="8" t="str">
        <f>IFERROR(VLOOKUP($B285,'(勿動)組件目錄表'!$D$15:$R$1094,3,FALSE),"-")</f>
        <v>-</v>
      </c>
      <c r="E285" s="9" t="str">
        <f>IFERROR(VLOOKUP($B285,'(勿動)組件目錄表'!$D$15:$R$1094,4,FALSE),"-")</f>
        <v>-</v>
      </c>
      <c r="F285" s="10" t="str">
        <f>IFERROR(VLOOKUP($B285,'(勿動)組件目錄表'!$D$15:$R$1094,5,FALSE),"-")</f>
        <v>-</v>
      </c>
      <c r="G285" s="11" t="str">
        <f>IFERROR(VLOOKUP($B285,'(勿動)組件目錄表'!$D$15:$R$1094,8,FALSE),"-")</f>
        <v>-</v>
      </c>
      <c r="H285" s="11" t="str">
        <f>IFERROR(VLOOKUP($B285,'(勿動)組件目錄表'!$D$15:$R$1094,9,FALSE),"-")</f>
        <v>-</v>
      </c>
      <c r="I285" s="11" t="str">
        <f>IFERROR(VLOOKUP($B285,'(勿動)組件目錄表'!$D$15:$R$1094,10,FALSE),"-")</f>
        <v>-</v>
      </c>
      <c r="J285" s="11" t="str">
        <f>IFERROR(VLOOKUP($B285,'(勿動)組件目錄表'!$D$15:$R$1094,11,FALSE),"-")</f>
        <v>-</v>
      </c>
      <c r="K285" s="11" t="str">
        <f>IFERROR(VLOOKUP($B285,'(勿動)組件目錄表'!$D$15:$R$1094,12,FALSE),"-")</f>
        <v>-</v>
      </c>
      <c r="L285" s="11" t="str">
        <f>IFERROR(VLOOKUP($B285,'(勿動)組件目錄表'!$D$15:$R$1094,13,FALSE),"-")</f>
        <v>-</v>
      </c>
      <c r="M285" s="11" t="str">
        <f>IFERROR(VLOOKUP($B285,'(勿動)組件目錄表'!$D$15:$R$1094,14,FALSE),"-")</f>
        <v>-</v>
      </c>
      <c r="N285" s="15">
        <f t="shared" si="1"/>
        <v>0</v>
      </c>
      <c r="O285" s="16"/>
    </row>
    <row r="286" spans="1:15" ht="15.75" customHeight="1">
      <c r="A286" s="18"/>
      <c r="B286" s="7"/>
      <c r="C286" s="8" t="str">
        <f>IFERROR(VLOOKUP($B286,'(勿動)組件目錄表'!$D$15:$R$1094,2,FALSE),"-")</f>
        <v>-</v>
      </c>
      <c r="D286" s="8" t="str">
        <f>IFERROR(VLOOKUP($B286,'(勿動)組件目錄表'!$D$15:$R$1094,3,FALSE),"-")</f>
        <v>-</v>
      </c>
      <c r="E286" s="9" t="str">
        <f>IFERROR(VLOOKUP($B286,'(勿動)組件目錄表'!$D$15:$R$1094,4,FALSE),"-")</f>
        <v>-</v>
      </c>
      <c r="F286" s="10" t="str">
        <f>IFERROR(VLOOKUP($B286,'(勿動)組件目錄表'!$D$15:$R$1094,5,FALSE),"-")</f>
        <v>-</v>
      </c>
      <c r="G286" s="11" t="str">
        <f>IFERROR(VLOOKUP($B286,'(勿動)組件目錄表'!$D$15:$R$1094,8,FALSE),"-")</f>
        <v>-</v>
      </c>
      <c r="H286" s="11" t="str">
        <f>IFERROR(VLOOKUP($B286,'(勿動)組件目錄表'!$D$15:$R$1094,9,FALSE),"-")</f>
        <v>-</v>
      </c>
      <c r="I286" s="11" t="str">
        <f>IFERROR(VLOOKUP($B286,'(勿動)組件目錄表'!$D$15:$R$1094,10,FALSE),"-")</f>
        <v>-</v>
      </c>
      <c r="J286" s="11" t="str">
        <f>IFERROR(VLOOKUP($B286,'(勿動)組件目錄表'!$D$15:$R$1094,11,FALSE),"-")</f>
        <v>-</v>
      </c>
      <c r="K286" s="11" t="str">
        <f>IFERROR(VLOOKUP($B286,'(勿動)組件目錄表'!$D$15:$R$1094,12,FALSE),"-")</f>
        <v>-</v>
      </c>
      <c r="L286" s="11" t="str">
        <f>IFERROR(VLOOKUP($B286,'(勿動)組件目錄表'!$D$15:$R$1094,13,FALSE),"-")</f>
        <v>-</v>
      </c>
      <c r="M286" s="11" t="str">
        <f>IFERROR(VLOOKUP($B286,'(勿動)組件目錄表'!$D$15:$R$1094,14,FALSE),"-")</f>
        <v>-</v>
      </c>
      <c r="N286" s="15">
        <f t="shared" si="1"/>
        <v>0</v>
      </c>
      <c r="O286" s="16"/>
    </row>
    <row r="287" spans="1:15" ht="15.75" customHeight="1">
      <c r="A287" s="18"/>
      <c r="B287" s="7"/>
      <c r="C287" s="8" t="str">
        <f>IFERROR(VLOOKUP($B287,'(勿動)組件目錄表'!$D$15:$R$1094,2,FALSE),"-")</f>
        <v>-</v>
      </c>
      <c r="D287" s="8" t="str">
        <f>IFERROR(VLOOKUP($B287,'(勿動)組件目錄表'!$D$15:$R$1094,3,FALSE),"-")</f>
        <v>-</v>
      </c>
      <c r="E287" s="9" t="str">
        <f>IFERROR(VLOOKUP($B287,'(勿動)組件目錄表'!$D$15:$R$1094,4,FALSE),"-")</f>
        <v>-</v>
      </c>
      <c r="F287" s="10" t="str">
        <f>IFERROR(VLOOKUP($B287,'(勿動)組件目錄表'!$D$15:$R$1094,5,FALSE),"-")</f>
        <v>-</v>
      </c>
      <c r="G287" s="11" t="str">
        <f>IFERROR(VLOOKUP($B287,'(勿動)組件目錄表'!$D$15:$R$1094,8,FALSE),"-")</f>
        <v>-</v>
      </c>
      <c r="H287" s="11" t="str">
        <f>IFERROR(VLOOKUP($B287,'(勿動)組件目錄表'!$D$15:$R$1094,9,FALSE),"-")</f>
        <v>-</v>
      </c>
      <c r="I287" s="11" t="str">
        <f>IFERROR(VLOOKUP($B287,'(勿動)組件目錄表'!$D$15:$R$1094,10,FALSE),"-")</f>
        <v>-</v>
      </c>
      <c r="J287" s="11" t="str">
        <f>IFERROR(VLOOKUP($B287,'(勿動)組件目錄表'!$D$15:$R$1094,11,FALSE),"-")</f>
        <v>-</v>
      </c>
      <c r="K287" s="11" t="str">
        <f>IFERROR(VLOOKUP($B287,'(勿動)組件目錄表'!$D$15:$R$1094,12,FALSE),"-")</f>
        <v>-</v>
      </c>
      <c r="L287" s="11" t="str">
        <f>IFERROR(VLOOKUP($B287,'(勿動)組件目錄表'!$D$15:$R$1094,13,FALSE),"-")</f>
        <v>-</v>
      </c>
      <c r="M287" s="11" t="str">
        <f>IFERROR(VLOOKUP($B287,'(勿動)組件目錄表'!$D$15:$R$1094,14,FALSE),"-")</f>
        <v>-</v>
      </c>
      <c r="N287" s="15">
        <f t="shared" si="1"/>
        <v>0</v>
      </c>
      <c r="O287" s="16"/>
    </row>
    <row r="288" spans="1:15" ht="15.75" customHeight="1">
      <c r="A288" s="18"/>
      <c r="B288" s="7"/>
      <c r="C288" s="8" t="str">
        <f>IFERROR(VLOOKUP($B288,'(勿動)組件目錄表'!$D$15:$R$1094,2,FALSE),"-")</f>
        <v>-</v>
      </c>
      <c r="D288" s="8" t="str">
        <f>IFERROR(VLOOKUP($B288,'(勿動)組件目錄表'!$D$15:$R$1094,3,FALSE),"-")</f>
        <v>-</v>
      </c>
      <c r="E288" s="9" t="str">
        <f>IFERROR(VLOOKUP($B288,'(勿動)組件目錄表'!$D$15:$R$1094,4,FALSE),"-")</f>
        <v>-</v>
      </c>
      <c r="F288" s="10" t="str">
        <f>IFERROR(VLOOKUP($B288,'(勿動)組件目錄表'!$D$15:$R$1094,5,FALSE),"-")</f>
        <v>-</v>
      </c>
      <c r="G288" s="11" t="str">
        <f>IFERROR(VLOOKUP($B288,'(勿動)組件目錄表'!$D$15:$R$1094,8,FALSE),"-")</f>
        <v>-</v>
      </c>
      <c r="H288" s="11" t="str">
        <f>IFERROR(VLOOKUP($B288,'(勿動)組件目錄表'!$D$15:$R$1094,9,FALSE),"-")</f>
        <v>-</v>
      </c>
      <c r="I288" s="11" t="str">
        <f>IFERROR(VLOOKUP($B288,'(勿動)組件目錄表'!$D$15:$R$1094,10,FALSE),"-")</f>
        <v>-</v>
      </c>
      <c r="J288" s="11" t="str">
        <f>IFERROR(VLOOKUP($B288,'(勿動)組件目錄表'!$D$15:$R$1094,11,FALSE),"-")</f>
        <v>-</v>
      </c>
      <c r="K288" s="11" t="str">
        <f>IFERROR(VLOOKUP($B288,'(勿動)組件目錄表'!$D$15:$R$1094,12,FALSE),"-")</f>
        <v>-</v>
      </c>
      <c r="L288" s="11" t="str">
        <f>IFERROR(VLOOKUP($B288,'(勿動)組件目錄表'!$D$15:$R$1094,13,FALSE),"-")</f>
        <v>-</v>
      </c>
      <c r="M288" s="11" t="str">
        <f>IFERROR(VLOOKUP($B288,'(勿動)組件目錄表'!$D$15:$R$1094,14,FALSE),"-")</f>
        <v>-</v>
      </c>
      <c r="N288" s="15">
        <f t="shared" si="1"/>
        <v>0</v>
      </c>
      <c r="O288" s="16"/>
    </row>
    <row r="289" spans="1:15" ht="15.75" customHeight="1">
      <c r="A289" s="18"/>
      <c r="B289" s="7"/>
      <c r="C289" s="8" t="str">
        <f>IFERROR(VLOOKUP($B289,'(勿動)組件目錄表'!$D$15:$R$1094,2,FALSE),"-")</f>
        <v>-</v>
      </c>
      <c r="D289" s="8" t="str">
        <f>IFERROR(VLOOKUP($B289,'(勿動)組件目錄表'!$D$15:$R$1094,3,FALSE),"-")</f>
        <v>-</v>
      </c>
      <c r="E289" s="9" t="str">
        <f>IFERROR(VLOOKUP($B289,'(勿動)組件目錄表'!$D$15:$R$1094,4,FALSE),"-")</f>
        <v>-</v>
      </c>
      <c r="F289" s="10" t="str">
        <f>IFERROR(VLOOKUP($B289,'(勿動)組件目錄表'!$D$15:$R$1094,5,FALSE),"-")</f>
        <v>-</v>
      </c>
      <c r="G289" s="11" t="str">
        <f>IFERROR(VLOOKUP($B289,'(勿動)組件目錄表'!$D$15:$R$1094,8,FALSE),"-")</f>
        <v>-</v>
      </c>
      <c r="H289" s="11" t="str">
        <f>IFERROR(VLOOKUP($B289,'(勿動)組件目錄表'!$D$15:$R$1094,9,FALSE),"-")</f>
        <v>-</v>
      </c>
      <c r="I289" s="11" t="str">
        <f>IFERROR(VLOOKUP($B289,'(勿動)組件目錄表'!$D$15:$R$1094,10,FALSE),"-")</f>
        <v>-</v>
      </c>
      <c r="J289" s="11" t="str">
        <f>IFERROR(VLOOKUP($B289,'(勿動)組件目錄表'!$D$15:$R$1094,11,FALSE),"-")</f>
        <v>-</v>
      </c>
      <c r="K289" s="11" t="str">
        <f>IFERROR(VLOOKUP($B289,'(勿動)組件目錄表'!$D$15:$R$1094,12,FALSE),"-")</f>
        <v>-</v>
      </c>
      <c r="L289" s="11" t="str">
        <f>IFERROR(VLOOKUP($B289,'(勿動)組件目錄表'!$D$15:$R$1094,13,FALSE),"-")</f>
        <v>-</v>
      </c>
      <c r="M289" s="11" t="str">
        <f>IFERROR(VLOOKUP($B289,'(勿動)組件目錄表'!$D$15:$R$1094,14,FALSE),"-")</f>
        <v>-</v>
      </c>
      <c r="N289" s="15">
        <f t="shared" si="1"/>
        <v>0</v>
      </c>
      <c r="O289" s="16"/>
    </row>
    <row r="290" spans="1:15" ht="15.75" customHeight="1">
      <c r="A290" s="18"/>
      <c r="B290" s="7"/>
      <c r="C290" s="8" t="str">
        <f>IFERROR(VLOOKUP($B290,'(勿動)組件目錄表'!$D$15:$R$1094,2,FALSE),"-")</f>
        <v>-</v>
      </c>
      <c r="D290" s="8" t="str">
        <f>IFERROR(VLOOKUP($B290,'(勿動)組件目錄表'!$D$15:$R$1094,3,FALSE),"-")</f>
        <v>-</v>
      </c>
      <c r="E290" s="9" t="str">
        <f>IFERROR(VLOOKUP($B290,'(勿動)組件目錄表'!$D$15:$R$1094,4,FALSE),"-")</f>
        <v>-</v>
      </c>
      <c r="F290" s="10" t="str">
        <f>IFERROR(VLOOKUP($B290,'(勿動)組件目錄表'!$D$15:$R$1094,5,FALSE),"-")</f>
        <v>-</v>
      </c>
      <c r="G290" s="11" t="str">
        <f>IFERROR(VLOOKUP($B290,'(勿動)組件目錄表'!$D$15:$R$1094,8,FALSE),"-")</f>
        <v>-</v>
      </c>
      <c r="H290" s="11" t="str">
        <f>IFERROR(VLOOKUP($B290,'(勿動)組件目錄表'!$D$15:$R$1094,9,FALSE),"-")</f>
        <v>-</v>
      </c>
      <c r="I290" s="11" t="str">
        <f>IFERROR(VLOOKUP($B290,'(勿動)組件目錄表'!$D$15:$R$1094,10,FALSE),"-")</f>
        <v>-</v>
      </c>
      <c r="J290" s="11" t="str">
        <f>IFERROR(VLOOKUP($B290,'(勿動)組件目錄表'!$D$15:$R$1094,11,FALSE),"-")</f>
        <v>-</v>
      </c>
      <c r="K290" s="11" t="str">
        <f>IFERROR(VLOOKUP($B290,'(勿動)組件目錄表'!$D$15:$R$1094,12,FALSE),"-")</f>
        <v>-</v>
      </c>
      <c r="L290" s="11" t="str">
        <f>IFERROR(VLOOKUP($B290,'(勿動)組件目錄表'!$D$15:$R$1094,13,FALSE),"-")</f>
        <v>-</v>
      </c>
      <c r="M290" s="11" t="str">
        <f>IFERROR(VLOOKUP($B290,'(勿動)組件目錄表'!$D$15:$R$1094,14,FALSE),"-")</f>
        <v>-</v>
      </c>
      <c r="N290" s="15">
        <f t="shared" si="1"/>
        <v>0</v>
      </c>
      <c r="O290" s="16"/>
    </row>
    <row r="291" spans="1:15" ht="15.75" customHeight="1">
      <c r="A291" s="18"/>
      <c r="B291" s="7"/>
      <c r="C291" s="8" t="str">
        <f>IFERROR(VLOOKUP($B291,'(勿動)組件目錄表'!$D$15:$R$1094,2,FALSE),"-")</f>
        <v>-</v>
      </c>
      <c r="D291" s="8" t="str">
        <f>IFERROR(VLOOKUP($B291,'(勿動)組件目錄表'!$D$15:$R$1094,3,FALSE),"-")</f>
        <v>-</v>
      </c>
      <c r="E291" s="9" t="str">
        <f>IFERROR(VLOOKUP($B291,'(勿動)組件目錄表'!$D$15:$R$1094,4,FALSE),"-")</f>
        <v>-</v>
      </c>
      <c r="F291" s="10" t="str">
        <f>IFERROR(VLOOKUP($B291,'(勿動)組件目錄表'!$D$15:$R$1094,5,FALSE),"-")</f>
        <v>-</v>
      </c>
      <c r="G291" s="11" t="str">
        <f>IFERROR(VLOOKUP($B291,'(勿動)組件目錄表'!$D$15:$R$1094,8,FALSE),"-")</f>
        <v>-</v>
      </c>
      <c r="H291" s="11" t="str">
        <f>IFERROR(VLOOKUP($B291,'(勿動)組件目錄表'!$D$15:$R$1094,9,FALSE),"-")</f>
        <v>-</v>
      </c>
      <c r="I291" s="11" t="str">
        <f>IFERROR(VLOOKUP($B291,'(勿動)組件目錄表'!$D$15:$R$1094,10,FALSE),"-")</f>
        <v>-</v>
      </c>
      <c r="J291" s="11" t="str">
        <f>IFERROR(VLOOKUP($B291,'(勿動)組件目錄表'!$D$15:$R$1094,11,FALSE),"-")</f>
        <v>-</v>
      </c>
      <c r="K291" s="11" t="str">
        <f>IFERROR(VLOOKUP($B291,'(勿動)組件目錄表'!$D$15:$R$1094,12,FALSE),"-")</f>
        <v>-</v>
      </c>
      <c r="L291" s="11" t="str">
        <f>IFERROR(VLOOKUP($B291,'(勿動)組件目錄表'!$D$15:$R$1094,13,FALSE),"-")</f>
        <v>-</v>
      </c>
      <c r="M291" s="11" t="str">
        <f>IFERROR(VLOOKUP($B291,'(勿動)組件目錄表'!$D$15:$R$1094,14,FALSE),"-")</f>
        <v>-</v>
      </c>
      <c r="N291" s="15">
        <f t="shared" si="1"/>
        <v>0</v>
      </c>
      <c r="O291" s="16"/>
    </row>
    <row r="292" spans="1:15" ht="15.75" customHeight="1">
      <c r="A292" s="18"/>
      <c r="B292" s="7"/>
      <c r="C292" s="8" t="str">
        <f>IFERROR(VLOOKUP($B292,'(勿動)組件目錄表'!$D$15:$R$1094,2,FALSE),"-")</f>
        <v>-</v>
      </c>
      <c r="D292" s="8" t="str">
        <f>IFERROR(VLOOKUP($B292,'(勿動)組件目錄表'!$D$15:$R$1094,3,FALSE),"-")</f>
        <v>-</v>
      </c>
      <c r="E292" s="9" t="str">
        <f>IFERROR(VLOOKUP($B292,'(勿動)組件目錄表'!$D$15:$R$1094,4,FALSE),"-")</f>
        <v>-</v>
      </c>
      <c r="F292" s="10" t="str">
        <f>IFERROR(VLOOKUP($B292,'(勿動)組件目錄表'!$D$15:$R$1094,5,FALSE),"-")</f>
        <v>-</v>
      </c>
      <c r="G292" s="11" t="str">
        <f>IFERROR(VLOOKUP($B292,'(勿動)組件目錄表'!$D$15:$R$1094,8,FALSE),"-")</f>
        <v>-</v>
      </c>
      <c r="H292" s="11" t="str">
        <f>IFERROR(VLOOKUP($B292,'(勿動)組件目錄表'!$D$15:$R$1094,9,FALSE),"-")</f>
        <v>-</v>
      </c>
      <c r="I292" s="11" t="str">
        <f>IFERROR(VLOOKUP($B292,'(勿動)組件目錄表'!$D$15:$R$1094,10,FALSE),"-")</f>
        <v>-</v>
      </c>
      <c r="J292" s="11" t="str">
        <f>IFERROR(VLOOKUP($B292,'(勿動)組件目錄表'!$D$15:$R$1094,11,FALSE),"-")</f>
        <v>-</v>
      </c>
      <c r="K292" s="11" t="str">
        <f>IFERROR(VLOOKUP($B292,'(勿動)組件目錄表'!$D$15:$R$1094,12,FALSE),"-")</f>
        <v>-</v>
      </c>
      <c r="L292" s="11" t="str">
        <f>IFERROR(VLOOKUP($B292,'(勿動)組件目錄表'!$D$15:$R$1094,13,FALSE),"-")</f>
        <v>-</v>
      </c>
      <c r="M292" s="11" t="str">
        <f>IFERROR(VLOOKUP($B292,'(勿動)組件目錄表'!$D$15:$R$1094,14,FALSE),"-")</f>
        <v>-</v>
      </c>
      <c r="N292" s="15">
        <f t="shared" si="1"/>
        <v>0</v>
      </c>
      <c r="O292" s="16"/>
    </row>
    <row r="293" spans="1:15" ht="15.75" customHeight="1">
      <c r="A293" s="18"/>
      <c r="B293" s="7"/>
      <c r="C293" s="8" t="str">
        <f>IFERROR(VLOOKUP($B293,'(勿動)組件目錄表'!$D$15:$R$1094,2,FALSE),"-")</f>
        <v>-</v>
      </c>
      <c r="D293" s="8" t="str">
        <f>IFERROR(VLOOKUP($B293,'(勿動)組件目錄表'!$D$15:$R$1094,3,FALSE),"-")</f>
        <v>-</v>
      </c>
      <c r="E293" s="9" t="str">
        <f>IFERROR(VLOOKUP($B293,'(勿動)組件目錄表'!$D$15:$R$1094,4,FALSE),"-")</f>
        <v>-</v>
      </c>
      <c r="F293" s="10" t="str">
        <f>IFERROR(VLOOKUP($B293,'(勿動)組件目錄表'!$D$15:$R$1094,5,FALSE),"-")</f>
        <v>-</v>
      </c>
      <c r="G293" s="11" t="str">
        <f>IFERROR(VLOOKUP($B293,'(勿動)組件目錄表'!$D$15:$R$1094,8,FALSE),"-")</f>
        <v>-</v>
      </c>
      <c r="H293" s="11" t="str">
        <f>IFERROR(VLOOKUP($B293,'(勿動)組件目錄表'!$D$15:$R$1094,9,FALSE),"-")</f>
        <v>-</v>
      </c>
      <c r="I293" s="11" t="str">
        <f>IFERROR(VLOOKUP($B293,'(勿動)組件目錄表'!$D$15:$R$1094,10,FALSE),"-")</f>
        <v>-</v>
      </c>
      <c r="J293" s="11" t="str">
        <f>IFERROR(VLOOKUP($B293,'(勿動)組件目錄表'!$D$15:$R$1094,11,FALSE),"-")</f>
        <v>-</v>
      </c>
      <c r="K293" s="11" t="str">
        <f>IFERROR(VLOOKUP($B293,'(勿動)組件目錄表'!$D$15:$R$1094,12,FALSE),"-")</f>
        <v>-</v>
      </c>
      <c r="L293" s="11" t="str">
        <f>IFERROR(VLOOKUP($B293,'(勿動)組件目錄表'!$D$15:$R$1094,13,FALSE),"-")</f>
        <v>-</v>
      </c>
      <c r="M293" s="11" t="str">
        <f>IFERROR(VLOOKUP($B293,'(勿動)組件目錄表'!$D$15:$R$1094,14,FALSE),"-")</f>
        <v>-</v>
      </c>
      <c r="N293" s="15">
        <f t="shared" si="1"/>
        <v>0</v>
      </c>
      <c r="O293" s="16"/>
    </row>
    <row r="294" spans="1:15" ht="15.75" customHeight="1">
      <c r="A294" s="18"/>
      <c r="B294" s="7"/>
      <c r="C294" s="8" t="str">
        <f>IFERROR(VLOOKUP($B294,'(勿動)組件目錄表'!$D$15:$R$1094,2,FALSE),"-")</f>
        <v>-</v>
      </c>
      <c r="D294" s="8" t="str">
        <f>IFERROR(VLOOKUP($B294,'(勿動)組件目錄表'!$D$15:$R$1094,3,FALSE),"-")</f>
        <v>-</v>
      </c>
      <c r="E294" s="9" t="str">
        <f>IFERROR(VLOOKUP($B294,'(勿動)組件目錄表'!$D$15:$R$1094,4,FALSE),"-")</f>
        <v>-</v>
      </c>
      <c r="F294" s="10" t="str">
        <f>IFERROR(VLOOKUP($B294,'(勿動)組件目錄表'!$D$15:$R$1094,5,FALSE),"-")</f>
        <v>-</v>
      </c>
      <c r="G294" s="11" t="str">
        <f>IFERROR(VLOOKUP($B294,'(勿動)組件目錄表'!$D$15:$R$1094,8,FALSE),"-")</f>
        <v>-</v>
      </c>
      <c r="H294" s="11" t="str">
        <f>IFERROR(VLOOKUP($B294,'(勿動)組件目錄表'!$D$15:$R$1094,9,FALSE),"-")</f>
        <v>-</v>
      </c>
      <c r="I294" s="11" t="str">
        <f>IFERROR(VLOOKUP($B294,'(勿動)組件目錄表'!$D$15:$R$1094,10,FALSE),"-")</f>
        <v>-</v>
      </c>
      <c r="J294" s="11" t="str">
        <f>IFERROR(VLOOKUP($B294,'(勿動)組件目錄表'!$D$15:$R$1094,11,FALSE),"-")</f>
        <v>-</v>
      </c>
      <c r="K294" s="11" t="str">
        <f>IFERROR(VLOOKUP($B294,'(勿動)組件目錄表'!$D$15:$R$1094,12,FALSE),"-")</f>
        <v>-</v>
      </c>
      <c r="L294" s="11" t="str">
        <f>IFERROR(VLOOKUP($B294,'(勿動)組件目錄表'!$D$15:$R$1094,13,FALSE),"-")</f>
        <v>-</v>
      </c>
      <c r="M294" s="11" t="str">
        <f>IFERROR(VLOOKUP($B294,'(勿動)組件目錄表'!$D$15:$R$1094,14,FALSE),"-")</f>
        <v>-</v>
      </c>
      <c r="N294" s="15">
        <f t="shared" si="1"/>
        <v>0</v>
      </c>
      <c r="O294" s="16"/>
    </row>
    <row r="295" spans="1:15" ht="15.75" customHeight="1">
      <c r="A295" s="18"/>
      <c r="B295" s="7"/>
      <c r="C295" s="8" t="str">
        <f>IFERROR(VLOOKUP($B295,'(勿動)組件目錄表'!$D$15:$R$1094,2,FALSE),"-")</f>
        <v>-</v>
      </c>
      <c r="D295" s="8" t="str">
        <f>IFERROR(VLOOKUP($B295,'(勿動)組件目錄表'!$D$15:$R$1094,3,FALSE),"-")</f>
        <v>-</v>
      </c>
      <c r="E295" s="9" t="str">
        <f>IFERROR(VLOOKUP($B295,'(勿動)組件目錄表'!$D$15:$R$1094,4,FALSE),"-")</f>
        <v>-</v>
      </c>
      <c r="F295" s="10" t="str">
        <f>IFERROR(VLOOKUP($B295,'(勿動)組件目錄表'!$D$15:$R$1094,5,FALSE),"-")</f>
        <v>-</v>
      </c>
      <c r="G295" s="11" t="str">
        <f>IFERROR(VLOOKUP($B295,'(勿動)組件目錄表'!$D$15:$R$1094,8,FALSE),"-")</f>
        <v>-</v>
      </c>
      <c r="H295" s="11" t="str">
        <f>IFERROR(VLOOKUP($B295,'(勿動)組件目錄表'!$D$15:$R$1094,9,FALSE),"-")</f>
        <v>-</v>
      </c>
      <c r="I295" s="11" t="str">
        <f>IFERROR(VLOOKUP($B295,'(勿動)組件目錄表'!$D$15:$R$1094,10,FALSE),"-")</f>
        <v>-</v>
      </c>
      <c r="J295" s="11" t="str">
        <f>IFERROR(VLOOKUP($B295,'(勿動)組件目錄表'!$D$15:$R$1094,11,FALSE),"-")</f>
        <v>-</v>
      </c>
      <c r="K295" s="11" t="str">
        <f>IFERROR(VLOOKUP($B295,'(勿動)組件目錄表'!$D$15:$R$1094,12,FALSE),"-")</f>
        <v>-</v>
      </c>
      <c r="L295" s="11" t="str">
        <f>IFERROR(VLOOKUP($B295,'(勿動)組件目錄表'!$D$15:$R$1094,13,FALSE),"-")</f>
        <v>-</v>
      </c>
      <c r="M295" s="11" t="str">
        <f>IFERROR(VLOOKUP($B295,'(勿動)組件目錄表'!$D$15:$R$1094,14,FALSE),"-")</f>
        <v>-</v>
      </c>
      <c r="N295" s="15">
        <f t="shared" si="1"/>
        <v>0</v>
      </c>
      <c r="O295" s="16"/>
    </row>
    <row r="296" spans="1:15" ht="15.75" customHeight="1">
      <c r="A296" s="18"/>
      <c r="B296" s="7"/>
      <c r="C296" s="8" t="str">
        <f>IFERROR(VLOOKUP($B296,'(勿動)組件目錄表'!$D$15:$R$1094,2,FALSE),"-")</f>
        <v>-</v>
      </c>
      <c r="D296" s="8" t="str">
        <f>IFERROR(VLOOKUP($B296,'(勿動)組件目錄表'!$D$15:$R$1094,3,FALSE),"-")</f>
        <v>-</v>
      </c>
      <c r="E296" s="9" t="str">
        <f>IFERROR(VLOOKUP($B296,'(勿動)組件目錄表'!$D$15:$R$1094,4,FALSE),"-")</f>
        <v>-</v>
      </c>
      <c r="F296" s="10" t="str">
        <f>IFERROR(VLOOKUP($B296,'(勿動)組件目錄表'!$D$15:$R$1094,5,FALSE),"-")</f>
        <v>-</v>
      </c>
      <c r="G296" s="11" t="str">
        <f>IFERROR(VLOOKUP($B296,'(勿動)組件目錄表'!$D$15:$R$1094,8,FALSE),"-")</f>
        <v>-</v>
      </c>
      <c r="H296" s="11" t="str">
        <f>IFERROR(VLOOKUP($B296,'(勿動)組件目錄表'!$D$15:$R$1094,9,FALSE),"-")</f>
        <v>-</v>
      </c>
      <c r="I296" s="11" t="str">
        <f>IFERROR(VLOOKUP($B296,'(勿動)組件目錄表'!$D$15:$R$1094,10,FALSE),"-")</f>
        <v>-</v>
      </c>
      <c r="J296" s="11" t="str">
        <f>IFERROR(VLOOKUP($B296,'(勿動)組件目錄表'!$D$15:$R$1094,11,FALSE),"-")</f>
        <v>-</v>
      </c>
      <c r="K296" s="11" t="str">
        <f>IFERROR(VLOOKUP($B296,'(勿動)組件目錄表'!$D$15:$R$1094,12,FALSE),"-")</f>
        <v>-</v>
      </c>
      <c r="L296" s="11" t="str">
        <f>IFERROR(VLOOKUP($B296,'(勿動)組件目錄表'!$D$15:$R$1094,13,FALSE),"-")</f>
        <v>-</v>
      </c>
      <c r="M296" s="11" t="str">
        <f>IFERROR(VLOOKUP($B296,'(勿動)組件目錄表'!$D$15:$R$1094,14,FALSE),"-")</f>
        <v>-</v>
      </c>
      <c r="N296" s="15">
        <f t="shared" si="1"/>
        <v>0</v>
      </c>
      <c r="O296" s="16"/>
    </row>
    <row r="297" spans="1:15" ht="15.75" customHeight="1">
      <c r="A297" s="18"/>
      <c r="B297" s="7"/>
      <c r="C297" s="8" t="str">
        <f>IFERROR(VLOOKUP($B297,'(勿動)組件目錄表'!$D$15:$R$1094,2,FALSE),"-")</f>
        <v>-</v>
      </c>
      <c r="D297" s="8" t="str">
        <f>IFERROR(VLOOKUP($B297,'(勿動)組件目錄表'!$D$15:$R$1094,3,FALSE),"-")</f>
        <v>-</v>
      </c>
      <c r="E297" s="9" t="str">
        <f>IFERROR(VLOOKUP($B297,'(勿動)組件目錄表'!$D$15:$R$1094,4,FALSE),"-")</f>
        <v>-</v>
      </c>
      <c r="F297" s="10" t="str">
        <f>IFERROR(VLOOKUP($B297,'(勿動)組件目錄表'!$D$15:$R$1094,5,FALSE),"-")</f>
        <v>-</v>
      </c>
      <c r="G297" s="11" t="str">
        <f>IFERROR(VLOOKUP($B297,'(勿動)組件目錄表'!$D$15:$R$1094,8,FALSE),"-")</f>
        <v>-</v>
      </c>
      <c r="H297" s="11" t="str">
        <f>IFERROR(VLOOKUP($B297,'(勿動)組件目錄表'!$D$15:$R$1094,9,FALSE),"-")</f>
        <v>-</v>
      </c>
      <c r="I297" s="11" t="str">
        <f>IFERROR(VLOOKUP($B297,'(勿動)組件目錄表'!$D$15:$R$1094,10,FALSE),"-")</f>
        <v>-</v>
      </c>
      <c r="J297" s="11" t="str">
        <f>IFERROR(VLOOKUP($B297,'(勿動)組件目錄表'!$D$15:$R$1094,11,FALSE),"-")</f>
        <v>-</v>
      </c>
      <c r="K297" s="11" t="str">
        <f>IFERROR(VLOOKUP($B297,'(勿動)組件目錄表'!$D$15:$R$1094,12,FALSE),"-")</f>
        <v>-</v>
      </c>
      <c r="L297" s="11" t="str">
        <f>IFERROR(VLOOKUP($B297,'(勿動)組件目錄表'!$D$15:$R$1094,13,FALSE),"-")</f>
        <v>-</v>
      </c>
      <c r="M297" s="11" t="str">
        <f>IFERROR(VLOOKUP($B297,'(勿動)組件目錄表'!$D$15:$R$1094,14,FALSE),"-")</f>
        <v>-</v>
      </c>
      <c r="N297" s="15">
        <f t="shared" si="1"/>
        <v>0</v>
      </c>
      <c r="O297" s="16"/>
    </row>
    <row r="298" spans="1:15" ht="15.75" customHeight="1">
      <c r="A298" s="18"/>
      <c r="B298" s="7"/>
      <c r="C298" s="8" t="str">
        <f>IFERROR(VLOOKUP($B298,'(勿動)組件目錄表'!$D$15:$R$1094,2,FALSE),"-")</f>
        <v>-</v>
      </c>
      <c r="D298" s="8" t="str">
        <f>IFERROR(VLOOKUP($B298,'(勿動)組件目錄表'!$D$15:$R$1094,3,FALSE),"-")</f>
        <v>-</v>
      </c>
      <c r="E298" s="9" t="str">
        <f>IFERROR(VLOOKUP($B298,'(勿動)組件目錄表'!$D$15:$R$1094,4,FALSE),"-")</f>
        <v>-</v>
      </c>
      <c r="F298" s="10" t="str">
        <f>IFERROR(VLOOKUP($B298,'(勿動)組件目錄表'!$D$15:$R$1094,5,FALSE),"-")</f>
        <v>-</v>
      </c>
      <c r="G298" s="11" t="str">
        <f>IFERROR(VLOOKUP($B298,'(勿動)組件目錄表'!$D$15:$R$1094,8,FALSE),"-")</f>
        <v>-</v>
      </c>
      <c r="H298" s="11" t="str">
        <f>IFERROR(VLOOKUP($B298,'(勿動)組件目錄表'!$D$15:$R$1094,9,FALSE),"-")</f>
        <v>-</v>
      </c>
      <c r="I298" s="11" t="str">
        <f>IFERROR(VLOOKUP($B298,'(勿動)組件目錄表'!$D$15:$R$1094,10,FALSE),"-")</f>
        <v>-</v>
      </c>
      <c r="J298" s="11" t="str">
        <f>IFERROR(VLOOKUP($B298,'(勿動)組件目錄表'!$D$15:$R$1094,11,FALSE),"-")</f>
        <v>-</v>
      </c>
      <c r="K298" s="11" t="str">
        <f>IFERROR(VLOOKUP($B298,'(勿動)組件目錄表'!$D$15:$R$1094,12,FALSE),"-")</f>
        <v>-</v>
      </c>
      <c r="L298" s="11" t="str">
        <f>IFERROR(VLOOKUP($B298,'(勿動)組件目錄表'!$D$15:$R$1094,13,FALSE),"-")</f>
        <v>-</v>
      </c>
      <c r="M298" s="11" t="str">
        <f>IFERROR(VLOOKUP($B298,'(勿動)組件目錄表'!$D$15:$R$1094,14,FALSE),"-")</f>
        <v>-</v>
      </c>
      <c r="N298" s="15">
        <f t="shared" si="1"/>
        <v>0</v>
      </c>
      <c r="O298" s="16"/>
    </row>
    <row r="299" spans="1:15" ht="15.75" customHeight="1">
      <c r="A299" s="18"/>
      <c r="B299" s="7"/>
      <c r="C299" s="8" t="str">
        <f>IFERROR(VLOOKUP($B299,'(勿動)組件目錄表'!$D$15:$R$1094,2,FALSE),"-")</f>
        <v>-</v>
      </c>
      <c r="D299" s="8" t="str">
        <f>IFERROR(VLOOKUP($B299,'(勿動)組件目錄表'!$D$15:$R$1094,3,FALSE),"-")</f>
        <v>-</v>
      </c>
      <c r="E299" s="9" t="str">
        <f>IFERROR(VLOOKUP($B299,'(勿動)組件目錄表'!$D$15:$R$1094,4,FALSE),"-")</f>
        <v>-</v>
      </c>
      <c r="F299" s="10" t="str">
        <f>IFERROR(VLOOKUP($B299,'(勿動)組件目錄表'!$D$15:$R$1094,5,FALSE),"-")</f>
        <v>-</v>
      </c>
      <c r="G299" s="11" t="str">
        <f>IFERROR(VLOOKUP($B299,'(勿動)組件目錄表'!$D$15:$R$1094,8,FALSE),"-")</f>
        <v>-</v>
      </c>
      <c r="H299" s="11" t="str">
        <f>IFERROR(VLOOKUP($B299,'(勿動)組件目錄表'!$D$15:$R$1094,9,FALSE),"-")</f>
        <v>-</v>
      </c>
      <c r="I299" s="11" t="str">
        <f>IFERROR(VLOOKUP($B299,'(勿動)組件目錄表'!$D$15:$R$1094,10,FALSE),"-")</f>
        <v>-</v>
      </c>
      <c r="J299" s="11" t="str">
        <f>IFERROR(VLOOKUP($B299,'(勿動)組件目錄表'!$D$15:$R$1094,11,FALSE),"-")</f>
        <v>-</v>
      </c>
      <c r="K299" s="11" t="str">
        <f>IFERROR(VLOOKUP($B299,'(勿動)組件目錄表'!$D$15:$R$1094,12,FALSE),"-")</f>
        <v>-</v>
      </c>
      <c r="L299" s="11" t="str">
        <f>IFERROR(VLOOKUP($B299,'(勿動)組件目錄表'!$D$15:$R$1094,13,FALSE),"-")</f>
        <v>-</v>
      </c>
      <c r="M299" s="11" t="str">
        <f>IFERROR(VLOOKUP($B299,'(勿動)組件目錄表'!$D$15:$R$1094,14,FALSE),"-")</f>
        <v>-</v>
      </c>
      <c r="N299" s="15">
        <f t="shared" si="1"/>
        <v>0</v>
      </c>
      <c r="O299" s="16"/>
    </row>
    <row r="300" spans="1:15" ht="15.75" customHeight="1">
      <c r="A300" s="18"/>
      <c r="B300" s="7"/>
      <c r="C300" s="8" t="str">
        <f>IFERROR(VLOOKUP($B300,'(勿動)組件目錄表'!$D$15:$R$1094,2,FALSE),"-")</f>
        <v>-</v>
      </c>
      <c r="D300" s="8" t="str">
        <f>IFERROR(VLOOKUP($B300,'(勿動)組件目錄表'!$D$15:$R$1094,3,FALSE),"-")</f>
        <v>-</v>
      </c>
      <c r="E300" s="9" t="str">
        <f>IFERROR(VLOOKUP($B300,'(勿動)組件目錄表'!$D$15:$R$1094,4,FALSE),"-")</f>
        <v>-</v>
      </c>
      <c r="F300" s="10" t="str">
        <f>IFERROR(VLOOKUP($B300,'(勿動)組件目錄表'!$D$15:$R$1094,5,FALSE),"-")</f>
        <v>-</v>
      </c>
      <c r="G300" s="11" t="str">
        <f>IFERROR(VLOOKUP($B300,'(勿動)組件目錄表'!$D$15:$R$1094,8,FALSE),"-")</f>
        <v>-</v>
      </c>
      <c r="H300" s="11" t="str">
        <f>IFERROR(VLOOKUP($B300,'(勿動)組件目錄表'!$D$15:$R$1094,9,FALSE),"-")</f>
        <v>-</v>
      </c>
      <c r="I300" s="11" t="str">
        <f>IFERROR(VLOOKUP($B300,'(勿動)組件目錄表'!$D$15:$R$1094,10,FALSE),"-")</f>
        <v>-</v>
      </c>
      <c r="J300" s="11" t="str">
        <f>IFERROR(VLOOKUP($B300,'(勿動)組件目錄表'!$D$15:$R$1094,11,FALSE),"-")</f>
        <v>-</v>
      </c>
      <c r="K300" s="11" t="str">
        <f>IFERROR(VLOOKUP($B300,'(勿動)組件目錄表'!$D$15:$R$1094,12,FALSE),"-")</f>
        <v>-</v>
      </c>
      <c r="L300" s="11" t="str">
        <f>IFERROR(VLOOKUP($B300,'(勿動)組件目錄表'!$D$15:$R$1094,13,FALSE),"-")</f>
        <v>-</v>
      </c>
      <c r="M300" s="11" t="str">
        <f>IFERROR(VLOOKUP($B300,'(勿動)組件目錄表'!$D$15:$R$1094,14,FALSE),"-")</f>
        <v>-</v>
      </c>
      <c r="N300" s="15">
        <f t="shared" si="1"/>
        <v>0</v>
      </c>
      <c r="O300" s="16"/>
    </row>
    <row r="301" spans="1:15" ht="15.75" customHeight="1">
      <c r="A301" s="18"/>
      <c r="B301" s="7"/>
      <c r="C301" s="8" t="str">
        <f>IFERROR(VLOOKUP($B301,'(勿動)組件目錄表'!$D$15:$R$1094,2,FALSE),"-")</f>
        <v>-</v>
      </c>
      <c r="D301" s="8" t="str">
        <f>IFERROR(VLOOKUP($B301,'(勿動)組件目錄表'!$D$15:$R$1094,3,FALSE),"-")</f>
        <v>-</v>
      </c>
      <c r="E301" s="9" t="str">
        <f>IFERROR(VLOOKUP($B301,'(勿動)組件目錄表'!$D$15:$R$1094,4,FALSE),"-")</f>
        <v>-</v>
      </c>
      <c r="F301" s="10" t="str">
        <f>IFERROR(VLOOKUP($B301,'(勿動)組件目錄表'!$D$15:$R$1094,5,FALSE),"-")</f>
        <v>-</v>
      </c>
      <c r="G301" s="11" t="str">
        <f>IFERROR(VLOOKUP($B301,'(勿動)組件目錄表'!$D$15:$R$1094,8,FALSE),"-")</f>
        <v>-</v>
      </c>
      <c r="H301" s="11" t="str">
        <f>IFERROR(VLOOKUP($B301,'(勿動)組件目錄表'!$D$15:$R$1094,9,FALSE),"-")</f>
        <v>-</v>
      </c>
      <c r="I301" s="11" t="str">
        <f>IFERROR(VLOOKUP($B301,'(勿動)組件目錄表'!$D$15:$R$1094,10,FALSE),"-")</f>
        <v>-</v>
      </c>
      <c r="J301" s="11" t="str">
        <f>IFERROR(VLOOKUP($B301,'(勿動)組件目錄表'!$D$15:$R$1094,11,FALSE),"-")</f>
        <v>-</v>
      </c>
      <c r="K301" s="11" t="str">
        <f>IFERROR(VLOOKUP($B301,'(勿動)組件目錄表'!$D$15:$R$1094,12,FALSE),"-")</f>
        <v>-</v>
      </c>
      <c r="L301" s="11" t="str">
        <f>IFERROR(VLOOKUP($B301,'(勿動)組件目錄表'!$D$15:$R$1094,13,FALSE),"-")</f>
        <v>-</v>
      </c>
      <c r="M301" s="11" t="str">
        <f>IFERROR(VLOOKUP($B301,'(勿動)組件目錄表'!$D$15:$R$1094,14,FALSE),"-")</f>
        <v>-</v>
      </c>
      <c r="N301" s="15">
        <f t="shared" si="1"/>
        <v>0</v>
      </c>
      <c r="O301" s="16"/>
    </row>
    <row r="302" spans="1:15" ht="15.75" customHeight="1">
      <c r="A302" s="18"/>
      <c r="B302" s="7"/>
      <c r="C302" s="8" t="str">
        <f>IFERROR(VLOOKUP($B302,'(勿動)組件目錄表'!$D$15:$R$1094,2,FALSE),"-")</f>
        <v>-</v>
      </c>
      <c r="D302" s="8" t="str">
        <f>IFERROR(VLOOKUP($B302,'(勿動)組件目錄表'!$D$15:$R$1094,3,FALSE),"-")</f>
        <v>-</v>
      </c>
      <c r="E302" s="9" t="str">
        <f>IFERROR(VLOOKUP($B302,'(勿動)組件目錄表'!$D$15:$R$1094,4,FALSE),"-")</f>
        <v>-</v>
      </c>
      <c r="F302" s="10" t="str">
        <f>IFERROR(VLOOKUP($B302,'(勿動)組件目錄表'!$D$15:$R$1094,5,FALSE),"-")</f>
        <v>-</v>
      </c>
      <c r="G302" s="11" t="str">
        <f>IFERROR(VLOOKUP($B302,'(勿動)組件目錄表'!$D$15:$R$1094,8,FALSE),"-")</f>
        <v>-</v>
      </c>
      <c r="H302" s="11" t="str">
        <f>IFERROR(VLOOKUP($B302,'(勿動)組件目錄表'!$D$15:$R$1094,9,FALSE),"-")</f>
        <v>-</v>
      </c>
      <c r="I302" s="11" t="str">
        <f>IFERROR(VLOOKUP($B302,'(勿動)組件目錄表'!$D$15:$R$1094,10,FALSE),"-")</f>
        <v>-</v>
      </c>
      <c r="J302" s="11" t="str">
        <f>IFERROR(VLOOKUP($B302,'(勿動)組件目錄表'!$D$15:$R$1094,11,FALSE),"-")</f>
        <v>-</v>
      </c>
      <c r="K302" s="11" t="str">
        <f>IFERROR(VLOOKUP($B302,'(勿動)組件目錄表'!$D$15:$R$1094,12,FALSE),"-")</f>
        <v>-</v>
      </c>
      <c r="L302" s="11" t="str">
        <f>IFERROR(VLOOKUP($B302,'(勿動)組件目錄表'!$D$15:$R$1094,13,FALSE),"-")</f>
        <v>-</v>
      </c>
      <c r="M302" s="11" t="str">
        <f>IFERROR(VLOOKUP($B302,'(勿動)組件目錄表'!$D$15:$R$1094,14,FALSE),"-")</f>
        <v>-</v>
      </c>
      <c r="N302" s="15">
        <f t="shared" si="1"/>
        <v>0</v>
      </c>
      <c r="O302" s="16"/>
    </row>
    <row r="303" spans="1:15" ht="15.75" customHeight="1">
      <c r="A303" s="18"/>
      <c r="B303" s="7"/>
      <c r="C303" s="8" t="str">
        <f>IFERROR(VLOOKUP($B303,'(勿動)組件目錄表'!$D$15:$R$1094,2,FALSE),"-")</f>
        <v>-</v>
      </c>
      <c r="D303" s="8" t="str">
        <f>IFERROR(VLOOKUP($B303,'(勿動)組件目錄表'!$D$15:$R$1094,3,FALSE),"-")</f>
        <v>-</v>
      </c>
      <c r="E303" s="9" t="str">
        <f>IFERROR(VLOOKUP($B303,'(勿動)組件目錄表'!$D$15:$R$1094,4,FALSE),"-")</f>
        <v>-</v>
      </c>
      <c r="F303" s="10" t="str">
        <f>IFERROR(VLOOKUP($B303,'(勿動)組件目錄表'!$D$15:$R$1094,5,FALSE),"-")</f>
        <v>-</v>
      </c>
      <c r="G303" s="11" t="str">
        <f>IFERROR(VLOOKUP($B303,'(勿動)組件目錄表'!$D$15:$R$1094,8,FALSE),"-")</f>
        <v>-</v>
      </c>
      <c r="H303" s="11" t="str">
        <f>IFERROR(VLOOKUP($B303,'(勿動)組件目錄表'!$D$15:$R$1094,9,FALSE),"-")</f>
        <v>-</v>
      </c>
      <c r="I303" s="11" t="str">
        <f>IFERROR(VLOOKUP($B303,'(勿動)組件目錄表'!$D$15:$R$1094,10,FALSE),"-")</f>
        <v>-</v>
      </c>
      <c r="J303" s="11" t="str">
        <f>IFERROR(VLOOKUP($B303,'(勿動)組件目錄表'!$D$15:$R$1094,11,FALSE),"-")</f>
        <v>-</v>
      </c>
      <c r="K303" s="11" t="str">
        <f>IFERROR(VLOOKUP($B303,'(勿動)組件目錄表'!$D$15:$R$1094,12,FALSE),"-")</f>
        <v>-</v>
      </c>
      <c r="L303" s="11" t="str">
        <f>IFERROR(VLOOKUP($B303,'(勿動)組件目錄表'!$D$15:$R$1094,13,FALSE),"-")</f>
        <v>-</v>
      </c>
      <c r="M303" s="11" t="str">
        <f>IFERROR(VLOOKUP($B303,'(勿動)組件目錄表'!$D$15:$R$1094,14,FALSE),"-")</f>
        <v>-</v>
      </c>
      <c r="N303" s="15">
        <f t="shared" si="1"/>
        <v>0</v>
      </c>
      <c r="O303" s="16"/>
    </row>
    <row r="304" spans="1:15" ht="15.75" customHeight="1">
      <c r="A304" s="18"/>
      <c r="B304" s="7"/>
      <c r="C304" s="8" t="str">
        <f>IFERROR(VLOOKUP($B304,'(勿動)組件目錄表'!$D$15:$R$1094,2,FALSE),"-")</f>
        <v>-</v>
      </c>
      <c r="D304" s="8" t="str">
        <f>IFERROR(VLOOKUP($B304,'(勿動)組件目錄表'!$D$15:$R$1094,3,FALSE),"-")</f>
        <v>-</v>
      </c>
      <c r="E304" s="9" t="str">
        <f>IFERROR(VLOOKUP($B304,'(勿動)組件目錄表'!$D$15:$R$1094,4,FALSE),"-")</f>
        <v>-</v>
      </c>
      <c r="F304" s="10" t="str">
        <f>IFERROR(VLOOKUP($B304,'(勿動)組件目錄表'!$D$15:$R$1094,5,FALSE),"-")</f>
        <v>-</v>
      </c>
      <c r="G304" s="11" t="str">
        <f>IFERROR(VLOOKUP($B304,'(勿動)組件目錄表'!$D$15:$R$1094,8,FALSE),"-")</f>
        <v>-</v>
      </c>
      <c r="H304" s="11" t="str">
        <f>IFERROR(VLOOKUP($B304,'(勿動)組件目錄表'!$D$15:$R$1094,9,FALSE),"-")</f>
        <v>-</v>
      </c>
      <c r="I304" s="11" t="str">
        <f>IFERROR(VLOOKUP($B304,'(勿動)組件目錄表'!$D$15:$R$1094,10,FALSE),"-")</f>
        <v>-</v>
      </c>
      <c r="J304" s="11" t="str">
        <f>IFERROR(VLOOKUP($B304,'(勿動)組件目錄表'!$D$15:$R$1094,11,FALSE),"-")</f>
        <v>-</v>
      </c>
      <c r="K304" s="11" t="str">
        <f>IFERROR(VLOOKUP($B304,'(勿動)組件目錄表'!$D$15:$R$1094,12,FALSE),"-")</f>
        <v>-</v>
      </c>
      <c r="L304" s="11" t="str">
        <f>IFERROR(VLOOKUP($B304,'(勿動)組件目錄表'!$D$15:$R$1094,13,FALSE),"-")</f>
        <v>-</v>
      </c>
      <c r="M304" s="11" t="str">
        <f>IFERROR(VLOOKUP($B304,'(勿動)組件目錄表'!$D$15:$R$1094,14,FALSE),"-")</f>
        <v>-</v>
      </c>
      <c r="N304" s="15">
        <f t="shared" si="1"/>
        <v>0</v>
      </c>
      <c r="O304" s="16"/>
    </row>
    <row r="305" spans="1:15" ht="15.75" customHeight="1">
      <c r="A305" s="18"/>
      <c r="B305" s="7"/>
      <c r="C305" s="8" t="str">
        <f>IFERROR(VLOOKUP($B305,'(勿動)組件目錄表'!$D$15:$R$1094,2,FALSE),"-")</f>
        <v>-</v>
      </c>
      <c r="D305" s="8" t="str">
        <f>IFERROR(VLOOKUP($B305,'(勿動)組件目錄表'!$D$15:$R$1094,3,FALSE),"-")</f>
        <v>-</v>
      </c>
      <c r="E305" s="9" t="str">
        <f>IFERROR(VLOOKUP($B305,'(勿動)組件目錄表'!$D$15:$R$1094,4,FALSE),"-")</f>
        <v>-</v>
      </c>
      <c r="F305" s="10" t="str">
        <f>IFERROR(VLOOKUP($B305,'(勿動)組件目錄表'!$D$15:$R$1094,5,FALSE),"-")</f>
        <v>-</v>
      </c>
      <c r="G305" s="11" t="str">
        <f>IFERROR(VLOOKUP($B305,'(勿動)組件目錄表'!$D$15:$R$1094,8,FALSE),"-")</f>
        <v>-</v>
      </c>
      <c r="H305" s="11" t="str">
        <f>IFERROR(VLOOKUP($B305,'(勿動)組件目錄表'!$D$15:$R$1094,9,FALSE),"-")</f>
        <v>-</v>
      </c>
      <c r="I305" s="11" t="str">
        <f>IFERROR(VLOOKUP($B305,'(勿動)組件目錄表'!$D$15:$R$1094,10,FALSE),"-")</f>
        <v>-</v>
      </c>
      <c r="J305" s="11" t="str">
        <f>IFERROR(VLOOKUP($B305,'(勿動)組件目錄表'!$D$15:$R$1094,11,FALSE),"-")</f>
        <v>-</v>
      </c>
      <c r="K305" s="11" t="str">
        <f>IFERROR(VLOOKUP($B305,'(勿動)組件目錄表'!$D$15:$R$1094,12,FALSE),"-")</f>
        <v>-</v>
      </c>
      <c r="L305" s="11" t="str">
        <f>IFERROR(VLOOKUP($B305,'(勿動)組件目錄表'!$D$15:$R$1094,13,FALSE),"-")</f>
        <v>-</v>
      </c>
      <c r="M305" s="11" t="str">
        <f>IFERROR(VLOOKUP($B305,'(勿動)組件目錄表'!$D$15:$R$1094,14,FALSE),"-")</f>
        <v>-</v>
      </c>
      <c r="N305" s="15">
        <f t="shared" si="1"/>
        <v>0</v>
      </c>
      <c r="O305" s="16"/>
    </row>
    <row r="306" spans="1:15" ht="15.75" customHeight="1">
      <c r="A306" s="18"/>
      <c r="B306" s="7"/>
      <c r="C306" s="8" t="str">
        <f>IFERROR(VLOOKUP($B306,'(勿動)組件目錄表'!$D$15:$R$1094,2,FALSE),"-")</f>
        <v>-</v>
      </c>
      <c r="D306" s="8" t="str">
        <f>IFERROR(VLOOKUP($B306,'(勿動)組件目錄表'!$D$15:$R$1094,3,FALSE),"-")</f>
        <v>-</v>
      </c>
      <c r="E306" s="9" t="str">
        <f>IFERROR(VLOOKUP($B306,'(勿動)組件目錄表'!$D$15:$R$1094,4,FALSE),"-")</f>
        <v>-</v>
      </c>
      <c r="F306" s="10" t="str">
        <f>IFERROR(VLOOKUP($B306,'(勿動)組件目錄表'!$D$15:$R$1094,5,FALSE),"-")</f>
        <v>-</v>
      </c>
      <c r="G306" s="11" t="str">
        <f>IFERROR(VLOOKUP($B306,'(勿動)組件目錄表'!$D$15:$R$1094,8,FALSE),"-")</f>
        <v>-</v>
      </c>
      <c r="H306" s="11" t="str">
        <f>IFERROR(VLOOKUP($B306,'(勿動)組件目錄表'!$D$15:$R$1094,9,FALSE),"-")</f>
        <v>-</v>
      </c>
      <c r="I306" s="11" t="str">
        <f>IFERROR(VLOOKUP($B306,'(勿動)組件目錄表'!$D$15:$R$1094,10,FALSE),"-")</f>
        <v>-</v>
      </c>
      <c r="J306" s="11" t="str">
        <f>IFERROR(VLOOKUP($B306,'(勿動)組件目錄表'!$D$15:$R$1094,11,FALSE),"-")</f>
        <v>-</v>
      </c>
      <c r="K306" s="11" t="str">
        <f>IFERROR(VLOOKUP($B306,'(勿動)組件目錄表'!$D$15:$R$1094,12,FALSE),"-")</f>
        <v>-</v>
      </c>
      <c r="L306" s="11" t="str">
        <f>IFERROR(VLOOKUP($B306,'(勿動)組件目錄表'!$D$15:$R$1094,13,FALSE),"-")</f>
        <v>-</v>
      </c>
      <c r="M306" s="11" t="str">
        <f>IFERROR(VLOOKUP($B306,'(勿動)組件目錄表'!$D$15:$R$1094,14,FALSE),"-")</f>
        <v>-</v>
      </c>
      <c r="N306" s="15">
        <f t="shared" si="1"/>
        <v>0</v>
      </c>
      <c r="O306" s="16"/>
    </row>
    <row r="307" spans="1:15" ht="15.75" customHeight="1">
      <c r="A307" s="18"/>
      <c r="B307" s="7"/>
      <c r="C307" s="8" t="str">
        <f>IFERROR(VLOOKUP($B307,'(勿動)組件目錄表'!$D$15:$R$1094,2,FALSE),"-")</f>
        <v>-</v>
      </c>
      <c r="D307" s="8" t="str">
        <f>IFERROR(VLOOKUP($B307,'(勿動)組件目錄表'!$D$15:$R$1094,3,FALSE),"-")</f>
        <v>-</v>
      </c>
      <c r="E307" s="9" t="str">
        <f>IFERROR(VLOOKUP($B307,'(勿動)組件目錄表'!$D$15:$R$1094,4,FALSE),"-")</f>
        <v>-</v>
      </c>
      <c r="F307" s="10" t="str">
        <f>IFERROR(VLOOKUP($B307,'(勿動)組件目錄表'!$D$15:$R$1094,5,FALSE),"-")</f>
        <v>-</v>
      </c>
      <c r="G307" s="11" t="str">
        <f>IFERROR(VLOOKUP($B307,'(勿動)組件目錄表'!$D$15:$R$1094,8,FALSE),"-")</f>
        <v>-</v>
      </c>
      <c r="H307" s="11" t="str">
        <f>IFERROR(VLOOKUP($B307,'(勿動)組件目錄表'!$D$15:$R$1094,9,FALSE),"-")</f>
        <v>-</v>
      </c>
      <c r="I307" s="11" t="str">
        <f>IFERROR(VLOOKUP($B307,'(勿動)組件目錄表'!$D$15:$R$1094,10,FALSE),"-")</f>
        <v>-</v>
      </c>
      <c r="J307" s="11" t="str">
        <f>IFERROR(VLOOKUP($B307,'(勿動)組件目錄表'!$D$15:$R$1094,11,FALSE),"-")</f>
        <v>-</v>
      </c>
      <c r="K307" s="11" t="str">
        <f>IFERROR(VLOOKUP($B307,'(勿動)組件目錄表'!$D$15:$R$1094,12,FALSE),"-")</f>
        <v>-</v>
      </c>
      <c r="L307" s="11" t="str">
        <f>IFERROR(VLOOKUP($B307,'(勿動)組件目錄表'!$D$15:$R$1094,13,FALSE),"-")</f>
        <v>-</v>
      </c>
      <c r="M307" s="11" t="str">
        <f>IFERROR(VLOOKUP($B307,'(勿動)組件目錄表'!$D$15:$R$1094,14,FALSE),"-")</f>
        <v>-</v>
      </c>
      <c r="N307" s="15">
        <f t="shared" si="1"/>
        <v>0</v>
      </c>
      <c r="O307" s="16"/>
    </row>
    <row r="308" spans="1:15" ht="15.75" customHeight="1">
      <c r="A308" s="18"/>
      <c r="B308" s="7"/>
      <c r="C308" s="8" t="str">
        <f>IFERROR(VLOOKUP($B308,'(勿動)組件目錄表'!$D$15:$R$1094,2,FALSE),"-")</f>
        <v>-</v>
      </c>
      <c r="D308" s="8" t="str">
        <f>IFERROR(VLOOKUP($B308,'(勿動)組件目錄表'!$D$15:$R$1094,3,FALSE),"-")</f>
        <v>-</v>
      </c>
      <c r="E308" s="9" t="str">
        <f>IFERROR(VLOOKUP($B308,'(勿動)組件目錄表'!$D$15:$R$1094,4,FALSE),"-")</f>
        <v>-</v>
      </c>
      <c r="F308" s="10" t="str">
        <f>IFERROR(VLOOKUP($B308,'(勿動)組件目錄表'!$D$15:$R$1094,5,FALSE),"-")</f>
        <v>-</v>
      </c>
      <c r="G308" s="11" t="str">
        <f>IFERROR(VLOOKUP($B308,'(勿動)組件目錄表'!$D$15:$R$1094,8,FALSE),"-")</f>
        <v>-</v>
      </c>
      <c r="H308" s="11" t="str">
        <f>IFERROR(VLOOKUP($B308,'(勿動)組件目錄表'!$D$15:$R$1094,9,FALSE),"-")</f>
        <v>-</v>
      </c>
      <c r="I308" s="11" t="str">
        <f>IFERROR(VLOOKUP($B308,'(勿動)組件目錄表'!$D$15:$R$1094,10,FALSE),"-")</f>
        <v>-</v>
      </c>
      <c r="J308" s="11" t="str">
        <f>IFERROR(VLOOKUP($B308,'(勿動)組件目錄表'!$D$15:$R$1094,11,FALSE),"-")</f>
        <v>-</v>
      </c>
      <c r="K308" s="11" t="str">
        <f>IFERROR(VLOOKUP($B308,'(勿動)組件目錄表'!$D$15:$R$1094,12,FALSE),"-")</f>
        <v>-</v>
      </c>
      <c r="L308" s="11" t="str">
        <f>IFERROR(VLOOKUP($B308,'(勿動)組件目錄表'!$D$15:$R$1094,13,FALSE),"-")</f>
        <v>-</v>
      </c>
      <c r="M308" s="11" t="str">
        <f>IFERROR(VLOOKUP($B308,'(勿動)組件目錄表'!$D$15:$R$1094,14,FALSE),"-")</f>
        <v>-</v>
      </c>
      <c r="N308" s="15">
        <f t="shared" si="1"/>
        <v>0</v>
      </c>
      <c r="O308" s="16"/>
    </row>
    <row r="309" spans="1:15" ht="15.75" customHeight="1">
      <c r="A309" s="18"/>
      <c r="B309" s="7"/>
      <c r="C309" s="8" t="str">
        <f>IFERROR(VLOOKUP($B309,'(勿動)組件目錄表'!$D$15:$R$1094,2,FALSE),"-")</f>
        <v>-</v>
      </c>
      <c r="D309" s="8" t="str">
        <f>IFERROR(VLOOKUP($B309,'(勿動)組件目錄表'!$D$15:$R$1094,3,FALSE),"-")</f>
        <v>-</v>
      </c>
      <c r="E309" s="9" t="str">
        <f>IFERROR(VLOOKUP($B309,'(勿動)組件目錄表'!$D$15:$R$1094,4,FALSE),"-")</f>
        <v>-</v>
      </c>
      <c r="F309" s="10" t="str">
        <f>IFERROR(VLOOKUP($B309,'(勿動)組件目錄表'!$D$15:$R$1094,5,FALSE),"-")</f>
        <v>-</v>
      </c>
      <c r="G309" s="11" t="str">
        <f>IFERROR(VLOOKUP($B309,'(勿動)組件目錄表'!$D$15:$R$1094,8,FALSE),"-")</f>
        <v>-</v>
      </c>
      <c r="H309" s="11" t="str">
        <f>IFERROR(VLOOKUP($B309,'(勿動)組件目錄表'!$D$15:$R$1094,9,FALSE),"-")</f>
        <v>-</v>
      </c>
      <c r="I309" s="11" t="str">
        <f>IFERROR(VLOOKUP($B309,'(勿動)組件目錄表'!$D$15:$R$1094,10,FALSE),"-")</f>
        <v>-</v>
      </c>
      <c r="J309" s="11" t="str">
        <f>IFERROR(VLOOKUP($B309,'(勿動)組件目錄表'!$D$15:$R$1094,11,FALSE),"-")</f>
        <v>-</v>
      </c>
      <c r="K309" s="11" t="str">
        <f>IFERROR(VLOOKUP($B309,'(勿動)組件目錄表'!$D$15:$R$1094,12,FALSE),"-")</f>
        <v>-</v>
      </c>
      <c r="L309" s="11" t="str">
        <f>IFERROR(VLOOKUP($B309,'(勿動)組件目錄表'!$D$15:$R$1094,13,FALSE),"-")</f>
        <v>-</v>
      </c>
      <c r="M309" s="11" t="str">
        <f>IFERROR(VLOOKUP($B309,'(勿動)組件目錄表'!$D$15:$R$1094,14,FALSE),"-")</f>
        <v>-</v>
      </c>
      <c r="N309" s="15">
        <f t="shared" si="1"/>
        <v>0</v>
      </c>
      <c r="O309" s="16"/>
    </row>
    <row r="310" spans="1:15" ht="15.75" customHeight="1">
      <c r="A310" s="18"/>
      <c r="B310" s="7"/>
      <c r="C310" s="8" t="str">
        <f>IFERROR(VLOOKUP($B310,'(勿動)組件目錄表'!$D$15:$R$1094,2,FALSE),"-")</f>
        <v>-</v>
      </c>
      <c r="D310" s="8" t="str">
        <f>IFERROR(VLOOKUP($B310,'(勿動)組件目錄表'!$D$15:$R$1094,3,FALSE),"-")</f>
        <v>-</v>
      </c>
      <c r="E310" s="9" t="str">
        <f>IFERROR(VLOOKUP($B310,'(勿動)組件目錄表'!$D$15:$R$1094,4,FALSE),"-")</f>
        <v>-</v>
      </c>
      <c r="F310" s="10" t="str">
        <f>IFERROR(VLOOKUP($B310,'(勿動)組件目錄表'!$D$15:$R$1094,5,FALSE),"-")</f>
        <v>-</v>
      </c>
      <c r="G310" s="11" t="str">
        <f>IFERROR(VLOOKUP($B310,'(勿動)組件目錄表'!$D$15:$R$1094,8,FALSE),"-")</f>
        <v>-</v>
      </c>
      <c r="H310" s="11" t="str">
        <f>IFERROR(VLOOKUP($B310,'(勿動)組件目錄表'!$D$15:$R$1094,9,FALSE),"-")</f>
        <v>-</v>
      </c>
      <c r="I310" s="11" t="str">
        <f>IFERROR(VLOOKUP($B310,'(勿動)組件目錄表'!$D$15:$R$1094,10,FALSE),"-")</f>
        <v>-</v>
      </c>
      <c r="J310" s="11" t="str">
        <f>IFERROR(VLOOKUP($B310,'(勿動)組件目錄表'!$D$15:$R$1094,11,FALSE),"-")</f>
        <v>-</v>
      </c>
      <c r="K310" s="11" t="str">
        <f>IFERROR(VLOOKUP($B310,'(勿動)組件目錄表'!$D$15:$R$1094,12,FALSE),"-")</f>
        <v>-</v>
      </c>
      <c r="L310" s="11" t="str">
        <f>IFERROR(VLOOKUP($B310,'(勿動)組件目錄表'!$D$15:$R$1094,13,FALSE),"-")</f>
        <v>-</v>
      </c>
      <c r="M310" s="11" t="str">
        <f>IFERROR(VLOOKUP($B310,'(勿動)組件目錄表'!$D$15:$R$1094,14,FALSE),"-")</f>
        <v>-</v>
      </c>
      <c r="N310" s="15">
        <f t="shared" si="1"/>
        <v>0</v>
      </c>
      <c r="O310" s="16"/>
    </row>
    <row r="311" spans="1:15" ht="15.75" customHeight="1">
      <c r="A311" s="18"/>
      <c r="B311" s="7"/>
      <c r="C311" s="8" t="str">
        <f>IFERROR(VLOOKUP($B311,'(勿動)組件目錄表'!$D$15:$R$1094,2,FALSE),"-")</f>
        <v>-</v>
      </c>
      <c r="D311" s="8" t="str">
        <f>IFERROR(VLOOKUP($B311,'(勿動)組件目錄表'!$D$15:$R$1094,3,FALSE),"-")</f>
        <v>-</v>
      </c>
      <c r="E311" s="9" t="str">
        <f>IFERROR(VLOOKUP($B311,'(勿動)組件目錄表'!$D$15:$R$1094,4,FALSE),"-")</f>
        <v>-</v>
      </c>
      <c r="F311" s="10" t="str">
        <f>IFERROR(VLOOKUP($B311,'(勿動)組件目錄表'!$D$15:$R$1094,5,FALSE),"-")</f>
        <v>-</v>
      </c>
      <c r="G311" s="11" t="str">
        <f>IFERROR(VLOOKUP($B311,'(勿動)組件目錄表'!$D$15:$R$1094,8,FALSE),"-")</f>
        <v>-</v>
      </c>
      <c r="H311" s="11" t="str">
        <f>IFERROR(VLOOKUP($B311,'(勿動)組件目錄表'!$D$15:$R$1094,9,FALSE),"-")</f>
        <v>-</v>
      </c>
      <c r="I311" s="11" t="str">
        <f>IFERROR(VLOOKUP($B311,'(勿動)組件目錄表'!$D$15:$R$1094,10,FALSE),"-")</f>
        <v>-</v>
      </c>
      <c r="J311" s="11" t="str">
        <f>IFERROR(VLOOKUP($B311,'(勿動)組件目錄表'!$D$15:$R$1094,11,FALSE),"-")</f>
        <v>-</v>
      </c>
      <c r="K311" s="11" t="str">
        <f>IFERROR(VLOOKUP($B311,'(勿動)組件目錄表'!$D$15:$R$1094,12,FALSE),"-")</f>
        <v>-</v>
      </c>
      <c r="L311" s="11" t="str">
        <f>IFERROR(VLOOKUP($B311,'(勿動)組件目錄表'!$D$15:$R$1094,13,FALSE),"-")</f>
        <v>-</v>
      </c>
      <c r="M311" s="11" t="str">
        <f>IFERROR(VLOOKUP($B311,'(勿動)組件目錄表'!$D$15:$R$1094,14,FALSE),"-")</f>
        <v>-</v>
      </c>
      <c r="N311" s="15">
        <f t="shared" si="1"/>
        <v>0</v>
      </c>
      <c r="O311" s="16"/>
    </row>
    <row r="312" spans="1:15" ht="15.75" customHeight="1">
      <c r="A312" s="18"/>
      <c r="B312" s="7"/>
      <c r="C312" s="8" t="str">
        <f>IFERROR(VLOOKUP($B312,'(勿動)組件目錄表'!$D$15:$R$1094,2,FALSE),"-")</f>
        <v>-</v>
      </c>
      <c r="D312" s="8" t="str">
        <f>IFERROR(VLOOKUP($B312,'(勿動)組件目錄表'!$D$15:$R$1094,3,FALSE),"-")</f>
        <v>-</v>
      </c>
      <c r="E312" s="9" t="str">
        <f>IFERROR(VLOOKUP($B312,'(勿動)組件目錄表'!$D$15:$R$1094,4,FALSE),"-")</f>
        <v>-</v>
      </c>
      <c r="F312" s="10" t="str">
        <f>IFERROR(VLOOKUP($B312,'(勿動)組件目錄表'!$D$15:$R$1094,5,FALSE),"-")</f>
        <v>-</v>
      </c>
      <c r="G312" s="11" t="str">
        <f>IFERROR(VLOOKUP($B312,'(勿動)組件目錄表'!$D$15:$R$1094,8,FALSE),"-")</f>
        <v>-</v>
      </c>
      <c r="H312" s="11" t="str">
        <f>IFERROR(VLOOKUP($B312,'(勿動)組件目錄表'!$D$15:$R$1094,9,FALSE),"-")</f>
        <v>-</v>
      </c>
      <c r="I312" s="11" t="str">
        <f>IFERROR(VLOOKUP($B312,'(勿動)組件目錄表'!$D$15:$R$1094,10,FALSE),"-")</f>
        <v>-</v>
      </c>
      <c r="J312" s="11" t="str">
        <f>IFERROR(VLOOKUP($B312,'(勿動)組件目錄表'!$D$15:$R$1094,11,FALSE),"-")</f>
        <v>-</v>
      </c>
      <c r="K312" s="11" t="str">
        <f>IFERROR(VLOOKUP($B312,'(勿動)組件目錄表'!$D$15:$R$1094,12,FALSE),"-")</f>
        <v>-</v>
      </c>
      <c r="L312" s="11" t="str">
        <f>IFERROR(VLOOKUP($B312,'(勿動)組件目錄表'!$D$15:$R$1094,13,FALSE),"-")</f>
        <v>-</v>
      </c>
      <c r="M312" s="11" t="str">
        <f>IFERROR(VLOOKUP($B312,'(勿動)組件目錄表'!$D$15:$R$1094,14,FALSE),"-")</f>
        <v>-</v>
      </c>
      <c r="N312" s="15">
        <f t="shared" si="1"/>
        <v>0</v>
      </c>
      <c r="O312" s="16"/>
    </row>
    <row r="313" spans="1:15" ht="15.75" customHeight="1">
      <c r="A313" s="18"/>
      <c r="B313" s="7"/>
      <c r="C313" s="8" t="str">
        <f>IFERROR(VLOOKUP($B313,'(勿動)組件目錄表'!$D$15:$R$1094,2,FALSE),"-")</f>
        <v>-</v>
      </c>
      <c r="D313" s="8" t="str">
        <f>IFERROR(VLOOKUP($B313,'(勿動)組件目錄表'!$D$15:$R$1094,3,FALSE),"-")</f>
        <v>-</v>
      </c>
      <c r="E313" s="9" t="str">
        <f>IFERROR(VLOOKUP($B313,'(勿動)組件目錄表'!$D$15:$R$1094,4,FALSE),"-")</f>
        <v>-</v>
      </c>
      <c r="F313" s="10" t="str">
        <f>IFERROR(VLOOKUP($B313,'(勿動)組件目錄表'!$D$15:$R$1094,5,FALSE),"-")</f>
        <v>-</v>
      </c>
      <c r="G313" s="11" t="str">
        <f>IFERROR(VLOOKUP($B313,'(勿動)組件目錄表'!$D$15:$R$1094,8,FALSE),"-")</f>
        <v>-</v>
      </c>
      <c r="H313" s="11" t="str">
        <f>IFERROR(VLOOKUP($B313,'(勿動)組件目錄表'!$D$15:$R$1094,9,FALSE),"-")</f>
        <v>-</v>
      </c>
      <c r="I313" s="11" t="str">
        <f>IFERROR(VLOOKUP($B313,'(勿動)組件目錄表'!$D$15:$R$1094,10,FALSE),"-")</f>
        <v>-</v>
      </c>
      <c r="J313" s="11" t="str">
        <f>IFERROR(VLOOKUP($B313,'(勿動)組件目錄表'!$D$15:$R$1094,11,FALSE),"-")</f>
        <v>-</v>
      </c>
      <c r="K313" s="11" t="str">
        <f>IFERROR(VLOOKUP($B313,'(勿動)組件目錄表'!$D$15:$R$1094,12,FALSE),"-")</f>
        <v>-</v>
      </c>
      <c r="L313" s="11" t="str">
        <f>IFERROR(VLOOKUP($B313,'(勿動)組件目錄表'!$D$15:$R$1094,13,FALSE),"-")</f>
        <v>-</v>
      </c>
      <c r="M313" s="11" t="str">
        <f>IFERROR(VLOOKUP($B313,'(勿動)組件目錄表'!$D$15:$R$1094,14,FALSE),"-")</f>
        <v>-</v>
      </c>
      <c r="N313" s="15">
        <f t="shared" si="1"/>
        <v>0</v>
      </c>
      <c r="O313" s="16"/>
    </row>
    <row r="314" spans="1:15" ht="15.75" customHeight="1">
      <c r="A314" s="18"/>
      <c r="B314" s="7"/>
      <c r="C314" s="8" t="str">
        <f>IFERROR(VLOOKUP($B314,'(勿動)組件目錄表'!$D$15:$R$1094,2,FALSE),"-")</f>
        <v>-</v>
      </c>
      <c r="D314" s="8" t="str">
        <f>IFERROR(VLOOKUP($B314,'(勿動)組件目錄表'!$D$15:$R$1094,3,FALSE),"-")</f>
        <v>-</v>
      </c>
      <c r="E314" s="9" t="str">
        <f>IFERROR(VLOOKUP($B314,'(勿動)組件目錄表'!$D$15:$R$1094,4,FALSE),"-")</f>
        <v>-</v>
      </c>
      <c r="F314" s="10" t="str">
        <f>IFERROR(VLOOKUP($B314,'(勿動)組件目錄表'!$D$15:$R$1094,5,FALSE),"-")</f>
        <v>-</v>
      </c>
      <c r="G314" s="11" t="str">
        <f>IFERROR(VLOOKUP($B314,'(勿動)組件目錄表'!$D$15:$R$1094,8,FALSE),"-")</f>
        <v>-</v>
      </c>
      <c r="H314" s="11" t="str">
        <f>IFERROR(VLOOKUP($B314,'(勿動)組件目錄表'!$D$15:$R$1094,9,FALSE),"-")</f>
        <v>-</v>
      </c>
      <c r="I314" s="11" t="str">
        <f>IFERROR(VLOOKUP($B314,'(勿動)組件目錄表'!$D$15:$R$1094,10,FALSE),"-")</f>
        <v>-</v>
      </c>
      <c r="J314" s="11" t="str">
        <f>IFERROR(VLOOKUP($B314,'(勿動)組件目錄表'!$D$15:$R$1094,11,FALSE),"-")</f>
        <v>-</v>
      </c>
      <c r="K314" s="11" t="str">
        <f>IFERROR(VLOOKUP($B314,'(勿動)組件目錄表'!$D$15:$R$1094,12,FALSE),"-")</f>
        <v>-</v>
      </c>
      <c r="L314" s="11" t="str">
        <f>IFERROR(VLOOKUP($B314,'(勿動)組件目錄表'!$D$15:$R$1094,13,FALSE),"-")</f>
        <v>-</v>
      </c>
      <c r="M314" s="11" t="str">
        <f>IFERROR(VLOOKUP($B314,'(勿動)組件目錄表'!$D$15:$R$1094,14,FALSE),"-")</f>
        <v>-</v>
      </c>
      <c r="N314" s="15">
        <f t="shared" si="1"/>
        <v>0</v>
      </c>
      <c r="O314" s="16"/>
    </row>
    <row r="315" spans="1:15" ht="15.75" customHeight="1">
      <c r="A315" s="18"/>
      <c r="B315" s="7"/>
      <c r="C315" s="8" t="str">
        <f>IFERROR(VLOOKUP($B315,'(勿動)組件目錄表'!$D$15:$R$1094,2,FALSE),"-")</f>
        <v>-</v>
      </c>
      <c r="D315" s="8" t="str">
        <f>IFERROR(VLOOKUP($B315,'(勿動)組件目錄表'!$D$15:$R$1094,3,FALSE),"-")</f>
        <v>-</v>
      </c>
      <c r="E315" s="9" t="str">
        <f>IFERROR(VLOOKUP($B315,'(勿動)組件目錄表'!$D$15:$R$1094,4,FALSE),"-")</f>
        <v>-</v>
      </c>
      <c r="F315" s="10" t="str">
        <f>IFERROR(VLOOKUP($B315,'(勿動)組件目錄表'!$D$15:$R$1094,5,FALSE),"-")</f>
        <v>-</v>
      </c>
      <c r="G315" s="11" t="str">
        <f>IFERROR(VLOOKUP($B315,'(勿動)組件目錄表'!$D$15:$R$1094,8,FALSE),"-")</f>
        <v>-</v>
      </c>
      <c r="H315" s="11" t="str">
        <f>IFERROR(VLOOKUP($B315,'(勿動)組件目錄表'!$D$15:$R$1094,9,FALSE),"-")</f>
        <v>-</v>
      </c>
      <c r="I315" s="11" t="str">
        <f>IFERROR(VLOOKUP($B315,'(勿動)組件目錄表'!$D$15:$R$1094,10,FALSE),"-")</f>
        <v>-</v>
      </c>
      <c r="J315" s="11" t="str">
        <f>IFERROR(VLOOKUP($B315,'(勿動)組件目錄表'!$D$15:$R$1094,11,FALSE),"-")</f>
        <v>-</v>
      </c>
      <c r="K315" s="11" t="str">
        <f>IFERROR(VLOOKUP($B315,'(勿動)組件目錄表'!$D$15:$R$1094,12,FALSE),"-")</f>
        <v>-</v>
      </c>
      <c r="L315" s="11" t="str">
        <f>IFERROR(VLOOKUP($B315,'(勿動)組件目錄表'!$D$15:$R$1094,13,FALSE),"-")</f>
        <v>-</v>
      </c>
      <c r="M315" s="11" t="str">
        <f>IFERROR(VLOOKUP($B315,'(勿動)組件目錄表'!$D$15:$R$1094,14,FALSE),"-")</f>
        <v>-</v>
      </c>
      <c r="N315" s="15">
        <f t="shared" si="1"/>
        <v>0</v>
      </c>
      <c r="O315" s="16"/>
    </row>
    <row r="316" spans="1:15" ht="15.75" customHeight="1">
      <c r="A316" s="18"/>
      <c r="B316" s="7"/>
      <c r="C316" s="8" t="str">
        <f>IFERROR(VLOOKUP($B316,'(勿動)組件目錄表'!$D$15:$R$1094,2,FALSE),"-")</f>
        <v>-</v>
      </c>
      <c r="D316" s="8" t="str">
        <f>IFERROR(VLOOKUP($B316,'(勿動)組件目錄表'!$D$15:$R$1094,3,FALSE),"-")</f>
        <v>-</v>
      </c>
      <c r="E316" s="9" t="str">
        <f>IFERROR(VLOOKUP($B316,'(勿動)組件目錄表'!$D$15:$R$1094,4,FALSE),"-")</f>
        <v>-</v>
      </c>
      <c r="F316" s="10" t="str">
        <f>IFERROR(VLOOKUP($B316,'(勿動)組件目錄表'!$D$15:$R$1094,5,FALSE),"-")</f>
        <v>-</v>
      </c>
      <c r="G316" s="11" t="str">
        <f>IFERROR(VLOOKUP($B316,'(勿動)組件目錄表'!$D$15:$R$1094,8,FALSE),"-")</f>
        <v>-</v>
      </c>
      <c r="H316" s="11" t="str">
        <f>IFERROR(VLOOKUP($B316,'(勿動)組件目錄表'!$D$15:$R$1094,9,FALSE),"-")</f>
        <v>-</v>
      </c>
      <c r="I316" s="11" t="str">
        <f>IFERROR(VLOOKUP($B316,'(勿動)組件目錄表'!$D$15:$R$1094,10,FALSE),"-")</f>
        <v>-</v>
      </c>
      <c r="J316" s="11" t="str">
        <f>IFERROR(VLOOKUP($B316,'(勿動)組件目錄表'!$D$15:$R$1094,11,FALSE),"-")</f>
        <v>-</v>
      </c>
      <c r="K316" s="11" t="str">
        <f>IFERROR(VLOOKUP($B316,'(勿動)組件目錄表'!$D$15:$R$1094,12,FALSE),"-")</f>
        <v>-</v>
      </c>
      <c r="L316" s="11" t="str">
        <f>IFERROR(VLOOKUP($B316,'(勿動)組件目錄表'!$D$15:$R$1094,13,FALSE),"-")</f>
        <v>-</v>
      </c>
      <c r="M316" s="11" t="str">
        <f>IFERROR(VLOOKUP($B316,'(勿動)組件目錄表'!$D$15:$R$1094,14,FALSE),"-")</f>
        <v>-</v>
      </c>
      <c r="N316" s="15">
        <f t="shared" si="1"/>
        <v>0</v>
      </c>
      <c r="O316" s="16"/>
    </row>
    <row r="317" spans="1:15" ht="15.75" customHeight="1">
      <c r="A317" s="18"/>
      <c r="B317" s="7"/>
      <c r="C317" s="8" t="str">
        <f>IFERROR(VLOOKUP($B317,'(勿動)組件目錄表'!$D$15:$R$1094,2,FALSE),"-")</f>
        <v>-</v>
      </c>
      <c r="D317" s="8" t="str">
        <f>IFERROR(VLOOKUP($B317,'(勿動)組件目錄表'!$D$15:$R$1094,3,FALSE),"-")</f>
        <v>-</v>
      </c>
      <c r="E317" s="9" t="str">
        <f>IFERROR(VLOOKUP($B317,'(勿動)組件目錄表'!$D$15:$R$1094,4,FALSE),"-")</f>
        <v>-</v>
      </c>
      <c r="F317" s="10" t="str">
        <f>IFERROR(VLOOKUP($B317,'(勿動)組件目錄表'!$D$15:$R$1094,5,FALSE),"-")</f>
        <v>-</v>
      </c>
      <c r="G317" s="11" t="str">
        <f>IFERROR(VLOOKUP($B317,'(勿動)組件目錄表'!$D$15:$R$1094,8,FALSE),"-")</f>
        <v>-</v>
      </c>
      <c r="H317" s="11" t="str">
        <f>IFERROR(VLOOKUP($B317,'(勿動)組件目錄表'!$D$15:$R$1094,9,FALSE),"-")</f>
        <v>-</v>
      </c>
      <c r="I317" s="11" t="str">
        <f>IFERROR(VLOOKUP($B317,'(勿動)組件目錄表'!$D$15:$R$1094,10,FALSE),"-")</f>
        <v>-</v>
      </c>
      <c r="J317" s="11" t="str">
        <f>IFERROR(VLOOKUP($B317,'(勿動)組件目錄表'!$D$15:$R$1094,11,FALSE),"-")</f>
        <v>-</v>
      </c>
      <c r="K317" s="11" t="str">
        <f>IFERROR(VLOOKUP($B317,'(勿動)組件目錄表'!$D$15:$R$1094,12,FALSE),"-")</f>
        <v>-</v>
      </c>
      <c r="L317" s="11" t="str">
        <f>IFERROR(VLOOKUP($B317,'(勿動)組件目錄表'!$D$15:$R$1094,13,FALSE),"-")</f>
        <v>-</v>
      </c>
      <c r="M317" s="11" t="str">
        <f>IFERROR(VLOOKUP($B317,'(勿動)組件目錄表'!$D$15:$R$1094,14,FALSE),"-")</f>
        <v>-</v>
      </c>
      <c r="N317" s="15">
        <f t="shared" si="1"/>
        <v>0</v>
      </c>
      <c r="O317" s="16"/>
    </row>
    <row r="318" spans="1:15" ht="15.75" customHeight="1">
      <c r="A318" s="18"/>
      <c r="B318" s="7"/>
      <c r="C318" s="8" t="str">
        <f>IFERROR(VLOOKUP($B318,'(勿動)組件目錄表'!$D$15:$R$1094,2,FALSE),"-")</f>
        <v>-</v>
      </c>
      <c r="D318" s="8" t="str">
        <f>IFERROR(VLOOKUP($B318,'(勿動)組件目錄表'!$D$15:$R$1094,3,FALSE),"-")</f>
        <v>-</v>
      </c>
      <c r="E318" s="9" t="str">
        <f>IFERROR(VLOOKUP($B318,'(勿動)組件目錄表'!$D$15:$R$1094,4,FALSE),"-")</f>
        <v>-</v>
      </c>
      <c r="F318" s="10" t="str">
        <f>IFERROR(VLOOKUP($B318,'(勿動)組件目錄表'!$D$15:$R$1094,5,FALSE),"-")</f>
        <v>-</v>
      </c>
      <c r="G318" s="11" t="str">
        <f>IFERROR(VLOOKUP($B318,'(勿動)組件目錄表'!$D$15:$R$1094,8,FALSE),"-")</f>
        <v>-</v>
      </c>
      <c r="H318" s="11" t="str">
        <f>IFERROR(VLOOKUP($B318,'(勿動)組件目錄表'!$D$15:$R$1094,9,FALSE),"-")</f>
        <v>-</v>
      </c>
      <c r="I318" s="11" t="str">
        <f>IFERROR(VLOOKUP($B318,'(勿動)組件目錄表'!$D$15:$R$1094,10,FALSE),"-")</f>
        <v>-</v>
      </c>
      <c r="J318" s="11" t="str">
        <f>IFERROR(VLOOKUP($B318,'(勿動)組件目錄表'!$D$15:$R$1094,11,FALSE),"-")</f>
        <v>-</v>
      </c>
      <c r="K318" s="11" t="str">
        <f>IFERROR(VLOOKUP($B318,'(勿動)組件目錄表'!$D$15:$R$1094,12,FALSE),"-")</f>
        <v>-</v>
      </c>
      <c r="L318" s="11" t="str">
        <f>IFERROR(VLOOKUP($B318,'(勿動)組件目錄表'!$D$15:$R$1094,13,FALSE),"-")</f>
        <v>-</v>
      </c>
      <c r="M318" s="11" t="str">
        <f>IFERROR(VLOOKUP($B318,'(勿動)組件目錄表'!$D$15:$R$1094,14,FALSE),"-")</f>
        <v>-</v>
      </c>
      <c r="N318" s="15">
        <f t="shared" si="1"/>
        <v>0</v>
      </c>
      <c r="O318" s="16"/>
    </row>
    <row r="319" spans="1:15" ht="15.75" customHeight="1">
      <c r="A319" s="18"/>
      <c r="B319" s="7"/>
      <c r="C319" s="8" t="str">
        <f>IFERROR(VLOOKUP($B319,'(勿動)組件目錄表'!$D$15:$R$1094,2,FALSE),"-")</f>
        <v>-</v>
      </c>
      <c r="D319" s="8" t="str">
        <f>IFERROR(VLOOKUP($B319,'(勿動)組件目錄表'!$D$15:$R$1094,3,FALSE),"-")</f>
        <v>-</v>
      </c>
      <c r="E319" s="9" t="str">
        <f>IFERROR(VLOOKUP($B319,'(勿動)組件目錄表'!$D$15:$R$1094,4,FALSE),"-")</f>
        <v>-</v>
      </c>
      <c r="F319" s="10" t="str">
        <f>IFERROR(VLOOKUP($B319,'(勿動)組件目錄表'!$D$15:$R$1094,5,FALSE),"-")</f>
        <v>-</v>
      </c>
      <c r="G319" s="11" t="str">
        <f>IFERROR(VLOOKUP($B319,'(勿動)組件目錄表'!$D$15:$R$1094,8,FALSE),"-")</f>
        <v>-</v>
      </c>
      <c r="H319" s="11" t="str">
        <f>IFERROR(VLOOKUP($B319,'(勿動)組件目錄表'!$D$15:$R$1094,9,FALSE),"-")</f>
        <v>-</v>
      </c>
      <c r="I319" s="11" t="str">
        <f>IFERROR(VLOOKUP($B319,'(勿動)組件目錄表'!$D$15:$R$1094,10,FALSE),"-")</f>
        <v>-</v>
      </c>
      <c r="J319" s="11" t="str">
        <f>IFERROR(VLOOKUP($B319,'(勿動)組件目錄表'!$D$15:$R$1094,11,FALSE),"-")</f>
        <v>-</v>
      </c>
      <c r="K319" s="11" t="str">
        <f>IFERROR(VLOOKUP($B319,'(勿動)組件目錄表'!$D$15:$R$1094,12,FALSE),"-")</f>
        <v>-</v>
      </c>
      <c r="L319" s="11" t="str">
        <f>IFERROR(VLOOKUP($B319,'(勿動)組件目錄表'!$D$15:$R$1094,13,FALSE),"-")</f>
        <v>-</v>
      </c>
      <c r="M319" s="11" t="str">
        <f>IFERROR(VLOOKUP($B319,'(勿動)組件目錄表'!$D$15:$R$1094,14,FALSE),"-")</f>
        <v>-</v>
      </c>
      <c r="N319" s="15">
        <f t="shared" si="1"/>
        <v>0</v>
      </c>
      <c r="O319" s="16"/>
    </row>
    <row r="320" spans="1:15" ht="15.75" customHeight="1">
      <c r="A320" s="18"/>
      <c r="B320" s="7"/>
      <c r="C320" s="8" t="str">
        <f>IFERROR(VLOOKUP($B320,'(勿動)組件目錄表'!$D$15:$R$1094,2,FALSE),"-")</f>
        <v>-</v>
      </c>
      <c r="D320" s="8" t="str">
        <f>IFERROR(VLOOKUP($B320,'(勿動)組件目錄表'!$D$15:$R$1094,3,FALSE),"-")</f>
        <v>-</v>
      </c>
      <c r="E320" s="9" t="str">
        <f>IFERROR(VLOOKUP($B320,'(勿動)組件目錄表'!$D$15:$R$1094,4,FALSE),"-")</f>
        <v>-</v>
      </c>
      <c r="F320" s="10" t="str">
        <f>IFERROR(VLOOKUP($B320,'(勿動)組件目錄表'!$D$15:$R$1094,5,FALSE),"-")</f>
        <v>-</v>
      </c>
      <c r="G320" s="11" t="str">
        <f>IFERROR(VLOOKUP($B320,'(勿動)組件目錄表'!$D$15:$R$1094,8,FALSE),"-")</f>
        <v>-</v>
      </c>
      <c r="H320" s="11" t="str">
        <f>IFERROR(VLOOKUP($B320,'(勿動)組件目錄表'!$D$15:$R$1094,9,FALSE),"-")</f>
        <v>-</v>
      </c>
      <c r="I320" s="11" t="str">
        <f>IFERROR(VLOOKUP($B320,'(勿動)組件目錄表'!$D$15:$R$1094,10,FALSE),"-")</f>
        <v>-</v>
      </c>
      <c r="J320" s="11" t="str">
        <f>IFERROR(VLOOKUP($B320,'(勿動)組件目錄表'!$D$15:$R$1094,11,FALSE),"-")</f>
        <v>-</v>
      </c>
      <c r="K320" s="11" t="str">
        <f>IFERROR(VLOOKUP($B320,'(勿動)組件目錄表'!$D$15:$R$1094,12,FALSE),"-")</f>
        <v>-</v>
      </c>
      <c r="L320" s="11" t="str">
        <f>IFERROR(VLOOKUP($B320,'(勿動)組件目錄表'!$D$15:$R$1094,13,FALSE),"-")</f>
        <v>-</v>
      </c>
      <c r="M320" s="11" t="str">
        <f>IFERROR(VLOOKUP($B320,'(勿動)組件目錄表'!$D$15:$R$1094,14,FALSE),"-")</f>
        <v>-</v>
      </c>
      <c r="N320" s="15">
        <f t="shared" si="1"/>
        <v>0</v>
      </c>
      <c r="O320" s="16"/>
    </row>
    <row r="321" spans="1:15" ht="15.75" customHeight="1">
      <c r="A321" s="18"/>
      <c r="B321" s="7"/>
      <c r="C321" s="8" t="str">
        <f>IFERROR(VLOOKUP($B321,'(勿動)組件目錄表'!$D$15:$R$1094,2,FALSE),"-")</f>
        <v>-</v>
      </c>
      <c r="D321" s="8" t="str">
        <f>IFERROR(VLOOKUP($B321,'(勿動)組件目錄表'!$D$15:$R$1094,3,FALSE),"-")</f>
        <v>-</v>
      </c>
      <c r="E321" s="9" t="str">
        <f>IFERROR(VLOOKUP($B321,'(勿動)組件目錄表'!$D$15:$R$1094,4,FALSE),"-")</f>
        <v>-</v>
      </c>
      <c r="F321" s="10" t="str">
        <f>IFERROR(VLOOKUP($B321,'(勿動)組件目錄表'!$D$15:$R$1094,5,FALSE),"-")</f>
        <v>-</v>
      </c>
      <c r="G321" s="11" t="str">
        <f>IFERROR(VLOOKUP($B321,'(勿動)組件目錄表'!$D$15:$R$1094,8,FALSE),"-")</f>
        <v>-</v>
      </c>
      <c r="H321" s="11" t="str">
        <f>IFERROR(VLOOKUP($B321,'(勿動)組件目錄表'!$D$15:$R$1094,9,FALSE),"-")</f>
        <v>-</v>
      </c>
      <c r="I321" s="11" t="str">
        <f>IFERROR(VLOOKUP($B321,'(勿動)組件目錄表'!$D$15:$R$1094,10,FALSE),"-")</f>
        <v>-</v>
      </c>
      <c r="J321" s="11" t="str">
        <f>IFERROR(VLOOKUP($B321,'(勿動)組件目錄表'!$D$15:$R$1094,11,FALSE),"-")</f>
        <v>-</v>
      </c>
      <c r="K321" s="11" t="str">
        <f>IFERROR(VLOOKUP($B321,'(勿動)組件目錄表'!$D$15:$R$1094,12,FALSE),"-")</f>
        <v>-</v>
      </c>
      <c r="L321" s="11" t="str">
        <f>IFERROR(VLOOKUP($B321,'(勿動)組件目錄表'!$D$15:$R$1094,13,FALSE),"-")</f>
        <v>-</v>
      </c>
      <c r="M321" s="11" t="str">
        <f>IFERROR(VLOOKUP($B321,'(勿動)組件目錄表'!$D$15:$R$1094,14,FALSE),"-")</f>
        <v>-</v>
      </c>
      <c r="N321" s="15">
        <f t="shared" si="1"/>
        <v>0</v>
      </c>
      <c r="O321" s="16"/>
    </row>
    <row r="322" spans="1:15" ht="15.75" customHeight="1">
      <c r="A322" s="18"/>
      <c r="B322" s="7"/>
      <c r="C322" s="8" t="str">
        <f>IFERROR(VLOOKUP($B322,'(勿動)組件目錄表'!$D$15:$R$1094,2,FALSE),"-")</f>
        <v>-</v>
      </c>
      <c r="D322" s="8" t="str">
        <f>IFERROR(VLOOKUP($B322,'(勿動)組件目錄表'!$D$15:$R$1094,3,FALSE),"-")</f>
        <v>-</v>
      </c>
      <c r="E322" s="9" t="str">
        <f>IFERROR(VLOOKUP($B322,'(勿動)組件目錄表'!$D$15:$R$1094,4,FALSE),"-")</f>
        <v>-</v>
      </c>
      <c r="F322" s="10" t="str">
        <f>IFERROR(VLOOKUP($B322,'(勿動)組件目錄表'!$D$15:$R$1094,5,FALSE),"-")</f>
        <v>-</v>
      </c>
      <c r="G322" s="11" t="str">
        <f>IFERROR(VLOOKUP($B322,'(勿動)組件目錄表'!$D$15:$R$1094,8,FALSE),"-")</f>
        <v>-</v>
      </c>
      <c r="H322" s="11" t="str">
        <f>IFERROR(VLOOKUP($B322,'(勿動)組件目錄表'!$D$15:$R$1094,9,FALSE),"-")</f>
        <v>-</v>
      </c>
      <c r="I322" s="11" t="str">
        <f>IFERROR(VLOOKUP($B322,'(勿動)組件目錄表'!$D$15:$R$1094,10,FALSE),"-")</f>
        <v>-</v>
      </c>
      <c r="J322" s="11" t="str">
        <f>IFERROR(VLOOKUP($B322,'(勿動)組件目錄表'!$D$15:$R$1094,11,FALSE),"-")</f>
        <v>-</v>
      </c>
      <c r="K322" s="11" t="str">
        <f>IFERROR(VLOOKUP($B322,'(勿動)組件目錄表'!$D$15:$R$1094,12,FALSE),"-")</f>
        <v>-</v>
      </c>
      <c r="L322" s="11" t="str">
        <f>IFERROR(VLOOKUP($B322,'(勿動)組件目錄表'!$D$15:$R$1094,13,FALSE),"-")</f>
        <v>-</v>
      </c>
      <c r="M322" s="11" t="str">
        <f>IFERROR(VLOOKUP($B322,'(勿動)組件目錄表'!$D$15:$R$1094,14,FALSE),"-")</f>
        <v>-</v>
      </c>
      <c r="N322" s="15">
        <f t="shared" si="1"/>
        <v>0</v>
      </c>
      <c r="O322" s="16"/>
    </row>
    <row r="323" spans="1:15" ht="15.75" customHeight="1">
      <c r="A323" s="18"/>
      <c r="B323" s="7"/>
      <c r="C323" s="8" t="str">
        <f>IFERROR(VLOOKUP($B323,'(勿動)組件目錄表'!$D$15:$R$1094,2,FALSE),"-")</f>
        <v>-</v>
      </c>
      <c r="D323" s="8" t="str">
        <f>IFERROR(VLOOKUP($B323,'(勿動)組件目錄表'!$D$15:$R$1094,3,FALSE),"-")</f>
        <v>-</v>
      </c>
      <c r="E323" s="9" t="str">
        <f>IFERROR(VLOOKUP($B323,'(勿動)組件目錄表'!$D$15:$R$1094,4,FALSE),"-")</f>
        <v>-</v>
      </c>
      <c r="F323" s="10" t="str">
        <f>IFERROR(VLOOKUP($B323,'(勿動)組件目錄表'!$D$15:$R$1094,5,FALSE),"-")</f>
        <v>-</v>
      </c>
      <c r="G323" s="11" t="str">
        <f>IFERROR(VLOOKUP($B323,'(勿動)組件目錄表'!$D$15:$R$1094,8,FALSE),"-")</f>
        <v>-</v>
      </c>
      <c r="H323" s="11" t="str">
        <f>IFERROR(VLOOKUP($B323,'(勿動)組件目錄表'!$D$15:$R$1094,9,FALSE),"-")</f>
        <v>-</v>
      </c>
      <c r="I323" s="11" t="str">
        <f>IFERROR(VLOOKUP($B323,'(勿動)組件目錄表'!$D$15:$R$1094,10,FALSE),"-")</f>
        <v>-</v>
      </c>
      <c r="J323" s="11" t="str">
        <f>IFERROR(VLOOKUP($B323,'(勿動)組件目錄表'!$D$15:$R$1094,11,FALSE),"-")</f>
        <v>-</v>
      </c>
      <c r="K323" s="11" t="str">
        <f>IFERROR(VLOOKUP($B323,'(勿動)組件目錄表'!$D$15:$R$1094,12,FALSE),"-")</f>
        <v>-</v>
      </c>
      <c r="L323" s="11" t="str">
        <f>IFERROR(VLOOKUP($B323,'(勿動)組件目錄表'!$D$15:$R$1094,13,FALSE),"-")</f>
        <v>-</v>
      </c>
      <c r="M323" s="11" t="str">
        <f>IFERROR(VLOOKUP($B323,'(勿動)組件目錄表'!$D$15:$R$1094,14,FALSE),"-")</f>
        <v>-</v>
      </c>
      <c r="N323" s="15">
        <f t="shared" si="1"/>
        <v>0</v>
      </c>
      <c r="O323" s="16"/>
    </row>
    <row r="324" spans="1:15" ht="15.75" customHeight="1">
      <c r="A324" s="18"/>
      <c r="B324" s="7"/>
      <c r="C324" s="8" t="str">
        <f>IFERROR(VLOOKUP($B324,'(勿動)組件目錄表'!$D$15:$R$1094,2,FALSE),"-")</f>
        <v>-</v>
      </c>
      <c r="D324" s="8" t="str">
        <f>IFERROR(VLOOKUP($B324,'(勿動)組件目錄表'!$D$15:$R$1094,3,FALSE),"-")</f>
        <v>-</v>
      </c>
      <c r="E324" s="9" t="str">
        <f>IFERROR(VLOOKUP($B324,'(勿動)組件目錄表'!$D$15:$R$1094,4,FALSE),"-")</f>
        <v>-</v>
      </c>
      <c r="F324" s="10" t="str">
        <f>IFERROR(VLOOKUP($B324,'(勿動)組件目錄表'!$D$15:$R$1094,5,FALSE),"-")</f>
        <v>-</v>
      </c>
      <c r="G324" s="11" t="str">
        <f>IFERROR(VLOOKUP($B324,'(勿動)組件目錄表'!$D$15:$R$1094,8,FALSE),"-")</f>
        <v>-</v>
      </c>
      <c r="H324" s="11" t="str">
        <f>IFERROR(VLOOKUP($B324,'(勿動)組件目錄表'!$D$15:$R$1094,9,FALSE),"-")</f>
        <v>-</v>
      </c>
      <c r="I324" s="11" t="str">
        <f>IFERROR(VLOOKUP($B324,'(勿動)組件目錄表'!$D$15:$R$1094,10,FALSE),"-")</f>
        <v>-</v>
      </c>
      <c r="J324" s="11" t="str">
        <f>IFERROR(VLOOKUP($B324,'(勿動)組件目錄表'!$D$15:$R$1094,11,FALSE),"-")</f>
        <v>-</v>
      </c>
      <c r="K324" s="11" t="str">
        <f>IFERROR(VLOOKUP($B324,'(勿動)組件目錄表'!$D$15:$R$1094,12,FALSE),"-")</f>
        <v>-</v>
      </c>
      <c r="L324" s="11" t="str">
        <f>IFERROR(VLOOKUP($B324,'(勿動)組件目錄表'!$D$15:$R$1094,13,FALSE),"-")</f>
        <v>-</v>
      </c>
      <c r="M324" s="11" t="str">
        <f>IFERROR(VLOOKUP($B324,'(勿動)組件目錄表'!$D$15:$R$1094,14,FALSE),"-")</f>
        <v>-</v>
      </c>
      <c r="N324" s="15">
        <f t="shared" si="1"/>
        <v>0</v>
      </c>
      <c r="O324" s="16"/>
    </row>
    <row r="325" spans="1:15" ht="15.75" customHeight="1">
      <c r="A325" s="18"/>
      <c r="B325" s="7"/>
      <c r="C325" s="8" t="str">
        <f>IFERROR(VLOOKUP($B325,'(勿動)組件目錄表'!$D$15:$R$1094,2,FALSE),"-")</f>
        <v>-</v>
      </c>
      <c r="D325" s="8" t="str">
        <f>IFERROR(VLOOKUP($B325,'(勿動)組件目錄表'!$D$15:$R$1094,3,FALSE),"-")</f>
        <v>-</v>
      </c>
      <c r="E325" s="9" t="str">
        <f>IFERROR(VLOOKUP($B325,'(勿動)組件目錄表'!$D$15:$R$1094,4,FALSE),"-")</f>
        <v>-</v>
      </c>
      <c r="F325" s="10" t="str">
        <f>IFERROR(VLOOKUP($B325,'(勿動)組件目錄表'!$D$15:$R$1094,5,FALSE),"-")</f>
        <v>-</v>
      </c>
      <c r="G325" s="11" t="str">
        <f>IFERROR(VLOOKUP($B325,'(勿動)組件目錄表'!$D$15:$R$1094,8,FALSE),"-")</f>
        <v>-</v>
      </c>
      <c r="H325" s="11" t="str">
        <f>IFERROR(VLOOKUP($B325,'(勿動)組件目錄表'!$D$15:$R$1094,9,FALSE),"-")</f>
        <v>-</v>
      </c>
      <c r="I325" s="11" t="str">
        <f>IFERROR(VLOOKUP($B325,'(勿動)組件目錄表'!$D$15:$R$1094,10,FALSE),"-")</f>
        <v>-</v>
      </c>
      <c r="J325" s="11" t="str">
        <f>IFERROR(VLOOKUP($B325,'(勿動)組件目錄表'!$D$15:$R$1094,11,FALSE),"-")</f>
        <v>-</v>
      </c>
      <c r="K325" s="11" t="str">
        <f>IFERROR(VLOOKUP($B325,'(勿動)組件目錄表'!$D$15:$R$1094,12,FALSE),"-")</f>
        <v>-</v>
      </c>
      <c r="L325" s="11" t="str">
        <f>IFERROR(VLOOKUP($B325,'(勿動)組件目錄表'!$D$15:$R$1094,13,FALSE),"-")</f>
        <v>-</v>
      </c>
      <c r="M325" s="11" t="str">
        <f>IFERROR(VLOOKUP($B325,'(勿動)組件目錄表'!$D$15:$R$1094,14,FALSE),"-")</f>
        <v>-</v>
      </c>
      <c r="N325" s="15">
        <f t="shared" si="1"/>
        <v>0</v>
      </c>
      <c r="O325" s="16"/>
    </row>
    <row r="326" spans="1:15" ht="15.75" customHeight="1">
      <c r="A326" s="18"/>
      <c r="B326" s="7"/>
      <c r="C326" s="8" t="str">
        <f>IFERROR(VLOOKUP($B326,'(勿動)組件目錄表'!$D$15:$R$1094,2,FALSE),"-")</f>
        <v>-</v>
      </c>
      <c r="D326" s="8" t="str">
        <f>IFERROR(VLOOKUP($B326,'(勿動)組件目錄表'!$D$15:$R$1094,3,FALSE),"-")</f>
        <v>-</v>
      </c>
      <c r="E326" s="9" t="str">
        <f>IFERROR(VLOOKUP($B326,'(勿動)組件目錄表'!$D$15:$R$1094,4,FALSE),"-")</f>
        <v>-</v>
      </c>
      <c r="F326" s="10" t="str">
        <f>IFERROR(VLOOKUP($B326,'(勿動)組件目錄表'!$D$15:$R$1094,5,FALSE),"-")</f>
        <v>-</v>
      </c>
      <c r="G326" s="11" t="str">
        <f>IFERROR(VLOOKUP($B326,'(勿動)組件目錄表'!$D$15:$R$1094,8,FALSE),"-")</f>
        <v>-</v>
      </c>
      <c r="H326" s="11" t="str">
        <f>IFERROR(VLOOKUP($B326,'(勿動)組件目錄表'!$D$15:$R$1094,9,FALSE),"-")</f>
        <v>-</v>
      </c>
      <c r="I326" s="11" t="str">
        <f>IFERROR(VLOOKUP($B326,'(勿動)組件目錄表'!$D$15:$R$1094,10,FALSE),"-")</f>
        <v>-</v>
      </c>
      <c r="J326" s="11" t="str">
        <f>IFERROR(VLOOKUP($B326,'(勿動)組件目錄表'!$D$15:$R$1094,11,FALSE),"-")</f>
        <v>-</v>
      </c>
      <c r="K326" s="11" t="str">
        <f>IFERROR(VLOOKUP($B326,'(勿動)組件目錄表'!$D$15:$R$1094,12,FALSE),"-")</f>
        <v>-</v>
      </c>
      <c r="L326" s="11" t="str">
        <f>IFERROR(VLOOKUP($B326,'(勿動)組件目錄表'!$D$15:$R$1094,13,FALSE),"-")</f>
        <v>-</v>
      </c>
      <c r="M326" s="11" t="str">
        <f>IFERROR(VLOOKUP($B326,'(勿動)組件目錄表'!$D$15:$R$1094,14,FALSE),"-")</f>
        <v>-</v>
      </c>
      <c r="N326" s="15">
        <f t="shared" si="1"/>
        <v>0</v>
      </c>
      <c r="O326" s="16"/>
    </row>
    <row r="327" spans="1:15" ht="15.75" customHeight="1">
      <c r="A327" s="18"/>
      <c r="B327" s="7"/>
      <c r="C327" s="8" t="str">
        <f>IFERROR(VLOOKUP($B327,'(勿動)組件目錄表'!$D$15:$R$1094,2,FALSE),"-")</f>
        <v>-</v>
      </c>
      <c r="D327" s="8" t="str">
        <f>IFERROR(VLOOKUP($B327,'(勿動)組件目錄表'!$D$15:$R$1094,3,FALSE),"-")</f>
        <v>-</v>
      </c>
      <c r="E327" s="9" t="str">
        <f>IFERROR(VLOOKUP($B327,'(勿動)組件目錄表'!$D$15:$R$1094,4,FALSE),"-")</f>
        <v>-</v>
      </c>
      <c r="F327" s="10" t="str">
        <f>IFERROR(VLOOKUP($B327,'(勿動)組件目錄表'!$D$15:$R$1094,5,FALSE),"-")</f>
        <v>-</v>
      </c>
      <c r="G327" s="11" t="str">
        <f>IFERROR(VLOOKUP($B327,'(勿動)組件目錄表'!$D$15:$R$1094,8,FALSE),"-")</f>
        <v>-</v>
      </c>
      <c r="H327" s="11" t="str">
        <f>IFERROR(VLOOKUP($B327,'(勿動)組件目錄表'!$D$15:$R$1094,9,FALSE),"-")</f>
        <v>-</v>
      </c>
      <c r="I327" s="11" t="str">
        <f>IFERROR(VLOOKUP($B327,'(勿動)組件目錄表'!$D$15:$R$1094,10,FALSE),"-")</f>
        <v>-</v>
      </c>
      <c r="J327" s="11" t="str">
        <f>IFERROR(VLOOKUP($B327,'(勿動)組件目錄表'!$D$15:$R$1094,11,FALSE),"-")</f>
        <v>-</v>
      </c>
      <c r="K327" s="11" t="str">
        <f>IFERROR(VLOOKUP($B327,'(勿動)組件目錄表'!$D$15:$R$1094,12,FALSE),"-")</f>
        <v>-</v>
      </c>
      <c r="L327" s="11" t="str">
        <f>IFERROR(VLOOKUP($B327,'(勿動)組件目錄表'!$D$15:$R$1094,13,FALSE),"-")</f>
        <v>-</v>
      </c>
      <c r="M327" s="11" t="str">
        <f>IFERROR(VLOOKUP($B327,'(勿動)組件目錄表'!$D$15:$R$1094,14,FALSE),"-")</f>
        <v>-</v>
      </c>
      <c r="N327" s="15">
        <f t="shared" si="1"/>
        <v>0</v>
      </c>
      <c r="O327" s="16"/>
    </row>
    <row r="328" spans="1:15" ht="15.75" customHeight="1">
      <c r="A328" s="18"/>
      <c r="B328" s="7"/>
      <c r="C328" s="8" t="str">
        <f>IFERROR(VLOOKUP($B328,'(勿動)組件目錄表'!$D$15:$R$1094,2,FALSE),"-")</f>
        <v>-</v>
      </c>
      <c r="D328" s="8" t="str">
        <f>IFERROR(VLOOKUP($B328,'(勿動)組件目錄表'!$D$15:$R$1094,3,FALSE),"-")</f>
        <v>-</v>
      </c>
      <c r="E328" s="9" t="str">
        <f>IFERROR(VLOOKUP($B328,'(勿動)組件目錄表'!$D$15:$R$1094,4,FALSE),"-")</f>
        <v>-</v>
      </c>
      <c r="F328" s="10" t="str">
        <f>IFERROR(VLOOKUP($B328,'(勿動)組件目錄表'!$D$15:$R$1094,5,FALSE),"-")</f>
        <v>-</v>
      </c>
      <c r="G328" s="11" t="str">
        <f>IFERROR(VLOOKUP($B328,'(勿動)組件目錄表'!$D$15:$R$1094,8,FALSE),"-")</f>
        <v>-</v>
      </c>
      <c r="H328" s="11" t="str">
        <f>IFERROR(VLOOKUP($B328,'(勿動)組件目錄表'!$D$15:$R$1094,9,FALSE),"-")</f>
        <v>-</v>
      </c>
      <c r="I328" s="11" t="str">
        <f>IFERROR(VLOOKUP($B328,'(勿動)組件目錄表'!$D$15:$R$1094,10,FALSE),"-")</f>
        <v>-</v>
      </c>
      <c r="J328" s="11" t="str">
        <f>IFERROR(VLOOKUP($B328,'(勿動)組件目錄表'!$D$15:$R$1094,11,FALSE),"-")</f>
        <v>-</v>
      </c>
      <c r="K328" s="11" t="str">
        <f>IFERROR(VLOOKUP($B328,'(勿動)組件目錄表'!$D$15:$R$1094,12,FALSE),"-")</f>
        <v>-</v>
      </c>
      <c r="L328" s="11" t="str">
        <f>IFERROR(VLOOKUP($B328,'(勿動)組件目錄表'!$D$15:$R$1094,13,FALSE),"-")</f>
        <v>-</v>
      </c>
      <c r="M328" s="11" t="str">
        <f>IFERROR(VLOOKUP($B328,'(勿動)組件目錄表'!$D$15:$R$1094,14,FALSE),"-")</f>
        <v>-</v>
      </c>
      <c r="N328" s="15">
        <f t="shared" si="1"/>
        <v>0</v>
      </c>
      <c r="O328" s="16"/>
    </row>
    <row r="329" spans="1:15" ht="15.75" customHeight="1">
      <c r="A329" s="18"/>
      <c r="B329" s="7"/>
      <c r="C329" s="8" t="str">
        <f>IFERROR(VLOOKUP($B329,'(勿動)組件目錄表'!$D$15:$R$1094,2,FALSE),"-")</f>
        <v>-</v>
      </c>
      <c r="D329" s="8" t="str">
        <f>IFERROR(VLOOKUP($B329,'(勿動)組件目錄表'!$D$15:$R$1094,3,FALSE),"-")</f>
        <v>-</v>
      </c>
      <c r="E329" s="9" t="str">
        <f>IFERROR(VLOOKUP($B329,'(勿動)組件目錄表'!$D$15:$R$1094,4,FALSE),"-")</f>
        <v>-</v>
      </c>
      <c r="F329" s="10" t="str">
        <f>IFERROR(VLOOKUP($B329,'(勿動)組件目錄表'!$D$15:$R$1094,5,FALSE),"-")</f>
        <v>-</v>
      </c>
      <c r="G329" s="11" t="str">
        <f>IFERROR(VLOOKUP($B329,'(勿動)組件目錄表'!$D$15:$R$1094,8,FALSE),"-")</f>
        <v>-</v>
      </c>
      <c r="H329" s="11" t="str">
        <f>IFERROR(VLOOKUP($B329,'(勿動)組件目錄表'!$D$15:$R$1094,9,FALSE),"-")</f>
        <v>-</v>
      </c>
      <c r="I329" s="11" t="str">
        <f>IFERROR(VLOOKUP($B329,'(勿動)組件目錄表'!$D$15:$R$1094,10,FALSE),"-")</f>
        <v>-</v>
      </c>
      <c r="J329" s="11" t="str">
        <f>IFERROR(VLOOKUP($B329,'(勿動)組件目錄表'!$D$15:$R$1094,11,FALSE),"-")</f>
        <v>-</v>
      </c>
      <c r="K329" s="11" t="str">
        <f>IFERROR(VLOOKUP($B329,'(勿動)組件目錄表'!$D$15:$R$1094,12,FALSE),"-")</f>
        <v>-</v>
      </c>
      <c r="L329" s="11" t="str">
        <f>IFERROR(VLOOKUP($B329,'(勿動)組件目錄表'!$D$15:$R$1094,13,FALSE),"-")</f>
        <v>-</v>
      </c>
      <c r="M329" s="11" t="str">
        <f>IFERROR(VLOOKUP($B329,'(勿動)組件目錄表'!$D$15:$R$1094,14,FALSE),"-")</f>
        <v>-</v>
      </c>
      <c r="N329" s="15">
        <f t="shared" si="1"/>
        <v>0</v>
      </c>
      <c r="O329" s="16"/>
    </row>
    <row r="330" spans="1:15" ht="15.75" customHeight="1">
      <c r="A330" s="18"/>
      <c r="B330" s="7"/>
      <c r="C330" s="8" t="str">
        <f>IFERROR(VLOOKUP($B330,'(勿動)組件目錄表'!$D$15:$R$1094,2,FALSE),"-")</f>
        <v>-</v>
      </c>
      <c r="D330" s="8" t="str">
        <f>IFERROR(VLOOKUP($B330,'(勿動)組件目錄表'!$D$15:$R$1094,3,FALSE),"-")</f>
        <v>-</v>
      </c>
      <c r="E330" s="9" t="str">
        <f>IFERROR(VLOOKUP($B330,'(勿動)組件目錄表'!$D$15:$R$1094,4,FALSE),"-")</f>
        <v>-</v>
      </c>
      <c r="F330" s="10" t="str">
        <f>IFERROR(VLOOKUP($B330,'(勿動)組件目錄表'!$D$15:$R$1094,5,FALSE),"-")</f>
        <v>-</v>
      </c>
      <c r="G330" s="11" t="str">
        <f>IFERROR(VLOOKUP($B330,'(勿動)組件目錄表'!$D$15:$R$1094,8,FALSE),"-")</f>
        <v>-</v>
      </c>
      <c r="H330" s="11" t="str">
        <f>IFERROR(VLOOKUP($B330,'(勿動)組件目錄表'!$D$15:$R$1094,9,FALSE),"-")</f>
        <v>-</v>
      </c>
      <c r="I330" s="11" t="str">
        <f>IFERROR(VLOOKUP($B330,'(勿動)組件目錄表'!$D$15:$R$1094,10,FALSE),"-")</f>
        <v>-</v>
      </c>
      <c r="J330" s="11" t="str">
        <f>IFERROR(VLOOKUP($B330,'(勿動)組件目錄表'!$D$15:$R$1094,11,FALSE),"-")</f>
        <v>-</v>
      </c>
      <c r="K330" s="11" t="str">
        <f>IFERROR(VLOOKUP($B330,'(勿動)組件目錄表'!$D$15:$R$1094,12,FALSE),"-")</f>
        <v>-</v>
      </c>
      <c r="L330" s="11" t="str">
        <f>IFERROR(VLOOKUP($B330,'(勿動)組件目錄表'!$D$15:$R$1094,13,FALSE),"-")</f>
        <v>-</v>
      </c>
      <c r="M330" s="11" t="str">
        <f>IFERROR(VLOOKUP($B330,'(勿動)組件目錄表'!$D$15:$R$1094,14,FALSE),"-")</f>
        <v>-</v>
      </c>
      <c r="N330" s="15">
        <f t="shared" si="1"/>
        <v>0</v>
      </c>
      <c r="O330" s="16"/>
    </row>
    <row r="331" spans="1:15" ht="15.75" customHeight="1">
      <c r="A331" s="18"/>
      <c r="B331" s="7"/>
      <c r="C331" s="8" t="str">
        <f>IFERROR(VLOOKUP($B331,'(勿動)組件目錄表'!$D$15:$R$1094,2,FALSE),"-")</f>
        <v>-</v>
      </c>
      <c r="D331" s="8" t="str">
        <f>IFERROR(VLOOKUP($B331,'(勿動)組件目錄表'!$D$15:$R$1094,3,FALSE),"-")</f>
        <v>-</v>
      </c>
      <c r="E331" s="9" t="str">
        <f>IFERROR(VLOOKUP($B331,'(勿動)組件目錄表'!$D$15:$R$1094,4,FALSE),"-")</f>
        <v>-</v>
      </c>
      <c r="F331" s="10" t="str">
        <f>IFERROR(VLOOKUP($B331,'(勿動)組件目錄表'!$D$15:$R$1094,5,FALSE),"-")</f>
        <v>-</v>
      </c>
      <c r="G331" s="11" t="str">
        <f>IFERROR(VLOOKUP($B331,'(勿動)組件目錄表'!$D$15:$R$1094,8,FALSE),"-")</f>
        <v>-</v>
      </c>
      <c r="H331" s="11" t="str">
        <f>IFERROR(VLOOKUP($B331,'(勿動)組件目錄表'!$D$15:$R$1094,9,FALSE),"-")</f>
        <v>-</v>
      </c>
      <c r="I331" s="11" t="str">
        <f>IFERROR(VLOOKUP($B331,'(勿動)組件目錄表'!$D$15:$R$1094,10,FALSE),"-")</f>
        <v>-</v>
      </c>
      <c r="J331" s="11" t="str">
        <f>IFERROR(VLOOKUP($B331,'(勿動)組件目錄表'!$D$15:$R$1094,11,FALSE),"-")</f>
        <v>-</v>
      </c>
      <c r="K331" s="11" t="str">
        <f>IFERROR(VLOOKUP($B331,'(勿動)組件目錄表'!$D$15:$R$1094,12,FALSE),"-")</f>
        <v>-</v>
      </c>
      <c r="L331" s="11" t="str">
        <f>IFERROR(VLOOKUP($B331,'(勿動)組件目錄表'!$D$15:$R$1094,13,FALSE),"-")</f>
        <v>-</v>
      </c>
      <c r="M331" s="11" t="str">
        <f>IFERROR(VLOOKUP($B331,'(勿動)組件目錄表'!$D$15:$R$1094,14,FALSE),"-")</f>
        <v>-</v>
      </c>
      <c r="N331" s="15">
        <f t="shared" si="1"/>
        <v>0</v>
      </c>
      <c r="O331" s="16"/>
    </row>
    <row r="332" spans="1:15" ht="15.75" customHeight="1">
      <c r="A332" s="18"/>
      <c r="B332" s="7"/>
      <c r="C332" s="8" t="str">
        <f>IFERROR(VLOOKUP($B332,'(勿動)組件目錄表'!$D$15:$R$1094,2,FALSE),"-")</f>
        <v>-</v>
      </c>
      <c r="D332" s="8" t="str">
        <f>IFERROR(VLOOKUP($B332,'(勿動)組件目錄表'!$D$15:$R$1094,3,FALSE),"-")</f>
        <v>-</v>
      </c>
      <c r="E332" s="9" t="str">
        <f>IFERROR(VLOOKUP($B332,'(勿動)組件目錄表'!$D$15:$R$1094,4,FALSE),"-")</f>
        <v>-</v>
      </c>
      <c r="F332" s="10" t="str">
        <f>IFERROR(VLOOKUP($B332,'(勿動)組件目錄表'!$D$15:$R$1094,5,FALSE),"-")</f>
        <v>-</v>
      </c>
      <c r="G332" s="11" t="str">
        <f>IFERROR(VLOOKUP($B332,'(勿動)組件目錄表'!$D$15:$R$1094,8,FALSE),"-")</f>
        <v>-</v>
      </c>
      <c r="H332" s="11" t="str">
        <f>IFERROR(VLOOKUP($B332,'(勿動)組件目錄表'!$D$15:$R$1094,9,FALSE),"-")</f>
        <v>-</v>
      </c>
      <c r="I332" s="11" t="str">
        <f>IFERROR(VLOOKUP($B332,'(勿動)組件目錄表'!$D$15:$R$1094,10,FALSE),"-")</f>
        <v>-</v>
      </c>
      <c r="J332" s="11" t="str">
        <f>IFERROR(VLOOKUP($B332,'(勿動)組件目錄表'!$D$15:$R$1094,11,FALSE),"-")</f>
        <v>-</v>
      </c>
      <c r="K332" s="11" t="str">
        <f>IFERROR(VLOOKUP($B332,'(勿動)組件目錄表'!$D$15:$R$1094,12,FALSE),"-")</f>
        <v>-</v>
      </c>
      <c r="L332" s="11" t="str">
        <f>IFERROR(VLOOKUP($B332,'(勿動)組件目錄表'!$D$15:$R$1094,13,FALSE),"-")</f>
        <v>-</v>
      </c>
      <c r="M332" s="11" t="str">
        <f>IFERROR(VLOOKUP($B332,'(勿動)組件目錄表'!$D$15:$R$1094,14,FALSE),"-")</f>
        <v>-</v>
      </c>
      <c r="N332" s="15">
        <f t="shared" si="1"/>
        <v>0</v>
      </c>
      <c r="O332" s="16"/>
    </row>
    <row r="333" spans="1:15" ht="15.75" customHeight="1">
      <c r="A333" s="18"/>
      <c r="B333" s="7"/>
      <c r="C333" s="8" t="str">
        <f>IFERROR(VLOOKUP($B333,'(勿動)組件目錄表'!$D$15:$R$1094,2,FALSE),"-")</f>
        <v>-</v>
      </c>
      <c r="D333" s="8" t="str">
        <f>IFERROR(VLOOKUP($B333,'(勿動)組件目錄表'!$D$15:$R$1094,3,FALSE),"-")</f>
        <v>-</v>
      </c>
      <c r="E333" s="9" t="str">
        <f>IFERROR(VLOOKUP($B333,'(勿動)組件目錄表'!$D$15:$R$1094,4,FALSE),"-")</f>
        <v>-</v>
      </c>
      <c r="F333" s="10" t="str">
        <f>IFERROR(VLOOKUP($B333,'(勿動)組件目錄表'!$D$15:$R$1094,5,FALSE),"-")</f>
        <v>-</v>
      </c>
      <c r="G333" s="11" t="str">
        <f>IFERROR(VLOOKUP($B333,'(勿動)組件目錄表'!$D$15:$R$1094,8,FALSE),"-")</f>
        <v>-</v>
      </c>
      <c r="H333" s="11" t="str">
        <f>IFERROR(VLOOKUP($B333,'(勿動)組件目錄表'!$D$15:$R$1094,9,FALSE),"-")</f>
        <v>-</v>
      </c>
      <c r="I333" s="11" t="str">
        <f>IFERROR(VLOOKUP($B333,'(勿動)組件目錄表'!$D$15:$R$1094,10,FALSE),"-")</f>
        <v>-</v>
      </c>
      <c r="J333" s="11" t="str">
        <f>IFERROR(VLOOKUP($B333,'(勿動)組件目錄表'!$D$15:$R$1094,11,FALSE),"-")</f>
        <v>-</v>
      </c>
      <c r="K333" s="11" t="str">
        <f>IFERROR(VLOOKUP($B333,'(勿動)組件目錄表'!$D$15:$R$1094,12,FALSE),"-")</f>
        <v>-</v>
      </c>
      <c r="L333" s="11" t="str">
        <f>IFERROR(VLOOKUP($B333,'(勿動)組件目錄表'!$D$15:$R$1094,13,FALSE),"-")</f>
        <v>-</v>
      </c>
      <c r="M333" s="11" t="str">
        <f>IFERROR(VLOOKUP($B333,'(勿動)組件目錄表'!$D$15:$R$1094,14,FALSE),"-")</f>
        <v>-</v>
      </c>
      <c r="N333" s="15">
        <f t="shared" si="1"/>
        <v>0</v>
      </c>
      <c r="O333" s="16"/>
    </row>
    <row r="334" spans="1:15" ht="15.75" customHeight="1">
      <c r="A334" s="18"/>
      <c r="B334" s="7"/>
      <c r="C334" s="8" t="str">
        <f>IFERROR(VLOOKUP($B334,'(勿動)組件目錄表'!$D$15:$R$1094,2,FALSE),"-")</f>
        <v>-</v>
      </c>
      <c r="D334" s="8" t="str">
        <f>IFERROR(VLOOKUP($B334,'(勿動)組件目錄表'!$D$15:$R$1094,3,FALSE),"-")</f>
        <v>-</v>
      </c>
      <c r="E334" s="9" t="str">
        <f>IFERROR(VLOOKUP($B334,'(勿動)組件目錄表'!$D$15:$R$1094,4,FALSE),"-")</f>
        <v>-</v>
      </c>
      <c r="F334" s="10" t="str">
        <f>IFERROR(VLOOKUP($B334,'(勿動)組件目錄表'!$D$15:$R$1094,5,FALSE),"-")</f>
        <v>-</v>
      </c>
      <c r="G334" s="11" t="str">
        <f>IFERROR(VLOOKUP($B334,'(勿動)組件目錄表'!$D$15:$R$1094,8,FALSE),"-")</f>
        <v>-</v>
      </c>
      <c r="H334" s="11" t="str">
        <f>IFERROR(VLOOKUP($B334,'(勿動)組件目錄表'!$D$15:$R$1094,9,FALSE),"-")</f>
        <v>-</v>
      </c>
      <c r="I334" s="11" t="str">
        <f>IFERROR(VLOOKUP($B334,'(勿動)組件目錄表'!$D$15:$R$1094,10,FALSE),"-")</f>
        <v>-</v>
      </c>
      <c r="J334" s="11" t="str">
        <f>IFERROR(VLOOKUP($B334,'(勿動)組件目錄表'!$D$15:$R$1094,11,FALSE),"-")</f>
        <v>-</v>
      </c>
      <c r="K334" s="11" t="str">
        <f>IFERROR(VLOOKUP($B334,'(勿動)組件目錄表'!$D$15:$R$1094,12,FALSE),"-")</f>
        <v>-</v>
      </c>
      <c r="L334" s="11" t="str">
        <f>IFERROR(VLOOKUP($B334,'(勿動)組件目錄表'!$D$15:$R$1094,13,FALSE),"-")</f>
        <v>-</v>
      </c>
      <c r="M334" s="11" t="str">
        <f>IFERROR(VLOOKUP($B334,'(勿動)組件目錄表'!$D$15:$R$1094,14,FALSE),"-")</f>
        <v>-</v>
      </c>
      <c r="N334" s="15">
        <f t="shared" si="1"/>
        <v>0</v>
      </c>
      <c r="O334" s="16"/>
    </row>
    <row r="335" spans="1:15" ht="15.75" customHeight="1">
      <c r="A335" s="18"/>
      <c r="B335" s="7"/>
      <c r="C335" s="8" t="str">
        <f>IFERROR(VLOOKUP($B335,'(勿動)組件目錄表'!$D$15:$R$1094,2,FALSE),"-")</f>
        <v>-</v>
      </c>
      <c r="D335" s="8" t="str">
        <f>IFERROR(VLOOKUP($B335,'(勿動)組件目錄表'!$D$15:$R$1094,3,FALSE),"-")</f>
        <v>-</v>
      </c>
      <c r="E335" s="9" t="str">
        <f>IFERROR(VLOOKUP($B335,'(勿動)組件目錄表'!$D$15:$R$1094,4,FALSE),"-")</f>
        <v>-</v>
      </c>
      <c r="F335" s="10" t="str">
        <f>IFERROR(VLOOKUP($B335,'(勿動)組件目錄表'!$D$15:$R$1094,5,FALSE),"-")</f>
        <v>-</v>
      </c>
      <c r="G335" s="11" t="str">
        <f>IFERROR(VLOOKUP($B335,'(勿動)組件目錄表'!$D$15:$R$1094,8,FALSE),"-")</f>
        <v>-</v>
      </c>
      <c r="H335" s="11" t="str">
        <f>IFERROR(VLOOKUP($B335,'(勿動)組件目錄表'!$D$15:$R$1094,9,FALSE),"-")</f>
        <v>-</v>
      </c>
      <c r="I335" s="11" t="str">
        <f>IFERROR(VLOOKUP($B335,'(勿動)組件目錄表'!$D$15:$R$1094,10,FALSE),"-")</f>
        <v>-</v>
      </c>
      <c r="J335" s="11" t="str">
        <f>IFERROR(VLOOKUP($B335,'(勿動)組件目錄表'!$D$15:$R$1094,11,FALSE),"-")</f>
        <v>-</v>
      </c>
      <c r="K335" s="11" t="str">
        <f>IFERROR(VLOOKUP($B335,'(勿動)組件目錄表'!$D$15:$R$1094,12,FALSE),"-")</f>
        <v>-</v>
      </c>
      <c r="L335" s="11" t="str">
        <f>IFERROR(VLOOKUP($B335,'(勿動)組件目錄表'!$D$15:$R$1094,13,FALSE),"-")</f>
        <v>-</v>
      </c>
      <c r="M335" s="11" t="str">
        <f>IFERROR(VLOOKUP($B335,'(勿動)組件目錄表'!$D$15:$R$1094,14,FALSE),"-")</f>
        <v>-</v>
      </c>
      <c r="N335" s="15">
        <f t="shared" si="1"/>
        <v>0</v>
      </c>
      <c r="O335" s="16"/>
    </row>
    <row r="336" spans="1:15" ht="15.75" customHeight="1">
      <c r="A336" s="18"/>
      <c r="B336" s="7"/>
      <c r="C336" s="8" t="str">
        <f>IFERROR(VLOOKUP($B336,'(勿動)組件目錄表'!$D$15:$R$1094,2,FALSE),"-")</f>
        <v>-</v>
      </c>
      <c r="D336" s="8" t="str">
        <f>IFERROR(VLOOKUP($B336,'(勿動)組件目錄表'!$D$15:$R$1094,3,FALSE),"-")</f>
        <v>-</v>
      </c>
      <c r="E336" s="9" t="str">
        <f>IFERROR(VLOOKUP($B336,'(勿動)組件目錄表'!$D$15:$R$1094,4,FALSE),"-")</f>
        <v>-</v>
      </c>
      <c r="F336" s="10" t="str">
        <f>IFERROR(VLOOKUP($B336,'(勿動)組件目錄表'!$D$15:$R$1094,5,FALSE),"-")</f>
        <v>-</v>
      </c>
      <c r="G336" s="11" t="str">
        <f>IFERROR(VLOOKUP($B336,'(勿動)組件目錄表'!$D$15:$R$1094,8,FALSE),"-")</f>
        <v>-</v>
      </c>
      <c r="H336" s="11" t="str">
        <f>IFERROR(VLOOKUP($B336,'(勿動)組件目錄表'!$D$15:$R$1094,9,FALSE),"-")</f>
        <v>-</v>
      </c>
      <c r="I336" s="11" t="str">
        <f>IFERROR(VLOOKUP($B336,'(勿動)組件目錄表'!$D$15:$R$1094,10,FALSE),"-")</f>
        <v>-</v>
      </c>
      <c r="J336" s="11" t="str">
        <f>IFERROR(VLOOKUP($B336,'(勿動)組件目錄表'!$D$15:$R$1094,11,FALSE),"-")</f>
        <v>-</v>
      </c>
      <c r="K336" s="11" t="str">
        <f>IFERROR(VLOOKUP($B336,'(勿動)組件目錄表'!$D$15:$R$1094,12,FALSE),"-")</f>
        <v>-</v>
      </c>
      <c r="L336" s="11" t="str">
        <f>IFERROR(VLOOKUP($B336,'(勿動)組件目錄表'!$D$15:$R$1094,13,FALSE),"-")</f>
        <v>-</v>
      </c>
      <c r="M336" s="11" t="str">
        <f>IFERROR(VLOOKUP($B336,'(勿動)組件目錄表'!$D$15:$R$1094,14,FALSE),"-")</f>
        <v>-</v>
      </c>
      <c r="N336" s="15">
        <f t="shared" si="1"/>
        <v>0</v>
      </c>
      <c r="O336" s="16"/>
    </row>
    <row r="337" spans="1:15" ht="15.75" customHeight="1">
      <c r="A337" s="18"/>
      <c r="B337" s="7"/>
      <c r="C337" s="8" t="str">
        <f>IFERROR(VLOOKUP($B337,'(勿動)組件目錄表'!$D$15:$R$1094,2,FALSE),"-")</f>
        <v>-</v>
      </c>
      <c r="D337" s="8" t="str">
        <f>IFERROR(VLOOKUP($B337,'(勿動)組件目錄表'!$D$15:$R$1094,3,FALSE),"-")</f>
        <v>-</v>
      </c>
      <c r="E337" s="9" t="str">
        <f>IFERROR(VLOOKUP($B337,'(勿動)組件目錄表'!$D$15:$R$1094,4,FALSE),"-")</f>
        <v>-</v>
      </c>
      <c r="F337" s="10" t="str">
        <f>IFERROR(VLOOKUP($B337,'(勿動)組件目錄表'!$D$15:$R$1094,5,FALSE),"-")</f>
        <v>-</v>
      </c>
      <c r="G337" s="11" t="str">
        <f>IFERROR(VLOOKUP($B337,'(勿動)組件目錄表'!$D$15:$R$1094,8,FALSE),"-")</f>
        <v>-</v>
      </c>
      <c r="H337" s="11" t="str">
        <f>IFERROR(VLOOKUP($B337,'(勿動)組件目錄表'!$D$15:$R$1094,9,FALSE),"-")</f>
        <v>-</v>
      </c>
      <c r="I337" s="11" t="str">
        <f>IFERROR(VLOOKUP($B337,'(勿動)組件目錄表'!$D$15:$R$1094,10,FALSE),"-")</f>
        <v>-</v>
      </c>
      <c r="J337" s="11" t="str">
        <f>IFERROR(VLOOKUP($B337,'(勿動)組件目錄表'!$D$15:$R$1094,11,FALSE),"-")</f>
        <v>-</v>
      </c>
      <c r="K337" s="11" t="str">
        <f>IFERROR(VLOOKUP($B337,'(勿動)組件目錄表'!$D$15:$R$1094,12,FALSE),"-")</f>
        <v>-</v>
      </c>
      <c r="L337" s="11" t="str">
        <f>IFERROR(VLOOKUP($B337,'(勿動)組件目錄表'!$D$15:$R$1094,13,FALSE),"-")</f>
        <v>-</v>
      </c>
      <c r="M337" s="11" t="str">
        <f>IFERROR(VLOOKUP($B337,'(勿動)組件目錄表'!$D$15:$R$1094,14,FALSE),"-")</f>
        <v>-</v>
      </c>
      <c r="N337" s="15">
        <f t="shared" si="1"/>
        <v>0</v>
      </c>
      <c r="O337" s="16"/>
    </row>
    <row r="338" spans="1:15" ht="15.75" customHeight="1">
      <c r="A338" s="18"/>
      <c r="B338" s="7"/>
      <c r="C338" s="8" t="str">
        <f>IFERROR(VLOOKUP($B338,'(勿動)組件目錄表'!$D$15:$R$1094,2,FALSE),"-")</f>
        <v>-</v>
      </c>
      <c r="D338" s="8" t="str">
        <f>IFERROR(VLOOKUP($B338,'(勿動)組件目錄表'!$D$15:$R$1094,3,FALSE),"-")</f>
        <v>-</v>
      </c>
      <c r="E338" s="9" t="str">
        <f>IFERROR(VLOOKUP($B338,'(勿動)組件目錄表'!$D$15:$R$1094,4,FALSE),"-")</f>
        <v>-</v>
      </c>
      <c r="F338" s="10" t="str">
        <f>IFERROR(VLOOKUP($B338,'(勿動)組件目錄表'!$D$15:$R$1094,5,FALSE),"-")</f>
        <v>-</v>
      </c>
      <c r="G338" s="11" t="str">
        <f>IFERROR(VLOOKUP($B338,'(勿動)組件目錄表'!$D$15:$R$1094,8,FALSE),"-")</f>
        <v>-</v>
      </c>
      <c r="H338" s="11" t="str">
        <f>IFERROR(VLOOKUP($B338,'(勿動)組件目錄表'!$D$15:$R$1094,9,FALSE),"-")</f>
        <v>-</v>
      </c>
      <c r="I338" s="11" t="str">
        <f>IFERROR(VLOOKUP($B338,'(勿動)組件目錄表'!$D$15:$R$1094,10,FALSE),"-")</f>
        <v>-</v>
      </c>
      <c r="J338" s="11" t="str">
        <f>IFERROR(VLOOKUP($B338,'(勿動)組件目錄表'!$D$15:$R$1094,11,FALSE),"-")</f>
        <v>-</v>
      </c>
      <c r="K338" s="11" t="str">
        <f>IFERROR(VLOOKUP($B338,'(勿動)組件目錄表'!$D$15:$R$1094,12,FALSE),"-")</f>
        <v>-</v>
      </c>
      <c r="L338" s="11" t="str">
        <f>IFERROR(VLOOKUP($B338,'(勿動)組件目錄表'!$D$15:$R$1094,13,FALSE),"-")</f>
        <v>-</v>
      </c>
      <c r="M338" s="11" t="str">
        <f>IFERROR(VLOOKUP($B338,'(勿動)組件目錄表'!$D$15:$R$1094,14,FALSE),"-")</f>
        <v>-</v>
      </c>
      <c r="N338" s="15">
        <f t="shared" si="1"/>
        <v>0</v>
      </c>
      <c r="O338" s="16"/>
    </row>
    <row r="339" spans="1:15" ht="15.75" customHeight="1">
      <c r="A339" s="18"/>
      <c r="B339" s="7"/>
      <c r="C339" s="8" t="str">
        <f>IFERROR(VLOOKUP($B339,'(勿動)組件目錄表'!$D$15:$R$1094,2,FALSE),"-")</f>
        <v>-</v>
      </c>
      <c r="D339" s="8" t="str">
        <f>IFERROR(VLOOKUP($B339,'(勿動)組件目錄表'!$D$15:$R$1094,3,FALSE),"-")</f>
        <v>-</v>
      </c>
      <c r="E339" s="9" t="str">
        <f>IFERROR(VLOOKUP($B339,'(勿動)組件目錄表'!$D$15:$R$1094,4,FALSE),"-")</f>
        <v>-</v>
      </c>
      <c r="F339" s="10" t="str">
        <f>IFERROR(VLOOKUP($B339,'(勿動)組件目錄表'!$D$15:$R$1094,5,FALSE),"-")</f>
        <v>-</v>
      </c>
      <c r="G339" s="11" t="str">
        <f>IFERROR(VLOOKUP($B339,'(勿動)組件目錄表'!$D$15:$R$1094,8,FALSE),"-")</f>
        <v>-</v>
      </c>
      <c r="H339" s="11" t="str">
        <f>IFERROR(VLOOKUP($B339,'(勿動)組件目錄表'!$D$15:$R$1094,9,FALSE),"-")</f>
        <v>-</v>
      </c>
      <c r="I339" s="11" t="str">
        <f>IFERROR(VLOOKUP($B339,'(勿動)組件目錄表'!$D$15:$R$1094,10,FALSE),"-")</f>
        <v>-</v>
      </c>
      <c r="J339" s="11" t="str">
        <f>IFERROR(VLOOKUP($B339,'(勿動)組件目錄表'!$D$15:$R$1094,11,FALSE),"-")</f>
        <v>-</v>
      </c>
      <c r="K339" s="11" t="str">
        <f>IFERROR(VLOOKUP($B339,'(勿動)組件目錄表'!$D$15:$R$1094,12,FALSE),"-")</f>
        <v>-</v>
      </c>
      <c r="L339" s="11" t="str">
        <f>IFERROR(VLOOKUP($B339,'(勿動)組件目錄表'!$D$15:$R$1094,13,FALSE),"-")</f>
        <v>-</v>
      </c>
      <c r="M339" s="11" t="str">
        <f>IFERROR(VLOOKUP($B339,'(勿動)組件目錄表'!$D$15:$R$1094,14,FALSE),"-")</f>
        <v>-</v>
      </c>
      <c r="N339" s="15">
        <f t="shared" si="1"/>
        <v>0</v>
      </c>
      <c r="O339" s="16"/>
    </row>
    <row r="340" spans="1:15" ht="15.75" customHeight="1">
      <c r="A340" s="18"/>
      <c r="B340" s="7"/>
      <c r="C340" s="8" t="str">
        <f>IFERROR(VLOOKUP($B340,'(勿動)組件目錄表'!$D$15:$R$1094,2,FALSE),"-")</f>
        <v>-</v>
      </c>
      <c r="D340" s="8" t="str">
        <f>IFERROR(VLOOKUP($B340,'(勿動)組件目錄表'!$D$15:$R$1094,3,FALSE),"-")</f>
        <v>-</v>
      </c>
      <c r="E340" s="9" t="str">
        <f>IFERROR(VLOOKUP($B340,'(勿動)組件目錄表'!$D$15:$R$1094,4,FALSE),"-")</f>
        <v>-</v>
      </c>
      <c r="F340" s="10" t="str">
        <f>IFERROR(VLOOKUP($B340,'(勿動)組件目錄表'!$D$15:$R$1094,5,FALSE),"-")</f>
        <v>-</v>
      </c>
      <c r="G340" s="11" t="str">
        <f>IFERROR(VLOOKUP($B340,'(勿動)組件目錄表'!$D$15:$R$1094,8,FALSE),"-")</f>
        <v>-</v>
      </c>
      <c r="H340" s="11" t="str">
        <f>IFERROR(VLOOKUP($B340,'(勿動)組件目錄表'!$D$15:$R$1094,9,FALSE),"-")</f>
        <v>-</v>
      </c>
      <c r="I340" s="11" t="str">
        <f>IFERROR(VLOOKUP($B340,'(勿動)組件目錄表'!$D$15:$R$1094,10,FALSE),"-")</f>
        <v>-</v>
      </c>
      <c r="J340" s="11" t="str">
        <f>IFERROR(VLOOKUP($B340,'(勿動)組件目錄表'!$D$15:$R$1094,11,FALSE),"-")</f>
        <v>-</v>
      </c>
      <c r="K340" s="11" t="str">
        <f>IFERROR(VLOOKUP($B340,'(勿動)組件目錄表'!$D$15:$R$1094,12,FALSE),"-")</f>
        <v>-</v>
      </c>
      <c r="L340" s="11" t="str">
        <f>IFERROR(VLOOKUP($B340,'(勿動)組件目錄表'!$D$15:$R$1094,13,FALSE),"-")</f>
        <v>-</v>
      </c>
      <c r="M340" s="11" t="str">
        <f>IFERROR(VLOOKUP($B340,'(勿動)組件目錄表'!$D$15:$R$1094,14,FALSE),"-")</f>
        <v>-</v>
      </c>
      <c r="N340" s="15">
        <f t="shared" si="1"/>
        <v>0</v>
      </c>
      <c r="O340" s="16"/>
    </row>
    <row r="341" spans="1:15" ht="15.75" customHeight="1">
      <c r="A341" s="18"/>
      <c r="B341" s="7"/>
      <c r="C341" s="8" t="str">
        <f>IFERROR(VLOOKUP($B341,'(勿動)組件目錄表'!$D$15:$R$1094,2,FALSE),"-")</f>
        <v>-</v>
      </c>
      <c r="D341" s="8" t="str">
        <f>IFERROR(VLOOKUP($B341,'(勿動)組件目錄表'!$D$15:$R$1094,3,FALSE),"-")</f>
        <v>-</v>
      </c>
      <c r="E341" s="9" t="str">
        <f>IFERROR(VLOOKUP($B341,'(勿動)組件目錄表'!$D$15:$R$1094,4,FALSE),"-")</f>
        <v>-</v>
      </c>
      <c r="F341" s="10" t="str">
        <f>IFERROR(VLOOKUP($B341,'(勿動)組件目錄表'!$D$15:$R$1094,5,FALSE),"-")</f>
        <v>-</v>
      </c>
      <c r="G341" s="11" t="str">
        <f>IFERROR(VLOOKUP($B341,'(勿動)組件目錄表'!$D$15:$R$1094,8,FALSE),"-")</f>
        <v>-</v>
      </c>
      <c r="H341" s="11" t="str">
        <f>IFERROR(VLOOKUP($B341,'(勿動)組件目錄表'!$D$15:$R$1094,9,FALSE),"-")</f>
        <v>-</v>
      </c>
      <c r="I341" s="11" t="str">
        <f>IFERROR(VLOOKUP($B341,'(勿動)組件目錄表'!$D$15:$R$1094,10,FALSE),"-")</f>
        <v>-</v>
      </c>
      <c r="J341" s="11" t="str">
        <f>IFERROR(VLOOKUP($B341,'(勿動)組件目錄表'!$D$15:$R$1094,11,FALSE),"-")</f>
        <v>-</v>
      </c>
      <c r="K341" s="11" t="str">
        <f>IFERROR(VLOOKUP($B341,'(勿動)組件目錄表'!$D$15:$R$1094,12,FALSE),"-")</f>
        <v>-</v>
      </c>
      <c r="L341" s="11" t="str">
        <f>IFERROR(VLOOKUP($B341,'(勿動)組件目錄表'!$D$15:$R$1094,13,FALSE),"-")</f>
        <v>-</v>
      </c>
      <c r="M341" s="11" t="str">
        <f>IFERROR(VLOOKUP($B341,'(勿動)組件目錄表'!$D$15:$R$1094,14,FALSE),"-")</f>
        <v>-</v>
      </c>
      <c r="N341" s="15">
        <f t="shared" si="1"/>
        <v>0</v>
      </c>
      <c r="O341" s="16"/>
    </row>
    <row r="342" spans="1:15" ht="15.75" customHeight="1">
      <c r="A342" s="18"/>
      <c r="B342" s="7"/>
      <c r="C342" s="8" t="str">
        <f>IFERROR(VLOOKUP($B342,'(勿動)組件目錄表'!$D$15:$R$1094,2,FALSE),"-")</f>
        <v>-</v>
      </c>
      <c r="D342" s="8" t="str">
        <f>IFERROR(VLOOKUP($B342,'(勿動)組件目錄表'!$D$15:$R$1094,3,FALSE),"-")</f>
        <v>-</v>
      </c>
      <c r="E342" s="9" t="str">
        <f>IFERROR(VLOOKUP($B342,'(勿動)組件目錄表'!$D$15:$R$1094,4,FALSE),"-")</f>
        <v>-</v>
      </c>
      <c r="F342" s="10" t="str">
        <f>IFERROR(VLOOKUP($B342,'(勿動)組件目錄表'!$D$15:$R$1094,5,FALSE),"-")</f>
        <v>-</v>
      </c>
      <c r="G342" s="11" t="str">
        <f>IFERROR(VLOOKUP($B342,'(勿動)組件目錄表'!$D$15:$R$1094,8,FALSE),"-")</f>
        <v>-</v>
      </c>
      <c r="H342" s="11" t="str">
        <f>IFERROR(VLOOKUP($B342,'(勿動)組件目錄表'!$D$15:$R$1094,9,FALSE),"-")</f>
        <v>-</v>
      </c>
      <c r="I342" s="11" t="str">
        <f>IFERROR(VLOOKUP($B342,'(勿動)組件目錄表'!$D$15:$R$1094,10,FALSE),"-")</f>
        <v>-</v>
      </c>
      <c r="J342" s="11" t="str">
        <f>IFERROR(VLOOKUP($B342,'(勿動)組件目錄表'!$D$15:$R$1094,11,FALSE),"-")</f>
        <v>-</v>
      </c>
      <c r="K342" s="11" t="str">
        <f>IFERROR(VLOOKUP($B342,'(勿動)組件目錄表'!$D$15:$R$1094,12,FALSE),"-")</f>
        <v>-</v>
      </c>
      <c r="L342" s="11" t="str">
        <f>IFERROR(VLOOKUP($B342,'(勿動)組件目錄表'!$D$15:$R$1094,13,FALSE),"-")</f>
        <v>-</v>
      </c>
      <c r="M342" s="11" t="str">
        <f>IFERROR(VLOOKUP($B342,'(勿動)組件目錄表'!$D$15:$R$1094,14,FALSE),"-")</f>
        <v>-</v>
      </c>
      <c r="N342" s="15">
        <f t="shared" si="1"/>
        <v>0</v>
      </c>
      <c r="O342" s="16"/>
    </row>
    <row r="343" spans="1:15" ht="15.75" customHeight="1">
      <c r="A343" s="18"/>
      <c r="B343" s="7"/>
      <c r="C343" s="8" t="str">
        <f>IFERROR(VLOOKUP($B343,'(勿動)組件目錄表'!$D$15:$R$1094,2,FALSE),"-")</f>
        <v>-</v>
      </c>
      <c r="D343" s="8" t="str">
        <f>IFERROR(VLOOKUP($B343,'(勿動)組件目錄表'!$D$15:$R$1094,3,FALSE),"-")</f>
        <v>-</v>
      </c>
      <c r="E343" s="9" t="str">
        <f>IFERROR(VLOOKUP($B343,'(勿動)組件目錄表'!$D$15:$R$1094,4,FALSE),"-")</f>
        <v>-</v>
      </c>
      <c r="F343" s="10" t="str">
        <f>IFERROR(VLOOKUP($B343,'(勿動)組件目錄表'!$D$15:$R$1094,5,FALSE),"-")</f>
        <v>-</v>
      </c>
      <c r="G343" s="11" t="str">
        <f>IFERROR(VLOOKUP($B343,'(勿動)組件目錄表'!$D$15:$R$1094,8,FALSE),"-")</f>
        <v>-</v>
      </c>
      <c r="H343" s="11" t="str">
        <f>IFERROR(VLOOKUP($B343,'(勿動)組件目錄表'!$D$15:$R$1094,9,FALSE),"-")</f>
        <v>-</v>
      </c>
      <c r="I343" s="11" t="str">
        <f>IFERROR(VLOOKUP($B343,'(勿動)組件目錄表'!$D$15:$R$1094,10,FALSE),"-")</f>
        <v>-</v>
      </c>
      <c r="J343" s="11" t="str">
        <f>IFERROR(VLOOKUP($B343,'(勿動)組件目錄表'!$D$15:$R$1094,11,FALSE),"-")</f>
        <v>-</v>
      </c>
      <c r="K343" s="11" t="str">
        <f>IFERROR(VLOOKUP($B343,'(勿動)組件目錄表'!$D$15:$R$1094,12,FALSE),"-")</f>
        <v>-</v>
      </c>
      <c r="L343" s="11" t="str">
        <f>IFERROR(VLOOKUP($B343,'(勿動)組件目錄表'!$D$15:$R$1094,13,FALSE),"-")</f>
        <v>-</v>
      </c>
      <c r="M343" s="11" t="str">
        <f>IFERROR(VLOOKUP($B343,'(勿動)組件目錄表'!$D$15:$R$1094,14,FALSE),"-")</f>
        <v>-</v>
      </c>
      <c r="N343" s="15">
        <f t="shared" si="1"/>
        <v>0</v>
      </c>
      <c r="O343" s="16"/>
    </row>
    <row r="344" spans="1:15" ht="15.75" customHeight="1">
      <c r="A344" s="18"/>
      <c r="B344" s="7"/>
      <c r="C344" s="8" t="str">
        <f>IFERROR(VLOOKUP($B344,'(勿動)組件目錄表'!$D$15:$R$1094,2,FALSE),"-")</f>
        <v>-</v>
      </c>
      <c r="D344" s="8" t="str">
        <f>IFERROR(VLOOKUP($B344,'(勿動)組件目錄表'!$D$15:$R$1094,3,FALSE),"-")</f>
        <v>-</v>
      </c>
      <c r="E344" s="9" t="str">
        <f>IFERROR(VLOOKUP($B344,'(勿動)組件目錄表'!$D$15:$R$1094,4,FALSE),"-")</f>
        <v>-</v>
      </c>
      <c r="F344" s="10" t="str">
        <f>IFERROR(VLOOKUP($B344,'(勿動)組件目錄表'!$D$15:$R$1094,5,FALSE),"-")</f>
        <v>-</v>
      </c>
      <c r="G344" s="11" t="str">
        <f>IFERROR(VLOOKUP($B344,'(勿動)組件目錄表'!$D$15:$R$1094,8,FALSE),"-")</f>
        <v>-</v>
      </c>
      <c r="H344" s="11" t="str">
        <f>IFERROR(VLOOKUP($B344,'(勿動)組件目錄表'!$D$15:$R$1094,9,FALSE),"-")</f>
        <v>-</v>
      </c>
      <c r="I344" s="11" t="str">
        <f>IFERROR(VLOOKUP($B344,'(勿動)組件目錄表'!$D$15:$R$1094,10,FALSE),"-")</f>
        <v>-</v>
      </c>
      <c r="J344" s="11" t="str">
        <f>IFERROR(VLOOKUP($B344,'(勿動)組件目錄表'!$D$15:$R$1094,11,FALSE),"-")</f>
        <v>-</v>
      </c>
      <c r="K344" s="11" t="str">
        <f>IFERROR(VLOOKUP($B344,'(勿動)組件目錄表'!$D$15:$R$1094,12,FALSE),"-")</f>
        <v>-</v>
      </c>
      <c r="L344" s="11" t="str">
        <f>IFERROR(VLOOKUP($B344,'(勿動)組件目錄表'!$D$15:$R$1094,13,FALSE),"-")</f>
        <v>-</v>
      </c>
      <c r="M344" s="11" t="str">
        <f>IFERROR(VLOOKUP($B344,'(勿動)組件目錄表'!$D$15:$R$1094,14,FALSE),"-")</f>
        <v>-</v>
      </c>
      <c r="N344" s="15">
        <f t="shared" si="1"/>
        <v>0</v>
      </c>
      <c r="O344" s="16"/>
    </row>
    <row r="345" spans="1:15" ht="15.75" customHeight="1">
      <c r="A345" s="18"/>
      <c r="B345" s="7"/>
      <c r="C345" s="8" t="str">
        <f>IFERROR(VLOOKUP($B345,'(勿動)組件目錄表'!$D$15:$R$1094,2,FALSE),"-")</f>
        <v>-</v>
      </c>
      <c r="D345" s="8" t="str">
        <f>IFERROR(VLOOKUP($B345,'(勿動)組件目錄表'!$D$15:$R$1094,3,FALSE),"-")</f>
        <v>-</v>
      </c>
      <c r="E345" s="9" t="str">
        <f>IFERROR(VLOOKUP($B345,'(勿動)組件目錄表'!$D$15:$R$1094,4,FALSE),"-")</f>
        <v>-</v>
      </c>
      <c r="F345" s="10" t="str">
        <f>IFERROR(VLOOKUP($B345,'(勿動)組件目錄表'!$D$15:$R$1094,5,FALSE),"-")</f>
        <v>-</v>
      </c>
      <c r="G345" s="11" t="str">
        <f>IFERROR(VLOOKUP($B345,'(勿動)組件目錄表'!$D$15:$R$1094,8,FALSE),"-")</f>
        <v>-</v>
      </c>
      <c r="H345" s="11" t="str">
        <f>IFERROR(VLOOKUP($B345,'(勿動)組件目錄表'!$D$15:$R$1094,9,FALSE),"-")</f>
        <v>-</v>
      </c>
      <c r="I345" s="11" t="str">
        <f>IFERROR(VLOOKUP($B345,'(勿動)組件目錄表'!$D$15:$R$1094,10,FALSE),"-")</f>
        <v>-</v>
      </c>
      <c r="J345" s="11" t="str">
        <f>IFERROR(VLOOKUP($B345,'(勿動)組件目錄表'!$D$15:$R$1094,11,FALSE),"-")</f>
        <v>-</v>
      </c>
      <c r="K345" s="11" t="str">
        <f>IFERROR(VLOOKUP($B345,'(勿動)組件目錄表'!$D$15:$R$1094,12,FALSE),"-")</f>
        <v>-</v>
      </c>
      <c r="L345" s="11" t="str">
        <f>IFERROR(VLOOKUP($B345,'(勿動)組件目錄表'!$D$15:$R$1094,13,FALSE),"-")</f>
        <v>-</v>
      </c>
      <c r="M345" s="11" t="str">
        <f>IFERROR(VLOOKUP($B345,'(勿動)組件目錄表'!$D$15:$R$1094,14,FALSE),"-")</f>
        <v>-</v>
      </c>
      <c r="N345" s="15">
        <f t="shared" si="1"/>
        <v>0</v>
      </c>
      <c r="O345" s="16"/>
    </row>
    <row r="346" spans="1:15" ht="15.75" customHeight="1">
      <c r="A346" s="18"/>
      <c r="B346" s="7"/>
      <c r="C346" s="8" t="str">
        <f>IFERROR(VLOOKUP($B346,'(勿動)組件目錄表'!$D$15:$R$1094,2,FALSE),"-")</f>
        <v>-</v>
      </c>
      <c r="D346" s="8" t="str">
        <f>IFERROR(VLOOKUP($B346,'(勿動)組件目錄表'!$D$15:$R$1094,3,FALSE),"-")</f>
        <v>-</v>
      </c>
      <c r="E346" s="9" t="str">
        <f>IFERROR(VLOOKUP($B346,'(勿動)組件目錄表'!$D$15:$R$1094,4,FALSE),"-")</f>
        <v>-</v>
      </c>
      <c r="F346" s="10" t="str">
        <f>IFERROR(VLOOKUP($B346,'(勿動)組件目錄表'!$D$15:$R$1094,5,FALSE),"-")</f>
        <v>-</v>
      </c>
      <c r="G346" s="11" t="str">
        <f>IFERROR(VLOOKUP($B346,'(勿動)組件目錄表'!$D$15:$R$1094,8,FALSE),"-")</f>
        <v>-</v>
      </c>
      <c r="H346" s="11" t="str">
        <f>IFERROR(VLOOKUP($B346,'(勿動)組件目錄表'!$D$15:$R$1094,9,FALSE),"-")</f>
        <v>-</v>
      </c>
      <c r="I346" s="11" t="str">
        <f>IFERROR(VLOOKUP($B346,'(勿動)組件目錄表'!$D$15:$R$1094,10,FALSE),"-")</f>
        <v>-</v>
      </c>
      <c r="J346" s="11" t="str">
        <f>IFERROR(VLOOKUP($B346,'(勿動)組件目錄表'!$D$15:$R$1094,11,FALSE),"-")</f>
        <v>-</v>
      </c>
      <c r="K346" s="11" t="str">
        <f>IFERROR(VLOOKUP($B346,'(勿動)組件目錄表'!$D$15:$R$1094,12,FALSE),"-")</f>
        <v>-</v>
      </c>
      <c r="L346" s="11" t="str">
        <f>IFERROR(VLOOKUP($B346,'(勿動)組件目錄表'!$D$15:$R$1094,13,FALSE),"-")</f>
        <v>-</v>
      </c>
      <c r="M346" s="11" t="str">
        <f>IFERROR(VLOOKUP($B346,'(勿動)組件目錄表'!$D$15:$R$1094,14,FALSE),"-")</f>
        <v>-</v>
      </c>
      <c r="N346" s="15">
        <f t="shared" si="1"/>
        <v>0</v>
      </c>
      <c r="O346" s="16"/>
    </row>
    <row r="347" spans="1:15" ht="15.75" customHeight="1">
      <c r="A347" s="18"/>
      <c r="B347" s="7"/>
      <c r="C347" s="8" t="str">
        <f>IFERROR(VLOOKUP($B347,'(勿動)組件目錄表'!$D$15:$R$1094,2,FALSE),"-")</f>
        <v>-</v>
      </c>
      <c r="D347" s="8" t="str">
        <f>IFERROR(VLOOKUP($B347,'(勿動)組件目錄表'!$D$15:$R$1094,3,FALSE),"-")</f>
        <v>-</v>
      </c>
      <c r="E347" s="9" t="str">
        <f>IFERROR(VLOOKUP($B347,'(勿動)組件目錄表'!$D$15:$R$1094,4,FALSE),"-")</f>
        <v>-</v>
      </c>
      <c r="F347" s="10" t="str">
        <f>IFERROR(VLOOKUP($B347,'(勿動)組件目錄表'!$D$15:$R$1094,5,FALSE),"-")</f>
        <v>-</v>
      </c>
      <c r="G347" s="11" t="str">
        <f>IFERROR(VLOOKUP($B347,'(勿動)組件目錄表'!$D$15:$R$1094,8,FALSE),"-")</f>
        <v>-</v>
      </c>
      <c r="H347" s="11" t="str">
        <f>IFERROR(VLOOKUP($B347,'(勿動)組件目錄表'!$D$15:$R$1094,9,FALSE),"-")</f>
        <v>-</v>
      </c>
      <c r="I347" s="11" t="str">
        <f>IFERROR(VLOOKUP($B347,'(勿動)組件目錄表'!$D$15:$R$1094,10,FALSE),"-")</f>
        <v>-</v>
      </c>
      <c r="J347" s="11" t="str">
        <f>IFERROR(VLOOKUP($B347,'(勿動)組件目錄表'!$D$15:$R$1094,11,FALSE),"-")</f>
        <v>-</v>
      </c>
      <c r="K347" s="11" t="str">
        <f>IFERROR(VLOOKUP($B347,'(勿動)組件目錄表'!$D$15:$R$1094,12,FALSE),"-")</f>
        <v>-</v>
      </c>
      <c r="L347" s="11" t="str">
        <f>IFERROR(VLOOKUP($B347,'(勿動)組件目錄表'!$D$15:$R$1094,13,FALSE),"-")</f>
        <v>-</v>
      </c>
      <c r="M347" s="11" t="str">
        <f>IFERROR(VLOOKUP($B347,'(勿動)組件目錄表'!$D$15:$R$1094,14,FALSE),"-")</f>
        <v>-</v>
      </c>
      <c r="N347" s="15">
        <f t="shared" si="1"/>
        <v>0</v>
      </c>
      <c r="O347" s="16"/>
    </row>
    <row r="348" spans="1:15" ht="15.75" customHeight="1">
      <c r="A348" s="18"/>
      <c r="B348" s="7"/>
      <c r="C348" s="8" t="str">
        <f>IFERROR(VLOOKUP($B348,'(勿動)組件目錄表'!$D$15:$R$1094,2,FALSE),"-")</f>
        <v>-</v>
      </c>
      <c r="D348" s="8" t="str">
        <f>IFERROR(VLOOKUP($B348,'(勿動)組件目錄表'!$D$15:$R$1094,3,FALSE),"-")</f>
        <v>-</v>
      </c>
      <c r="E348" s="9" t="str">
        <f>IFERROR(VLOOKUP($B348,'(勿動)組件目錄表'!$D$15:$R$1094,4,FALSE),"-")</f>
        <v>-</v>
      </c>
      <c r="F348" s="10" t="str">
        <f>IFERROR(VLOOKUP($B348,'(勿動)組件目錄表'!$D$15:$R$1094,5,FALSE),"-")</f>
        <v>-</v>
      </c>
      <c r="G348" s="11" t="str">
        <f>IFERROR(VLOOKUP($B348,'(勿動)組件目錄表'!$D$15:$R$1094,8,FALSE),"-")</f>
        <v>-</v>
      </c>
      <c r="H348" s="11" t="str">
        <f>IFERROR(VLOOKUP($B348,'(勿動)組件目錄表'!$D$15:$R$1094,9,FALSE),"-")</f>
        <v>-</v>
      </c>
      <c r="I348" s="11" t="str">
        <f>IFERROR(VLOOKUP($B348,'(勿動)組件目錄表'!$D$15:$R$1094,10,FALSE),"-")</f>
        <v>-</v>
      </c>
      <c r="J348" s="11" t="str">
        <f>IFERROR(VLOOKUP($B348,'(勿動)組件目錄表'!$D$15:$R$1094,11,FALSE),"-")</f>
        <v>-</v>
      </c>
      <c r="K348" s="11" t="str">
        <f>IFERROR(VLOOKUP($B348,'(勿動)組件目錄表'!$D$15:$R$1094,12,FALSE),"-")</f>
        <v>-</v>
      </c>
      <c r="L348" s="11" t="str">
        <f>IFERROR(VLOOKUP($B348,'(勿動)組件目錄表'!$D$15:$R$1094,13,FALSE),"-")</f>
        <v>-</v>
      </c>
      <c r="M348" s="11" t="str">
        <f>IFERROR(VLOOKUP($B348,'(勿動)組件目錄表'!$D$15:$R$1094,14,FALSE),"-")</f>
        <v>-</v>
      </c>
      <c r="N348" s="15">
        <f t="shared" si="1"/>
        <v>0</v>
      </c>
      <c r="O348" s="16"/>
    </row>
    <row r="349" spans="1:15" ht="15.75" customHeight="1">
      <c r="A349" s="18"/>
      <c r="B349" s="7"/>
      <c r="C349" s="8" t="str">
        <f>IFERROR(VLOOKUP($B349,'(勿動)組件目錄表'!$D$15:$R$1094,2,FALSE),"-")</f>
        <v>-</v>
      </c>
      <c r="D349" s="8" t="str">
        <f>IFERROR(VLOOKUP($B349,'(勿動)組件目錄表'!$D$15:$R$1094,3,FALSE),"-")</f>
        <v>-</v>
      </c>
      <c r="E349" s="9" t="str">
        <f>IFERROR(VLOOKUP($B349,'(勿動)組件目錄表'!$D$15:$R$1094,4,FALSE),"-")</f>
        <v>-</v>
      </c>
      <c r="F349" s="10" t="str">
        <f>IFERROR(VLOOKUP($B349,'(勿動)組件目錄表'!$D$15:$R$1094,5,FALSE),"-")</f>
        <v>-</v>
      </c>
      <c r="G349" s="11" t="str">
        <f>IFERROR(VLOOKUP($B349,'(勿動)組件目錄表'!$D$15:$R$1094,8,FALSE),"-")</f>
        <v>-</v>
      </c>
      <c r="H349" s="11" t="str">
        <f>IFERROR(VLOOKUP($B349,'(勿動)組件目錄表'!$D$15:$R$1094,9,FALSE),"-")</f>
        <v>-</v>
      </c>
      <c r="I349" s="11" t="str">
        <f>IFERROR(VLOOKUP($B349,'(勿動)組件目錄表'!$D$15:$R$1094,10,FALSE),"-")</f>
        <v>-</v>
      </c>
      <c r="J349" s="11" t="str">
        <f>IFERROR(VLOOKUP($B349,'(勿動)組件目錄表'!$D$15:$R$1094,11,FALSE),"-")</f>
        <v>-</v>
      </c>
      <c r="K349" s="11" t="str">
        <f>IFERROR(VLOOKUP($B349,'(勿動)組件目錄表'!$D$15:$R$1094,12,FALSE),"-")</f>
        <v>-</v>
      </c>
      <c r="L349" s="11" t="str">
        <f>IFERROR(VLOOKUP($B349,'(勿動)組件目錄表'!$D$15:$R$1094,13,FALSE),"-")</f>
        <v>-</v>
      </c>
      <c r="M349" s="11" t="str">
        <f>IFERROR(VLOOKUP($B349,'(勿動)組件目錄表'!$D$15:$R$1094,14,FALSE),"-")</f>
        <v>-</v>
      </c>
      <c r="N349" s="15">
        <f t="shared" si="1"/>
        <v>0</v>
      </c>
      <c r="O349" s="16"/>
    </row>
    <row r="350" spans="1:15" ht="15.75" customHeight="1">
      <c r="A350" s="18"/>
      <c r="B350" s="7"/>
      <c r="C350" s="8" t="str">
        <f>IFERROR(VLOOKUP($B350,'(勿動)組件目錄表'!$D$15:$R$1094,2,FALSE),"-")</f>
        <v>-</v>
      </c>
      <c r="D350" s="8" t="str">
        <f>IFERROR(VLOOKUP($B350,'(勿動)組件目錄表'!$D$15:$R$1094,3,FALSE),"-")</f>
        <v>-</v>
      </c>
      <c r="E350" s="9" t="str">
        <f>IFERROR(VLOOKUP($B350,'(勿動)組件目錄表'!$D$15:$R$1094,4,FALSE),"-")</f>
        <v>-</v>
      </c>
      <c r="F350" s="10" t="str">
        <f>IFERROR(VLOOKUP($B350,'(勿動)組件目錄表'!$D$15:$R$1094,5,FALSE),"-")</f>
        <v>-</v>
      </c>
      <c r="G350" s="11" t="str">
        <f>IFERROR(VLOOKUP($B350,'(勿動)組件目錄表'!$D$15:$R$1094,8,FALSE),"-")</f>
        <v>-</v>
      </c>
      <c r="H350" s="11" t="str">
        <f>IFERROR(VLOOKUP($B350,'(勿動)組件目錄表'!$D$15:$R$1094,9,FALSE),"-")</f>
        <v>-</v>
      </c>
      <c r="I350" s="11" t="str">
        <f>IFERROR(VLOOKUP($B350,'(勿動)組件目錄表'!$D$15:$R$1094,10,FALSE),"-")</f>
        <v>-</v>
      </c>
      <c r="J350" s="11" t="str">
        <f>IFERROR(VLOOKUP($B350,'(勿動)組件目錄表'!$D$15:$R$1094,11,FALSE),"-")</f>
        <v>-</v>
      </c>
      <c r="K350" s="11" t="str">
        <f>IFERROR(VLOOKUP($B350,'(勿動)組件目錄表'!$D$15:$R$1094,12,FALSE),"-")</f>
        <v>-</v>
      </c>
      <c r="L350" s="11" t="str">
        <f>IFERROR(VLOOKUP($B350,'(勿動)組件目錄表'!$D$15:$R$1094,13,FALSE),"-")</f>
        <v>-</v>
      </c>
      <c r="M350" s="11" t="str">
        <f>IFERROR(VLOOKUP($B350,'(勿動)組件目錄表'!$D$15:$R$1094,14,FALSE),"-")</f>
        <v>-</v>
      </c>
      <c r="N350" s="15">
        <f t="shared" si="1"/>
        <v>0</v>
      </c>
      <c r="O350" s="16"/>
    </row>
    <row r="351" spans="1:15" ht="15.75" customHeight="1">
      <c r="A351" s="18"/>
      <c r="B351" s="7"/>
      <c r="C351" s="8" t="str">
        <f>IFERROR(VLOOKUP($B351,'(勿動)組件目錄表'!$D$15:$R$1094,2,FALSE),"-")</f>
        <v>-</v>
      </c>
      <c r="D351" s="8" t="str">
        <f>IFERROR(VLOOKUP($B351,'(勿動)組件目錄表'!$D$15:$R$1094,3,FALSE),"-")</f>
        <v>-</v>
      </c>
      <c r="E351" s="9" t="str">
        <f>IFERROR(VLOOKUP($B351,'(勿動)組件目錄表'!$D$15:$R$1094,4,FALSE),"-")</f>
        <v>-</v>
      </c>
      <c r="F351" s="10" t="str">
        <f>IFERROR(VLOOKUP($B351,'(勿動)組件目錄表'!$D$15:$R$1094,5,FALSE),"-")</f>
        <v>-</v>
      </c>
      <c r="G351" s="11" t="str">
        <f>IFERROR(VLOOKUP($B351,'(勿動)組件目錄表'!$D$15:$R$1094,8,FALSE),"-")</f>
        <v>-</v>
      </c>
      <c r="H351" s="11" t="str">
        <f>IFERROR(VLOOKUP($B351,'(勿動)組件目錄表'!$D$15:$R$1094,9,FALSE),"-")</f>
        <v>-</v>
      </c>
      <c r="I351" s="11" t="str">
        <f>IFERROR(VLOOKUP($B351,'(勿動)組件目錄表'!$D$15:$R$1094,10,FALSE),"-")</f>
        <v>-</v>
      </c>
      <c r="J351" s="11" t="str">
        <f>IFERROR(VLOOKUP($B351,'(勿動)組件目錄表'!$D$15:$R$1094,11,FALSE),"-")</f>
        <v>-</v>
      </c>
      <c r="K351" s="11" t="str">
        <f>IFERROR(VLOOKUP($B351,'(勿動)組件目錄表'!$D$15:$R$1094,12,FALSE),"-")</f>
        <v>-</v>
      </c>
      <c r="L351" s="11" t="str">
        <f>IFERROR(VLOOKUP($B351,'(勿動)組件目錄表'!$D$15:$R$1094,13,FALSE),"-")</f>
        <v>-</v>
      </c>
      <c r="M351" s="11" t="str">
        <f>IFERROR(VLOOKUP($B351,'(勿動)組件目錄表'!$D$15:$R$1094,14,FALSE),"-")</f>
        <v>-</v>
      </c>
      <c r="N351" s="15">
        <f t="shared" si="1"/>
        <v>0</v>
      </c>
      <c r="O351" s="16"/>
    </row>
    <row r="352" spans="1:15" ht="15.75" customHeight="1">
      <c r="A352" s="18"/>
      <c r="B352" s="7"/>
      <c r="C352" s="8" t="str">
        <f>IFERROR(VLOOKUP($B352,'(勿動)組件目錄表'!$D$15:$R$1094,2,FALSE),"-")</f>
        <v>-</v>
      </c>
      <c r="D352" s="8" t="str">
        <f>IFERROR(VLOOKUP($B352,'(勿動)組件目錄表'!$D$15:$R$1094,3,FALSE),"-")</f>
        <v>-</v>
      </c>
      <c r="E352" s="9" t="str">
        <f>IFERROR(VLOOKUP($B352,'(勿動)組件目錄表'!$D$15:$R$1094,4,FALSE),"-")</f>
        <v>-</v>
      </c>
      <c r="F352" s="10" t="str">
        <f>IFERROR(VLOOKUP($B352,'(勿動)組件目錄表'!$D$15:$R$1094,5,FALSE),"-")</f>
        <v>-</v>
      </c>
      <c r="G352" s="11" t="str">
        <f>IFERROR(VLOOKUP($B352,'(勿動)組件目錄表'!$D$15:$R$1094,8,FALSE),"-")</f>
        <v>-</v>
      </c>
      <c r="H352" s="11" t="str">
        <f>IFERROR(VLOOKUP($B352,'(勿動)組件目錄表'!$D$15:$R$1094,9,FALSE),"-")</f>
        <v>-</v>
      </c>
      <c r="I352" s="11" t="str">
        <f>IFERROR(VLOOKUP($B352,'(勿動)組件目錄表'!$D$15:$R$1094,10,FALSE),"-")</f>
        <v>-</v>
      </c>
      <c r="J352" s="11" t="str">
        <f>IFERROR(VLOOKUP($B352,'(勿動)組件目錄表'!$D$15:$R$1094,11,FALSE),"-")</f>
        <v>-</v>
      </c>
      <c r="K352" s="11" t="str">
        <f>IFERROR(VLOOKUP($B352,'(勿動)組件目錄表'!$D$15:$R$1094,12,FALSE),"-")</f>
        <v>-</v>
      </c>
      <c r="L352" s="11" t="str">
        <f>IFERROR(VLOOKUP($B352,'(勿動)組件目錄表'!$D$15:$R$1094,13,FALSE),"-")</f>
        <v>-</v>
      </c>
      <c r="M352" s="11" t="str">
        <f>IFERROR(VLOOKUP($B352,'(勿動)組件目錄表'!$D$15:$R$1094,14,FALSE),"-")</f>
        <v>-</v>
      </c>
      <c r="N352" s="15">
        <f t="shared" si="1"/>
        <v>0</v>
      </c>
      <c r="O352" s="16"/>
    </row>
    <row r="353" spans="1:15" ht="15.75" customHeight="1">
      <c r="A353" s="18"/>
      <c r="B353" s="7"/>
      <c r="C353" s="8" t="str">
        <f>IFERROR(VLOOKUP($B353,'(勿動)組件目錄表'!$D$15:$R$1094,2,FALSE),"-")</f>
        <v>-</v>
      </c>
      <c r="D353" s="8" t="str">
        <f>IFERROR(VLOOKUP($B353,'(勿動)組件目錄表'!$D$15:$R$1094,3,FALSE),"-")</f>
        <v>-</v>
      </c>
      <c r="E353" s="9" t="str">
        <f>IFERROR(VLOOKUP($B353,'(勿動)組件目錄表'!$D$15:$R$1094,4,FALSE),"-")</f>
        <v>-</v>
      </c>
      <c r="F353" s="10" t="str">
        <f>IFERROR(VLOOKUP($B353,'(勿動)組件目錄表'!$D$15:$R$1094,5,FALSE),"-")</f>
        <v>-</v>
      </c>
      <c r="G353" s="11" t="str">
        <f>IFERROR(VLOOKUP($B353,'(勿動)組件目錄表'!$D$15:$R$1094,8,FALSE),"-")</f>
        <v>-</v>
      </c>
      <c r="H353" s="11" t="str">
        <f>IFERROR(VLOOKUP($B353,'(勿動)組件目錄表'!$D$15:$R$1094,9,FALSE),"-")</f>
        <v>-</v>
      </c>
      <c r="I353" s="11" t="str">
        <f>IFERROR(VLOOKUP($B353,'(勿動)組件目錄表'!$D$15:$R$1094,10,FALSE),"-")</f>
        <v>-</v>
      </c>
      <c r="J353" s="11" t="str">
        <f>IFERROR(VLOOKUP($B353,'(勿動)組件目錄表'!$D$15:$R$1094,11,FALSE),"-")</f>
        <v>-</v>
      </c>
      <c r="K353" s="11" t="str">
        <f>IFERROR(VLOOKUP($B353,'(勿動)組件目錄表'!$D$15:$R$1094,12,FALSE),"-")</f>
        <v>-</v>
      </c>
      <c r="L353" s="11" t="str">
        <f>IFERROR(VLOOKUP($B353,'(勿動)組件目錄表'!$D$15:$R$1094,13,FALSE),"-")</f>
        <v>-</v>
      </c>
      <c r="M353" s="11" t="str">
        <f>IFERROR(VLOOKUP($B353,'(勿動)組件目錄表'!$D$15:$R$1094,14,FALSE),"-")</f>
        <v>-</v>
      </c>
      <c r="N353" s="15">
        <f t="shared" si="1"/>
        <v>0</v>
      </c>
      <c r="O353" s="16"/>
    </row>
    <row r="354" spans="1:15" ht="15.75" customHeight="1">
      <c r="A354" s="18"/>
      <c r="B354" s="7"/>
      <c r="C354" s="8" t="str">
        <f>IFERROR(VLOOKUP($B354,'(勿動)組件目錄表'!$D$15:$R$1094,2,FALSE),"-")</f>
        <v>-</v>
      </c>
      <c r="D354" s="8" t="str">
        <f>IFERROR(VLOOKUP($B354,'(勿動)組件目錄表'!$D$15:$R$1094,3,FALSE),"-")</f>
        <v>-</v>
      </c>
      <c r="E354" s="9" t="str">
        <f>IFERROR(VLOOKUP($B354,'(勿動)組件目錄表'!$D$15:$R$1094,4,FALSE),"-")</f>
        <v>-</v>
      </c>
      <c r="F354" s="10" t="str">
        <f>IFERROR(VLOOKUP($B354,'(勿動)組件目錄表'!$D$15:$R$1094,5,FALSE),"-")</f>
        <v>-</v>
      </c>
      <c r="G354" s="11" t="str">
        <f>IFERROR(VLOOKUP($B354,'(勿動)組件目錄表'!$D$15:$R$1094,8,FALSE),"-")</f>
        <v>-</v>
      </c>
      <c r="H354" s="11" t="str">
        <f>IFERROR(VLOOKUP($B354,'(勿動)組件目錄表'!$D$15:$R$1094,9,FALSE),"-")</f>
        <v>-</v>
      </c>
      <c r="I354" s="11" t="str">
        <f>IFERROR(VLOOKUP($B354,'(勿動)組件目錄表'!$D$15:$R$1094,10,FALSE),"-")</f>
        <v>-</v>
      </c>
      <c r="J354" s="11" t="str">
        <f>IFERROR(VLOOKUP($B354,'(勿動)組件目錄表'!$D$15:$R$1094,11,FALSE),"-")</f>
        <v>-</v>
      </c>
      <c r="K354" s="11" t="str">
        <f>IFERROR(VLOOKUP($B354,'(勿動)組件目錄表'!$D$15:$R$1094,12,FALSE),"-")</f>
        <v>-</v>
      </c>
      <c r="L354" s="11" t="str">
        <f>IFERROR(VLOOKUP($B354,'(勿動)組件目錄表'!$D$15:$R$1094,13,FALSE),"-")</f>
        <v>-</v>
      </c>
      <c r="M354" s="11" t="str">
        <f>IFERROR(VLOOKUP($B354,'(勿動)組件目錄表'!$D$15:$R$1094,14,FALSE),"-")</f>
        <v>-</v>
      </c>
      <c r="N354" s="15">
        <f t="shared" si="1"/>
        <v>0</v>
      </c>
      <c r="O354" s="16"/>
    </row>
    <row r="355" spans="1:15" ht="15.75" customHeight="1">
      <c r="A355" s="18"/>
      <c r="B355" s="7"/>
      <c r="C355" s="8" t="str">
        <f>IFERROR(VLOOKUP($B355,'(勿動)組件目錄表'!$D$15:$R$1094,2,FALSE),"-")</f>
        <v>-</v>
      </c>
      <c r="D355" s="8" t="str">
        <f>IFERROR(VLOOKUP($B355,'(勿動)組件目錄表'!$D$15:$R$1094,3,FALSE),"-")</f>
        <v>-</v>
      </c>
      <c r="E355" s="9" t="str">
        <f>IFERROR(VLOOKUP($B355,'(勿動)組件目錄表'!$D$15:$R$1094,4,FALSE),"-")</f>
        <v>-</v>
      </c>
      <c r="F355" s="10" t="str">
        <f>IFERROR(VLOOKUP($B355,'(勿動)組件目錄表'!$D$15:$R$1094,5,FALSE),"-")</f>
        <v>-</v>
      </c>
      <c r="G355" s="11" t="str">
        <f>IFERROR(VLOOKUP($B355,'(勿動)組件目錄表'!$D$15:$R$1094,8,FALSE),"-")</f>
        <v>-</v>
      </c>
      <c r="H355" s="11" t="str">
        <f>IFERROR(VLOOKUP($B355,'(勿動)組件目錄表'!$D$15:$R$1094,9,FALSE),"-")</f>
        <v>-</v>
      </c>
      <c r="I355" s="11" t="str">
        <f>IFERROR(VLOOKUP($B355,'(勿動)組件目錄表'!$D$15:$R$1094,10,FALSE),"-")</f>
        <v>-</v>
      </c>
      <c r="J355" s="11" t="str">
        <f>IFERROR(VLOOKUP($B355,'(勿動)組件目錄表'!$D$15:$R$1094,11,FALSE),"-")</f>
        <v>-</v>
      </c>
      <c r="K355" s="11" t="str">
        <f>IFERROR(VLOOKUP($B355,'(勿動)組件目錄表'!$D$15:$R$1094,12,FALSE),"-")</f>
        <v>-</v>
      </c>
      <c r="L355" s="11" t="str">
        <f>IFERROR(VLOOKUP($B355,'(勿動)組件目錄表'!$D$15:$R$1094,13,FALSE),"-")</f>
        <v>-</v>
      </c>
      <c r="M355" s="11" t="str">
        <f>IFERROR(VLOOKUP($B355,'(勿動)組件目錄表'!$D$15:$R$1094,14,FALSE),"-")</f>
        <v>-</v>
      </c>
      <c r="N355" s="15">
        <f t="shared" si="1"/>
        <v>0</v>
      </c>
      <c r="O355" s="16"/>
    </row>
    <row r="356" spans="1:15" ht="15.75" customHeight="1">
      <c r="A356" s="18"/>
      <c r="B356" s="7"/>
      <c r="C356" s="8" t="str">
        <f>IFERROR(VLOOKUP($B356,'(勿動)組件目錄表'!$D$15:$R$1094,2,FALSE),"-")</f>
        <v>-</v>
      </c>
      <c r="D356" s="8" t="str">
        <f>IFERROR(VLOOKUP($B356,'(勿動)組件目錄表'!$D$15:$R$1094,3,FALSE),"-")</f>
        <v>-</v>
      </c>
      <c r="E356" s="9" t="str">
        <f>IFERROR(VLOOKUP($B356,'(勿動)組件目錄表'!$D$15:$R$1094,4,FALSE),"-")</f>
        <v>-</v>
      </c>
      <c r="F356" s="10" t="str">
        <f>IFERROR(VLOOKUP($B356,'(勿動)組件目錄表'!$D$15:$R$1094,5,FALSE),"-")</f>
        <v>-</v>
      </c>
      <c r="G356" s="11" t="str">
        <f>IFERROR(VLOOKUP($B356,'(勿動)組件目錄表'!$D$15:$R$1094,8,FALSE),"-")</f>
        <v>-</v>
      </c>
      <c r="H356" s="11" t="str">
        <f>IFERROR(VLOOKUP($B356,'(勿動)組件目錄表'!$D$15:$R$1094,9,FALSE),"-")</f>
        <v>-</v>
      </c>
      <c r="I356" s="11" t="str">
        <f>IFERROR(VLOOKUP($B356,'(勿動)組件目錄表'!$D$15:$R$1094,10,FALSE),"-")</f>
        <v>-</v>
      </c>
      <c r="J356" s="11" t="str">
        <f>IFERROR(VLOOKUP($B356,'(勿動)組件目錄表'!$D$15:$R$1094,11,FALSE),"-")</f>
        <v>-</v>
      </c>
      <c r="K356" s="11" t="str">
        <f>IFERROR(VLOOKUP($B356,'(勿動)組件目錄表'!$D$15:$R$1094,12,FALSE),"-")</f>
        <v>-</v>
      </c>
      <c r="L356" s="11" t="str">
        <f>IFERROR(VLOOKUP($B356,'(勿動)組件目錄表'!$D$15:$R$1094,13,FALSE),"-")</f>
        <v>-</v>
      </c>
      <c r="M356" s="11" t="str">
        <f>IFERROR(VLOOKUP($B356,'(勿動)組件目錄表'!$D$15:$R$1094,14,FALSE),"-")</f>
        <v>-</v>
      </c>
      <c r="N356" s="15">
        <f t="shared" si="1"/>
        <v>0</v>
      </c>
      <c r="O356" s="16"/>
    </row>
    <row r="357" spans="1:15" ht="15.75" customHeight="1">
      <c r="A357" s="18"/>
      <c r="B357" s="7"/>
      <c r="C357" s="8" t="str">
        <f>IFERROR(VLOOKUP($B357,'(勿動)組件目錄表'!$D$15:$R$1094,2,FALSE),"-")</f>
        <v>-</v>
      </c>
      <c r="D357" s="8" t="str">
        <f>IFERROR(VLOOKUP($B357,'(勿動)組件目錄表'!$D$15:$R$1094,3,FALSE),"-")</f>
        <v>-</v>
      </c>
      <c r="E357" s="9" t="str">
        <f>IFERROR(VLOOKUP($B357,'(勿動)組件目錄表'!$D$15:$R$1094,4,FALSE),"-")</f>
        <v>-</v>
      </c>
      <c r="F357" s="10" t="str">
        <f>IFERROR(VLOOKUP($B357,'(勿動)組件目錄表'!$D$15:$R$1094,5,FALSE),"-")</f>
        <v>-</v>
      </c>
      <c r="G357" s="11" t="str">
        <f>IFERROR(VLOOKUP($B357,'(勿動)組件目錄表'!$D$15:$R$1094,8,FALSE),"-")</f>
        <v>-</v>
      </c>
      <c r="H357" s="11" t="str">
        <f>IFERROR(VLOOKUP($B357,'(勿動)組件目錄表'!$D$15:$R$1094,9,FALSE),"-")</f>
        <v>-</v>
      </c>
      <c r="I357" s="11" t="str">
        <f>IFERROR(VLOOKUP($B357,'(勿動)組件目錄表'!$D$15:$R$1094,10,FALSE),"-")</f>
        <v>-</v>
      </c>
      <c r="J357" s="11" t="str">
        <f>IFERROR(VLOOKUP($B357,'(勿動)組件目錄表'!$D$15:$R$1094,11,FALSE),"-")</f>
        <v>-</v>
      </c>
      <c r="K357" s="11" t="str">
        <f>IFERROR(VLOOKUP($B357,'(勿動)組件目錄表'!$D$15:$R$1094,12,FALSE),"-")</f>
        <v>-</v>
      </c>
      <c r="L357" s="11" t="str">
        <f>IFERROR(VLOOKUP($B357,'(勿動)組件目錄表'!$D$15:$R$1094,13,FALSE),"-")</f>
        <v>-</v>
      </c>
      <c r="M357" s="11" t="str">
        <f>IFERROR(VLOOKUP($B357,'(勿動)組件目錄表'!$D$15:$R$1094,14,FALSE),"-")</f>
        <v>-</v>
      </c>
      <c r="N357" s="15">
        <f t="shared" si="1"/>
        <v>0</v>
      </c>
      <c r="O357" s="16"/>
    </row>
    <row r="358" spans="1:15" ht="15.75" customHeight="1">
      <c r="A358" s="18"/>
      <c r="B358" s="7"/>
      <c r="C358" s="8" t="str">
        <f>IFERROR(VLOOKUP($B358,'(勿動)組件目錄表'!$D$15:$R$1094,2,FALSE),"-")</f>
        <v>-</v>
      </c>
      <c r="D358" s="8" t="str">
        <f>IFERROR(VLOOKUP($B358,'(勿動)組件目錄表'!$D$15:$R$1094,3,FALSE),"-")</f>
        <v>-</v>
      </c>
      <c r="E358" s="9" t="str">
        <f>IFERROR(VLOOKUP($B358,'(勿動)組件目錄表'!$D$15:$R$1094,4,FALSE),"-")</f>
        <v>-</v>
      </c>
      <c r="F358" s="10" t="str">
        <f>IFERROR(VLOOKUP($B358,'(勿動)組件目錄表'!$D$15:$R$1094,5,FALSE),"-")</f>
        <v>-</v>
      </c>
      <c r="G358" s="11" t="str">
        <f>IFERROR(VLOOKUP($B358,'(勿動)組件目錄表'!$D$15:$R$1094,8,FALSE),"-")</f>
        <v>-</v>
      </c>
      <c r="H358" s="11" t="str">
        <f>IFERROR(VLOOKUP($B358,'(勿動)組件目錄表'!$D$15:$R$1094,9,FALSE),"-")</f>
        <v>-</v>
      </c>
      <c r="I358" s="11" t="str">
        <f>IFERROR(VLOOKUP($B358,'(勿動)組件目錄表'!$D$15:$R$1094,10,FALSE),"-")</f>
        <v>-</v>
      </c>
      <c r="J358" s="11" t="str">
        <f>IFERROR(VLOOKUP($B358,'(勿動)組件目錄表'!$D$15:$R$1094,11,FALSE),"-")</f>
        <v>-</v>
      </c>
      <c r="K358" s="11" t="str">
        <f>IFERROR(VLOOKUP($B358,'(勿動)組件目錄表'!$D$15:$R$1094,12,FALSE),"-")</f>
        <v>-</v>
      </c>
      <c r="L358" s="11" t="str">
        <f>IFERROR(VLOOKUP($B358,'(勿動)組件目錄表'!$D$15:$R$1094,13,FALSE),"-")</f>
        <v>-</v>
      </c>
      <c r="M358" s="11" t="str">
        <f>IFERROR(VLOOKUP($B358,'(勿動)組件目錄表'!$D$15:$R$1094,14,FALSE),"-")</f>
        <v>-</v>
      </c>
      <c r="N358" s="15">
        <f t="shared" si="1"/>
        <v>0</v>
      </c>
      <c r="O358" s="16"/>
    </row>
    <row r="359" spans="1:15" ht="15.75" customHeight="1">
      <c r="A359" s="18"/>
      <c r="B359" s="7"/>
      <c r="C359" s="8" t="str">
        <f>IFERROR(VLOOKUP($B359,'(勿動)組件目錄表'!$D$15:$R$1094,2,FALSE),"-")</f>
        <v>-</v>
      </c>
      <c r="D359" s="8" t="str">
        <f>IFERROR(VLOOKUP($B359,'(勿動)組件目錄表'!$D$15:$R$1094,3,FALSE),"-")</f>
        <v>-</v>
      </c>
      <c r="E359" s="9" t="str">
        <f>IFERROR(VLOOKUP($B359,'(勿動)組件目錄表'!$D$15:$R$1094,4,FALSE),"-")</f>
        <v>-</v>
      </c>
      <c r="F359" s="10" t="str">
        <f>IFERROR(VLOOKUP($B359,'(勿動)組件目錄表'!$D$15:$R$1094,5,FALSE),"-")</f>
        <v>-</v>
      </c>
      <c r="G359" s="11" t="str">
        <f>IFERROR(VLOOKUP($B359,'(勿動)組件目錄表'!$D$15:$R$1094,8,FALSE),"-")</f>
        <v>-</v>
      </c>
      <c r="H359" s="11" t="str">
        <f>IFERROR(VLOOKUP($B359,'(勿動)組件目錄表'!$D$15:$R$1094,9,FALSE),"-")</f>
        <v>-</v>
      </c>
      <c r="I359" s="11" t="str">
        <f>IFERROR(VLOOKUP($B359,'(勿動)組件目錄表'!$D$15:$R$1094,10,FALSE),"-")</f>
        <v>-</v>
      </c>
      <c r="J359" s="11" t="str">
        <f>IFERROR(VLOOKUP($B359,'(勿動)組件目錄表'!$D$15:$R$1094,11,FALSE),"-")</f>
        <v>-</v>
      </c>
      <c r="K359" s="11" t="str">
        <f>IFERROR(VLOOKUP($B359,'(勿動)組件目錄表'!$D$15:$R$1094,12,FALSE),"-")</f>
        <v>-</v>
      </c>
      <c r="L359" s="11" t="str">
        <f>IFERROR(VLOOKUP($B359,'(勿動)組件目錄表'!$D$15:$R$1094,13,FALSE),"-")</f>
        <v>-</v>
      </c>
      <c r="M359" s="11" t="str">
        <f>IFERROR(VLOOKUP($B359,'(勿動)組件目錄表'!$D$15:$R$1094,14,FALSE),"-")</f>
        <v>-</v>
      </c>
      <c r="N359" s="15">
        <f t="shared" si="1"/>
        <v>0</v>
      </c>
      <c r="O359" s="16"/>
    </row>
    <row r="360" spans="1:15" ht="15.75" customHeight="1">
      <c r="A360" s="18"/>
      <c r="B360" s="7"/>
      <c r="C360" s="8" t="str">
        <f>IFERROR(VLOOKUP($B360,'(勿動)組件目錄表'!$D$15:$R$1094,2,FALSE),"-")</f>
        <v>-</v>
      </c>
      <c r="D360" s="8" t="str">
        <f>IFERROR(VLOOKUP($B360,'(勿動)組件目錄表'!$D$15:$R$1094,3,FALSE),"-")</f>
        <v>-</v>
      </c>
      <c r="E360" s="9" t="str">
        <f>IFERROR(VLOOKUP($B360,'(勿動)組件目錄表'!$D$15:$R$1094,4,FALSE),"-")</f>
        <v>-</v>
      </c>
      <c r="F360" s="10" t="str">
        <f>IFERROR(VLOOKUP($B360,'(勿動)組件目錄表'!$D$15:$R$1094,5,FALSE),"-")</f>
        <v>-</v>
      </c>
      <c r="G360" s="11" t="str">
        <f>IFERROR(VLOOKUP($B360,'(勿動)組件目錄表'!$D$15:$R$1094,8,FALSE),"-")</f>
        <v>-</v>
      </c>
      <c r="H360" s="11" t="str">
        <f>IFERROR(VLOOKUP($B360,'(勿動)組件目錄表'!$D$15:$R$1094,9,FALSE),"-")</f>
        <v>-</v>
      </c>
      <c r="I360" s="11" t="str">
        <f>IFERROR(VLOOKUP($B360,'(勿動)組件目錄表'!$D$15:$R$1094,10,FALSE),"-")</f>
        <v>-</v>
      </c>
      <c r="J360" s="11" t="str">
        <f>IFERROR(VLOOKUP($B360,'(勿動)組件目錄表'!$D$15:$R$1094,11,FALSE),"-")</f>
        <v>-</v>
      </c>
      <c r="K360" s="11" t="str">
        <f>IFERROR(VLOOKUP($B360,'(勿動)組件目錄表'!$D$15:$R$1094,12,FALSE),"-")</f>
        <v>-</v>
      </c>
      <c r="L360" s="11" t="str">
        <f>IFERROR(VLOOKUP($B360,'(勿動)組件目錄表'!$D$15:$R$1094,13,FALSE),"-")</f>
        <v>-</v>
      </c>
      <c r="M360" s="11" t="str">
        <f>IFERROR(VLOOKUP($B360,'(勿動)組件目錄表'!$D$15:$R$1094,14,FALSE),"-")</f>
        <v>-</v>
      </c>
      <c r="N360" s="15">
        <f t="shared" si="1"/>
        <v>0</v>
      </c>
      <c r="O360" s="16"/>
    </row>
    <row r="361" spans="1:15" ht="15.75" customHeight="1">
      <c r="A361" s="18"/>
      <c r="B361" s="7"/>
      <c r="C361" s="8" t="str">
        <f>IFERROR(VLOOKUP($B361,'(勿動)組件目錄表'!$D$15:$R$1094,2,FALSE),"-")</f>
        <v>-</v>
      </c>
      <c r="D361" s="8" t="str">
        <f>IFERROR(VLOOKUP($B361,'(勿動)組件目錄表'!$D$15:$R$1094,3,FALSE),"-")</f>
        <v>-</v>
      </c>
      <c r="E361" s="9" t="str">
        <f>IFERROR(VLOOKUP($B361,'(勿動)組件目錄表'!$D$15:$R$1094,4,FALSE),"-")</f>
        <v>-</v>
      </c>
      <c r="F361" s="10" t="str">
        <f>IFERROR(VLOOKUP($B361,'(勿動)組件目錄表'!$D$15:$R$1094,5,FALSE),"-")</f>
        <v>-</v>
      </c>
      <c r="G361" s="11" t="str">
        <f>IFERROR(VLOOKUP($B361,'(勿動)組件目錄表'!$D$15:$R$1094,8,FALSE),"-")</f>
        <v>-</v>
      </c>
      <c r="H361" s="11" t="str">
        <f>IFERROR(VLOOKUP($B361,'(勿動)組件目錄表'!$D$15:$R$1094,9,FALSE),"-")</f>
        <v>-</v>
      </c>
      <c r="I361" s="11" t="str">
        <f>IFERROR(VLOOKUP($B361,'(勿動)組件目錄表'!$D$15:$R$1094,10,FALSE),"-")</f>
        <v>-</v>
      </c>
      <c r="J361" s="11" t="str">
        <f>IFERROR(VLOOKUP($B361,'(勿動)組件目錄表'!$D$15:$R$1094,11,FALSE),"-")</f>
        <v>-</v>
      </c>
      <c r="K361" s="11" t="str">
        <f>IFERROR(VLOOKUP($B361,'(勿動)組件目錄表'!$D$15:$R$1094,12,FALSE),"-")</f>
        <v>-</v>
      </c>
      <c r="L361" s="11" t="str">
        <f>IFERROR(VLOOKUP($B361,'(勿動)組件目錄表'!$D$15:$R$1094,13,FALSE),"-")</f>
        <v>-</v>
      </c>
      <c r="M361" s="11" t="str">
        <f>IFERROR(VLOOKUP($B361,'(勿動)組件目錄表'!$D$15:$R$1094,14,FALSE),"-")</f>
        <v>-</v>
      </c>
      <c r="N361" s="15">
        <f t="shared" si="1"/>
        <v>0</v>
      </c>
      <c r="O361" s="16"/>
    </row>
    <row r="362" spans="1:15" ht="15.75" customHeight="1">
      <c r="A362" s="18"/>
      <c r="B362" s="7"/>
      <c r="C362" s="8" t="str">
        <f>IFERROR(VLOOKUP($B362,'(勿動)組件目錄表'!$D$15:$R$1094,2,FALSE),"-")</f>
        <v>-</v>
      </c>
      <c r="D362" s="8" t="str">
        <f>IFERROR(VLOOKUP($B362,'(勿動)組件目錄表'!$D$15:$R$1094,3,FALSE),"-")</f>
        <v>-</v>
      </c>
      <c r="E362" s="9" t="str">
        <f>IFERROR(VLOOKUP($B362,'(勿動)組件目錄表'!$D$15:$R$1094,4,FALSE),"-")</f>
        <v>-</v>
      </c>
      <c r="F362" s="10" t="str">
        <f>IFERROR(VLOOKUP($B362,'(勿動)組件目錄表'!$D$15:$R$1094,5,FALSE),"-")</f>
        <v>-</v>
      </c>
      <c r="G362" s="11" t="str">
        <f>IFERROR(VLOOKUP($B362,'(勿動)組件目錄表'!$D$15:$R$1094,8,FALSE),"-")</f>
        <v>-</v>
      </c>
      <c r="H362" s="11" t="str">
        <f>IFERROR(VLOOKUP($B362,'(勿動)組件目錄表'!$D$15:$R$1094,9,FALSE),"-")</f>
        <v>-</v>
      </c>
      <c r="I362" s="11" t="str">
        <f>IFERROR(VLOOKUP($B362,'(勿動)組件目錄表'!$D$15:$R$1094,10,FALSE),"-")</f>
        <v>-</v>
      </c>
      <c r="J362" s="11" t="str">
        <f>IFERROR(VLOOKUP($B362,'(勿動)組件目錄表'!$D$15:$R$1094,11,FALSE),"-")</f>
        <v>-</v>
      </c>
      <c r="K362" s="11" t="str">
        <f>IFERROR(VLOOKUP($B362,'(勿動)組件目錄表'!$D$15:$R$1094,12,FALSE),"-")</f>
        <v>-</v>
      </c>
      <c r="L362" s="11" t="str">
        <f>IFERROR(VLOOKUP($B362,'(勿動)組件目錄表'!$D$15:$R$1094,13,FALSE),"-")</f>
        <v>-</v>
      </c>
      <c r="M362" s="11" t="str">
        <f>IFERROR(VLOOKUP($B362,'(勿動)組件目錄表'!$D$15:$R$1094,14,FALSE),"-")</f>
        <v>-</v>
      </c>
      <c r="N362" s="15">
        <f t="shared" si="1"/>
        <v>0</v>
      </c>
      <c r="O362" s="16"/>
    </row>
    <row r="363" spans="1:15" ht="15.75" customHeight="1">
      <c r="A363" s="18"/>
      <c r="B363" s="7"/>
      <c r="C363" s="8" t="str">
        <f>IFERROR(VLOOKUP($B363,'(勿動)組件目錄表'!$D$15:$R$1094,2,FALSE),"-")</f>
        <v>-</v>
      </c>
      <c r="D363" s="8" t="str">
        <f>IFERROR(VLOOKUP($B363,'(勿動)組件目錄表'!$D$15:$R$1094,3,FALSE),"-")</f>
        <v>-</v>
      </c>
      <c r="E363" s="9" t="str">
        <f>IFERROR(VLOOKUP($B363,'(勿動)組件目錄表'!$D$15:$R$1094,4,FALSE),"-")</f>
        <v>-</v>
      </c>
      <c r="F363" s="10" t="str">
        <f>IFERROR(VLOOKUP($B363,'(勿動)組件目錄表'!$D$15:$R$1094,5,FALSE),"-")</f>
        <v>-</v>
      </c>
      <c r="G363" s="11" t="str">
        <f>IFERROR(VLOOKUP($B363,'(勿動)組件目錄表'!$D$15:$R$1094,8,FALSE),"-")</f>
        <v>-</v>
      </c>
      <c r="H363" s="11" t="str">
        <f>IFERROR(VLOOKUP($B363,'(勿動)組件目錄表'!$D$15:$R$1094,9,FALSE),"-")</f>
        <v>-</v>
      </c>
      <c r="I363" s="11" t="str">
        <f>IFERROR(VLOOKUP($B363,'(勿動)組件目錄表'!$D$15:$R$1094,10,FALSE),"-")</f>
        <v>-</v>
      </c>
      <c r="J363" s="11" t="str">
        <f>IFERROR(VLOOKUP($B363,'(勿動)組件目錄表'!$D$15:$R$1094,11,FALSE),"-")</f>
        <v>-</v>
      </c>
      <c r="K363" s="11" t="str">
        <f>IFERROR(VLOOKUP($B363,'(勿動)組件目錄表'!$D$15:$R$1094,12,FALSE),"-")</f>
        <v>-</v>
      </c>
      <c r="L363" s="11" t="str">
        <f>IFERROR(VLOOKUP($B363,'(勿動)組件目錄表'!$D$15:$R$1094,13,FALSE),"-")</f>
        <v>-</v>
      </c>
      <c r="M363" s="11" t="str">
        <f>IFERROR(VLOOKUP($B363,'(勿動)組件目錄表'!$D$15:$R$1094,14,FALSE),"-")</f>
        <v>-</v>
      </c>
      <c r="N363" s="15">
        <f t="shared" si="1"/>
        <v>0</v>
      </c>
      <c r="O363" s="16"/>
    </row>
    <row r="364" spans="1:15" ht="15.75" customHeight="1">
      <c r="A364" s="18"/>
      <c r="B364" s="7"/>
      <c r="C364" s="8" t="str">
        <f>IFERROR(VLOOKUP($B364,'(勿動)組件目錄表'!$D$15:$R$1094,2,FALSE),"-")</f>
        <v>-</v>
      </c>
      <c r="D364" s="8" t="str">
        <f>IFERROR(VLOOKUP($B364,'(勿動)組件目錄表'!$D$15:$R$1094,3,FALSE),"-")</f>
        <v>-</v>
      </c>
      <c r="E364" s="9" t="str">
        <f>IFERROR(VLOOKUP($B364,'(勿動)組件目錄表'!$D$15:$R$1094,4,FALSE),"-")</f>
        <v>-</v>
      </c>
      <c r="F364" s="10" t="str">
        <f>IFERROR(VLOOKUP($B364,'(勿動)組件目錄表'!$D$15:$R$1094,5,FALSE),"-")</f>
        <v>-</v>
      </c>
      <c r="G364" s="11" t="str">
        <f>IFERROR(VLOOKUP($B364,'(勿動)組件目錄表'!$D$15:$R$1094,8,FALSE),"-")</f>
        <v>-</v>
      </c>
      <c r="H364" s="11" t="str">
        <f>IFERROR(VLOOKUP($B364,'(勿動)組件目錄表'!$D$15:$R$1094,9,FALSE),"-")</f>
        <v>-</v>
      </c>
      <c r="I364" s="11" t="str">
        <f>IFERROR(VLOOKUP($B364,'(勿動)組件目錄表'!$D$15:$R$1094,10,FALSE),"-")</f>
        <v>-</v>
      </c>
      <c r="J364" s="11" t="str">
        <f>IFERROR(VLOOKUP($B364,'(勿動)組件目錄表'!$D$15:$R$1094,11,FALSE),"-")</f>
        <v>-</v>
      </c>
      <c r="K364" s="11" t="str">
        <f>IFERROR(VLOOKUP($B364,'(勿動)組件目錄表'!$D$15:$R$1094,12,FALSE),"-")</f>
        <v>-</v>
      </c>
      <c r="L364" s="11" t="str">
        <f>IFERROR(VLOOKUP($B364,'(勿動)組件目錄表'!$D$15:$R$1094,13,FALSE),"-")</f>
        <v>-</v>
      </c>
      <c r="M364" s="11" t="str">
        <f>IFERROR(VLOOKUP($B364,'(勿動)組件目錄表'!$D$15:$R$1094,14,FALSE),"-")</f>
        <v>-</v>
      </c>
      <c r="N364" s="15">
        <f t="shared" si="1"/>
        <v>0</v>
      </c>
      <c r="O364" s="16"/>
    </row>
    <row r="365" spans="1:15" ht="15.75" customHeight="1">
      <c r="A365" s="18"/>
      <c r="B365" s="7"/>
      <c r="C365" s="8" t="str">
        <f>IFERROR(VLOOKUP($B365,'(勿動)組件目錄表'!$D$15:$R$1094,2,FALSE),"-")</f>
        <v>-</v>
      </c>
      <c r="D365" s="8" t="str">
        <f>IFERROR(VLOOKUP($B365,'(勿動)組件目錄表'!$D$15:$R$1094,3,FALSE),"-")</f>
        <v>-</v>
      </c>
      <c r="E365" s="9" t="str">
        <f>IFERROR(VLOOKUP($B365,'(勿動)組件目錄表'!$D$15:$R$1094,4,FALSE),"-")</f>
        <v>-</v>
      </c>
      <c r="F365" s="10" t="str">
        <f>IFERROR(VLOOKUP($B365,'(勿動)組件目錄表'!$D$15:$R$1094,5,FALSE),"-")</f>
        <v>-</v>
      </c>
      <c r="G365" s="11" t="str">
        <f>IFERROR(VLOOKUP($B365,'(勿動)組件目錄表'!$D$15:$R$1094,8,FALSE),"-")</f>
        <v>-</v>
      </c>
      <c r="H365" s="11" t="str">
        <f>IFERROR(VLOOKUP($B365,'(勿動)組件目錄表'!$D$15:$R$1094,9,FALSE),"-")</f>
        <v>-</v>
      </c>
      <c r="I365" s="11" t="str">
        <f>IFERROR(VLOOKUP($B365,'(勿動)組件目錄表'!$D$15:$R$1094,10,FALSE),"-")</f>
        <v>-</v>
      </c>
      <c r="J365" s="11" t="str">
        <f>IFERROR(VLOOKUP($B365,'(勿動)組件目錄表'!$D$15:$R$1094,11,FALSE),"-")</f>
        <v>-</v>
      </c>
      <c r="K365" s="11" t="str">
        <f>IFERROR(VLOOKUP($B365,'(勿動)組件目錄表'!$D$15:$R$1094,12,FALSE),"-")</f>
        <v>-</v>
      </c>
      <c r="L365" s="11" t="str">
        <f>IFERROR(VLOOKUP($B365,'(勿動)組件目錄表'!$D$15:$R$1094,13,FALSE),"-")</f>
        <v>-</v>
      </c>
      <c r="M365" s="11" t="str">
        <f>IFERROR(VLOOKUP($B365,'(勿動)組件目錄表'!$D$15:$R$1094,14,FALSE),"-")</f>
        <v>-</v>
      </c>
      <c r="N365" s="15">
        <f t="shared" si="1"/>
        <v>0</v>
      </c>
      <c r="O365" s="16"/>
    </row>
    <row r="366" spans="1:15" ht="15.75" customHeight="1">
      <c r="A366" s="18"/>
      <c r="B366" s="7"/>
      <c r="C366" s="8" t="str">
        <f>IFERROR(VLOOKUP($B366,'(勿動)組件目錄表'!$D$15:$R$1094,2,FALSE),"-")</f>
        <v>-</v>
      </c>
      <c r="D366" s="8" t="str">
        <f>IFERROR(VLOOKUP($B366,'(勿動)組件目錄表'!$D$15:$R$1094,3,FALSE),"-")</f>
        <v>-</v>
      </c>
      <c r="E366" s="9" t="str">
        <f>IFERROR(VLOOKUP($B366,'(勿動)組件目錄表'!$D$15:$R$1094,4,FALSE),"-")</f>
        <v>-</v>
      </c>
      <c r="F366" s="10" t="str">
        <f>IFERROR(VLOOKUP($B366,'(勿動)組件目錄表'!$D$15:$R$1094,5,FALSE),"-")</f>
        <v>-</v>
      </c>
      <c r="G366" s="11" t="str">
        <f>IFERROR(VLOOKUP($B366,'(勿動)組件目錄表'!$D$15:$R$1094,8,FALSE),"-")</f>
        <v>-</v>
      </c>
      <c r="H366" s="11" t="str">
        <f>IFERROR(VLOOKUP($B366,'(勿動)組件目錄表'!$D$15:$R$1094,9,FALSE),"-")</f>
        <v>-</v>
      </c>
      <c r="I366" s="11" t="str">
        <f>IFERROR(VLOOKUP($B366,'(勿動)組件目錄表'!$D$15:$R$1094,10,FALSE),"-")</f>
        <v>-</v>
      </c>
      <c r="J366" s="11" t="str">
        <f>IFERROR(VLOOKUP($B366,'(勿動)組件目錄表'!$D$15:$R$1094,11,FALSE),"-")</f>
        <v>-</v>
      </c>
      <c r="K366" s="11" t="str">
        <f>IFERROR(VLOOKUP($B366,'(勿動)組件目錄表'!$D$15:$R$1094,12,FALSE),"-")</f>
        <v>-</v>
      </c>
      <c r="L366" s="11" t="str">
        <f>IFERROR(VLOOKUP($B366,'(勿動)組件目錄表'!$D$15:$R$1094,13,FALSE),"-")</f>
        <v>-</v>
      </c>
      <c r="M366" s="11" t="str">
        <f>IFERROR(VLOOKUP($B366,'(勿動)組件目錄表'!$D$15:$R$1094,14,FALSE),"-")</f>
        <v>-</v>
      </c>
      <c r="N366" s="15">
        <f t="shared" si="1"/>
        <v>0</v>
      </c>
      <c r="O366" s="16"/>
    </row>
    <row r="367" spans="1:15" ht="15.75" customHeight="1">
      <c r="A367" s="18"/>
      <c r="B367" s="7"/>
      <c r="C367" s="8" t="str">
        <f>IFERROR(VLOOKUP($B367,'(勿動)組件目錄表'!$D$15:$R$1094,2,FALSE),"-")</f>
        <v>-</v>
      </c>
      <c r="D367" s="8" t="str">
        <f>IFERROR(VLOOKUP($B367,'(勿動)組件目錄表'!$D$15:$R$1094,3,FALSE),"-")</f>
        <v>-</v>
      </c>
      <c r="E367" s="9" t="str">
        <f>IFERROR(VLOOKUP($B367,'(勿動)組件目錄表'!$D$15:$R$1094,4,FALSE),"-")</f>
        <v>-</v>
      </c>
      <c r="F367" s="10" t="str">
        <f>IFERROR(VLOOKUP($B367,'(勿動)組件目錄表'!$D$15:$R$1094,5,FALSE),"-")</f>
        <v>-</v>
      </c>
      <c r="G367" s="11" t="str">
        <f>IFERROR(VLOOKUP($B367,'(勿動)組件目錄表'!$D$15:$R$1094,8,FALSE),"-")</f>
        <v>-</v>
      </c>
      <c r="H367" s="11" t="str">
        <f>IFERROR(VLOOKUP($B367,'(勿動)組件目錄表'!$D$15:$R$1094,9,FALSE),"-")</f>
        <v>-</v>
      </c>
      <c r="I367" s="11" t="str">
        <f>IFERROR(VLOOKUP($B367,'(勿動)組件目錄表'!$D$15:$R$1094,10,FALSE),"-")</f>
        <v>-</v>
      </c>
      <c r="J367" s="11" t="str">
        <f>IFERROR(VLOOKUP($B367,'(勿動)組件目錄表'!$D$15:$R$1094,11,FALSE),"-")</f>
        <v>-</v>
      </c>
      <c r="K367" s="11" t="str">
        <f>IFERROR(VLOOKUP($B367,'(勿動)組件目錄表'!$D$15:$R$1094,12,FALSE),"-")</f>
        <v>-</v>
      </c>
      <c r="L367" s="11" t="str">
        <f>IFERROR(VLOOKUP($B367,'(勿動)組件目錄表'!$D$15:$R$1094,13,FALSE),"-")</f>
        <v>-</v>
      </c>
      <c r="M367" s="11" t="str">
        <f>IFERROR(VLOOKUP($B367,'(勿動)組件目錄表'!$D$15:$R$1094,14,FALSE),"-")</f>
        <v>-</v>
      </c>
      <c r="N367" s="15">
        <f t="shared" ref="N367:N621" si="2">SUMPRODUCT((G367:M367&lt;&gt;"-") * NOT(_xlfn.ISFORMULA(G367:M367)) )</f>
        <v>0</v>
      </c>
      <c r="O367" s="16"/>
    </row>
    <row r="368" spans="1:15" ht="15.75" customHeight="1">
      <c r="A368" s="18"/>
      <c r="B368" s="7"/>
      <c r="C368" s="8" t="str">
        <f>IFERROR(VLOOKUP($B368,'(勿動)組件目錄表'!$D$15:$R$1094,2,FALSE),"-")</f>
        <v>-</v>
      </c>
      <c r="D368" s="8" t="str">
        <f>IFERROR(VLOOKUP($B368,'(勿動)組件目錄表'!$D$15:$R$1094,3,FALSE),"-")</f>
        <v>-</v>
      </c>
      <c r="E368" s="9" t="str">
        <f>IFERROR(VLOOKUP($B368,'(勿動)組件目錄表'!$D$15:$R$1094,4,FALSE),"-")</f>
        <v>-</v>
      </c>
      <c r="F368" s="10" t="str">
        <f>IFERROR(VLOOKUP($B368,'(勿動)組件目錄表'!$D$15:$R$1094,5,FALSE),"-")</f>
        <v>-</v>
      </c>
      <c r="G368" s="11" t="str">
        <f>IFERROR(VLOOKUP($B368,'(勿動)組件目錄表'!$D$15:$R$1094,8,FALSE),"-")</f>
        <v>-</v>
      </c>
      <c r="H368" s="11" t="str">
        <f>IFERROR(VLOOKUP($B368,'(勿動)組件目錄表'!$D$15:$R$1094,9,FALSE),"-")</f>
        <v>-</v>
      </c>
      <c r="I368" s="11" t="str">
        <f>IFERROR(VLOOKUP($B368,'(勿動)組件目錄表'!$D$15:$R$1094,10,FALSE),"-")</f>
        <v>-</v>
      </c>
      <c r="J368" s="11" t="str">
        <f>IFERROR(VLOOKUP($B368,'(勿動)組件目錄表'!$D$15:$R$1094,11,FALSE),"-")</f>
        <v>-</v>
      </c>
      <c r="K368" s="11" t="str">
        <f>IFERROR(VLOOKUP($B368,'(勿動)組件目錄表'!$D$15:$R$1094,12,FALSE),"-")</f>
        <v>-</v>
      </c>
      <c r="L368" s="11" t="str">
        <f>IFERROR(VLOOKUP($B368,'(勿動)組件目錄表'!$D$15:$R$1094,13,FALSE),"-")</f>
        <v>-</v>
      </c>
      <c r="M368" s="11" t="str">
        <f>IFERROR(VLOOKUP($B368,'(勿動)組件目錄表'!$D$15:$R$1094,14,FALSE),"-")</f>
        <v>-</v>
      </c>
      <c r="N368" s="15">
        <f t="shared" si="2"/>
        <v>0</v>
      </c>
      <c r="O368" s="16"/>
    </row>
    <row r="369" spans="1:15" ht="15.75" customHeight="1">
      <c r="A369" s="18"/>
      <c r="B369" s="7"/>
      <c r="C369" s="8" t="str">
        <f>IFERROR(VLOOKUP($B369,'(勿動)組件目錄表'!$D$15:$R$1094,2,FALSE),"-")</f>
        <v>-</v>
      </c>
      <c r="D369" s="8" t="str">
        <f>IFERROR(VLOOKUP($B369,'(勿動)組件目錄表'!$D$15:$R$1094,3,FALSE),"-")</f>
        <v>-</v>
      </c>
      <c r="E369" s="9" t="str">
        <f>IFERROR(VLOOKUP($B369,'(勿動)組件目錄表'!$D$15:$R$1094,4,FALSE),"-")</f>
        <v>-</v>
      </c>
      <c r="F369" s="10" t="str">
        <f>IFERROR(VLOOKUP($B369,'(勿動)組件目錄表'!$D$15:$R$1094,5,FALSE),"-")</f>
        <v>-</v>
      </c>
      <c r="G369" s="11" t="str">
        <f>IFERROR(VLOOKUP($B369,'(勿動)組件目錄表'!$D$15:$R$1094,8,FALSE),"-")</f>
        <v>-</v>
      </c>
      <c r="H369" s="11" t="str">
        <f>IFERROR(VLOOKUP($B369,'(勿動)組件目錄表'!$D$15:$R$1094,9,FALSE),"-")</f>
        <v>-</v>
      </c>
      <c r="I369" s="11" t="str">
        <f>IFERROR(VLOOKUP($B369,'(勿動)組件目錄表'!$D$15:$R$1094,10,FALSE),"-")</f>
        <v>-</v>
      </c>
      <c r="J369" s="11" t="str">
        <f>IFERROR(VLOOKUP($B369,'(勿動)組件目錄表'!$D$15:$R$1094,11,FALSE),"-")</f>
        <v>-</v>
      </c>
      <c r="K369" s="11" t="str">
        <f>IFERROR(VLOOKUP($B369,'(勿動)組件目錄表'!$D$15:$R$1094,12,FALSE),"-")</f>
        <v>-</v>
      </c>
      <c r="L369" s="11" t="str">
        <f>IFERROR(VLOOKUP($B369,'(勿動)組件目錄表'!$D$15:$R$1094,13,FALSE),"-")</f>
        <v>-</v>
      </c>
      <c r="M369" s="11" t="str">
        <f>IFERROR(VLOOKUP($B369,'(勿動)組件目錄表'!$D$15:$R$1094,14,FALSE),"-")</f>
        <v>-</v>
      </c>
      <c r="N369" s="15">
        <f t="shared" si="2"/>
        <v>0</v>
      </c>
      <c r="O369" s="16"/>
    </row>
    <row r="370" spans="1:15" ht="15.75" customHeight="1">
      <c r="A370" s="18"/>
      <c r="B370" s="7"/>
      <c r="C370" s="8" t="str">
        <f>IFERROR(VLOOKUP($B370,'(勿動)組件目錄表'!$D$15:$R$1094,2,FALSE),"-")</f>
        <v>-</v>
      </c>
      <c r="D370" s="8" t="str">
        <f>IFERROR(VLOOKUP($B370,'(勿動)組件目錄表'!$D$15:$R$1094,3,FALSE),"-")</f>
        <v>-</v>
      </c>
      <c r="E370" s="9" t="str">
        <f>IFERROR(VLOOKUP($B370,'(勿動)組件目錄表'!$D$15:$R$1094,4,FALSE),"-")</f>
        <v>-</v>
      </c>
      <c r="F370" s="10" t="str">
        <f>IFERROR(VLOOKUP($B370,'(勿動)組件目錄表'!$D$15:$R$1094,5,FALSE),"-")</f>
        <v>-</v>
      </c>
      <c r="G370" s="11" t="str">
        <f>IFERROR(VLOOKUP($B370,'(勿動)組件目錄表'!$D$15:$R$1094,8,FALSE),"-")</f>
        <v>-</v>
      </c>
      <c r="H370" s="11" t="str">
        <f>IFERROR(VLOOKUP($B370,'(勿動)組件目錄表'!$D$15:$R$1094,9,FALSE),"-")</f>
        <v>-</v>
      </c>
      <c r="I370" s="11" t="str">
        <f>IFERROR(VLOOKUP($B370,'(勿動)組件目錄表'!$D$15:$R$1094,10,FALSE),"-")</f>
        <v>-</v>
      </c>
      <c r="J370" s="11" t="str">
        <f>IFERROR(VLOOKUP($B370,'(勿動)組件目錄表'!$D$15:$R$1094,11,FALSE),"-")</f>
        <v>-</v>
      </c>
      <c r="K370" s="11" t="str">
        <f>IFERROR(VLOOKUP($B370,'(勿動)組件目錄表'!$D$15:$R$1094,12,FALSE),"-")</f>
        <v>-</v>
      </c>
      <c r="L370" s="11" t="str">
        <f>IFERROR(VLOOKUP($B370,'(勿動)組件目錄表'!$D$15:$R$1094,13,FALSE),"-")</f>
        <v>-</v>
      </c>
      <c r="M370" s="11" t="str">
        <f>IFERROR(VLOOKUP($B370,'(勿動)組件目錄表'!$D$15:$R$1094,14,FALSE),"-")</f>
        <v>-</v>
      </c>
      <c r="N370" s="15">
        <f t="shared" si="2"/>
        <v>0</v>
      </c>
      <c r="O370" s="16"/>
    </row>
    <row r="371" spans="1:15" ht="15.75" customHeight="1">
      <c r="A371" s="18"/>
      <c r="B371" s="7"/>
      <c r="C371" s="8" t="str">
        <f>IFERROR(VLOOKUP($B371,'(勿動)組件目錄表'!$D$15:$R$1094,2,FALSE),"-")</f>
        <v>-</v>
      </c>
      <c r="D371" s="8" t="str">
        <f>IFERROR(VLOOKUP($B371,'(勿動)組件目錄表'!$D$15:$R$1094,3,FALSE),"-")</f>
        <v>-</v>
      </c>
      <c r="E371" s="9" t="str">
        <f>IFERROR(VLOOKUP($B371,'(勿動)組件目錄表'!$D$15:$R$1094,4,FALSE),"-")</f>
        <v>-</v>
      </c>
      <c r="F371" s="10" t="str">
        <f>IFERROR(VLOOKUP($B371,'(勿動)組件目錄表'!$D$15:$R$1094,5,FALSE),"-")</f>
        <v>-</v>
      </c>
      <c r="G371" s="11" t="str">
        <f>IFERROR(VLOOKUP($B371,'(勿動)組件目錄表'!$D$15:$R$1094,8,FALSE),"-")</f>
        <v>-</v>
      </c>
      <c r="H371" s="11" t="str">
        <f>IFERROR(VLOOKUP($B371,'(勿動)組件目錄表'!$D$15:$R$1094,9,FALSE),"-")</f>
        <v>-</v>
      </c>
      <c r="I371" s="11" t="str">
        <f>IFERROR(VLOOKUP($B371,'(勿動)組件目錄表'!$D$15:$R$1094,10,FALSE),"-")</f>
        <v>-</v>
      </c>
      <c r="J371" s="11" t="str">
        <f>IFERROR(VLOOKUP($B371,'(勿動)組件目錄表'!$D$15:$R$1094,11,FALSE),"-")</f>
        <v>-</v>
      </c>
      <c r="K371" s="11" t="str">
        <f>IFERROR(VLOOKUP($B371,'(勿動)組件目錄表'!$D$15:$R$1094,12,FALSE),"-")</f>
        <v>-</v>
      </c>
      <c r="L371" s="11" t="str">
        <f>IFERROR(VLOOKUP($B371,'(勿動)組件目錄表'!$D$15:$R$1094,13,FALSE),"-")</f>
        <v>-</v>
      </c>
      <c r="M371" s="11" t="str">
        <f>IFERROR(VLOOKUP($B371,'(勿動)組件目錄表'!$D$15:$R$1094,14,FALSE),"-")</f>
        <v>-</v>
      </c>
      <c r="N371" s="15">
        <f t="shared" si="2"/>
        <v>0</v>
      </c>
      <c r="O371" s="16"/>
    </row>
    <row r="372" spans="1:15" ht="15.75" customHeight="1">
      <c r="A372" s="18"/>
      <c r="B372" s="7"/>
      <c r="C372" s="8" t="str">
        <f>IFERROR(VLOOKUP($B372,'(勿動)組件目錄表'!$D$15:$R$1094,2,FALSE),"-")</f>
        <v>-</v>
      </c>
      <c r="D372" s="8" t="str">
        <f>IFERROR(VLOOKUP($B372,'(勿動)組件目錄表'!$D$15:$R$1094,3,FALSE),"-")</f>
        <v>-</v>
      </c>
      <c r="E372" s="9" t="str">
        <f>IFERROR(VLOOKUP($B372,'(勿動)組件目錄表'!$D$15:$R$1094,4,FALSE),"-")</f>
        <v>-</v>
      </c>
      <c r="F372" s="10" t="str">
        <f>IFERROR(VLOOKUP($B372,'(勿動)組件目錄表'!$D$15:$R$1094,5,FALSE),"-")</f>
        <v>-</v>
      </c>
      <c r="G372" s="11" t="str">
        <f>IFERROR(VLOOKUP($B372,'(勿動)組件目錄表'!$D$15:$R$1094,8,FALSE),"-")</f>
        <v>-</v>
      </c>
      <c r="H372" s="11" t="str">
        <f>IFERROR(VLOOKUP($B372,'(勿動)組件目錄表'!$D$15:$R$1094,9,FALSE),"-")</f>
        <v>-</v>
      </c>
      <c r="I372" s="11" t="str">
        <f>IFERROR(VLOOKUP($B372,'(勿動)組件目錄表'!$D$15:$R$1094,10,FALSE),"-")</f>
        <v>-</v>
      </c>
      <c r="J372" s="11" t="str">
        <f>IFERROR(VLOOKUP($B372,'(勿動)組件目錄表'!$D$15:$R$1094,11,FALSE),"-")</f>
        <v>-</v>
      </c>
      <c r="K372" s="11" t="str">
        <f>IFERROR(VLOOKUP($B372,'(勿動)組件目錄表'!$D$15:$R$1094,12,FALSE),"-")</f>
        <v>-</v>
      </c>
      <c r="L372" s="11" t="str">
        <f>IFERROR(VLOOKUP($B372,'(勿動)組件目錄表'!$D$15:$R$1094,13,FALSE),"-")</f>
        <v>-</v>
      </c>
      <c r="M372" s="11" t="str">
        <f>IFERROR(VLOOKUP($B372,'(勿動)組件目錄表'!$D$15:$R$1094,14,FALSE),"-")</f>
        <v>-</v>
      </c>
      <c r="N372" s="15">
        <f t="shared" si="2"/>
        <v>0</v>
      </c>
      <c r="O372" s="16"/>
    </row>
    <row r="373" spans="1:15" ht="15.75" customHeight="1">
      <c r="A373" s="18"/>
      <c r="B373" s="7"/>
      <c r="C373" s="8" t="str">
        <f>IFERROR(VLOOKUP($B373,'(勿動)組件目錄表'!$D$15:$R$1094,2,FALSE),"-")</f>
        <v>-</v>
      </c>
      <c r="D373" s="8" t="str">
        <f>IFERROR(VLOOKUP($B373,'(勿動)組件目錄表'!$D$15:$R$1094,3,FALSE),"-")</f>
        <v>-</v>
      </c>
      <c r="E373" s="9" t="str">
        <f>IFERROR(VLOOKUP($B373,'(勿動)組件目錄表'!$D$15:$R$1094,4,FALSE),"-")</f>
        <v>-</v>
      </c>
      <c r="F373" s="10" t="str">
        <f>IFERROR(VLOOKUP($B373,'(勿動)組件目錄表'!$D$15:$R$1094,5,FALSE),"-")</f>
        <v>-</v>
      </c>
      <c r="G373" s="11" t="str">
        <f>IFERROR(VLOOKUP($B373,'(勿動)組件目錄表'!$D$15:$R$1094,8,FALSE),"-")</f>
        <v>-</v>
      </c>
      <c r="H373" s="11" t="str">
        <f>IFERROR(VLOOKUP($B373,'(勿動)組件目錄表'!$D$15:$R$1094,9,FALSE),"-")</f>
        <v>-</v>
      </c>
      <c r="I373" s="11" t="str">
        <f>IFERROR(VLOOKUP($B373,'(勿動)組件目錄表'!$D$15:$R$1094,10,FALSE),"-")</f>
        <v>-</v>
      </c>
      <c r="J373" s="11" t="str">
        <f>IFERROR(VLOOKUP($B373,'(勿動)組件目錄表'!$D$15:$R$1094,11,FALSE),"-")</f>
        <v>-</v>
      </c>
      <c r="K373" s="11" t="str">
        <f>IFERROR(VLOOKUP($B373,'(勿動)組件目錄表'!$D$15:$R$1094,12,FALSE),"-")</f>
        <v>-</v>
      </c>
      <c r="L373" s="11" t="str">
        <f>IFERROR(VLOOKUP($B373,'(勿動)組件目錄表'!$D$15:$R$1094,13,FALSE),"-")</f>
        <v>-</v>
      </c>
      <c r="M373" s="11" t="str">
        <f>IFERROR(VLOOKUP($B373,'(勿動)組件目錄表'!$D$15:$R$1094,14,FALSE),"-")</f>
        <v>-</v>
      </c>
      <c r="N373" s="15">
        <f t="shared" si="2"/>
        <v>0</v>
      </c>
      <c r="O373" s="16"/>
    </row>
    <row r="374" spans="1:15" ht="15.75" customHeight="1">
      <c r="A374" s="18"/>
      <c r="B374" s="7"/>
      <c r="C374" s="8" t="str">
        <f>IFERROR(VLOOKUP($B374,'(勿動)組件目錄表'!$D$15:$R$1094,2,FALSE),"-")</f>
        <v>-</v>
      </c>
      <c r="D374" s="8" t="str">
        <f>IFERROR(VLOOKUP($B374,'(勿動)組件目錄表'!$D$15:$R$1094,3,FALSE),"-")</f>
        <v>-</v>
      </c>
      <c r="E374" s="9" t="str">
        <f>IFERROR(VLOOKUP($B374,'(勿動)組件目錄表'!$D$15:$R$1094,4,FALSE),"-")</f>
        <v>-</v>
      </c>
      <c r="F374" s="10" t="str">
        <f>IFERROR(VLOOKUP($B374,'(勿動)組件目錄表'!$D$15:$R$1094,5,FALSE),"-")</f>
        <v>-</v>
      </c>
      <c r="G374" s="11" t="str">
        <f>IFERROR(VLOOKUP($B374,'(勿動)組件目錄表'!$D$15:$R$1094,8,FALSE),"-")</f>
        <v>-</v>
      </c>
      <c r="H374" s="11" t="str">
        <f>IFERROR(VLOOKUP($B374,'(勿動)組件目錄表'!$D$15:$R$1094,9,FALSE),"-")</f>
        <v>-</v>
      </c>
      <c r="I374" s="11" t="str">
        <f>IFERROR(VLOOKUP($B374,'(勿動)組件目錄表'!$D$15:$R$1094,10,FALSE),"-")</f>
        <v>-</v>
      </c>
      <c r="J374" s="11" t="str">
        <f>IFERROR(VLOOKUP($B374,'(勿動)組件目錄表'!$D$15:$R$1094,11,FALSE),"-")</f>
        <v>-</v>
      </c>
      <c r="K374" s="11" t="str">
        <f>IFERROR(VLOOKUP($B374,'(勿動)組件目錄表'!$D$15:$R$1094,12,FALSE),"-")</f>
        <v>-</v>
      </c>
      <c r="L374" s="11" t="str">
        <f>IFERROR(VLOOKUP($B374,'(勿動)組件目錄表'!$D$15:$R$1094,13,FALSE),"-")</f>
        <v>-</v>
      </c>
      <c r="M374" s="11" t="str">
        <f>IFERROR(VLOOKUP($B374,'(勿動)組件目錄表'!$D$15:$R$1094,14,FALSE),"-")</f>
        <v>-</v>
      </c>
      <c r="N374" s="15">
        <f t="shared" si="2"/>
        <v>0</v>
      </c>
      <c r="O374" s="16"/>
    </row>
    <row r="375" spans="1:15" ht="15.75" customHeight="1">
      <c r="A375" s="18"/>
      <c r="B375" s="7"/>
      <c r="C375" s="8" t="str">
        <f>IFERROR(VLOOKUP($B375,'(勿動)組件目錄表'!$D$15:$R$1094,2,FALSE),"-")</f>
        <v>-</v>
      </c>
      <c r="D375" s="8" t="str">
        <f>IFERROR(VLOOKUP($B375,'(勿動)組件目錄表'!$D$15:$R$1094,3,FALSE),"-")</f>
        <v>-</v>
      </c>
      <c r="E375" s="9" t="str">
        <f>IFERROR(VLOOKUP($B375,'(勿動)組件目錄表'!$D$15:$R$1094,4,FALSE),"-")</f>
        <v>-</v>
      </c>
      <c r="F375" s="10" t="str">
        <f>IFERROR(VLOOKUP($B375,'(勿動)組件目錄表'!$D$15:$R$1094,5,FALSE),"-")</f>
        <v>-</v>
      </c>
      <c r="G375" s="11" t="str">
        <f>IFERROR(VLOOKUP($B375,'(勿動)組件目錄表'!$D$15:$R$1094,8,FALSE),"-")</f>
        <v>-</v>
      </c>
      <c r="H375" s="11" t="str">
        <f>IFERROR(VLOOKUP($B375,'(勿動)組件目錄表'!$D$15:$R$1094,9,FALSE),"-")</f>
        <v>-</v>
      </c>
      <c r="I375" s="11" t="str">
        <f>IFERROR(VLOOKUP($B375,'(勿動)組件目錄表'!$D$15:$R$1094,10,FALSE),"-")</f>
        <v>-</v>
      </c>
      <c r="J375" s="11" t="str">
        <f>IFERROR(VLOOKUP($B375,'(勿動)組件目錄表'!$D$15:$R$1094,11,FALSE),"-")</f>
        <v>-</v>
      </c>
      <c r="K375" s="11" t="str">
        <f>IFERROR(VLOOKUP($B375,'(勿動)組件目錄表'!$D$15:$R$1094,12,FALSE),"-")</f>
        <v>-</v>
      </c>
      <c r="L375" s="11" t="str">
        <f>IFERROR(VLOOKUP($B375,'(勿動)組件目錄表'!$D$15:$R$1094,13,FALSE),"-")</f>
        <v>-</v>
      </c>
      <c r="M375" s="11" t="str">
        <f>IFERROR(VLOOKUP($B375,'(勿動)組件目錄表'!$D$15:$R$1094,14,FALSE),"-")</f>
        <v>-</v>
      </c>
      <c r="N375" s="15">
        <f t="shared" si="2"/>
        <v>0</v>
      </c>
      <c r="O375" s="16"/>
    </row>
    <row r="376" spans="1:15" ht="15.75" customHeight="1">
      <c r="A376" s="18"/>
      <c r="B376" s="7"/>
      <c r="C376" s="8" t="str">
        <f>IFERROR(VLOOKUP($B376,'(勿動)組件目錄表'!$D$15:$R$1094,2,FALSE),"-")</f>
        <v>-</v>
      </c>
      <c r="D376" s="8" t="str">
        <f>IFERROR(VLOOKUP($B376,'(勿動)組件目錄表'!$D$15:$R$1094,3,FALSE),"-")</f>
        <v>-</v>
      </c>
      <c r="E376" s="9" t="str">
        <f>IFERROR(VLOOKUP($B376,'(勿動)組件目錄表'!$D$15:$R$1094,4,FALSE),"-")</f>
        <v>-</v>
      </c>
      <c r="F376" s="10" t="str">
        <f>IFERROR(VLOOKUP($B376,'(勿動)組件目錄表'!$D$15:$R$1094,5,FALSE),"-")</f>
        <v>-</v>
      </c>
      <c r="G376" s="11" t="str">
        <f>IFERROR(VLOOKUP($B376,'(勿動)組件目錄表'!$D$15:$R$1094,8,FALSE),"-")</f>
        <v>-</v>
      </c>
      <c r="H376" s="11" t="str">
        <f>IFERROR(VLOOKUP($B376,'(勿動)組件目錄表'!$D$15:$R$1094,9,FALSE),"-")</f>
        <v>-</v>
      </c>
      <c r="I376" s="11" t="str">
        <f>IFERROR(VLOOKUP($B376,'(勿動)組件目錄表'!$D$15:$R$1094,10,FALSE),"-")</f>
        <v>-</v>
      </c>
      <c r="J376" s="11" t="str">
        <f>IFERROR(VLOOKUP($B376,'(勿動)組件目錄表'!$D$15:$R$1094,11,FALSE),"-")</f>
        <v>-</v>
      </c>
      <c r="K376" s="11" t="str">
        <f>IFERROR(VLOOKUP($B376,'(勿動)組件目錄表'!$D$15:$R$1094,12,FALSE),"-")</f>
        <v>-</v>
      </c>
      <c r="L376" s="11" t="str">
        <f>IFERROR(VLOOKUP($B376,'(勿動)組件目錄表'!$D$15:$R$1094,13,FALSE),"-")</f>
        <v>-</v>
      </c>
      <c r="M376" s="11" t="str">
        <f>IFERROR(VLOOKUP($B376,'(勿動)組件目錄表'!$D$15:$R$1094,14,FALSE),"-")</f>
        <v>-</v>
      </c>
      <c r="N376" s="15">
        <f t="shared" si="2"/>
        <v>0</v>
      </c>
      <c r="O376" s="16"/>
    </row>
    <row r="377" spans="1:15" ht="15.75" customHeight="1">
      <c r="A377" s="18"/>
      <c r="B377" s="7"/>
      <c r="C377" s="8" t="str">
        <f>IFERROR(VLOOKUP($B377,'(勿動)組件目錄表'!$D$15:$R$1094,2,FALSE),"-")</f>
        <v>-</v>
      </c>
      <c r="D377" s="8" t="str">
        <f>IFERROR(VLOOKUP($B377,'(勿動)組件目錄表'!$D$15:$R$1094,3,FALSE),"-")</f>
        <v>-</v>
      </c>
      <c r="E377" s="9" t="str">
        <f>IFERROR(VLOOKUP($B377,'(勿動)組件目錄表'!$D$15:$R$1094,4,FALSE),"-")</f>
        <v>-</v>
      </c>
      <c r="F377" s="10" t="str">
        <f>IFERROR(VLOOKUP($B377,'(勿動)組件目錄表'!$D$15:$R$1094,5,FALSE),"-")</f>
        <v>-</v>
      </c>
      <c r="G377" s="11" t="str">
        <f>IFERROR(VLOOKUP($B377,'(勿動)組件目錄表'!$D$15:$R$1094,8,FALSE),"-")</f>
        <v>-</v>
      </c>
      <c r="H377" s="11" t="str">
        <f>IFERROR(VLOOKUP($B377,'(勿動)組件目錄表'!$D$15:$R$1094,9,FALSE),"-")</f>
        <v>-</v>
      </c>
      <c r="I377" s="11" t="str">
        <f>IFERROR(VLOOKUP($B377,'(勿動)組件目錄表'!$D$15:$R$1094,10,FALSE),"-")</f>
        <v>-</v>
      </c>
      <c r="J377" s="11" t="str">
        <f>IFERROR(VLOOKUP($B377,'(勿動)組件目錄表'!$D$15:$R$1094,11,FALSE),"-")</f>
        <v>-</v>
      </c>
      <c r="K377" s="11" t="str">
        <f>IFERROR(VLOOKUP($B377,'(勿動)組件目錄表'!$D$15:$R$1094,12,FALSE),"-")</f>
        <v>-</v>
      </c>
      <c r="L377" s="11" t="str">
        <f>IFERROR(VLOOKUP($B377,'(勿動)組件目錄表'!$D$15:$R$1094,13,FALSE),"-")</f>
        <v>-</v>
      </c>
      <c r="M377" s="11" t="str">
        <f>IFERROR(VLOOKUP($B377,'(勿動)組件目錄表'!$D$15:$R$1094,14,FALSE),"-")</f>
        <v>-</v>
      </c>
      <c r="N377" s="15">
        <f t="shared" si="2"/>
        <v>0</v>
      </c>
      <c r="O377" s="16"/>
    </row>
    <row r="378" spans="1:15" ht="15.75" customHeight="1">
      <c r="A378" s="18"/>
      <c r="B378" s="7"/>
      <c r="C378" s="8" t="str">
        <f>IFERROR(VLOOKUP($B378,'(勿動)組件目錄表'!$D$15:$R$1094,2,FALSE),"-")</f>
        <v>-</v>
      </c>
      <c r="D378" s="8" t="str">
        <f>IFERROR(VLOOKUP($B378,'(勿動)組件目錄表'!$D$15:$R$1094,3,FALSE),"-")</f>
        <v>-</v>
      </c>
      <c r="E378" s="9" t="str">
        <f>IFERROR(VLOOKUP($B378,'(勿動)組件目錄表'!$D$15:$R$1094,4,FALSE),"-")</f>
        <v>-</v>
      </c>
      <c r="F378" s="10" t="str">
        <f>IFERROR(VLOOKUP($B378,'(勿動)組件目錄表'!$D$15:$R$1094,5,FALSE),"-")</f>
        <v>-</v>
      </c>
      <c r="G378" s="11" t="str">
        <f>IFERROR(VLOOKUP($B378,'(勿動)組件目錄表'!$D$15:$R$1094,8,FALSE),"-")</f>
        <v>-</v>
      </c>
      <c r="H378" s="11" t="str">
        <f>IFERROR(VLOOKUP($B378,'(勿動)組件目錄表'!$D$15:$R$1094,9,FALSE),"-")</f>
        <v>-</v>
      </c>
      <c r="I378" s="11" t="str">
        <f>IFERROR(VLOOKUP($B378,'(勿動)組件目錄表'!$D$15:$R$1094,10,FALSE),"-")</f>
        <v>-</v>
      </c>
      <c r="J378" s="11" t="str">
        <f>IFERROR(VLOOKUP($B378,'(勿動)組件目錄表'!$D$15:$R$1094,11,FALSE),"-")</f>
        <v>-</v>
      </c>
      <c r="K378" s="11" t="str">
        <f>IFERROR(VLOOKUP($B378,'(勿動)組件目錄表'!$D$15:$R$1094,12,FALSE),"-")</f>
        <v>-</v>
      </c>
      <c r="L378" s="11" t="str">
        <f>IFERROR(VLOOKUP($B378,'(勿動)組件目錄表'!$D$15:$R$1094,13,FALSE),"-")</f>
        <v>-</v>
      </c>
      <c r="M378" s="11" t="str">
        <f>IFERROR(VLOOKUP($B378,'(勿動)組件目錄表'!$D$15:$R$1094,14,FALSE),"-")</f>
        <v>-</v>
      </c>
      <c r="N378" s="15">
        <f t="shared" si="2"/>
        <v>0</v>
      </c>
      <c r="O378" s="16"/>
    </row>
    <row r="379" spans="1:15" ht="15.75" customHeight="1">
      <c r="A379" s="18"/>
      <c r="B379" s="7"/>
      <c r="C379" s="8" t="str">
        <f>IFERROR(VLOOKUP($B379,'(勿動)組件目錄表'!$D$15:$R$1094,2,FALSE),"-")</f>
        <v>-</v>
      </c>
      <c r="D379" s="8" t="str">
        <f>IFERROR(VLOOKUP($B379,'(勿動)組件目錄表'!$D$15:$R$1094,3,FALSE),"-")</f>
        <v>-</v>
      </c>
      <c r="E379" s="9" t="str">
        <f>IFERROR(VLOOKUP($B379,'(勿動)組件目錄表'!$D$15:$R$1094,4,FALSE),"-")</f>
        <v>-</v>
      </c>
      <c r="F379" s="10" t="str">
        <f>IFERROR(VLOOKUP($B379,'(勿動)組件目錄表'!$D$15:$R$1094,5,FALSE),"-")</f>
        <v>-</v>
      </c>
      <c r="G379" s="11" t="str">
        <f>IFERROR(VLOOKUP($B379,'(勿動)組件目錄表'!$D$15:$R$1094,8,FALSE),"-")</f>
        <v>-</v>
      </c>
      <c r="H379" s="11" t="str">
        <f>IFERROR(VLOOKUP($B379,'(勿動)組件目錄表'!$D$15:$R$1094,9,FALSE),"-")</f>
        <v>-</v>
      </c>
      <c r="I379" s="11" t="str">
        <f>IFERROR(VLOOKUP($B379,'(勿動)組件目錄表'!$D$15:$R$1094,10,FALSE),"-")</f>
        <v>-</v>
      </c>
      <c r="J379" s="11" t="str">
        <f>IFERROR(VLOOKUP($B379,'(勿動)組件目錄表'!$D$15:$R$1094,11,FALSE),"-")</f>
        <v>-</v>
      </c>
      <c r="K379" s="11" t="str">
        <f>IFERROR(VLOOKUP($B379,'(勿動)組件目錄表'!$D$15:$R$1094,12,FALSE),"-")</f>
        <v>-</v>
      </c>
      <c r="L379" s="11" t="str">
        <f>IFERROR(VLOOKUP($B379,'(勿動)組件目錄表'!$D$15:$R$1094,13,FALSE),"-")</f>
        <v>-</v>
      </c>
      <c r="M379" s="11" t="str">
        <f>IFERROR(VLOOKUP($B379,'(勿動)組件目錄表'!$D$15:$R$1094,14,FALSE),"-")</f>
        <v>-</v>
      </c>
      <c r="N379" s="15">
        <f t="shared" si="2"/>
        <v>0</v>
      </c>
      <c r="O379" s="16"/>
    </row>
    <row r="380" spans="1:15" ht="15.75" customHeight="1">
      <c r="A380" s="18"/>
      <c r="B380" s="7"/>
      <c r="C380" s="8" t="str">
        <f>IFERROR(VLOOKUP($B380,'(勿動)組件目錄表'!$D$15:$R$1094,2,FALSE),"-")</f>
        <v>-</v>
      </c>
      <c r="D380" s="8" t="str">
        <f>IFERROR(VLOOKUP($B380,'(勿動)組件目錄表'!$D$15:$R$1094,3,FALSE),"-")</f>
        <v>-</v>
      </c>
      <c r="E380" s="9" t="str">
        <f>IFERROR(VLOOKUP($B380,'(勿動)組件目錄表'!$D$15:$R$1094,4,FALSE),"-")</f>
        <v>-</v>
      </c>
      <c r="F380" s="10" t="str">
        <f>IFERROR(VLOOKUP($B380,'(勿動)組件目錄表'!$D$15:$R$1094,5,FALSE),"-")</f>
        <v>-</v>
      </c>
      <c r="G380" s="11" t="str">
        <f>IFERROR(VLOOKUP($B380,'(勿動)組件目錄表'!$D$15:$R$1094,8,FALSE),"-")</f>
        <v>-</v>
      </c>
      <c r="H380" s="11" t="str">
        <f>IFERROR(VLOOKUP($B380,'(勿動)組件目錄表'!$D$15:$R$1094,9,FALSE),"-")</f>
        <v>-</v>
      </c>
      <c r="I380" s="11" t="str">
        <f>IFERROR(VLOOKUP($B380,'(勿動)組件目錄表'!$D$15:$R$1094,10,FALSE),"-")</f>
        <v>-</v>
      </c>
      <c r="J380" s="11" t="str">
        <f>IFERROR(VLOOKUP($B380,'(勿動)組件目錄表'!$D$15:$R$1094,11,FALSE),"-")</f>
        <v>-</v>
      </c>
      <c r="K380" s="11" t="str">
        <f>IFERROR(VLOOKUP($B380,'(勿動)組件目錄表'!$D$15:$R$1094,12,FALSE),"-")</f>
        <v>-</v>
      </c>
      <c r="L380" s="11" t="str">
        <f>IFERROR(VLOOKUP($B380,'(勿動)組件目錄表'!$D$15:$R$1094,13,FALSE),"-")</f>
        <v>-</v>
      </c>
      <c r="M380" s="11" t="str">
        <f>IFERROR(VLOOKUP($B380,'(勿動)組件目錄表'!$D$15:$R$1094,14,FALSE),"-")</f>
        <v>-</v>
      </c>
      <c r="N380" s="15">
        <f t="shared" si="2"/>
        <v>0</v>
      </c>
      <c r="O380" s="16"/>
    </row>
    <row r="381" spans="1:15" ht="15.75" customHeight="1">
      <c r="A381" s="18"/>
      <c r="B381" s="7"/>
      <c r="C381" s="8" t="str">
        <f>IFERROR(VLOOKUP($B381,'(勿動)組件目錄表'!$D$15:$R$1094,2,FALSE),"-")</f>
        <v>-</v>
      </c>
      <c r="D381" s="8" t="str">
        <f>IFERROR(VLOOKUP($B381,'(勿動)組件目錄表'!$D$15:$R$1094,3,FALSE),"-")</f>
        <v>-</v>
      </c>
      <c r="E381" s="9" t="str">
        <f>IFERROR(VLOOKUP($B381,'(勿動)組件目錄表'!$D$15:$R$1094,4,FALSE),"-")</f>
        <v>-</v>
      </c>
      <c r="F381" s="10" t="str">
        <f>IFERROR(VLOOKUP($B381,'(勿動)組件目錄表'!$D$15:$R$1094,5,FALSE),"-")</f>
        <v>-</v>
      </c>
      <c r="G381" s="11" t="str">
        <f>IFERROR(VLOOKUP($B381,'(勿動)組件目錄表'!$D$15:$R$1094,8,FALSE),"-")</f>
        <v>-</v>
      </c>
      <c r="H381" s="11" t="str">
        <f>IFERROR(VLOOKUP($B381,'(勿動)組件目錄表'!$D$15:$R$1094,9,FALSE),"-")</f>
        <v>-</v>
      </c>
      <c r="I381" s="11" t="str">
        <f>IFERROR(VLOOKUP($B381,'(勿動)組件目錄表'!$D$15:$R$1094,10,FALSE),"-")</f>
        <v>-</v>
      </c>
      <c r="J381" s="11" t="str">
        <f>IFERROR(VLOOKUP($B381,'(勿動)組件目錄表'!$D$15:$R$1094,11,FALSE),"-")</f>
        <v>-</v>
      </c>
      <c r="K381" s="11" t="str">
        <f>IFERROR(VLOOKUP($B381,'(勿動)組件目錄表'!$D$15:$R$1094,12,FALSE),"-")</f>
        <v>-</v>
      </c>
      <c r="L381" s="11" t="str">
        <f>IFERROR(VLOOKUP($B381,'(勿動)組件目錄表'!$D$15:$R$1094,13,FALSE),"-")</f>
        <v>-</v>
      </c>
      <c r="M381" s="11" t="str">
        <f>IFERROR(VLOOKUP($B381,'(勿動)組件目錄表'!$D$15:$R$1094,14,FALSE),"-")</f>
        <v>-</v>
      </c>
      <c r="N381" s="15">
        <f t="shared" si="2"/>
        <v>0</v>
      </c>
      <c r="O381" s="16"/>
    </row>
    <row r="382" spans="1:15" ht="15.75" customHeight="1">
      <c r="A382" s="18"/>
      <c r="B382" s="7"/>
      <c r="C382" s="8" t="str">
        <f>IFERROR(VLOOKUP($B382,'(勿動)組件目錄表'!$D$15:$R$1094,2,FALSE),"-")</f>
        <v>-</v>
      </c>
      <c r="D382" s="8" t="str">
        <f>IFERROR(VLOOKUP($B382,'(勿動)組件目錄表'!$D$15:$R$1094,3,FALSE),"-")</f>
        <v>-</v>
      </c>
      <c r="E382" s="9" t="str">
        <f>IFERROR(VLOOKUP($B382,'(勿動)組件目錄表'!$D$15:$R$1094,4,FALSE),"-")</f>
        <v>-</v>
      </c>
      <c r="F382" s="10" t="str">
        <f>IFERROR(VLOOKUP($B382,'(勿動)組件目錄表'!$D$15:$R$1094,5,FALSE),"-")</f>
        <v>-</v>
      </c>
      <c r="G382" s="11" t="str">
        <f>IFERROR(VLOOKUP($B382,'(勿動)組件目錄表'!$D$15:$R$1094,8,FALSE),"-")</f>
        <v>-</v>
      </c>
      <c r="H382" s="11" t="str">
        <f>IFERROR(VLOOKUP($B382,'(勿動)組件目錄表'!$D$15:$R$1094,9,FALSE),"-")</f>
        <v>-</v>
      </c>
      <c r="I382" s="11" t="str">
        <f>IFERROR(VLOOKUP($B382,'(勿動)組件目錄表'!$D$15:$R$1094,10,FALSE),"-")</f>
        <v>-</v>
      </c>
      <c r="J382" s="11" t="str">
        <f>IFERROR(VLOOKUP($B382,'(勿動)組件目錄表'!$D$15:$R$1094,11,FALSE),"-")</f>
        <v>-</v>
      </c>
      <c r="K382" s="11" t="str">
        <f>IFERROR(VLOOKUP($B382,'(勿動)組件目錄表'!$D$15:$R$1094,12,FALSE),"-")</f>
        <v>-</v>
      </c>
      <c r="L382" s="11" t="str">
        <f>IFERROR(VLOOKUP($B382,'(勿動)組件目錄表'!$D$15:$R$1094,13,FALSE),"-")</f>
        <v>-</v>
      </c>
      <c r="M382" s="11" t="str">
        <f>IFERROR(VLOOKUP($B382,'(勿動)組件目錄表'!$D$15:$R$1094,14,FALSE),"-")</f>
        <v>-</v>
      </c>
      <c r="N382" s="15">
        <f t="shared" si="2"/>
        <v>0</v>
      </c>
      <c r="O382" s="16"/>
    </row>
    <row r="383" spans="1:15" ht="15.75" customHeight="1">
      <c r="A383" s="18"/>
      <c r="B383" s="7"/>
      <c r="C383" s="8" t="str">
        <f>IFERROR(VLOOKUP($B383,'(勿動)組件目錄表'!$D$15:$R$1094,2,FALSE),"-")</f>
        <v>-</v>
      </c>
      <c r="D383" s="8" t="str">
        <f>IFERROR(VLOOKUP($B383,'(勿動)組件目錄表'!$D$15:$R$1094,3,FALSE),"-")</f>
        <v>-</v>
      </c>
      <c r="E383" s="9" t="str">
        <f>IFERROR(VLOOKUP($B383,'(勿動)組件目錄表'!$D$15:$R$1094,4,FALSE),"-")</f>
        <v>-</v>
      </c>
      <c r="F383" s="10" t="str">
        <f>IFERROR(VLOOKUP($B383,'(勿動)組件目錄表'!$D$15:$R$1094,5,FALSE),"-")</f>
        <v>-</v>
      </c>
      <c r="G383" s="11" t="str">
        <f>IFERROR(VLOOKUP($B383,'(勿動)組件目錄表'!$D$15:$R$1094,8,FALSE),"-")</f>
        <v>-</v>
      </c>
      <c r="H383" s="11" t="str">
        <f>IFERROR(VLOOKUP($B383,'(勿動)組件目錄表'!$D$15:$R$1094,9,FALSE),"-")</f>
        <v>-</v>
      </c>
      <c r="I383" s="11" t="str">
        <f>IFERROR(VLOOKUP($B383,'(勿動)組件目錄表'!$D$15:$R$1094,10,FALSE),"-")</f>
        <v>-</v>
      </c>
      <c r="J383" s="11" t="str">
        <f>IFERROR(VLOOKUP($B383,'(勿動)組件目錄表'!$D$15:$R$1094,11,FALSE),"-")</f>
        <v>-</v>
      </c>
      <c r="K383" s="11" t="str">
        <f>IFERROR(VLOOKUP($B383,'(勿動)組件目錄表'!$D$15:$R$1094,12,FALSE),"-")</f>
        <v>-</v>
      </c>
      <c r="L383" s="11" t="str">
        <f>IFERROR(VLOOKUP($B383,'(勿動)組件目錄表'!$D$15:$R$1094,13,FALSE),"-")</f>
        <v>-</v>
      </c>
      <c r="M383" s="11" t="str">
        <f>IFERROR(VLOOKUP($B383,'(勿動)組件目錄表'!$D$15:$R$1094,14,FALSE),"-")</f>
        <v>-</v>
      </c>
      <c r="N383" s="15">
        <f t="shared" si="2"/>
        <v>0</v>
      </c>
      <c r="O383" s="16"/>
    </row>
    <row r="384" spans="1:15" ht="15.75" customHeight="1">
      <c r="A384" s="18"/>
      <c r="B384" s="7"/>
      <c r="C384" s="8" t="str">
        <f>IFERROR(VLOOKUP($B384,'(勿動)組件目錄表'!$D$15:$R$1094,2,FALSE),"-")</f>
        <v>-</v>
      </c>
      <c r="D384" s="8" t="str">
        <f>IFERROR(VLOOKUP($B384,'(勿動)組件目錄表'!$D$15:$R$1094,3,FALSE),"-")</f>
        <v>-</v>
      </c>
      <c r="E384" s="9" t="str">
        <f>IFERROR(VLOOKUP($B384,'(勿動)組件目錄表'!$D$15:$R$1094,4,FALSE),"-")</f>
        <v>-</v>
      </c>
      <c r="F384" s="10" t="str">
        <f>IFERROR(VLOOKUP($B384,'(勿動)組件目錄表'!$D$15:$R$1094,5,FALSE),"-")</f>
        <v>-</v>
      </c>
      <c r="G384" s="11" t="str">
        <f>IFERROR(VLOOKUP($B384,'(勿動)組件目錄表'!$D$15:$R$1094,8,FALSE),"-")</f>
        <v>-</v>
      </c>
      <c r="H384" s="11" t="str">
        <f>IFERROR(VLOOKUP($B384,'(勿動)組件目錄表'!$D$15:$R$1094,9,FALSE),"-")</f>
        <v>-</v>
      </c>
      <c r="I384" s="11" t="str">
        <f>IFERROR(VLOOKUP($B384,'(勿動)組件目錄表'!$D$15:$R$1094,10,FALSE),"-")</f>
        <v>-</v>
      </c>
      <c r="J384" s="11" t="str">
        <f>IFERROR(VLOOKUP($B384,'(勿動)組件目錄表'!$D$15:$R$1094,11,FALSE),"-")</f>
        <v>-</v>
      </c>
      <c r="K384" s="11" t="str">
        <f>IFERROR(VLOOKUP($B384,'(勿動)組件目錄表'!$D$15:$R$1094,12,FALSE),"-")</f>
        <v>-</v>
      </c>
      <c r="L384" s="11" t="str">
        <f>IFERROR(VLOOKUP($B384,'(勿動)組件目錄表'!$D$15:$R$1094,13,FALSE),"-")</f>
        <v>-</v>
      </c>
      <c r="M384" s="11" t="str">
        <f>IFERROR(VLOOKUP($B384,'(勿動)組件目錄表'!$D$15:$R$1094,14,FALSE),"-")</f>
        <v>-</v>
      </c>
      <c r="N384" s="15">
        <f t="shared" si="2"/>
        <v>0</v>
      </c>
      <c r="O384" s="16"/>
    </row>
    <row r="385" spans="1:15" ht="15.75" customHeight="1">
      <c r="A385" s="18"/>
      <c r="B385" s="7"/>
      <c r="C385" s="8" t="str">
        <f>IFERROR(VLOOKUP($B385,'(勿動)組件目錄表'!$D$15:$R$1094,2,FALSE),"-")</f>
        <v>-</v>
      </c>
      <c r="D385" s="8" t="str">
        <f>IFERROR(VLOOKUP($B385,'(勿動)組件目錄表'!$D$15:$R$1094,3,FALSE),"-")</f>
        <v>-</v>
      </c>
      <c r="E385" s="9" t="str">
        <f>IFERROR(VLOOKUP($B385,'(勿動)組件目錄表'!$D$15:$R$1094,4,FALSE),"-")</f>
        <v>-</v>
      </c>
      <c r="F385" s="10" t="str">
        <f>IFERROR(VLOOKUP($B385,'(勿動)組件目錄表'!$D$15:$R$1094,5,FALSE),"-")</f>
        <v>-</v>
      </c>
      <c r="G385" s="11" t="str">
        <f>IFERROR(VLOOKUP($B385,'(勿動)組件目錄表'!$D$15:$R$1094,8,FALSE),"-")</f>
        <v>-</v>
      </c>
      <c r="H385" s="11" t="str">
        <f>IFERROR(VLOOKUP($B385,'(勿動)組件目錄表'!$D$15:$R$1094,9,FALSE),"-")</f>
        <v>-</v>
      </c>
      <c r="I385" s="11" t="str">
        <f>IFERROR(VLOOKUP($B385,'(勿動)組件目錄表'!$D$15:$R$1094,10,FALSE),"-")</f>
        <v>-</v>
      </c>
      <c r="J385" s="11" t="str">
        <f>IFERROR(VLOOKUP($B385,'(勿動)組件目錄表'!$D$15:$R$1094,11,FALSE),"-")</f>
        <v>-</v>
      </c>
      <c r="K385" s="11" t="str">
        <f>IFERROR(VLOOKUP($B385,'(勿動)組件目錄表'!$D$15:$R$1094,12,FALSE),"-")</f>
        <v>-</v>
      </c>
      <c r="L385" s="11" t="str">
        <f>IFERROR(VLOOKUP($B385,'(勿動)組件目錄表'!$D$15:$R$1094,13,FALSE),"-")</f>
        <v>-</v>
      </c>
      <c r="M385" s="11" t="str">
        <f>IFERROR(VLOOKUP($B385,'(勿動)組件目錄表'!$D$15:$R$1094,14,FALSE),"-")</f>
        <v>-</v>
      </c>
      <c r="N385" s="15">
        <f t="shared" si="2"/>
        <v>0</v>
      </c>
      <c r="O385" s="16"/>
    </row>
    <row r="386" spans="1:15" ht="15.75" customHeight="1">
      <c r="A386" s="18"/>
      <c r="B386" s="7"/>
      <c r="C386" s="8" t="str">
        <f>IFERROR(VLOOKUP($B386,'(勿動)組件目錄表'!$D$15:$R$1094,2,FALSE),"-")</f>
        <v>-</v>
      </c>
      <c r="D386" s="8" t="str">
        <f>IFERROR(VLOOKUP($B386,'(勿動)組件目錄表'!$D$15:$R$1094,3,FALSE),"-")</f>
        <v>-</v>
      </c>
      <c r="E386" s="9" t="str">
        <f>IFERROR(VLOOKUP($B386,'(勿動)組件目錄表'!$D$15:$R$1094,4,FALSE),"-")</f>
        <v>-</v>
      </c>
      <c r="F386" s="10" t="str">
        <f>IFERROR(VLOOKUP($B386,'(勿動)組件目錄表'!$D$15:$R$1094,5,FALSE),"-")</f>
        <v>-</v>
      </c>
      <c r="G386" s="11" t="str">
        <f>IFERROR(VLOOKUP($B386,'(勿動)組件目錄表'!$D$15:$R$1094,8,FALSE),"-")</f>
        <v>-</v>
      </c>
      <c r="H386" s="11" t="str">
        <f>IFERROR(VLOOKUP($B386,'(勿動)組件目錄表'!$D$15:$R$1094,9,FALSE),"-")</f>
        <v>-</v>
      </c>
      <c r="I386" s="11" t="str">
        <f>IFERROR(VLOOKUP($B386,'(勿動)組件目錄表'!$D$15:$R$1094,10,FALSE),"-")</f>
        <v>-</v>
      </c>
      <c r="J386" s="11" t="str">
        <f>IFERROR(VLOOKUP($B386,'(勿動)組件目錄表'!$D$15:$R$1094,11,FALSE),"-")</f>
        <v>-</v>
      </c>
      <c r="K386" s="11" t="str">
        <f>IFERROR(VLOOKUP($B386,'(勿動)組件目錄表'!$D$15:$R$1094,12,FALSE),"-")</f>
        <v>-</v>
      </c>
      <c r="L386" s="11" t="str">
        <f>IFERROR(VLOOKUP($B386,'(勿動)組件目錄表'!$D$15:$R$1094,13,FALSE),"-")</f>
        <v>-</v>
      </c>
      <c r="M386" s="11" t="str">
        <f>IFERROR(VLOOKUP($B386,'(勿動)組件目錄表'!$D$15:$R$1094,14,FALSE),"-")</f>
        <v>-</v>
      </c>
      <c r="N386" s="15">
        <f t="shared" si="2"/>
        <v>0</v>
      </c>
      <c r="O386" s="16"/>
    </row>
    <row r="387" spans="1:15" ht="15.75" customHeight="1">
      <c r="A387" s="18"/>
      <c r="B387" s="7"/>
      <c r="C387" s="8" t="str">
        <f>IFERROR(VLOOKUP($B387,'(勿動)組件目錄表'!$D$15:$R$1094,2,FALSE),"-")</f>
        <v>-</v>
      </c>
      <c r="D387" s="8" t="str">
        <f>IFERROR(VLOOKUP($B387,'(勿動)組件目錄表'!$D$15:$R$1094,3,FALSE),"-")</f>
        <v>-</v>
      </c>
      <c r="E387" s="9" t="str">
        <f>IFERROR(VLOOKUP($B387,'(勿動)組件目錄表'!$D$15:$R$1094,4,FALSE),"-")</f>
        <v>-</v>
      </c>
      <c r="F387" s="10" t="str">
        <f>IFERROR(VLOOKUP($B387,'(勿動)組件目錄表'!$D$15:$R$1094,5,FALSE),"-")</f>
        <v>-</v>
      </c>
      <c r="G387" s="11" t="str">
        <f>IFERROR(VLOOKUP($B387,'(勿動)組件目錄表'!$D$15:$R$1094,8,FALSE),"-")</f>
        <v>-</v>
      </c>
      <c r="H387" s="11" t="str">
        <f>IFERROR(VLOOKUP($B387,'(勿動)組件目錄表'!$D$15:$R$1094,9,FALSE),"-")</f>
        <v>-</v>
      </c>
      <c r="I387" s="11" t="str">
        <f>IFERROR(VLOOKUP($B387,'(勿動)組件目錄表'!$D$15:$R$1094,10,FALSE),"-")</f>
        <v>-</v>
      </c>
      <c r="J387" s="11" t="str">
        <f>IFERROR(VLOOKUP($B387,'(勿動)組件目錄表'!$D$15:$R$1094,11,FALSE),"-")</f>
        <v>-</v>
      </c>
      <c r="K387" s="11" t="str">
        <f>IFERROR(VLOOKUP($B387,'(勿動)組件目錄表'!$D$15:$R$1094,12,FALSE),"-")</f>
        <v>-</v>
      </c>
      <c r="L387" s="11" t="str">
        <f>IFERROR(VLOOKUP($B387,'(勿動)組件目錄表'!$D$15:$R$1094,13,FALSE),"-")</f>
        <v>-</v>
      </c>
      <c r="M387" s="11" t="str">
        <f>IFERROR(VLOOKUP($B387,'(勿動)組件目錄表'!$D$15:$R$1094,14,FALSE),"-")</f>
        <v>-</v>
      </c>
      <c r="N387" s="15">
        <f t="shared" si="2"/>
        <v>0</v>
      </c>
      <c r="O387" s="16"/>
    </row>
    <row r="388" spans="1:15" ht="15.75" customHeight="1">
      <c r="A388" s="18"/>
      <c r="B388" s="7"/>
      <c r="C388" s="8" t="str">
        <f>IFERROR(VLOOKUP($B388,'(勿動)組件目錄表'!$D$15:$R$1094,2,FALSE),"-")</f>
        <v>-</v>
      </c>
      <c r="D388" s="8" t="str">
        <f>IFERROR(VLOOKUP($B388,'(勿動)組件目錄表'!$D$15:$R$1094,3,FALSE),"-")</f>
        <v>-</v>
      </c>
      <c r="E388" s="9" t="str">
        <f>IFERROR(VLOOKUP($B388,'(勿動)組件目錄表'!$D$15:$R$1094,4,FALSE),"-")</f>
        <v>-</v>
      </c>
      <c r="F388" s="10" t="str">
        <f>IFERROR(VLOOKUP($B388,'(勿動)組件目錄表'!$D$15:$R$1094,5,FALSE),"-")</f>
        <v>-</v>
      </c>
      <c r="G388" s="11" t="str">
        <f>IFERROR(VLOOKUP($B388,'(勿動)組件目錄表'!$D$15:$R$1094,8,FALSE),"-")</f>
        <v>-</v>
      </c>
      <c r="H388" s="11" t="str">
        <f>IFERROR(VLOOKUP($B388,'(勿動)組件目錄表'!$D$15:$R$1094,9,FALSE),"-")</f>
        <v>-</v>
      </c>
      <c r="I388" s="11" t="str">
        <f>IFERROR(VLOOKUP($B388,'(勿動)組件目錄表'!$D$15:$R$1094,10,FALSE),"-")</f>
        <v>-</v>
      </c>
      <c r="J388" s="11" t="str">
        <f>IFERROR(VLOOKUP($B388,'(勿動)組件目錄表'!$D$15:$R$1094,11,FALSE),"-")</f>
        <v>-</v>
      </c>
      <c r="K388" s="11" t="str">
        <f>IFERROR(VLOOKUP($B388,'(勿動)組件目錄表'!$D$15:$R$1094,12,FALSE),"-")</f>
        <v>-</v>
      </c>
      <c r="L388" s="11" t="str">
        <f>IFERROR(VLOOKUP($B388,'(勿動)組件目錄表'!$D$15:$R$1094,13,FALSE),"-")</f>
        <v>-</v>
      </c>
      <c r="M388" s="11" t="str">
        <f>IFERROR(VLOOKUP($B388,'(勿動)組件目錄表'!$D$15:$R$1094,14,FALSE),"-")</f>
        <v>-</v>
      </c>
      <c r="N388" s="15">
        <f t="shared" si="2"/>
        <v>0</v>
      </c>
      <c r="O388" s="16"/>
    </row>
    <row r="389" spans="1:15" ht="15.75" customHeight="1">
      <c r="A389" s="18"/>
      <c r="B389" s="7"/>
      <c r="C389" s="8" t="str">
        <f>IFERROR(VLOOKUP($B389,'(勿動)組件目錄表'!$D$15:$R$1094,2,FALSE),"-")</f>
        <v>-</v>
      </c>
      <c r="D389" s="8" t="str">
        <f>IFERROR(VLOOKUP($B389,'(勿動)組件目錄表'!$D$15:$R$1094,3,FALSE),"-")</f>
        <v>-</v>
      </c>
      <c r="E389" s="9" t="str">
        <f>IFERROR(VLOOKUP($B389,'(勿動)組件目錄表'!$D$15:$R$1094,4,FALSE),"-")</f>
        <v>-</v>
      </c>
      <c r="F389" s="10" t="str">
        <f>IFERROR(VLOOKUP($B389,'(勿動)組件目錄表'!$D$15:$R$1094,5,FALSE),"-")</f>
        <v>-</v>
      </c>
      <c r="G389" s="11" t="str">
        <f>IFERROR(VLOOKUP($B389,'(勿動)組件目錄表'!$D$15:$R$1094,8,FALSE),"-")</f>
        <v>-</v>
      </c>
      <c r="H389" s="11" t="str">
        <f>IFERROR(VLOOKUP($B389,'(勿動)組件目錄表'!$D$15:$R$1094,9,FALSE),"-")</f>
        <v>-</v>
      </c>
      <c r="I389" s="11" t="str">
        <f>IFERROR(VLOOKUP($B389,'(勿動)組件目錄表'!$D$15:$R$1094,10,FALSE),"-")</f>
        <v>-</v>
      </c>
      <c r="J389" s="11" t="str">
        <f>IFERROR(VLOOKUP($B389,'(勿動)組件目錄表'!$D$15:$R$1094,11,FALSE),"-")</f>
        <v>-</v>
      </c>
      <c r="K389" s="11" t="str">
        <f>IFERROR(VLOOKUP($B389,'(勿動)組件目錄表'!$D$15:$R$1094,12,FALSE),"-")</f>
        <v>-</v>
      </c>
      <c r="L389" s="11" t="str">
        <f>IFERROR(VLOOKUP($B389,'(勿動)組件目錄表'!$D$15:$R$1094,13,FALSE),"-")</f>
        <v>-</v>
      </c>
      <c r="M389" s="11" t="str">
        <f>IFERROR(VLOOKUP($B389,'(勿動)組件目錄表'!$D$15:$R$1094,14,FALSE),"-")</f>
        <v>-</v>
      </c>
      <c r="N389" s="15">
        <f t="shared" si="2"/>
        <v>0</v>
      </c>
      <c r="O389" s="16"/>
    </row>
    <row r="390" spans="1:15" ht="15.75" customHeight="1">
      <c r="A390" s="18"/>
      <c r="B390" s="7"/>
      <c r="C390" s="8" t="str">
        <f>IFERROR(VLOOKUP($B390,'(勿動)組件目錄表'!$D$15:$R$1094,2,FALSE),"-")</f>
        <v>-</v>
      </c>
      <c r="D390" s="8" t="str">
        <f>IFERROR(VLOOKUP($B390,'(勿動)組件目錄表'!$D$15:$R$1094,3,FALSE),"-")</f>
        <v>-</v>
      </c>
      <c r="E390" s="9" t="str">
        <f>IFERROR(VLOOKUP($B390,'(勿動)組件目錄表'!$D$15:$R$1094,4,FALSE),"-")</f>
        <v>-</v>
      </c>
      <c r="F390" s="10" t="str">
        <f>IFERROR(VLOOKUP($B390,'(勿動)組件目錄表'!$D$15:$R$1094,5,FALSE),"-")</f>
        <v>-</v>
      </c>
      <c r="G390" s="11" t="str">
        <f>IFERROR(VLOOKUP($B390,'(勿動)組件目錄表'!$D$15:$R$1094,8,FALSE),"-")</f>
        <v>-</v>
      </c>
      <c r="H390" s="11" t="str">
        <f>IFERROR(VLOOKUP($B390,'(勿動)組件目錄表'!$D$15:$R$1094,9,FALSE),"-")</f>
        <v>-</v>
      </c>
      <c r="I390" s="11" t="str">
        <f>IFERROR(VLOOKUP($B390,'(勿動)組件目錄表'!$D$15:$R$1094,10,FALSE),"-")</f>
        <v>-</v>
      </c>
      <c r="J390" s="11" t="str">
        <f>IFERROR(VLOOKUP($B390,'(勿動)組件目錄表'!$D$15:$R$1094,11,FALSE),"-")</f>
        <v>-</v>
      </c>
      <c r="K390" s="11" t="str">
        <f>IFERROR(VLOOKUP($B390,'(勿動)組件目錄表'!$D$15:$R$1094,12,FALSE),"-")</f>
        <v>-</v>
      </c>
      <c r="L390" s="11" t="str">
        <f>IFERROR(VLOOKUP($B390,'(勿動)組件目錄表'!$D$15:$R$1094,13,FALSE),"-")</f>
        <v>-</v>
      </c>
      <c r="M390" s="11" t="str">
        <f>IFERROR(VLOOKUP($B390,'(勿動)組件目錄表'!$D$15:$R$1094,14,FALSE),"-")</f>
        <v>-</v>
      </c>
      <c r="N390" s="15">
        <f t="shared" si="2"/>
        <v>0</v>
      </c>
      <c r="O390" s="16"/>
    </row>
    <row r="391" spans="1:15" ht="15.75" customHeight="1">
      <c r="A391" s="18"/>
      <c r="B391" s="7"/>
      <c r="C391" s="8" t="str">
        <f>IFERROR(VLOOKUP($B391,'(勿動)組件目錄表'!$D$15:$R$1094,2,FALSE),"-")</f>
        <v>-</v>
      </c>
      <c r="D391" s="8" t="str">
        <f>IFERROR(VLOOKUP($B391,'(勿動)組件目錄表'!$D$15:$R$1094,3,FALSE),"-")</f>
        <v>-</v>
      </c>
      <c r="E391" s="9" t="str">
        <f>IFERROR(VLOOKUP($B391,'(勿動)組件目錄表'!$D$15:$R$1094,4,FALSE),"-")</f>
        <v>-</v>
      </c>
      <c r="F391" s="10" t="str">
        <f>IFERROR(VLOOKUP($B391,'(勿動)組件目錄表'!$D$15:$R$1094,5,FALSE),"-")</f>
        <v>-</v>
      </c>
      <c r="G391" s="11" t="str">
        <f>IFERROR(VLOOKUP($B391,'(勿動)組件目錄表'!$D$15:$R$1094,8,FALSE),"-")</f>
        <v>-</v>
      </c>
      <c r="H391" s="11" t="str">
        <f>IFERROR(VLOOKUP($B391,'(勿動)組件目錄表'!$D$15:$R$1094,9,FALSE),"-")</f>
        <v>-</v>
      </c>
      <c r="I391" s="11" t="str">
        <f>IFERROR(VLOOKUP($B391,'(勿動)組件目錄表'!$D$15:$R$1094,10,FALSE),"-")</f>
        <v>-</v>
      </c>
      <c r="J391" s="11" t="str">
        <f>IFERROR(VLOOKUP($B391,'(勿動)組件目錄表'!$D$15:$R$1094,11,FALSE),"-")</f>
        <v>-</v>
      </c>
      <c r="K391" s="11" t="str">
        <f>IFERROR(VLOOKUP($B391,'(勿動)組件目錄表'!$D$15:$R$1094,12,FALSE),"-")</f>
        <v>-</v>
      </c>
      <c r="L391" s="11" t="str">
        <f>IFERROR(VLOOKUP($B391,'(勿動)組件目錄表'!$D$15:$R$1094,13,FALSE),"-")</f>
        <v>-</v>
      </c>
      <c r="M391" s="11" t="str">
        <f>IFERROR(VLOOKUP($B391,'(勿動)組件目錄表'!$D$15:$R$1094,14,FALSE),"-")</f>
        <v>-</v>
      </c>
      <c r="N391" s="15">
        <f t="shared" si="2"/>
        <v>0</v>
      </c>
      <c r="O391" s="16"/>
    </row>
    <row r="392" spans="1:15" ht="15.75" customHeight="1">
      <c r="A392" s="18"/>
      <c r="B392" s="7"/>
      <c r="C392" s="8" t="str">
        <f>IFERROR(VLOOKUP($B392,'(勿動)組件目錄表'!$D$15:$R$1094,2,FALSE),"-")</f>
        <v>-</v>
      </c>
      <c r="D392" s="8" t="str">
        <f>IFERROR(VLOOKUP($B392,'(勿動)組件目錄表'!$D$15:$R$1094,3,FALSE),"-")</f>
        <v>-</v>
      </c>
      <c r="E392" s="9" t="str">
        <f>IFERROR(VLOOKUP($B392,'(勿動)組件目錄表'!$D$15:$R$1094,4,FALSE),"-")</f>
        <v>-</v>
      </c>
      <c r="F392" s="10" t="str">
        <f>IFERROR(VLOOKUP($B392,'(勿動)組件目錄表'!$D$15:$R$1094,5,FALSE),"-")</f>
        <v>-</v>
      </c>
      <c r="G392" s="11" t="str">
        <f>IFERROR(VLOOKUP($B392,'(勿動)組件目錄表'!$D$15:$R$1094,8,FALSE),"-")</f>
        <v>-</v>
      </c>
      <c r="H392" s="11" t="str">
        <f>IFERROR(VLOOKUP($B392,'(勿動)組件目錄表'!$D$15:$R$1094,9,FALSE),"-")</f>
        <v>-</v>
      </c>
      <c r="I392" s="11" t="str">
        <f>IFERROR(VLOOKUP($B392,'(勿動)組件目錄表'!$D$15:$R$1094,10,FALSE),"-")</f>
        <v>-</v>
      </c>
      <c r="J392" s="11" t="str">
        <f>IFERROR(VLOOKUP($B392,'(勿動)組件目錄表'!$D$15:$R$1094,11,FALSE),"-")</f>
        <v>-</v>
      </c>
      <c r="K392" s="11" t="str">
        <f>IFERROR(VLOOKUP($B392,'(勿動)組件目錄表'!$D$15:$R$1094,12,FALSE),"-")</f>
        <v>-</v>
      </c>
      <c r="L392" s="11" t="str">
        <f>IFERROR(VLOOKUP($B392,'(勿動)組件目錄表'!$D$15:$R$1094,13,FALSE),"-")</f>
        <v>-</v>
      </c>
      <c r="M392" s="11" t="str">
        <f>IFERROR(VLOOKUP($B392,'(勿動)組件目錄表'!$D$15:$R$1094,14,FALSE),"-")</f>
        <v>-</v>
      </c>
      <c r="N392" s="15">
        <f t="shared" si="2"/>
        <v>0</v>
      </c>
      <c r="O392" s="16"/>
    </row>
    <row r="393" spans="1:15" ht="15.75" customHeight="1">
      <c r="A393" s="18"/>
      <c r="B393" s="7"/>
      <c r="C393" s="8" t="str">
        <f>IFERROR(VLOOKUP($B393,'(勿動)組件目錄表'!$D$15:$R$1094,2,FALSE),"-")</f>
        <v>-</v>
      </c>
      <c r="D393" s="8" t="str">
        <f>IFERROR(VLOOKUP($B393,'(勿動)組件目錄表'!$D$15:$R$1094,3,FALSE),"-")</f>
        <v>-</v>
      </c>
      <c r="E393" s="9" t="str">
        <f>IFERROR(VLOOKUP($B393,'(勿動)組件目錄表'!$D$15:$R$1094,4,FALSE),"-")</f>
        <v>-</v>
      </c>
      <c r="F393" s="10" t="str">
        <f>IFERROR(VLOOKUP($B393,'(勿動)組件目錄表'!$D$15:$R$1094,5,FALSE),"-")</f>
        <v>-</v>
      </c>
      <c r="G393" s="11" t="str">
        <f>IFERROR(VLOOKUP($B393,'(勿動)組件目錄表'!$D$15:$R$1094,8,FALSE),"-")</f>
        <v>-</v>
      </c>
      <c r="H393" s="11" t="str">
        <f>IFERROR(VLOOKUP($B393,'(勿動)組件目錄表'!$D$15:$R$1094,9,FALSE),"-")</f>
        <v>-</v>
      </c>
      <c r="I393" s="11" t="str">
        <f>IFERROR(VLOOKUP($B393,'(勿動)組件目錄表'!$D$15:$R$1094,10,FALSE),"-")</f>
        <v>-</v>
      </c>
      <c r="J393" s="11" t="str">
        <f>IFERROR(VLOOKUP($B393,'(勿動)組件目錄表'!$D$15:$R$1094,11,FALSE),"-")</f>
        <v>-</v>
      </c>
      <c r="K393" s="11" t="str">
        <f>IFERROR(VLOOKUP($B393,'(勿動)組件目錄表'!$D$15:$R$1094,12,FALSE),"-")</f>
        <v>-</v>
      </c>
      <c r="L393" s="11" t="str">
        <f>IFERROR(VLOOKUP($B393,'(勿動)組件目錄表'!$D$15:$R$1094,13,FALSE),"-")</f>
        <v>-</v>
      </c>
      <c r="M393" s="11" t="str">
        <f>IFERROR(VLOOKUP($B393,'(勿動)組件目錄表'!$D$15:$R$1094,14,FALSE),"-")</f>
        <v>-</v>
      </c>
      <c r="N393" s="15">
        <f t="shared" si="2"/>
        <v>0</v>
      </c>
      <c r="O393" s="16"/>
    </row>
    <row r="394" spans="1:15" ht="15.75" customHeight="1">
      <c r="A394" s="18"/>
      <c r="B394" s="7"/>
      <c r="C394" s="8" t="str">
        <f>IFERROR(VLOOKUP($B394,'(勿動)組件目錄表'!$D$15:$R$1094,2,FALSE),"-")</f>
        <v>-</v>
      </c>
      <c r="D394" s="8" t="str">
        <f>IFERROR(VLOOKUP($B394,'(勿動)組件目錄表'!$D$15:$R$1094,3,FALSE),"-")</f>
        <v>-</v>
      </c>
      <c r="E394" s="9" t="str">
        <f>IFERROR(VLOOKUP($B394,'(勿動)組件目錄表'!$D$15:$R$1094,4,FALSE),"-")</f>
        <v>-</v>
      </c>
      <c r="F394" s="10" t="str">
        <f>IFERROR(VLOOKUP($B394,'(勿動)組件目錄表'!$D$15:$R$1094,5,FALSE),"-")</f>
        <v>-</v>
      </c>
      <c r="G394" s="11" t="str">
        <f>IFERROR(VLOOKUP($B394,'(勿動)組件目錄表'!$D$15:$R$1094,8,FALSE),"-")</f>
        <v>-</v>
      </c>
      <c r="H394" s="11" t="str">
        <f>IFERROR(VLOOKUP($B394,'(勿動)組件目錄表'!$D$15:$R$1094,9,FALSE),"-")</f>
        <v>-</v>
      </c>
      <c r="I394" s="11" t="str">
        <f>IFERROR(VLOOKUP($B394,'(勿動)組件目錄表'!$D$15:$R$1094,10,FALSE),"-")</f>
        <v>-</v>
      </c>
      <c r="J394" s="11" t="str">
        <f>IFERROR(VLOOKUP($B394,'(勿動)組件目錄表'!$D$15:$R$1094,11,FALSE),"-")</f>
        <v>-</v>
      </c>
      <c r="K394" s="11" t="str">
        <f>IFERROR(VLOOKUP($B394,'(勿動)組件目錄表'!$D$15:$R$1094,12,FALSE),"-")</f>
        <v>-</v>
      </c>
      <c r="L394" s="11" t="str">
        <f>IFERROR(VLOOKUP($B394,'(勿動)組件目錄表'!$D$15:$R$1094,13,FALSE),"-")</f>
        <v>-</v>
      </c>
      <c r="M394" s="11" t="str">
        <f>IFERROR(VLOOKUP($B394,'(勿動)組件目錄表'!$D$15:$R$1094,14,FALSE),"-")</f>
        <v>-</v>
      </c>
      <c r="N394" s="15">
        <f t="shared" si="2"/>
        <v>0</v>
      </c>
      <c r="O394" s="16"/>
    </row>
    <row r="395" spans="1:15" ht="15.75" customHeight="1">
      <c r="A395" s="18"/>
      <c r="B395" s="7"/>
      <c r="C395" s="8" t="str">
        <f>IFERROR(VLOOKUP($B395,'(勿動)組件目錄表'!$D$15:$R$1094,2,FALSE),"-")</f>
        <v>-</v>
      </c>
      <c r="D395" s="8" t="str">
        <f>IFERROR(VLOOKUP($B395,'(勿動)組件目錄表'!$D$15:$R$1094,3,FALSE),"-")</f>
        <v>-</v>
      </c>
      <c r="E395" s="9" t="str">
        <f>IFERROR(VLOOKUP($B395,'(勿動)組件目錄表'!$D$15:$R$1094,4,FALSE),"-")</f>
        <v>-</v>
      </c>
      <c r="F395" s="10" t="str">
        <f>IFERROR(VLOOKUP($B395,'(勿動)組件目錄表'!$D$15:$R$1094,5,FALSE),"-")</f>
        <v>-</v>
      </c>
      <c r="G395" s="11" t="str">
        <f>IFERROR(VLOOKUP($B395,'(勿動)組件目錄表'!$D$15:$R$1094,8,FALSE),"-")</f>
        <v>-</v>
      </c>
      <c r="H395" s="11" t="str">
        <f>IFERROR(VLOOKUP($B395,'(勿動)組件目錄表'!$D$15:$R$1094,9,FALSE),"-")</f>
        <v>-</v>
      </c>
      <c r="I395" s="11" t="str">
        <f>IFERROR(VLOOKUP($B395,'(勿動)組件目錄表'!$D$15:$R$1094,10,FALSE),"-")</f>
        <v>-</v>
      </c>
      <c r="J395" s="11" t="str">
        <f>IFERROR(VLOOKUP($B395,'(勿動)組件目錄表'!$D$15:$R$1094,11,FALSE),"-")</f>
        <v>-</v>
      </c>
      <c r="K395" s="11" t="str">
        <f>IFERROR(VLOOKUP($B395,'(勿動)組件目錄表'!$D$15:$R$1094,12,FALSE),"-")</f>
        <v>-</v>
      </c>
      <c r="L395" s="11" t="str">
        <f>IFERROR(VLOOKUP($B395,'(勿動)組件目錄表'!$D$15:$R$1094,13,FALSE),"-")</f>
        <v>-</v>
      </c>
      <c r="M395" s="11" t="str">
        <f>IFERROR(VLOOKUP($B395,'(勿動)組件目錄表'!$D$15:$R$1094,14,FALSE),"-")</f>
        <v>-</v>
      </c>
      <c r="N395" s="15">
        <f t="shared" si="2"/>
        <v>0</v>
      </c>
      <c r="O395" s="16"/>
    </row>
    <row r="396" spans="1:15" ht="15.75" customHeight="1">
      <c r="A396" s="18"/>
      <c r="B396" s="7"/>
      <c r="C396" s="8" t="str">
        <f>IFERROR(VLOOKUP($B396,'(勿動)組件目錄表'!$D$15:$R$1094,2,FALSE),"-")</f>
        <v>-</v>
      </c>
      <c r="D396" s="8" t="str">
        <f>IFERROR(VLOOKUP($B396,'(勿動)組件目錄表'!$D$15:$R$1094,3,FALSE),"-")</f>
        <v>-</v>
      </c>
      <c r="E396" s="9" t="str">
        <f>IFERROR(VLOOKUP($B396,'(勿動)組件目錄表'!$D$15:$R$1094,4,FALSE),"-")</f>
        <v>-</v>
      </c>
      <c r="F396" s="10" t="str">
        <f>IFERROR(VLOOKUP($B396,'(勿動)組件目錄表'!$D$15:$R$1094,5,FALSE),"-")</f>
        <v>-</v>
      </c>
      <c r="G396" s="11" t="str">
        <f>IFERROR(VLOOKUP($B396,'(勿動)組件目錄表'!$D$15:$R$1094,8,FALSE),"-")</f>
        <v>-</v>
      </c>
      <c r="H396" s="11" t="str">
        <f>IFERROR(VLOOKUP($B396,'(勿動)組件目錄表'!$D$15:$R$1094,9,FALSE),"-")</f>
        <v>-</v>
      </c>
      <c r="I396" s="11" t="str">
        <f>IFERROR(VLOOKUP($B396,'(勿動)組件目錄表'!$D$15:$R$1094,10,FALSE),"-")</f>
        <v>-</v>
      </c>
      <c r="J396" s="11" t="str">
        <f>IFERROR(VLOOKUP($B396,'(勿動)組件目錄表'!$D$15:$R$1094,11,FALSE),"-")</f>
        <v>-</v>
      </c>
      <c r="K396" s="11" t="str">
        <f>IFERROR(VLOOKUP($B396,'(勿動)組件目錄表'!$D$15:$R$1094,12,FALSE),"-")</f>
        <v>-</v>
      </c>
      <c r="L396" s="11" t="str">
        <f>IFERROR(VLOOKUP($B396,'(勿動)組件目錄表'!$D$15:$R$1094,13,FALSE),"-")</f>
        <v>-</v>
      </c>
      <c r="M396" s="11" t="str">
        <f>IFERROR(VLOOKUP($B396,'(勿動)組件目錄表'!$D$15:$R$1094,14,FALSE),"-")</f>
        <v>-</v>
      </c>
      <c r="N396" s="15">
        <f t="shared" si="2"/>
        <v>0</v>
      </c>
      <c r="O396" s="16"/>
    </row>
    <row r="397" spans="1:15" ht="15.75" customHeight="1">
      <c r="A397" s="18"/>
      <c r="B397" s="7"/>
      <c r="C397" s="8" t="str">
        <f>IFERROR(VLOOKUP($B397,'(勿動)組件目錄表'!$D$15:$R$1094,2,FALSE),"-")</f>
        <v>-</v>
      </c>
      <c r="D397" s="8" t="str">
        <f>IFERROR(VLOOKUP($B397,'(勿動)組件目錄表'!$D$15:$R$1094,3,FALSE),"-")</f>
        <v>-</v>
      </c>
      <c r="E397" s="9" t="str">
        <f>IFERROR(VLOOKUP($B397,'(勿動)組件目錄表'!$D$15:$R$1094,4,FALSE),"-")</f>
        <v>-</v>
      </c>
      <c r="F397" s="10" t="str">
        <f>IFERROR(VLOOKUP($B397,'(勿動)組件目錄表'!$D$15:$R$1094,5,FALSE),"-")</f>
        <v>-</v>
      </c>
      <c r="G397" s="11" t="str">
        <f>IFERROR(VLOOKUP($B397,'(勿動)組件目錄表'!$D$15:$R$1094,8,FALSE),"-")</f>
        <v>-</v>
      </c>
      <c r="H397" s="11" t="str">
        <f>IFERROR(VLOOKUP($B397,'(勿動)組件目錄表'!$D$15:$R$1094,9,FALSE),"-")</f>
        <v>-</v>
      </c>
      <c r="I397" s="11" t="str">
        <f>IFERROR(VLOOKUP($B397,'(勿動)組件目錄表'!$D$15:$R$1094,10,FALSE),"-")</f>
        <v>-</v>
      </c>
      <c r="J397" s="11" t="str">
        <f>IFERROR(VLOOKUP($B397,'(勿動)組件目錄表'!$D$15:$R$1094,11,FALSE),"-")</f>
        <v>-</v>
      </c>
      <c r="K397" s="11" t="str">
        <f>IFERROR(VLOOKUP($B397,'(勿動)組件目錄表'!$D$15:$R$1094,12,FALSE),"-")</f>
        <v>-</v>
      </c>
      <c r="L397" s="11" t="str">
        <f>IFERROR(VLOOKUP($B397,'(勿動)組件目錄表'!$D$15:$R$1094,13,FALSE),"-")</f>
        <v>-</v>
      </c>
      <c r="M397" s="11" t="str">
        <f>IFERROR(VLOOKUP($B397,'(勿動)組件目錄表'!$D$15:$R$1094,14,FALSE),"-")</f>
        <v>-</v>
      </c>
      <c r="N397" s="15">
        <f t="shared" si="2"/>
        <v>0</v>
      </c>
      <c r="O397" s="16"/>
    </row>
    <row r="398" spans="1:15" ht="15.75" customHeight="1">
      <c r="A398" s="18"/>
      <c r="B398" s="7"/>
      <c r="C398" s="8" t="str">
        <f>IFERROR(VLOOKUP($B398,'(勿動)組件目錄表'!$D$15:$R$1094,2,FALSE),"-")</f>
        <v>-</v>
      </c>
      <c r="D398" s="8" t="str">
        <f>IFERROR(VLOOKUP($B398,'(勿動)組件目錄表'!$D$15:$R$1094,3,FALSE),"-")</f>
        <v>-</v>
      </c>
      <c r="E398" s="9" t="str">
        <f>IFERROR(VLOOKUP($B398,'(勿動)組件目錄表'!$D$15:$R$1094,4,FALSE),"-")</f>
        <v>-</v>
      </c>
      <c r="F398" s="10" t="str">
        <f>IFERROR(VLOOKUP($B398,'(勿動)組件目錄表'!$D$15:$R$1094,5,FALSE),"-")</f>
        <v>-</v>
      </c>
      <c r="G398" s="11" t="str">
        <f>IFERROR(VLOOKUP($B398,'(勿動)組件目錄表'!$D$15:$R$1094,8,FALSE),"-")</f>
        <v>-</v>
      </c>
      <c r="H398" s="11" t="str">
        <f>IFERROR(VLOOKUP($B398,'(勿動)組件目錄表'!$D$15:$R$1094,9,FALSE),"-")</f>
        <v>-</v>
      </c>
      <c r="I398" s="11" t="str">
        <f>IFERROR(VLOOKUP($B398,'(勿動)組件目錄表'!$D$15:$R$1094,10,FALSE),"-")</f>
        <v>-</v>
      </c>
      <c r="J398" s="11" t="str">
        <f>IFERROR(VLOOKUP($B398,'(勿動)組件目錄表'!$D$15:$R$1094,11,FALSE),"-")</f>
        <v>-</v>
      </c>
      <c r="K398" s="11" t="str">
        <f>IFERROR(VLOOKUP($B398,'(勿動)組件目錄表'!$D$15:$R$1094,12,FALSE),"-")</f>
        <v>-</v>
      </c>
      <c r="L398" s="11" t="str">
        <f>IFERROR(VLOOKUP($B398,'(勿動)組件目錄表'!$D$15:$R$1094,13,FALSE),"-")</f>
        <v>-</v>
      </c>
      <c r="M398" s="11" t="str">
        <f>IFERROR(VLOOKUP($B398,'(勿動)組件目錄表'!$D$15:$R$1094,14,FALSE),"-")</f>
        <v>-</v>
      </c>
      <c r="N398" s="15">
        <f t="shared" si="2"/>
        <v>0</v>
      </c>
      <c r="O398" s="16"/>
    </row>
    <row r="399" spans="1:15" ht="15.75" customHeight="1">
      <c r="A399" s="18"/>
      <c r="B399" s="7"/>
      <c r="C399" s="8" t="str">
        <f>IFERROR(VLOOKUP($B399,'(勿動)組件目錄表'!$D$15:$R$1094,2,FALSE),"-")</f>
        <v>-</v>
      </c>
      <c r="D399" s="8" t="str">
        <f>IFERROR(VLOOKUP($B399,'(勿動)組件目錄表'!$D$15:$R$1094,3,FALSE),"-")</f>
        <v>-</v>
      </c>
      <c r="E399" s="9" t="str">
        <f>IFERROR(VLOOKUP($B399,'(勿動)組件目錄表'!$D$15:$R$1094,4,FALSE),"-")</f>
        <v>-</v>
      </c>
      <c r="F399" s="10" t="str">
        <f>IFERROR(VLOOKUP($B399,'(勿動)組件目錄表'!$D$15:$R$1094,5,FALSE),"-")</f>
        <v>-</v>
      </c>
      <c r="G399" s="11" t="str">
        <f>IFERROR(VLOOKUP($B399,'(勿動)組件目錄表'!$D$15:$R$1094,8,FALSE),"-")</f>
        <v>-</v>
      </c>
      <c r="H399" s="11" t="str">
        <f>IFERROR(VLOOKUP($B399,'(勿動)組件目錄表'!$D$15:$R$1094,9,FALSE),"-")</f>
        <v>-</v>
      </c>
      <c r="I399" s="11" t="str">
        <f>IFERROR(VLOOKUP($B399,'(勿動)組件目錄表'!$D$15:$R$1094,10,FALSE),"-")</f>
        <v>-</v>
      </c>
      <c r="J399" s="11" t="str">
        <f>IFERROR(VLOOKUP($B399,'(勿動)組件目錄表'!$D$15:$R$1094,11,FALSE),"-")</f>
        <v>-</v>
      </c>
      <c r="K399" s="11" t="str">
        <f>IFERROR(VLOOKUP($B399,'(勿動)組件目錄表'!$D$15:$R$1094,12,FALSE),"-")</f>
        <v>-</v>
      </c>
      <c r="L399" s="11" t="str">
        <f>IFERROR(VLOOKUP($B399,'(勿動)組件目錄表'!$D$15:$R$1094,13,FALSE),"-")</f>
        <v>-</v>
      </c>
      <c r="M399" s="11" t="str">
        <f>IFERROR(VLOOKUP($B399,'(勿動)組件目錄表'!$D$15:$R$1094,14,FALSE),"-")</f>
        <v>-</v>
      </c>
      <c r="N399" s="15">
        <f t="shared" si="2"/>
        <v>0</v>
      </c>
      <c r="O399" s="16"/>
    </row>
    <row r="400" spans="1:15" ht="15.75" customHeight="1">
      <c r="A400" s="18"/>
      <c r="B400" s="7"/>
      <c r="C400" s="8" t="str">
        <f>IFERROR(VLOOKUP($B400,'(勿動)組件目錄表'!$D$15:$R$1094,2,FALSE),"-")</f>
        <v>-</v>
      </c>
      <c r="D400" s="8" t="str">
        <f>IFERROR(VLOOKUP($B400,'(勿動)組件目錄表'!$D$15:$R$1094,3,FALSE),"-")</f>
        <v>-</v>
      </c>
      <c r="E400" s="9" t="str">
        <f>IFERROR(VLOOKUP($B400,'(勿動)組件目錄表'!$D$15:$R$1094,4,FALSE),"-")</f>
        <v>-</v>
      </c>
      <c r="F400" s="10" t="str">
        <f>IFERROR(VLOOKUP($B400,'(勿動)組件目錄表'!$D$15:$R$1094,5,FALSE),"-")</f>
        <v>-</v>
      </c>
      <c r="G400" s="11" t="str">
        <f>IFERROR(VLOOKUP($B400,'(勿動)組件目錄表'!$D$15:$R$1094,8,FALSE),"-")</f>
        <v>-</v>
      </c>
      <c r="H400" s="11" t="str">
        <f>IFERROR(VLOOKUP($B400,'(勿動)組件目錄表'!$D$15:$R$1094,9,FALSE),"-")</f>
        <v>-</v>
      </c>
      <c r="I400" s="11" t="str">
        <f>IFERROR(VLOOKUP($B400,'(勿動)組件目錄表'!$D$15:$R$1094,10,FALSE),"-")</f>
        <v>-</v>
      </c>
      <c r="J400" s="11" t="str">
        <f>IFERROR(VLOOKUP($B400,'(勿動)組件目錄表'!$D$15:$R$1094,11,FALSE),"-")</f>
        <v>-</v>
      </c>
      <c r="K400" s="11" t="str">
        <f>IFERROR(VLOOKUP($B400,'(勿動)組件目錄表'!$D$15:$R$1094,12,FALSE),"-")</f>
        <v>-</v>
      </c>
      <c r="L400" s="11" t="str">
        <f>IFERROR(VLOOKUP($B400,'(勿動)組件目錄表'!$D$15:$R$1094,13,FALSE),"-")</f>
        <v>-</v>
      </c>
      <c r="M400" s="11" t="str">
        <f>IFERROR(VLOOKUP($B400,'(勿動)組件目錄表'!$D$15:$R$1094,14,FALSE),"-")</f>
        <v>-</v>
      </c>
      <c r="N400" s="15">
        <f t="shared" si="2"/>
        <v>0</v>
      </c>
      <c r="O400" s="16"/>
    </row>
    <row r="401" spans="1:15" ht="15.75" customHeight="1">
      <c r="A401" s="18"/>
      <c r="B401" s="7"/>
      <c r="C401" s="8" t="str">
        <f>IFERROR(VLOOKUP($B401,'(勿動)組件目錄表'!$D$15:$R$1094,2,FALSE),"-")</f>
        <v>-</v>
      </c>
      <c r="D401" s="8" t="str">
        <f>IFERROR(VLOOKUP($B401,'(勿動)組件目錄表'!$D$15:$R$1094,3,FALSE),"-")</f>
        <v>-</v>
      </c>
      <c r="E401" s="9" t="str">
        <f>IFERROR(VLOOKUP($B401,'(勿動)組件目錄表'!$D$15:$R$1094,4,FALSE),"-")</f>
        <v>-</v>
      </c>
      <c r="F401" s="10" t="str">
        <f>IFERROR(VLOOKUP($B401,'(勿動)組件目錄表'!$D$15:$R$1094,5,FALSE),"-")</f>
        <v>-</v>
      </c>
      <c r="G401" s="11" t="str">
        <f>IFERROR(VLOOKUP($B401,'(勿動)組件目錄表'!$D$15:$R$1094,8,FALSE),"-")</f>
        <v>-</v>
      </c>
      <c r="H401" s="11" t="str">
        <f>IFERROR(VLOOKUP($B401,'(勿動)組件目錄表'!$D$15:$R$1094,9,FALSE),"-")</f>
        <v>-</v>
      </c>
      <c r="I401" s="11" t="str">
        <f>IFERROR(VLOOKUP($B401,'(勿動)組件目錄表'!$D$15:$R$1094,10,FALSE),"-")</f>
        <v>-</v>
      </c>
      <c r="J401" s="11" t="str">
        <f>IFERROR(VLOOKUP($B401,'(勿動)組件目錄表'!$D$15:$R$1094,11,FALSE),"-")</f>
        <v>-</v>
      </c>
      <c r="K401" s="11" t="str">
        <f>IFERROR(VLOOKUP($B401,'(勿動)組件目錄表'!$D$15:$R$1094,12,FALSE),"-")</f>
        <v>-</v>
      </c>
      <c r="L401" s="11" t="str">
        <f>IFERROR(VLOOKUP($B401,'(勿動)組件目錄表'!$D$15:$R$1094,13,FALSE),"-")</f>
        <v>-</v>
      </c>
      <c r="M401" s="11" t="str">
        <f>IFERROR(VLOOKUP($B401,'(勿動)組件目錄表'!$D$15:$R$1094,14,FALSE),"-")</f>
        <v>-</v>
      </c>
      <c r="N401" s="15">
        <f t="shared" si="2"/>
        <v>0</v>
      </c>
      <c r="O401" s="16"/>
    </row>
    <row r="402" spans="1:15" ht="15.75" customHeight="1">
      <c r="A402" s="18"/>
      <c r="B402" s="7"/>
      <c r="C402" s="8" t="str">
        <f>IFERROR(VLOOKUP($B402,'(勿動)組件目錄表'!$D$15:$R$1094,2,FALSE),"-")</f>
        <v>-</v>
      </c>
      <c r="D402" s="8" t="str">
        <f>IFERROR(VLOOKUP($B402,'(勿動)組件目錄表'!$D$15:$R$1094,3,FALSE),"-")</f>
        <v>-</v>
      </c>
      <c r="E402" s="9" t="str">
        <f>IFERROR(VLOOKUP($B402,'(勿動)組件目錄表'!$D$15:$R$1094,4,FALSE),"-")</f>
        <v>-</v>
      </c>
      <c r="F402" s="10" t="str">
        <f>IFERROR(VLOOKUP($B402,'(勿動)組件目錄表'!$D$15:$R$1094,5,FALSE),"-")</f>
        <v>-</v>
      </c>
      <c r="G402" s="11" t="str">
        <f>IFERROR(VLOOKUP($B402,'(勿動)組件目錄表'!$D$15:$R$1094,8,FALSE),"-")</f>
        <v>-</v>
      </c>
      <c r="H402" s="11" t="str">
        <f>IFERROR(VLOOKUP($B402,'(勿動)組件目錄表'!$D$15:$R$1094,9,FALSE),"-")</f>
        <v>-</v>
      </c>
      <c r="I402" s="11" t="str">
        <f>IFERROR(VLOOKUP($B402,'(勿動)組件目錄表'!$D$15:$R$1094,10,FALSE),"-")</f>
        <v>-</v>
      </c>
      <c r="J402" s="11" t="str">
        <f>IFERROR(VLOOKUP($B402,'(勿動)組件目錄表'!$D$15:$R$1094,11,FALSE),"-")</f>
        <v>-</v>
      </c>
      <c r="K402" s="11" t="str">
        <f>IFERROR(VLOOKUP($B402,'(勿動)組件目錄表'!$D$15:$R$1094,12,FALSE),"-")</f>
        <v>-</v>
      </c>
      <c r="L402" s="11" t="str">
        <f>IFERROR(VLOOKUP($B402,'(勿動)組件目錄表'!$D$15:$R$1094,13,FALSE),"-")</f>
        <v>-</v>
      </c>
      <c r="M402" s="11" t="str">
        <f>IFERROR(VLOOKUP($B402,'(勿動)組件目錄表'!$D$15:$R$1094,14,FALSE),"-")</f>
        <v>-</v>
      </c>
      <c r="N402" s="15">
        <f t="shared" si="2"/>
        <v>0</v>
      </c>
      <c r="O402" s="16"/>
    </row>
    <row r="403" spans="1:15" ht="15.75" customHeight="1">
      <c r="A403" s="18"/>
      <c r="B403" s="7"/>
      <c r="C403" s="8" t="str">
        <f>IFERROR(VLOOKUP($B403,'(勿動)組件目錄表'!$D$15:$R$1094,2,FALSE),"-")</f>
        <v>-</v>
      </c>
      <c r="D403" s="8" t="str">
        <f>IFERROR(VLOOKUP($B403,'(勿動)組件目錄表'!$D$15:$R$1094,3,FALSE),"-")</f>
        <v>-</v>
      </c>
      <c r="E403" s="9" t="str">
        <f>IFERROR(VLOOKUP($B403,'(勿動)組件目錄表'!$D$15:$R$1094,4,FALSE),"-")</f>
        <v>-</v>
      </c>
      <c r="F403" s="10" t="str">
        <f>IFERROR(VLOOKUP($B403,'(勿動)組件目錄表'!$D$15:$R$1094,5,FALSE),"-")</f>
        <v>-</v>
      </c>
      <c r="G403" s="11" t="str">
        <f>IFERROR(VLOOKUP($B403,'(勿動)組件目錄表'!$D$15:$R$1094,8,FALSE),"-")</f>
        <v>-</v>
      </c>
      <c r="H403" s="11" t="str">
        <f>IFERROR(VLOOKUP($B403,'(勿動)組件目錄表'!$D$15:$R$1094,9,FALSE),"-")</f>
        <v>-</v>
      </c>
      <c r="I403" s="11" t="str">
        <f>IFERROR(VLOOKUP($B403,'(勿動)組件目錄表'!$D$15:$R$1094,10,FALSE),"-")</f>
        <v>-</v>
      </c>
      <c r="J403" s="11" t="str">
        <f>IFERROR(VLOOKUP($B403,'(勿動)組件目錄表'!$D$15:$R$1094,11,FALSE),"-")</f>
        <v>-</v>
      </c>
      <c r="K403" s="11" t="str">
        <f>IFERROR(VLOOKUP($B403,'(勿動)組件目錄表'!$D$15:$R$1094,12,FALSE),"-")</f>
        <v>-</v>
      </c>
      <c r="L403" s="11" t="str">
        <f>IFERROR(VLOOKUP($B403,'(勿動)組件目錄表'!$D$15:$R$1094,13,FALSE),"-")</f>
        <v>-</v>
      </c>
      <c r="M403" s="11" t="str">
        <f>IFERROR(VLOOKUP($B403,'(勿動)組件目錄表'!$D$15:$R$1094,14,FALSE),"-")</f>
        <v>-</v>
      </c>
      <c r="N403" s="15">
        <f t="shared" si="2"/>
        <v>0</v>
      </c>
      <c r="O403" s="16"/>
    </row>
    <row r="404" spans="1:15" ht="15.75" customHeight="1">
      <c r="A404" s="18"/>
      <c r="B404" s="7"/>
      <c r="C404" s="8" t="str">
        <f>IFERROR(VLOOKUP($B404,'(勿動)組件目錄表'!$D$15:$R$1094,2,FALSE),"-")</f>
        <v>-</v>
      </c>
      <c r="D404" s="8" t="str">
        <f>IFERROR(VLOOKUP($B404,'(勿動)組件目錄表'!$D$15:$R$1094,3,FALSE),"-")</f>
        <v>-</v>
      </c>
      <c r="E404" s="9" t="str">
        <f>IFERROR(VLOOKUP($B404,'(勿動)組件目錄表'!$D$15:$R$1094,4,FALSE),"-")</f>
        <v>-</v>
      </c>
      <c r="F404" s="10" t="str">
        <f>IFERROR(VLOOKUP($B404,'(勿動)組件目錄表'!$D$15:$R$1094,5,FALSE),"-")</f>
        <v>-</v>
      </c>
      <c r="G404" s="11" t="str">
        <f>IFERROR(VLOOKUP($B404,'(勿動)組件目錄表'!$D$15:$R$1094,8,FALSE),"-")</f>
        <v>-</v>
      </c>
      <c r="H404" s="11" t="str">
        <f>IFERROR(VLOOKUP($B404,'(勿動)組件目錄表'!$D$15:$R$1094,9,FALSE),"-")</f>
        <v>-</v>
      </c>
      <c r="I404" s="11" t="str">
        <f>IFERROR(VLOOKUP($B404,'(勿動)組件目錄表'!$D$15:$R$1094,10,FALSE),"-")</f>
        <v>-</v>
      </c>
      <c r="J404" s="11" t="str">
        <f>IFERROR(VLOOKUP($B404,'(勿動)組件目錄表'!$D$15:$R$1094,11,FALSE),"-")</f>
        <v>-</v>
      </c>
      <c r="K404" s="11" t="str">
        <f>IFERROR(VLOOKUP($B404,'(勿動)組件目錄表'!$D$15:$R$1094,12,FALSE),"-")</f>
        <v>-</v>
      </c>
      <c r="L404" s="11" t="str">
        <f>IFERROR(VLOOKUP($B404,'(勿動)組件目錄表'!$D$15:$R$1094,13,FALSE),"-")</f>
        <v>-</v>
      </c>
      <c r="M404" s="11" t="str">
        <f>IFERROR(VLOOKUP($B404,'(勿動)組件目錄表'!$D$15:$R$1094,14,FALSE),"-")</f>
        <v>-</v>
      </c>
      <c r="N404" s="15">
        <f t="shared" si="2"/>
        <v>0</v>
      </c>
      <c r="O404" s="16"/>
    </row>
    <row r="405" spans="1:15" ht="15.75" customHeight="1">
      <c r="A405" s="18"/>
      <c r="B405" s="7"/>
      <c r="C405" s="8" t="str">
        <f>IFERROR(VLOOKUP($B405,'(勿動)組件目錄表'!$D$15:$R$1094,2,FALSE),"-")</f>
        <v>-</v>
      </c>
      <c r="D405" s="8" t="str">
        <f>IFERROR(VLOOKUP($B405,'(勿動)組件目錄表'!$D$15:$R$1094,3,FALSE),"-")</f>
        <v>-</v>
      </c>
      <c r="E405" s="9" t="str">
        <f>IFERROR(VLOOKUP($B405,'(勿動)組件目錄表'!$D$15:$R$1094,4,FALSE),"-")</f>
        <v>-</v>
      </c>
      <c r="F405" s="10" t="str">
        <f>IFERROR(VLOOKUP($B405,'(勿動)組件目錄表'!$D$15:$R$1094,5,FALSE),"-")</f>
        <v>-</v>
      </c>
      <c r="G405" s="11" t="str">
        <f>IFERROR(VLOOKUP($B405,'(勿動)組件目錄表'!$D$15:$R$1094,8,FALSE),"-")</f>
        <v>-</v>
      </c>
      <c r="H405" s="11" t="str">
        <f>IFERROR(VLOOKUP($B405,'(勿動)組件目錄表'!$D$15:$R$1094,9,FALSE),"-")</f>
        <v>-</v>
      </c>
      <c r="I405" s="11" t="str">
        <f>IFERROR(VLOOKUP($B405,'(勿動)組件目錄表'!$D$15:$R$1094,10,FALSE),"-")</f>
        <v>-</v>
      </c>
      <c r="J405" s="11" t="str">
        <f>IFERROR(VLOOKUP($B405,'(勿動)組件目錄表'!$D$15:$R$1094,11,FALSE),"-")</f>
        <v>-</v>
      </c>
      <c r="K405" s="11" t="str">
        <f>IFERROR(VLOOKUP($B405,'(勿動)組件目錄表'!$D$15:$R$1094,12,FALSE),"-")</f>
        <v>-</v>
      </c>
      <c r="L405" s="11" t="str">
        <f>IFERROR(VLOOKUP($B405,'(勿動)組件目錄表'!$D$15:$R$1094,13,FALSE),"-")</f>
        <v>-</v>
      </c>
      <c r="M405" s="11" t="str">
        <f>IFERROR(VLOOKUP($B405,'(勿動)組件目錄表'!$D$15:$R$1094,14,FALSE),"-")</f>
        <v>-</v>
      </c>
      <c r="N405" s="15">
        <f t="shared" si="2"/>
        <v>0</v>
      </c>
      <c r="O405" s="16"/>
    </row>
    <row r="406" spans="1:15" ht="15.75" customHeight="1">
      <c r="A406" s="18"/>
      <c r="B406" s="7"/>
      <c r="C406" s="8" t="str">
        <f>IFERROR(VLOOKUP($B406,'(勿動)組件目錄表'!$D$15:$R$1094,2,FALSE),"-")</f>
        <v>-</v>
      </c>
      <c r="D406" s="8" t="str">
        <f>IFERROR(VLOOKUP($B406,'(勿動)組件目錄表'!$D$15:$R$1094,3,FALSE),"-")</f>
        <v>-</v>
      </c>
      <c r="E406" s="9" t="str">
        <f>IFERROR(VLOOKUP($B406,'(勿動)組件目錄表'!$D$15:$R$1094,4,FALSE),"-")</f>
        <v>-</v>
      </c>
      <c r="F406" s="10" t="str">
        <f>IFERROR(VLOOKUP($B406,'(勿動)組件目錄表'!$D$15:$R$1094,5,FALSE),"-")</f>
        <v>-</v>
      </c>
      <c r="G406" s="11" t="str">
        <f>IFERROR(VLOOKUP($B406,'(勿動)組件目錄表'!$D$15:$R$1094,8,FALSE),"-")</f>
        <v>-</v>
      </c>
      <c r="H406" s="11" t="str">
        <f>IFERROR(VLOOKUP($B406,'(勿動)組件目錄表'!$D$15:$R$1094,9,FALSE),"-")</f>
        <v>-</v>
      </c>
      <c r="I406" s="11" t="str">
        <f>IFERROR(VLOOKUP($B406,'(勿動)組件目錄表'!$D$15:$R$1094,10,FALSE),"-")</f>
        <v>-</v>
      </c>
      <c r="J406" s="11" t="str">
        <f>IFERROR(VLOOKUP($B406,'(勿動)組件目錄表'!$D$15:$R$1094,11,FALSE),"-")</f>
        <v>-</v>
      </c>
      <c r="K406" s="11" t="str">
        <f>IFERROR(VLOOKUP($B406,'(勿動)組件目錄表'!$D$15:$R$1094,12,FALSE),"-")</f>
        <v>-</v>
      </c>
      <c r="L406" s="11" t="str">
        <f>IFERROR(VLOOKUP($B406,'(勿動)組件目錄表'!$D$15:$R$1094,13,FALSE),"-")</f>
        <v>-</v>
      </c>
      <c r="M406" s="11" t="str">
        <f>IFERROR(VLOOKUP($B406,'(勿動)組件目錄表'!$D$15:$R$1094,14,FALSE),"-")</f>
        <v>-</v>
      </c>
      <c r="N406" s="15">
        <f t="shared" si="2"/>
        <v>0</v>
      </c>
      <c r="O406" s="16"/>
    </row>
    <row r="407" spans="1:15" ht="15.75" customHeight="1">
      <c r="A407" s="18"/>
      <c r="B407" s="7"/>
      <c r="C407" s="8" t="str">
        <f>IFERROR(VLOOKUP($B407,'(勿動)組件目錄表'!$D$15:$R$1094,2,FALSE),"-")</f>
        <v>-</v>
      </c>
      <c r="D407" s="8" t="str">
        <f>IFERROR(VLOOKUP($B407,'(勿動)組件目錄表'!$D$15:$R$1094,3,FALSE),"-")</f>
        <v>-</v>
      </c>
      <c r="E407" s="9" t="str">
        <f>IFERROR(VLOOKUP($B407,'(勿動)組件目錄表'!$D$15:$R$1094,4,FALSE),"-")</f>
        <v>-</v>
      </c>
      <c r="F407" s="10" t="str">
        <f>IFERROR(VLOOKUP($B407,'(勿動)組件目錄表'!$D$15:$R$1094,5,FALSE),"-")</f>
        <v>-</v>
      </c>
      <c r="G407" s="11" t="str">
        <f>IFERROR(VLOOKUP($B407,'(勿動)組件目錄表'!$D$15:$R$1094,8,FALSE),"-")</f>
        <v>-</v>
      </c>
      <c r="H407" s="11" t="str">
        <f>IFERROR(VLOOKUP($B407,'(勿動)組件目錄表'!$D$15:$R$1094,9,FALSE),"-")</f>
        <v>-</v>
      </c>
      <c r="I407" s="11" t="str">
        <f>IFERROR(VLOOKUP($B407,'(勿動)組件目錄表'!$D$15:$R$1094,10,FALSE),"-")</f>
        <v>-</v>
      </c>
      <c r="J407" s="11" t="str">
        <f>IFERROR(VLOOKUP($B407,'(勿動)組件目錄表'!$D$15:$R$1094,11,FALSE),"-")</f>
        <v>-</v>
      </c>
      <c r="K407" s="11" t="str">
        <f>IFERROR(VLOOKUP($B407,'(勿動)組件目錄表'!$D$15:$R$1094,12,FALSE),"-")</f>
        <v>-</v>
      </c>
      <c r="L407" s="11" t="str">
        <f>IFERROR(VLOOKUP($B407,'(勿動)組件目錄表'!$D$15:$R$1094,13,FALSE),"-")</f>
        <v>-</v>
      </c>
      <c r="M407" s="11" t="str">
        <f>IFERROR(VLOOKUP($B407,'(勿動)組件目錄表'!$D$15:$R$1094,14,FALSE),"-")</f>
        <v>-</v>
      </c>
      <c r="N407" s="15">
        <f t="shared" si="2"/>
        <v>0</v>
      </c>
      <c r="O407" s="16"/>
    </row>
    <row r="408" spans="1:15" ht="15.75" customHeight="1">
      <c r="A408" s="18"/>
      <c r="B408" s="7"/>
      <c r="C408" s="8" t="str">
        <f>IFERROR(VLOOKUP($B408,'(勿動)組件目錄表'!$D$15:$R$1094,2,FALSE),"-")</f>
        <v>-</v>
      </c>
      <c r="D408" s="8" t="str">
        <f>IFERROR(VLOOKUP($B408,'(勿動)組件目錄表'!$D$15:$R$1094,3,FALSE),"-")</f>
        <v>-</v>
      </c>
      <c r="E408" s="9" t="str">
        <f>IFERROR(VLOOKUP($B408,'(勿動)組件目錄表'!$D$15:$R$1094,4,FALSE),"-")</f>
        <v>-</v>
      </c>
      <c r="F408" s="10" t="str">
        <f>IFERROR(VLOOKUP($B408,'(勿動)組件目錄表'!$D$15:$R$1094,5,FALSE),"-")</f>
        <v>-</v>
      </c>
      <c r="G408" s="11" t="str">
        <f>IFERROR(VLOOKUP($B408,'(勿動)組件目錄表'!$D$15:$R$1094,8,FALSE),"-")</f>
        <v>-</v>
      </c>
      <c r="H408" s="11" t="str">
        <f>IFERROR(VLOOKUP($B408,'(勿動)組件目錄表'!$D$15:$R$1094,9,FALSE),"-")</f>
        <v>-</v>
      </c>
      <c r="I408" s="11" t="str">
        <f>IFERROR(VLOOKUP($B408,'(勿動)組件目錄表'!$D$15:$R$1094,10,FALSE),"-")</f>
        <v>-</v>
      </c>
      <c r="J408" s="11" t="str">
        <f>IFERROR(VLOOKUP($B408,'(勿動)組件目錄表'!$D$15:$R$1094,11,FALSE),"-")</f>
        <v>-</v>
      </c>
      <c r="K408" s="11" t="str">
        <f>IFERROR(VLOOKUP($B408,'(勿動)組件目錄表'!$D$15:$R$1094,12,FALSE),"-")</f>
        <v>-</v>
      </c>
      <c r="L408" s="11" t="str">
        <f>IFERROR(VLOOKUP($B408,'(勿動)組件目錄表'!$D$15:$R$1094,13,FALSE),"-")</f>
        <v>-</v>
      </c>
      <c r="M408" s="11" t="str">
        <f>IFERROR(VLOOKUP($B408,'(勿動)組件目錄表'!$D$15:$R$1094,14,FALSE),"-")</f>
        <v>-</v>
      </c>
      <c r="N408" s="15">
        <f t="shared" si="2"/>
        <v>0</v>
      </c>
      <c r="O408" s="16"/>
    </row>
    <row r="409" spans="1:15" ht="15.75" customHeight="1">
      <c r="A409" s="18"/>
      <c r="B409" s="7"/>
      <c r="C409" s="8" t="str">
        <f>IFERROR(VLOOKUP($B409,'(勿動)組件目錄表'!$D$15:$R$1094,2,FALSE),"-")</f>
        <v>-</v>
      </c>
      <c r="D409" s="8" t="str">
        <f>IFERROR(VLOOKUP($B409,'(勿動)組件目錄表'!$D$15:$R$1094,3,FALSE),"-")</f>
        <v>-</v>
      </c>
      <c r="E409" s="9" t="str">
        <f>IFERROR(VLOOKUP($B409,'(勿動)組件目錄表'!$D$15:$R$1094,4,FALSE),"-")</f>
        <v>-</v>
      </c>
      <c r="F409" s="10" t="str">
        <f>IFERROR(VLOOKUP($B409,'(勿動)組件目錄表'!$D$15:$R$1094,5,FALSE),"-")</f>
        <v>-</v>
      </c>
      <c r="G409" s="11" t="str">
        <f>IFERROR(VLOOKUP($B409,'(勿動)組件目錄表'!$D$15:$R$1094,8,FALSE),"-")</f>
        <v>-</v>
      </c>
      <c r="H409" s="11" t="str">
        <f>IFERROR(VLOOKUP($B409,'(勿動)組件目錄表'!$D$15:$R$1094,9,FALSE),"-")</f>
        <v>-</v>
      </c>
      <c r="I409" s="11" t="str">
        <f>IFERROR(VLOOKUP($B409,'(勿動)組件目錄表'!$D$15:$R$1094,10,FALSE),"-")</f>
        <v>-</v>
      </c>
      <c r="J409" s="11" t="str">
        <f>IFERROR(VLOOKUP($B409,'(勿動)組件目錄表'!$D$15:$R$1094,11,FALSE),"-")</f>
        <v>-</v>
      </c>
      <c r="K409" s="11" t="str">
        <f>IFERROR(VLOOKUP($B409,'(勿動)組件目錄表'!$D$15:$R$1094,12,FALSE),"-")</f>
        <v>-</v>
      </c>
      <c r="L409" s="11" t="str">
        <f>IFERROR(VLOOKUP($B409,'(勿動)組件目錄表'!$D$15:$R$1094,13,FALSE),"-")</f>
        <v>-</v>
      </c>
      <c r="M409" s="11" t="str">
        <f>IFERROR(VLOOKUP($B409,'(勿動)組件目錄表'!$D$15:$R$1094,14,FALSE),"-")</f>
        <v>-</v>
      </c>
      <c r="N409" s="15">
        <f t="shared" si="2"/>
        <v>0</v>
      </c>
      <c r="O409" s="16"/>
    </row>
    <row r="410" spans="1:15" ht="15.75" customHeight="1">
      <c r="A410" s="18"/>
      <c r="B410" s="7"/>
      <c r="C410" s="8" t="str">
        <f>IFERROR(VLOOKUP($B410,'(勿動)組件目錄表'!$D$15:$R$1094,2,FALSE),"-")</f>
        <v>-</v>
      </c>
      <c r="D410" s="8" t="str">
        <f>IFERROR(VLOOKUP($B410,'(勿動)組件目錄表'!$D$15:$R$1094,3,FALSE),"-")</f>
        <v>-</v>
      </c>
      <c r="E410" s="9" t="str">
        <f>IFERROR(VLOOKUP($B410,'(勿動)組件目錄表'!$D$15:$R$1094,4,FALSE),"-")</f>
        <v>-</v>
      </c>
      <c r="F410" s="10" t="str">
        <f>IFERROR(VLOOKUP($B410,'(勿動)組件目錄表'!$D$15:$R$1094,5,FALSE),"-")</f>
        <v>-</v>
      </c>
      <c r="G410" s="11" t="str">
        <f>IFERROR(VLOOKUP($B410,'(勿動)組件目錄表'!$D$15:$R$1094,8,FALSE),"-")</f>
        <v>-</v>
      </c>
      <c r="H410" s="11" t="str">
        <f>IFERROR(VLOOKUP($B410,'(勿動)組件目錄表'!$D$15:$R$1094,9,FALSE),"-")</f>
        <v>-</v>
      </c>
      <c r="I410" s="11" t="str">
        <f>IFERROR(VLOOKUP($B410,'(勿動)組件目錄表'!$D$15:$R$1094,10,FALSE),"-")</f>
        <v>-</v>
      </c>
      <c r="J410" s="11" t="str">
        <f>IFERROR(VLOOKUP($B410,'(勿動)組件目錄表'!$D$15:$R$1094,11,FALSE),"-")</f>
        <v>-</v>
      </c>
      <c r="K410" s="11" t="str">
        <f>IFERROR(VLOOKUP($B410,'(勿動)組件目錄表'!$D$15:$R$1094,12,FALSE),"-")</f>
        <v>-</v>
      </c>
      <c r="L410" s="11" t="str">
        <f>IFERROR(VLOOKUP($B410,'(勿動)組件目錄表'!$D$15:$R$1094,13,FALSE),"-")</f>
        <v>-</v>
      </c>
      <c r="M410" s="11" t="str">
        <f>IFERROR(VLOOKUP($B410,'(勿動)組件目錄表'!$D$15:$R$1094,14,FALSE),"-")</f>
        <v>-</v>
      </c>
      <c r="N410" s="15">
        <f t="shared" si="2"/>
        <v>0</v>
      </c>
      <c r="O410" s="16"/>
    </row>
    <row r="411" spans="1:15" ht="15.75" customHeight="1">
      <c r="A411" s="18"/>
      <c r="B411" s="7"/>
      <c r="C411" s="8" t="str">
        <f>IFERROR(VLOOKUP($B411,'(勿動)組件目錄表'!$D$15:$R$1094,2,FALSE),"-")</f>
        <v>-</v>
      </c>
      <c r="D411" s="8" t="str">
        <f>IFERROR(VLOOKUP($B411,'(勿動)組件目錄表'!$D$15:$R$1094,3,FALSE),"-")</f>
        <v>-</v>
      </c>
      <c r="E411" s="9" t="str">
        <f>IFERROR(VLOOKUP($B411,'(勿動)組件目錄表'!$D$15:$R$1094,4,FALSE),"-")</f>
        <v>-</v>
      </c>
      <c r="F411" s="10" t="str">
        <f>IFERROR(VLOOKUP($B411,'(勿動)組件目錄表'!$D$15:$R$1094,5,FALSE),"-")</f>
        <v>-</v>
      </c>
      <c r="G411" s="11" t="str">
        <f>IFERROR(VLOOKUP($B411,'(勿動)組件目錄表'!$D$15:$R$1094,8,FALSE),"-")</f>
        <v>-</v>
      </c>
      <c r="H411" s="11" t="str">
        <f>IFERROR(VLOOKUP($B411,'(勿動)組件目錄表'!$D$15:$R$1094,9,FALSE),"-")</f>
        <v>-</v>
      </c>
      <c r="I411" s="11" t="str">
        <f>IFERROR(VLOOKUP($B411,'(勿動)組件目錄表'!$D$15:$R$1094,10,FALSE),"-")</f>
        <v>-</v>
      </c>
      <c r="J411" s="11" t="str">
        <f>IFERROR(VLOOKUP($B411,'(勿動)組件目錄表'!$D$15:$R$1094,11,FALSE),"-")</f>
        <v>-</v>
      </c>
      <c r="K411" s="11" t="str">
        <f>IFERROR(VLOOKUP($B411,'(勿動)組件目錄表'!$D$15:$R$1094,12,FALSE),"-")</f>
        <v>-</v>
      </c>
      <c r="L411" s="11" t="str">
        <f>IFERROR(VLOOKUP($B411,'(勿動)組件目錄表'!$D$15:$R$1094,13,FALSE),"-")</f>
        <v>-</v>
      </c>
      <c r="M411" s="11" t="str">
        <f>IFERROR(VLOOKUP($B411,'(勿動)組件目錄表'!$D$15:$R$1094,14,FALSE),"-")</f>
        <v>-</v>
      </c>
      <c r="N411" s="15">
        <f t="shared" si="2"/>
        <v>0</v>
      </c>
      <c r="O411" s="16"/>
    </row>
    <row r="412" spans="1:15" ht="15.75" customHeight="1">
      <c r="A412" s="18"/>
      <c r="B412" s="7"/>
      <c r="C412" s="8" t="str">
        <f>IFERROR(VLOOKUP($B412,'(勿動)組件目錄表'!$D$15:$R$1094,2,FALSE),"-")</f>
        <v>-</v>
      </c>
      <c r="D412" s="8" t="str">
        <f>IFERROR(VLOOKUP($B412,'(勿動)組件目錄表'!$D$15:$R$1094,3,FALSE),"-")</f>
        <v>-</v>
      </c>
      <c r="E412" s="9" t="str">
        <f>IFERROR(VLOOKUP($B412,'(勿動)組件目錄表'!$D$15:$R$1094,4,FALSE),"-")</f>
        <v>-</v>
      </c>
      <c r="F412" s="10" t="str">
        <f>IFERROR(VLOOKUP($B412,'(勿動)組件目錄表'!$D$15:$R$1094,5,FALSE),"-")</f>
        <v>-</v>
      </c>
      <c r="G412" s="11" t="str">
        <f>IFERROR(VLOOKUP($B412,'(勿動)組件目錄表'!$D$15:$R$1094,8,FALSE),"-")</f>
        <v>-</v>
      </c>
      <c r="H412" s="11" t="str">
        <f>IFERROR(VLOOKUP($B412,'(勿動)組件目錄表'!$D$15:$R$1094,9,FALSE),"-")</f>
        <v>-</v>
      </c>
      <c r="I412" s="11" t="str">
        <f>IFERROR(VLOOKUP($B412,'(勿動)組件目錄表'!$D$15:$R$1094,10,FALSE),"-")</f>
        <v>-</v>
      </c>
      <c r="J412" s="11" t="str">
        <f>IFERROR(VLOOKUP($B412,'(勿動)組件目錄表'!$D$15:$R$1094,11,FALSE),"-")</f>
        <v>-</v>
      </c>
      <c r="K412" s="11" t="str">
        <f>IFERROR(VLOOKUP($B412,'(勿動)組件目錄表'!$D$15:$R$1094,12,FALSE),"-")</f>
        <v>-</v>
      </c>
      <c r="L412" s="11" t="str">
        <f>IFERROR(VLOOKUP($B412,'(勿動)組件目錄表'!$D$15:$R$1094,13,FALSE),"-")</f>
        <v>-</v>
      </c>
      <c r="M412" s="11" t="str">
        <f>IFERROR(VLOOKUP($B412,'(勿動)組件目錄表'!$D$15:$R$1094,14,FALSE),"-")</f>
        <v>-</v>
      </c>
      <c r="N412" s="15">
        <f t="shared" si="2"/>
        <v>0</v>
      </c>
      <c r="O412" s="16"/>
    </row>
    <row r="413" spans="1:15" ht="15.75" customHeight="1">
      <c r="A413" s="18"/>
      <c r="B413" s="7"/>
      <c r="C413" s="8" t="str">
        <f>IFERROR(VLOOKUP($B413,'(勿動)組件目錄表'!$D$15:$R$1094,2,FALSE),"-")</f>
        <v>-</v>
      </c>
      <c r="D413" s="8" t="str">
        <f>IFERROR(VLOOKUP($B413,'(勿動)組件目錄表'!$D$15:$R$1094,3,FALSE),"-")</f>
        <v>-</v>
      </c>
      <c r="E413" s="9" t="str">
        <f>IFERROR(VLOOKUP($B413,'(勿動)組件目錄表'!$D$15:$R$1094,4,FALSE),"-")</f>
        <v>-</v>
      </c>
      <c r="F413" s="10" t="str">
        <f>IFERROR(VLOOKUP($B413,'(勿動)組件目錄表'!$D$15:$R$1094,5,FALSE),"-")</f>
        <v>-</v>
      </c>
      <c r="G413" s="11" t="str">
        <f>IFERROR(VLOOKUP($B413,'(勿動)組件目錄表'!$D$15:$R$1094,8,FALSE),"-")</f>
        <v>-</v>
      </c>
      <c r="H413" s="11" t="str">
        <f>IFERROR(VLOOKUP($B413,'(勿動)組件目錄表'!$D$15:$R$1094,9,FALSE),"-")</f>
        <v>-</v>
      </c>
      <c r="I413" s="11" t="str">
        <f>IFERROR(VLOOKUP($B413,'(勿動)組件目錄表'!$D$15:$R$1094,10,FALSE),"-")</f>
        <v>-</v>
      </c>
      <c r="J413" s="11" t="str">
        <f>IFERROR(VLOOKUP($B413,'(勿動)組件目錄表'!$D$15:$R$1094,11,FALSE),"-")</f>
        <v>-</v>
      </c>
      <c r="K413" s="11" t="str">
        <f>IFERROR(VLOOKUP($B413,'(勿動)組件目錄表'!$D$15:$R$1094,12,FALSE),"-")</f>
        <v>-</v>
      </c>
      <c r="L413" s="11" t="str">
        <f>IFERROR(VLOOKUP($B413,'(勿動)組件目錄表'!$D$15:$R$1094,13,FALSE),"-")</f>
        <v>-</v>
      </c>
      <c r="M413" s="11" t="str">
        <f>IFERROR(VLOOKUP($B413,'(勿動)組件目錄表'!$D$15:$R$1094,14,FALSE),"-")</f>
        <v>-</v>
      </c>
      <c r="N413" s="15">
        <f t="shared" si="2"/>
        <v>0</v>
      </c>
      <c r="O413" s="16"/>
    </row>
    <row r="414" spans="1:15" ht="15.75" customHeight="1">
      <c r="A414" s="18"/>
      <c r="B414" s="7"/>
      <c r="C414" s="8" t="str">
        <f>IFERROR(VLOOKUP($B414,'(勿動)組件目錄表'!$D$15:$R$1094,2,FALSE),"-")</f>
        <v>-</v>
      </c>
      <c r="D414" s="8" t="str">
        <f>IFERROR(VLOOKUP($B414,'(勿動)組件目錄表'!$D$15:$R$1094,3,FALSE),"-")</f>
        <v>-</v>
      </c>
      <c r="E414" s="9" t="str">
        <f>IFERROR(VLOOKUP($B414,'(勿動)組件目錄表'!$D$15:$R$1094,4,FALSE),"-")</f>
        <v>-</v>
      </c>
      <c r="F414" s="10" t="str">
        <f>IFERROR(VLOOKUP($B414,'(勿動)組件目錄表'!$D$15:$R$1094,5,FALSE),"-")</f>
        <v>-</v>
      </c>
      <c r="G414" s="11" t="str">
        <f>IFERROR(VLOOKUP($B414,'(勿動)組件目錄表'!$D$15:$R$1094,8,FALSE),"-")</f>
        <v>-</v>
      </c>
      <c r="H414" s="11" t="str">
        <f>IFERROR(VLOOKUP($B414,'(勿動)組件目錄表'!$D$15:$R$1094,9,FALSE),"-")</f>
        <v>-</v>
      </c>
      <c r="I414" s="11" t="str">
        <f>IFERROR(VLOOKUP($B414,'(勿動)組件目錄表'!$D$15:$R$1094,10,FALSE),"-")</f>
        <v>-</v>
      </c>
      <c r="J414" s="11" t="str">
        <f>IFERROR(VLOOKUP($B414,'(勿動)組件目錄表'!$D$15:$R$1094,11,FALSE),"-")</f>
        <v>-</v>
      </c>
      <c r="K414" s="11" t="str">
        <f>IFERROR(VLOOKUP($B414,'(勿動)組件目錄表'!$D$15:$R$1094,12,FALSE),"-")</f>
        <v>-</v>
      </c>
      <c r="L414" s="11" t="str">
        <f>IFERROR(VLOOKUP($B414,'(勿動)組件目錄表'!$D$15:$R$1094,13,FALSE),"-")</f>
        <v>-</v>
      </c>
      <c r="M414" s="11" t="str">
        <f>IFERROR(VLOOKUP($B414,'(勿動)組件目錄表'!$D$15:$R$1094,14,FALSE),"-")</f>
        <v>-</v>
      </c>
      <c r="N414" s="15">
        <f t="shared" si="2"/>
        <v>0</v>
      </c>
      <c r="O414" s="16"/>
    </row>
    <row r="415" spans="1:15" ht="15.75" customHeight="1">
      <c r="A415" s="18"/>
      <c r="B415" s="7"/>
      <c r="C415" s="8" t="str">
        <f>IFERROR(VLOOKUP($B415,'(勿動)組件目錄表'!$D$15:$R$1094,2,FALSE),"-")</f>
        <v>-</v>
      </c>
      <c r="D415" s="8" t="str">
        <f>IFERROR(VLOOKUP($B415,'(勿動)組件目錄表'!$D$15:$R$1094,3,FALSE),"-")</f>
        <v>-</v>
      </c>
      <c r="E415" s="9" t="str">
        <f>IFERROR(VLOOKUP($B415,'(勿動)組件目錄表'!$D$15:$R$1094,4,FALSE),"-")</f>
        <v>-</v>
      </c>
      <c r="F415" s="10" t="str">
        <f>IFERROR(VLOOKUP($B415,'(勿動)組件目錄表'!$D$15:$R$1094,5,FALSE),"-")</f>
        <v>-</v>
      </c>
      <c r="G415" s="11" t="str">
        <f>IFERROR(VLOOKUP($B415,'(勿動)組件目錄表'!$D$15:$R$1094,8,FALSE),"-")</f>
        <v>-</v>
      </c>
      <c r="H415" s="11" t="str">
        <f>IFERROR(VLOOKUP($B415,'(勿動)組件目錄表'!$D$15:$R$1094,9,FALSE),"-")</f>
        <v>-</v>
      </c>
      <c r="I415" s="11" t="str">
        <f>IFERROR(VLOOKUP($B415,'(勿動)組件目錄表'!$D$15:$R$1094,10,FALSE),"-")</f>
        <v>-</v>
      </c>
      <c r="J415" s="11" t="str">
        <f>IFERROR(VLOOKUP($B415,'(勿動)組件目錄表'!$D$15:$R$1094,11,FALSE),"-")</f>
        <v>-</v>
      </c>
      <c r="K415" s="11" t="str">
        <f>IFERROR(VLOOKUP($B415,'(勿動)組件目錄表'!$D$15:$R$1094,12,FALSE),"-")</f>
        <v>-</v>
      </c>
      <c r="L415" s="11" t="str">
        <f>IFERROR(VLOOKUP($B415,'(勿動)組件目錄表'!$D$15:$R$1094,13,FALSE),"-")</f>
        <v>-</v>
      </c>
      <c r="M415" s="11" t="str">
        <f>IFERROR(VLOOKUP($B415,'(勿動)組件目錄表'!$D$15:$R$1094,14,FALSE),"-")</f>
        <v>-</v>
      </c>
      <c r="N415" s="15">
        <f t="shared" si="2"/>
        <v>0</v>
      </c>
      <c r="O415" s="16"/>
    </row>
    <row r="416" spans="1:15" ht="15.75" customHeight="1">
      <c r="A416" s="18"/>
      <c r="B416" s="7"/>
      <c r="C416" s="8" t="str">
        <f>IFERROR(VLOOKUP($B416,'(勿動)組件目錄表'!$D$15:$R$1094,2,FALSE),"-")</f>
        <v>-</v>
      </c>
      <c r="D416" s="8" t="str">
        <f>IFERROR(VLOOKUP($B416,'(勿動)組件目錄表'!$D$15:$R$1094,3,FALSE),"-")</f>
        <v>-</v>
      </c>
      <c r="E416" s="9" t="str">
        <f>IFERROR(VLOOKUP($B416,'(勿動)組件目錄表'!$D$15:$R$1094,4,FALSE),"-")</f>
        <v>-</v>
      </c>
      <c r="F416" s="10" t="str">
        <f>IFERROR(VLOOKUP($B416,'(勿動)組件目錄表'!$D$15:$R$1094,5,FALSE),"-")</f>
        <v>-</v>
      </c>
      <c r="G416" s="11" t="str">
        <f>IFERROR(VLOOKUP($B416,'(勿動)組件目錄表'!$D$15:$R$1094,8,FALSE),"-")</f>
        <v>-</v>
      </c>
      <c r="H416" s="11" t="str">
        <f>IFERROR(VLOOKUP($B416,'(勿動)組件目錄表'!$D$15:$R$1094,9,FALSE),"-")</f>
        <v>-</v>
      </c>
      <c r="I416" s="11" t="str">
        <f>IFERROR(VLOOKUP($B416,'(勿動)組件目錄表'!$D$15:$R$1094,10,FALSE),"-")</f>
        <v>-</v>
      </c>
      <c r="J416" s="11" t="str">
        <f>IFERROR(VLOOKUP($B416,'(勿動)組件目錄表'!$D$15:$R$1094,11,FALSE),"-")</f>
        <v>-</v>
      </c>
      <c r="K416" s="11" t="str">
        <f>IFERROR(VLOOKUP($B416,'(勿動)組件目錄表'!$D$15:$R$1094,12,FALSE),"-")</f>
        <v>-</v>
      </c>
      <c r="L416" s="11" t="str">
        <f>IFERROR(VLOOKUP($B416,'(勿動)組件目錄表'!$D$15:$R$1094,13,FALSE),"-")</f>
        <v>-</v>
      </c>
      <c r="M416" s="11" t="str">
        <f>IFERROR(VLOOKUP($B416,'(勿動)組件目錄表'!$D$15:$R$1094,14,FALSE),"-")</f>
        <v>-</v>
      </c>
      <c r="N416" s="15">
        <f t="shared" si="2"/>
        <v>0</v>
      </c>
      <c r="O416" s="16"/>
    </row>
    <row r="417" spans="1:15" ht="15.75" customHeight="1">
      <c r="A417" s="18"/>
      <c r="B417" s="7"/>
      <c r="C417" s="8" t="str">
        <f>IFERROR(VLOOKUP($B417,'(勿動)組件目錄表'!$D$15:$R$1094,2,FALSE),"-")</f>
        <v>-</v>
      </c>
      <c r="D417" s="8" t="str">
        <f>IFERROR(VLOOKUP($B417,'(勿動)組件目錄表'!$D$15:$R$1094,3,FALSE),"-")</f>
        <v>-</v>
      </c>
      <c r="E417" s="9" t="str">
        <f>IFERROR(VLOOKUP($B417,'(勿動)組件目錄表'!$D$15:$R$1094,4,FALSE),"-")</f>
        <v>-</v>
      </c>
      <c r="F417" s="10" t="str">
        <f>IFERROR(VLOOKUP($B417,'(勿動)組件目錄表'!$D$15:$R$1094,5,FALSE),"-")</f>
        <v>-</v>
      </c>
      <c r="G417" s="11" t="str">
        <f>IFERROR(VLOOKUP($B417,'(勿動)組件目錄表'!$D$15:$R$1094,8,FALSE),"-")</f>
        <v>-</v>
      </c>
      <c r="H417" s="11" t="str">
        <f>IFERROR(VLOOKUP($B417,'(勿動)組件目錄表'!$D$15:$R$1094,9,FALSE),"-")</f>
        <v>-</v>
      </c>
      <c r="I417" s="11" t="str">
        <f>IFERROR(VLOOKUP($B417,'(勿動)組件目錄表'!$D$15:$R$1094,10,FALSE),"-")</f>
        <v>-</v>
      </c>
      <c r="J417" s="11" t="str">
        <f>IFERROR(VLOOKUP($B417,'(勿動)組件目錄表'!$D$15:$R$1094,11,FALSE),"-")</f>
        <v>-</v>
      </c>
      <c r="K417" s="11" t="str">
        <f>IFERROR(VLOOKUP($B417,'(勿動)組件目錄表'!$D$15:$R$1094,12,FALSE),"-")</f>
        <v>-</v>
      </c>
      <c r="L417" s="11" t="str">
        <f>IFERROR(VLOOKUP($B417,'(勿動)組件目錄表'!$D$15:$R$1094,13,FALSE),"-")</f>
        <v>-</v>
      </c>
      <c r="M417" s="11" t="str">
        <f>IFERROR(VLOOKUP($B417,'(勿動)組件目錄表'!$D$15:$R$1094,14,FALSE),"-")</f>
        <v>-</v>
      </c>
      <c r="N417" s="15">
        <f t="shared" si="2"/>
        <v>0</v>
      </c>
      <c r="O417" s="16"/>
    </row>
    <row r="418" spans="1:15" ht="15.75" customHeight="1">
      <c r="A418" s="18"/>
      <c r="B418" s="7"/>
      <c r="C418" s="8" t="str">
        <f>IFERROR(VLOOKUP($B418,'(勿動)組件目錄表'!$D$15:$R$1094,2,FALSE),"-")</f>
        <v>-</v>
      </c>
      <c r="D418" s="8" t="str">
        <f>IFERROR(VLOOKUP($B418,'(勿動)組件目錄表'!$D$15:$R$1094,3,FALSE),"-")</f>
        <v>-</v>
      </c>
      <c r="E418" s="9" t="str">
        <f>IFERROR(VLOOKUP($B418,'(勿動)組件目錄表'!$D$15:$R$1094,4,FALSE),"-")</f>
        <v>-</v>
      </c>
      <c r="F418" s="10" t="str">
        <f>IFERROR(VLOOKUP($B418,'(勿動)組件目錄表'!$D$15:$R$1094,5,FALSE),"-")</f>
        <v>-</v>
      </c>
      <c r="G418" s="11" t="str">
        <f>IFERROR(VLOOKUP($B418,'(勿動)組件目錄表'!$D$15:$R$1094,8,FALSE),"-")</f>
        <v>-</v>
      </c>
      <c r="H418" s="11" t="str">
        <f>IFERROR(VLOOKUP($B418,'(勿動)組件目錄表'!$D$15:$R$1094,9,FALSE),"-")</f>
        <v>-</v>
      </c>
      <c r="I418" s="11" t="str">
        <f>IFERROR(VLOOKUP($B418,'(勿動)組件目錄表'!$D$15:$R$1094,10,FALSE),"-")</f>
        <v>-</v>
      </c>
      <c r="J418" s="11" t="str">
        <f>IFERROR(VLOOKUP($B418,'(勿動)組件目錄表'!$D$15:$R$1094,11,FALSE),"-")</f>
        <v>-</v>
      </c>
      <c r="K418" s="11" t="str">
        <f>IFERROR(VLOOKUP($B418,'(勿動)組件目錄表'!$D$15:$R$1094,12,FALSE),"-")</f>
        <v>-</v>
      </c>
      <c r="L418" s="11" t="str">
        <f>IFERROR(VLOOKUP($B418,'(勿動)組件目錄表'!$D$15:$R$1094,13,FALSE),"-")</f>
        <v>-</v>
      </c>
      <c r="M418" s="11" t="str">
        <f>IFERROR(VLOOKUP($B418,'(勿動)組件目錄表'!$D$15:$R$1094,14,FALSE),"-")</f>
        <v>-</v>
      </c>
      <c r="N418" s="15">
        <f t="shared" si="2"/>
        <v>0</v>
      </c>
      <c r="O418" s="16"/>
    </row>
    <row r="419" spans="1:15" ht="15.75" customHeight="1">
      <c r="A419" s="18"/>
      <c r="B419" s="7"/>
      <c r="C419" s="8" t="str">
        <f>IFERROR(VLOOKUP($B419,'(勿動)組件目錄表'!$D$15:$R$1094,2,FALSE),"-")</f>
        <v>-</v>
      </c>
      <c r="D419" s="8" t="str">
        <f>IFERROR(VLOOKUP($B419,'(勿動)組件目錄表'!$D$15:$R$1094,3,FALSE),"-")</f>
        <v>-</v>
      </c>
      <c r="E419" s="9" t="str">
        <f>IFERROR(VLOOKUP($B419,'(勿動)組件目錄表'!$D$15:$R$1094,4,FALSE),"-")</f>
        <v>-</v>
      </c>
      <c r="F419" s="10" t="str">
        <f>IFERROR(VLOOKUP($B419,'(勿動)組件目錄表'!$D$15:$R$1094,5,FALSE),"-")</f>
        <v>-</v>
      </c>
      <c r="G419" s="11" t="str">
        <f>IFERROR(VLOOKUP($B419,'(勿動)組件目錄表'!$D$15:$R$1094,8,FALSE),"-")</f>
        <v>-</v>
      </c>
      <c r="H419" s="11" t="str">
        <f>IFERROR(VLOOKUP($B419,'(勿動)組件目錄表'!$D$15:$R$1094,9,FALSE),"-")</f>
        <v>-</v>
      </c>
      <c r="I419" s="11" t="str">
        <f>IFERROR(VLOOKUP($B419,'(勿動)組件目錄表'!$D$15:$R$1094,10,FALSE),"-")</f>
        <v>-</v>
      </c>
      <c r="J419" s="11" t="str">
        <f>IFERROR(VLOOKUP($B419,'(勿動)組件目錄表'!$D$15:$R$1094,11,FALSE),"-")</f>
        <v>-</v>
      </c>
      <c r="K419" s="11" t="str">
        <f>IFERROR(VLOOKUP($B419,'(勿動)組件目錄表'!$D$15:$R$1094,12,FALSE),"-")</f>
        <v>-</v>
      </c>
      <c r="L419" s="11" t="str">
        <f>IFERROR(VLOOKUP($B419,'(勿動)組件目錄表'!$D$15:$R$1094,13,FALSE),"-")</f>
        <v>-</v>
      </c>
      <c r="M419" s="11" t="str">
        <f>IFERROR(VLOOKUP($B419,'(勿動)組件目錄表'!$D$15:$R$1094,14,FALSE),"-")</f>
        <v>-</v>
      </c>
      <c r="N419" s="15">
        <f t="shared" si="2"/>
        <v>0</v>
      </c>
      <c r="O419" s="16"/>
    </row>
    <row r="420" spans="1:15" ht="15.75" customHeight="1">
      <c r="A420" s="18"/>
      <c r="B420" s="7"/>
      <c r="C420" s="8" t="str">
        <f>IFERROR(VLOOKUP($B420,'(勿動)組件目錄表'!$D$15:$R$1094,2,FALSE),"-")</f>
        <v>-</v>
      </c>
      <c r="D420" s="8" t="str">
        <f>IFERROR(VLOOKUP($B420,'(勿動)組件目錄表'!$D$15:$R$1094,3,FALSE),"-")</f>
        <v>-</v>
      </c>
      <c r="E420" s="9" t="str">
        <f>IFERROR(VLOOKUP($B420,'(勿動)組件目錄表'!$D$15:$R$1094,4,FALSE),"-")</f>
        <v>-</v>
      </c>
      <c r="F420" s="10" t="str">
        <f>IFERROR(VLOOKUP($B420,'(勿動)組件目錄表'!$D$15:$R$1094,5,FALSE),"-")</f>
        <v>-</v>
      </c>
      <c r="G420" s="11" t="str">
        <f>IFERROR(VLOOKUP($B420,'(勿動)組件目錄表'!$D$15:$R$1094,8,FALSE),"-")</f>
        <v>-</v>
      </c>
      <c r="H420" s="11" t="str">
        <f>IFERROR(VLOOKUP($B420,'(勿動)組件目錄表'!$D$15:$R$1094,9,FALSE),"-")</f>
        <v>-</v>
      </c>
      <c r="I420" s="11" t="str">
        <f>IFERROR(VLOOKUP($B420,'(勿動)組件目錄表'!$D$15:$R$1094,10,FALSE),"-")</f>
        <v>-</v>
      </c>
      <c r="J420" s="11" t="str">
        <f>IFERROR(VLOOKUP($B420,'(勿動)組件目錄表'!$D$15:$R$1094,11,FALSE),"-")</f>
        <v>-</v>
      </c>
      <c r="K420" s="11" t="str">
        <f>IFERROR(VLOOKUP($B420,'(勿動)組件目錄表'!$D$15:$R$1094,12,FALSE),"-")</f>
        <v>-</v>
      </c>
      <c r="L420" s="11" t="str">
        <f>IFERROR(VLOOKUP($B420,'(勿動)組件目錄表'!$D$15:$R$1094,13,FALSE),"-")</f>
        <v>-</v>
      </c>
      <c r="M420" s="11" t="str">
        <f>IFERROR(VLOOKUP($B420,'(勿動)組件目錄表'!$D$15:$R$1094,14,FALSE),"-")</f>
        <v>-</v>
      </c>
      <c r="N420" s="15">
        <f t="shared" si="2"/>
        <v>0</v>
      </c>
      <c r="O420" s="16"/>
    </row>
    <row r="421" spans="1:15" ht="15.75" customHeight="1">
      <c r="A421" s="18"/>
      <c r="B421" s="7"/>
      <c r="C421" s="8" t="str">
        <f>IFERROR(VLOOKUP($B421,'(勿動)組件目錄表'!$D$15:$R$1094,2,FALSE),"-")</f>
        <v>-</v>
      </c>
      <c r="D421" s="8" t="str">
        <f>IFERROR(VLOOKUP($B421,'(勿動)組件目錄表'!$D$15:$R$1094,3,FALSE),"-")</f>
        <v>-</v>
      </c>
      <c r="E421" s="9" t="str">
        <f>IFERROR(VLOOKUP($B421,'(勿動)組件目錄表'!$D$15:$R$1094,4,FALSE),"-")</f>
        <v>-</v>
      </c>
      <c r="F421" s="10" t="str">
        <f>IFERROR(VLOOKUP($B421,'(勿動)組件目錄表'!$D$15:$R$1094,5,FALSE),"-")</f>
        <v>-</v>
      </c>
      <c r="G421" s="11" t="str">
        <f>IFERROR(VLOOKUP($B421,'(勿動)組件目錄表'!$D$15:$R$1094,8,FALSE),"-")</f>
        <v>-</v>
      </c>
      <c r="H421" s="11" t="str">
        <f>IFERROR(VLOOKUP($B421,'(勿動)組件目錄表'!$D$15:$R$1094,9,FALSE),"-")</f>
        <v>-</v>
      </c>
      <c r="I421" s="11" t="str">
        <f>IFERROR(VLOOKUP($B421,'(勿動)組件目錄表'!$D$15:$R$1094,10,FALSE),"-")</f>
        <v>-</v>
      </c>
      <c r="J421" s="11" t="str">
        <f>IFERROR(VLOOKUP($B421,'(勿動)組件目錄表'!$D$15:$R$1094,11,FALSE),"-")</f>
        <v>-</v>
      </c>
      <c r="K421" s="11" t="str">
        <f>IFERROR(VLOOKUP($B421,'(勿動)組件目錄表'!$D$15:$R$1094,12,FALSE),"-")</f>
        <v>-</v>
      </c>
      <c r="L421" s="11" t="str">
        <f>IFERROR(VLOOKUP($B421,'(勿動)組件目錄表'!$D$15:$R$1094,13,FALSE),"-")</f>
        <v>-</v>
      </c>
      <c r="M421" s="11" t="str">
        <f>IFERROR(VLOOKUP($B421,'(勿動)組件目錄表'!$D$15:$R$1094,14,FALSE),"-")</f>
        <v>-</v>
      </c>
      <c r="N421" s="15">
        <f t="shared" si="2"/>
        <v>0</v>
      </c>
      <c r="O421" s="16"/>
    </row>
    <row r="422" spans="1:15" ht="15.75" customHeight="1">
      <c r="A422" s="18"/>
      <c r="B422" s="7"/>
      <c r="C422" s="8" t="str">
        <f>IFERROR(VLOOKUP($B422,'(勿動)組件目錄表'!$D$15:$R$1094,2,FALSE),"-")</f>
        <v>-</v>
      </c>
      <c r="D422" s="8" t="str">
        <f>IFERROR(VLOOKUP($B422,'(勿動)組件目錄表'!$D$15:$R$1094,3,FALSE),"-")</f>
        <v>-</v>
      </c>
      <c r="E422" s="9" t="str">
        <f>IFERROR(VLOOKUP($B422,'(勿動)組件目錄表'!$D$15:$R$1094,4,FALSE),"-")</f>
        <v>-</v>
      </c>
      <c r="F422" s="10" t="str">
        <f>IFERROR(VLOOKUP($B422,'(勿動)組件目錄表'!$D$15:$R$1094,5,FALSE),"-")</f>
        <v>-</v>
      </c>
      <c r="G422" s="11" t="str">
        <f>IFERROR(VLOOKUP($B422,'(勿動)組件目錄表'!$D$15:$R$1094,8,FALSE),"-")</f>
        <v>-</v>
      </c>
      <c r="H422" s="11" t="str">
        <f>IFERROR(VLOOKUP($B422,'(勿動)組件目錄表'!$D$15:$R$1094,9,FALSE),"-")</f>
        <v>-</v>
      </c>
      <c r="I422" s="11" t="str">
        <f>IFERROR(VLOOKUP($B422,'(勿動)組件目錄表'!$D$15:$R$1094,10,FALSE),"-")</f>
        <v>-</v>
      </c>
      <c r="J422" s="11" t="str">
        <f>IFERROR(VLOOKUP($B422,'(勿動)組件目錄表'!$D$15:$R$1094,11,FALSE),"-")</f>
        <v>-</v>
      </c>
      <c r="K422" s="11" t="str">
        <f>IFERROR(VLOOKUP($B422,'(勿動)組件目錄表'!$D$15:$R$1094,12,FALSE),"-")</f>
        <v>-</v>
      </c>
      <c r="L422" s="11" t="str">
        <f>IFERROR(VLOOKUP($B422,'(勿動)組件目錄表'!$D$15:$R$1094,13,FALSE),"-")</f>
        <v>-</v>
      </c>
      <c r="M422" s="11" t="str">
        <f>IFERROR(VLOOKUP($B422,'(勿動)組件目錄表'!$D$15:$R$1094,14,FALSE),"-")</f>
        <v>-</v>
      </c>
      <c r="N422" s="15">
        <f t="shared" si="2"/>
        <v>0</v>
      </c>
      <c r="O422" s="16"/>
    </row>
    <row r="423" spans="1:15" ht="15.75" customHeight="1">
      <c r="A423" s="18"/>
      <c r="B423" s="7"/>
      <c r="C423" s="8" t="str">
        <f>IFERROR(VLOOKUP($B423,'(勿動)組件目錄表'!$D$15:$R$1094,2,FALSE),"-")</f>
        <v>-</v>
      </c>
      <c r="D423" s="8" t="str">
        <f>IFERROR(VLOOKUP($B423,'(勿動)組件目錄表'!$D$15:$R$1094,3,FALSE),"-")</f>
        <v>-</v>
      </c>
      <c r="E423" s="9" t="str">
        <f>IFERROR(VLOOKUP($B423,'(勿動)組件目錄表'!$D$15:$R$1094,4,FALSE),"-")</f>
        <v>-</v>
      </c>
      <c r="F423" s="10" t="str">
        <f>IFERROR(VLOOKUP($B423,'(勿動)組件目錄表'!$D$15:$R$1094,5,FALSE),"-")</f>
        <v>-</v>
      </c>
      <c r="G423" s="11" t="str">
        <f>IFERROR(VLOOKUP($B423,'(勿動)組件目錄表'!$D$15:$R$1094,8,FALSE),"-")</f>
        <v>-</v>
      </c>
      <c r="H423" s="11" t="str">
        <f>IFERROR(VLOOKUP($B423,'(勿動)組件目錄表'!$D$15:$R$1094,9,FALSE),"-")</f>
        <v>-</v>
      </c>
      <c r="I423" s="11" t="str">
        <f>IFERROR(VLOOKUP($B423,'(勿動)組件目錄表'!$D$15:$R$1094,10,FALSE),"-")</f>
        <v>-</v>
      </c>
      <c r="J423" s="11" t="str">
        <f>IFERROR(VLOOKUP($B423,'(勿動)組件目錄表'!$D$15:$R$1094,11,FALSE),"-")</f>
        <v>-</v>
      </c>
      <c r="K423" s="11" t="str">
        <f>IFERROR(VLOOKUP($B423,'(勿動)組件目錄表'!$D$15:$R$1094,12,FALSE),"-")</f>
        <v>-</v>
      </c>
      <c r="L423" s="11" t="str">
        <f>IFERROR(VLOOKUP($B423,'(勿動)組件目錄表'!$D$15:$R$1094,13,FALSE),"-")</f>
        <v>-</v>
      </c>
      <c r="M423" s="11" t="str">
        <f>IFERROR(VLOOKUP($B423,'(勿動)組件目錄表'!$D$15:$R$1094,14,FALSE),"-")</f>
        <v>-</v>
      </c>
      <c r="N423" s="15">
        <f t="shared" si="2"/>
        <v>0</v>
      </c>
      <c r="O423" s="16"/>
    </row>
    <row r="424" spans="1:15" ht="15.75" customHeight="1">
      <c r="A424" s="18"/>
      <c r="B424" s="7"/>
      <c r="C424" s="8" t="str">
        <f>IFERROR(VLOOKUP($B424,'(勿動)組件目錄表'!$D$15:$R$1094,2,FALSE),"-")</f>
        <v>-</v>
      </c>
      <c r="D424" s="8" t="str">
        <f>IFERROR(VLOOKUP($B424,'(勿動)組件目錄表'!$D$15:$R$1094,3,FALSE),"-")</f>
        <v>-</v>
      </c>
      <c r="E424" s="9" t="str">
        <f>IFERROR(VLOOKUP($B424,'(勿動)組件目錄表'!$D$15:$R$1094,4,FALSE),"-")</f>
        <v>-</v>
      </c>
      <c r="F424" s="10" t="str">
        <f>IFERROR(VLOOKUP($B424,'(勿動)組件目錄表'!$D$15:$R$1094,5,FALSE),"-")</f>
        <v>-</v>
      </c>
      <c r="G424" s="11" t="str">
        <f>IFERROR(VLOOKUP($B424,'(勿動)組件目錄表'!$D$15:$R$1094,8,FALSE),"-")</f>
        <v>-</v>
      </c>
      <c r="H424" s="11" t="str">
        <f>IFERROR(VLOOKUP($B424,'(勿動)組件目錄表'!$D$15:$R$1094,9,FALSE),"-")</f>
        <v>-</v>
      </c>
      <c r="I424" s="11" t="str">
        <f>IFERROR(VLOOKUP($B424,'(勿動)組件目錄表'!$D$15:$R$1094,10,FALSE),"-")</f>
        <v>-</v>
      </c>
      <c r="J424" s="11" t="str">
        <f>IFERROR(VLOOKUP($B424,'(勿動)組件目錄表'!$D$15:$R$1094,11,FALSE),"-")</f>
        <v>-</v>
      </c>
      <c r="K424" s="11" t="str">
        <f>IFERROR(VLOOKUP($B424,'(勿動)組件目錄表'!$D$15:$R$1094,12,FALSE),"-")</f>
        <v>-</v>
      </c>
      <c r="L424" s="11" t="str">
        <f>IFERROR(VLOOKUP($B424,'(勿動)組件目錄表'!$D$15:$R$1094,13,FALSE),"-")</f>
        <v>-</v>
      </c>
      <c r="M424" s="11" t="str">
        <f>IFERROR(VLOOKUP($B424,'(勿動)組件目錄表'!$D$15:$R$1094,14,FALSE),"-")</f>
        <v>-</v>
      </c>
      <c r="N424" s="15">
        <f t="shared" si="2"/>
        <v>0</v>
      </c>
      <c r="O424" s="16"/>
    </row>
    <row r="425" spans="1:15" ht="15.75" customHeight="1">
      <c r="A425" s="18"/>
      <c r="B425" s="7"/>
      <c r="C425" s="8" t="str">
        <f>IFERROR(VLOOKUP($B425,'(勿動)組件目錄表'!$D$15:$R$1094,2,FALSE),"-")</f>
        <v>-</v>
      </c>
      <c r="D425" s="8" t="str">
        <f>IFERROR(VLOOKUP($B425,'(勿動)組件目錄表'!$D$15:$R$1094,3,FALSE),"-")</f>
        <v>-</v>
      </c>
      <c r="E425" s="9" t="str">
        <f>IFERROR(VLOOKUP($B425,'(勿動)組件目錄表'!$D$15:$R$1094,4,FALSE),"-")</f>
        <v>-</v>
      </c>
      <c r="F425" s="10" t="str">
        <f>IFERROR(VLOOKUP($B425,'(勿動)組件目錄表'!$D$15:$R$1094,5,FALSE),"-")</f>
        <v>-</v>
      </c>
      <c r="G425" s="11" t="str">
        <f>IFERROR(VLOOKUP($B425,'(勿動)組件目錄表'!$D$15:$R$1094,8,FALSE),"-")</f>
        <v>-</v>
      </c>
      <c r="H425" s="11" t="str">
        <f>IFERROR(VLOOKUP($B425,'(勿動)組件目錄表'!$D$15:$R$1094,9,FALSE),"-")</f>
        <v>-</v>
      </c>
      <c r="I425" s="11" t="str">
        <f>IFERROR(VLOOKUP($B425,'(勿動)組件目錄表'!$D$15:$R$1094,10,FALSE),"-")</f>
        <v>-</v>
      </c>
      <c r="J425" s="11" t="str">
        <f>IFERROR(VLOOKUP($B425,'(勿動)組件目錄表'!$D$15:$R$1094,11,FALSE),"-")</f>
        <v>-</v>
      </c>
      <c r="K425" s="11" t="str">
        <f>IFERROR(VLOOKUP($B425,'(勿動)組件目錄表'!$D$15:$R$1094,12,FALSE),"-")</f>
        <v>-</v>
      </c>
      <c r="L425" s="11" t="str">
        <f>IFERROR(VLOOKUP($B425,'(勿動)組件目錄表'!$D$15:$R$1094,13,FALSE),"-")</f>
        <v>-</v>
      </c>
      <c r="M425" s="11" t="str">
        <f>IFERROR(VLOOKUP($B425,'(勿動)組件目錄表'!$D$15:$R$1094,14,FALSE),"-")</f>
        <v>-</v>
      </c>
      <c r="N425" s="15">
        <f t="shared" si="2"/>
        <v>0</v>
      </c>
      <c r="O425" s="16"/>
    </row>
    <row r="426" spans="1:15" ht="15.75" customHeight="1">
      <c r="A426" s="18"/>
      <c r="B426" s="7"/>
      <c r="C426" s="8" t="str">
        <f>IFERROR(VLOOKUP($B426,'(勿動)組件目錄表'!$D$15:$R$1094,2,FALSE),"-")</f>
        <v>-</v>
      </c>
      <c r="D426" s="8" t="str">
        <f>IFERROR(VLOOKUP($B426,'(勿動)組件目錄表'!$D$15:$R$1094,3,FALSE),"-")</f>
        <v>-</v>
      </c>
      <c r="E426" s="9" t="str">
        <f>IFERROR(VLOOKUP($B426,'(勿動)組件目錄表'!$D$15:$R$1094,4,FALSE),"-")</f>
        <v>-</v>
      </c>
      <c r="F426" s="10" t="str">
        <f>IFERROR(VLOOKUP($B426,'(勿動)組件目錄表'!$D$15:$R$1094,5,FALSE),"-")</f>
        <v>-</v>
      </c>
      <c r="G426" s="11" t="str">
        <f>IFERROR(VLOOKUP($B426,'(勿動)組件目錄表'!$D$15:$R$1094,8,FALSE),"-")</f>
        <v>-</v>
      </c>
      <c r="H426" s="11" t="str">
        <f>IFERROR(VLOOKUP($B426,'(勿動)組件目錄表'!$D$15:$R$1094,9,FALSE),"-")</f>
        <v>-</v>
      </c>
      <c r="I426" s="11" t="str">
        <f>IFERROR(VLOOKUP($B426,'(勿動)組件目錄表'!$D$15:$R$1094,10,FALSE),"-")</f>
        <v>-</v>
      </c>
      <c r="J426" s="11" t="str">
        <f>IFERROR(VLOOKUP($B426,'(勿動)組件目錄表'!$D$15:$R$1094,11,FALSE),"-")</f>
        <v>-</v>
      </c>
      <c r="K426" s="11" t="str">
        <f>IFERROR(VLOOKUP($B426,'(勿動)組件目錄表'!$D$15:$R$1094,12,FALSE),"-")</f>
        <v>-</v>
      </c>
      <c r="L426" s="11" t="str">
        <f>IFERROR(VLOOKUP($B426,'(勿動)組件目錄表'!$D$15:$R$1094,13,FALSE),"-")</f>
        <v>-</v>
      </c>
      <c r="M426" s="11" t="str">
        <f>IFERROR(VLOOKUP($B426,'(勿動)組件目錄表'!$D$15:$R$1094,14,FALSE),"-")</f>
        <v>-</v>
      </c>
      <c r="N426" s="15">
        <f t="shared" si="2"/>
        <v>0</v>
      </c>
      <c r="O426" s="16"/>
    </row>
    <row r="427" spans="1:15" ht="15.75" customHeight="1">
      <c r="A427" s="18"/>
      <c r="B427" s="7"/>
      <c r="C427" s="8" t="str">
        <f>IFERROR(VLOOKUP($B427,'(勿動)組件目錄表'!$D$15:$R$1094,2,FALSE),"-")</f>
        <v>-</v>
      </c>
      <c r="D427" s="8" t="str">
        <f>IFERROR(VLOOKUP($B427,'(勿動)組件目錄表'!$D$15:$R$1094,3,FALSE),"-")</f>
        <v>-</v>
      </c>
      <c r="E427" s="9" t="str">
        <f>IFERROR(VLOOKUP($B427,'(勿動)組件目錄表'!$D$15:$R$1094,4,FALSE),"-")</f>
        <v>-</v>
      </c>
      <c r="F427" s="10" t="str">
        <f>IFERROR(VLOOKUP($B427,'(勿動)組件目錄表'!$D$15:$R$1094,5,FALSE),"-")</f>
        <v>-</v>
      </c>
      <c r="G427" s="11" t="str">
        <f>IFERROR(VLOOKUP($B427,'(勿動)組件目錄表'!$D$15:$R$1094,8,FALSE),"-")</f>
        <v>-</v>
      </c>
      <c r="H427" s="11" t="str">
        <f>IFERROR(VLOOKUP($B427,'(勿動)組件目錄表'!$D$15:$R$1094,9,FALSE),"-")</f>
        <v>-</v>
      </c>
      <c r="I427" s="11" t="str">
        <f>IFERROR(VLOOKUP($B427,'(勿動)組件目錄表'!$D$15:$R$1094,10,FALSE),"-")</f>
        <v>-</v>
      </c>
      <c r="J427" s="11" t="str">
        <f>IFERROR(VLOOKUP($B427,'(勿動)組件目錄表'!$D$15:$R$1094,11,FALSE),"-")</f>
        <v>-</v>
      </c>
      <c r="K427" s="11" t="str">
        <f>IFERROR(VLOOKUP($B427,'(勿動)組件目錄表'!$D$15:$R$1094,12,FALSE),"-")</f>
        <v>-</v>
      </c>
      <c r="L427" s="11" t="str">
        <f>IFERROR(VLOOKUP($B427,'(勿動)組件目錄表'!$D$15:$R$1094,13,FALSE),"-")</f>
        <v>-</v>
      </c>
      <c r="M427" s="11" t="str">
        <f>IFERROR(VLOOKUP($B427,'(勿動)組件目錄表'!$D$15:$R$1094,14,FALSE),"-")</f>
        <v>-</v>
      </c>
      <c r="N427" s="15">
        <f t="shared" si="2"/>
        <v>0</v>
      </c>
      <c r="O427" s="16"/>
    </row>
    <row r="428" spans="1:15" ht="15.75" customHeight="1">
      <c r="A428" s="18"/>
      <c r="B428" s="7"/>
      <c r="C428" s="8" t="str">
        <f>IFERROR(VLOOKUP($B428,'(勿動)組件目錄表'!$D$15:$R$1094,2,FALSE),"-")</f>
        <v>-</v>
      </c>
      <c r="D428" s="8" t="str">
        <f>IFERROR(VLOOKUP($B428,'(勿動)組件目錄表'!$D$15:$R$1094,3,FALSE),"-")</f>
        <v>-</v>
      </c>
      <c r="E428" s="9" t="str">
        <f>IFERROR(VLOOKUP($B428,'(勿動)組件目錄表'!$D$15:$R$1094,4,FALSE),"-")</f>
        <v>-</v>
      </c>
      <c r="F428" s="10" t="str">
        <f>IFERROR(VLOOKUP($B428,'(勿動)組件目錄表'!$D$15:$R$1094,5,FALSE),"-")</f>
        <v>-</v>
      </c>
      <c r="G428" s="11" t="str">
        <f>IFERROR(VLOOKUP($B428,'(勿動)組件目錄表'!$D$15:$R$1094,8,FALSE),"-")</f>
        <v>-</v>
      </c>
      <c r="H428" s="11" t="str">
        <f>IFERROR(VLOOKUP($B428,'(勿動)組件目錄表'!$D$15:$R$1094,9,FALSE),"-")</f>
        <v>-</v>
      </c>
      <c r="I428" s="11" t="str">
        <f>IFERROR(VLOOKUP($B428,'(勿動)組件目錄表'!$D$15:$R$1094,10,FALSE),"-")</f>
        <v>-</v>
      </c>
      <c r="J428" s="11" t="str">
        <f>IFERROR(VLOOKUP($B428,'(勿動)組件目錄表'!$D$15:$R$1094,11,FALSE),"-")</f>
        <v>-</v>
      </c>
      <c r="K428" s="11" t="str">
        <f>IFERROR(VLOOKUP($B428,'(勿動)組件目錄表'!$D$15:$R$1094,12,FALSE),"-")</f>
        <v>-</v>
      </c>
      <c r="L428" s="11" t="str">
        <f>IFERROR(VLOOKUP($B428,'(勿動)組件目錄表'!$D$15:$R$1094,13,FALSE),"-")</f>
        <v>-</v>
      </c>
      <c r="M428" s="11" t="str">
        <f>IFERROR(VLOOKUP($B428,'(勿動)組件目錄表'!$D$15:$R$1094,14,FALSE),"-")</f>
        <v>-</v>
      </c>
      <c r="N428" s="15">
        <f t="shared" si="2"/>
        <v>0</v>
      </c>
      <c r="O428" s="16"/>
    </row>
    <row r="429" spans="1:15" ht="15.75" customHeight="1">
      <c r="A429" s="18"/>
      <c r="B429" s="7"/>
      <c r="C429" s="8" t="str">
        <f>IFERROR(VLOOKUP($B429,'(勿動)組件目錄表'!$D$15:$R$1094,2,FALSE),"-")</f>
        <v>-</v>
      </c>
      <c r="D429" s="8" t="str">
        <f>IFERROR(VLOOKUP($B429,'(勿動)組件目錄表'!$D$15:$R$1094,3,FALSE),"-")</f>
        <v>-</v>
      </c>
      <c r="E429" s="9" t="str">
        <f>IFERROR(VLOOKUP($B429,'(勿動)組件目錄表'!$D$15:$R$1094,4,FALSE),"-")</f>
        <v>-</v>
      </c>
      <c r="F429" s="10" t="str">
        <f>IFERROR(VLOOKUP($B429,'(勿動)組件目錄表'!$D$15:$R$1094,5,FALSE),"-")</f>
        <v>-</v>
      </c>
      <c r="G429" s="11" t="str">
        <f>IFERROR(VLOOKUP($B429,'(勿動)組件目錄表'!$D$15:$R$1094,8,FALSE),"-")</f>
        <v>-</v>
      </c>
      <c r="H429" s="11" t="str">
        <f>IFERROR(VLOOKUP($B429,'(勿動)組件目錄表'!$D$15:$R$1094,9,FALSE),"-")</f>
        <v>-</v>
      </c>
      <c r="I429" s="11" t="str">
        <f>IFERROR(VLOOKUP($B429,'(勿動)組件目錄表'!$D$15:$R$1094,10,FALSE),"-")</f>
        <v>-</v>
      </c>
      <c r="J429" s="11" t="str">
        <f>IFERROR(VLOOKUP($B429,'(勿動)組件目錄表'!$D$15:$R$1094,11,FALSE),"-")</f>
        <v>-</v>
      </c>
      <c r="K429" s="11" t="str">
        <f>IFERROR(VLOOKUP($B429,'(勿動)組件目錄表'!$D$15:$R$1094,12,FALSE),"-")</f>
        <v>-</v>
      </c>
      <c r="L429" s="11" t="str">
        <f>IFERROR(VLOOKUP($B429,'(勿動)組件目錄表'!$D$15:$R$1094,13,FALSE),"-")</f>
        <v>-</v>
      </c>
      <c r="M429" s="11" t="str">
        <f>IFERROR(VLOOKUP($B429,'(勿動)組件目錄表'!$D$15:$R$1094,14,FALSE),"-")</f>
        <v>-</v>
      </c>
      <c r="N429" s="15">
        <f t="shared" si="2"/>
        <v>0</v>
      </c>
      <c r="O429" s="16"/>
    </row>
    <row r="430" spans="1:15" ht="15.75" customHeight="1">
      <c r="A430" s="18"/>
      <c r="B430" s="7"/>
      <c r="C430" s="8" t="str">
        <f>IFERROR(VLOOKUP($B430,'(勿動)組件目錄表'!$D$15:$R$1094,2,FALSE),"-")</f>
        <v>-</v>
      </c>
      <c r="D430" s="8" t="str">
        <f>IFERROR(VLOOKUP($B430,'(勿動)組件目錄表'!$D$15:$R$1094,3,FALSE),"-")</f>
        <v>-</v>
      </c>
      <c r="E430" s="9" t="str">
        <f>IFERROR(VLOOKUP($B430,'(勿動)組件目錄表'!$D$15:$R$1094,4,FALSE),"-")</f>
        <v>-</v>
      </c>
      <c r="F430" s="10" t="str">
        <f>IFERROR(VLOOKUP($B430,'(勿動)組件目錄表'!$D$15:$R$1094,5,FALSE),"-")</f>
        <v>-</v>
      </c>
      <c r="G430" s="11" t="str">
        <f>IFERROR(VLOOKUP($B430,'(勿動)組件目錄表'!$D$15:$R$1094,8,FALSE),"-")</f>
        <v>-</v>
      </c>
      <c r="H430" s="11" t="str">
        <f>IFERROR(VLOOKUP($B430,'(勿動)組件目錄表'!$D$15:$R$1094,9,FALSE),"-")</f>
        <v>-</v>
      </c>
      <c r="I430" s="11" t="str">
        <f>IFERROR(VLOOKUP($B430,'(勿動)組件目錄表'!$D$15:$R$1094,10,FALSE),"-")</f>
        <v>-</v>
      </c>
      <c r="J430" s="11" t="str">
        <f>IFERROR(VLOOKUP($B430,'(勿動)組件目錄表'!$D$15:$R$1094,11,FALSE),"-")</f>
        <v>-</v>
      </c>
      <c r="K430" s="11" t="str">
        <f>IFERROR(VLOOKUP($B430,'(勿動)組件目錄表'!$D$15:$R$1094,12,FALSE),"-")</f>
        <v>-</v>
      </c>
      <c r="L430" s="11" t="str">
        <f>IFERROR(VLOOKUP($B430,'(勿動)組件目錄表'!$D$15:$R$1094,13,FALSE),"-")</f>
        <v>-</v>
      </c>
      <c r="M430" s="11" t="str">
        <f>IFERROR(VLOOKUP($B430,'(勿動)組件目錄表'!$D$15:$R$1094,14,FALSE),"-")</f>
        <v>-</v>
      </c>
      <c r="N430" s="15">
        <f t="shared" si="2"/>
        <v>0</v>
      </c>
      <c r="O430" s="16"/>
    </row>
    <row r="431" spans="1:15" ht="15.75" customHeight="1">
      <c r="A431" s="18"/>
      <c r="B431" s="7"/>
      <c r="C431" s="8" t="str">
        <f>IFERROR(VLOOKUP($B431,'(勿動)組件目錄表'!$D$15:$R$1094,2,FALSE),"-")</f>
        <v>-</v>
      </c>
      <c r="D431" s="8" t="str">
        <f>IFERROR(VLOOKUP($B431,'(勿動)組件目錄表'!$D$15:$R$1094,3,FALSE),"-")</f>
        <v>-</v>
      </c>
      <c r="E431" s="9" t="str">
        <f>IFERROR(VLOOKUP($B431,'(勿動)組件目錄表'!$D$15:$R$1094,4,FALSE),"-")</f>
        <v>-</v>
      </c>
      <c r="F431" s="10" t="str">
        <f>IFERROR(VLOOKUP($B431,'(勿動)組件目錄表'!$D$15:$R$1094,5,FALSE),"-")</f>
        <v>-</v>
      </c>
      <c r="G431" s="11" t="str">
        <f>IFERROR(VLOOKUP($B431,'(勿動)組件目錄表'!$D$15:$R$1094,8,FALSE),"-")</f>
        <v>-</v>
      </c>
      <c r="H431" s="11" t="str">
        <f>IFERROR(VLOOKUP($B431,'(勿動)組件目錄表'!$D$15:$R$1094,9,FALSE),"-")</f>
        <v>-</v>
      </c>
      <c r="I431" s="11" t="str">
        <f>IFERROR(VLOOKUP($B431,'(勿動)組件目錄表'!$D$15:$R$1094,10,FALSE),"-")</f>
        <v>-</v>
      </c>
      <c r="J431" s="11" t="str">
        <f>IFERROR(VLOOKUP($B431,'(勿動)組件目錄表'!$D$15:$R$1094,11,FALSE),"-")</f>
        <v>-</v>
      </c>
      <c r="K431" s="11" t="str">
        <f>IFERROR(VLOOKUP($B431,'(勿動)組件目錄表'!$D$15:$R$1094,12,FALSE),"-")</f>
        <v>-</v>
      </c>
      <c r="L431" s="11" t="str">
        <f>IFERROR(VLOOKUP($B431,'(勿動)組件目錄表'!$D$15:$R$1094,13,FALSE),"-")</f>
        <v>-</v>
      </c>
      <c r="M431" s="11" t="str">
        <f>IFERROR(VLOOKUP($B431,'(勿動)組件目錄表'!$D$15:$R$1094,14,FALSE),"-")</f>
        <v>-</v>
      </c>
      <c r="N431" s="15">
        <f t="shared" si="2"/>
        <v>0</v>
      </c>
      <c r="O431" s="16"/>
    </row>
    <row r="432" spans="1:15" ht="15.75" customHeight="1">
      <c r="A432" s="18"/>
      <c r="B432" s="7"/>
      <c r="C432" s="8" t="str">
        <f>IFERROR(VLOOKUP($B432,'(勿動)組件目錄表'!$D$15:$R$1094,2,FALSE),"-")</f>
        <v>-</v>
      </c>
      <c r="D432" s="8" t="str">
        <f>IFERROR(VLOOKUP($B432,'(勿動)組件目錄表'!$D$15:$R$1094,3,FALSE),"-")</f>
        <v>-</v>
      </c>
      <c r="E432" s="9" t="str">
        <f>IFERROR(VLOOKUP($B432,'(勿動)組件目錄表'!$D$15:$R$1094,4,FALSE),"-")</f>
        <v>-</v>
      </c>
      <c r="F432" s="10" t="str">
        <f>IFERROR(VLOOKUP($B432,'(勿動)組件目錄表'!$D$15:$R$1094,5,FALSE),"-")</f>
        <v>-</v>
      </c>
      <c r="G432" s="11" t="str">
        <f>IFERROR(VLOOKUP($B432,'(勿動)組件目錄表'!$D$15:$R$1094,8,FALSE),"-")</f>
        <v>-</v>
      </c>
      <c r="H432" s="11" t="str">
        <f>IFERROR(VLOOKUP($B432,'(勿動)組件目錄表'!$D$15:$R$1094,9,FALSE),"-")</f>
        <v>-</v>
      </c>
      <c r="I432" s="11" t="str">
        <f>IFERROR(VLOOKUP($B432,'(勿動)組件目錄表'!$D$15:$R$1094,10,FALSE),"-")</f>
        <v>-</v>
      </c>
      <c r="J432" s="11" t="str">
        <f>IFERROR(VLOOKUP($B432,'(勿動)組件目錄表'!$D$15:$R$1094,11,FALSE),"-")</f>
        <v>-</v>
      </c>
      <c r="K432" s="11" t="str">
        <f>IFERROR(VLOOKUP($B432,'(勿動)組件目錄表'!$D$15:$R$1094,12,FALSE),"-")</f>
        <v>-</v>
      </c>
      <c r="L432" s="11" t="str">
        <f>IFERROR(VLOOKUP($B432,'(勿動)組件目錄表'!$D$15:$R$1094,13,FALSE),"-")</f>
        <v>-</v>
      </c>
      <c r="M432" s="11" t="str">
        <f>IFERROR(VLOOKUP($B432,'(勿動)組件目錄表'!$D$15:$R$1094,14,FALSE),"-")</f>
        <v>-</v>
      </c>
      <c r="N432" s="15">
        <f t="shared" si="2"/>
        <v>0</v>
      </c>
      <c r="O432" s="16"/>
    </row>
    <row r="433" spans="1:15" ht="15.75" customHeight="1">
      <c r="A433" s="18"/>
      <c r="B433" s="7"/>
      <c r="C433" s="8" t="str">
        <f>IFERROR(VLOOKUP($B433,'(勿動)組件目錄表'!$D$15:$R$1094,2,FALSE),"-")</f>
        <v>-</v>
      </c>
      <c r="D433" s="8" t="str">
        <f>IFERROR(VLOOKUP($B433,'(勿動)組件目錄表'!$D$15:$R$1094,3,FALSE),"-")</f>
        <v>-</v>
      </c>
      <c r="E433" s="9" t="str">
        <f>IFERROR(VLOOKUP($B433,'(勿動)組件目錄表'!$D$15:$R$1094,4,FALSE),"-")</f>
        <v>-</v>
      </c>
      <c r="F433" s="10" t="str">
        <f>IFERROR(VLOOKUP($B433,'(勿動)組件目錄表'!$D$15:$R$1094,5,FALSE),"-")</f>
        <v>-</v>
      </c>
      <c r="G433" s="11" t="str">
        <f>IFERROR(VLOOKUP($B433,'(勿動)組件目錄表'!$D$15:$R$1094,8,FALSE),"-")</f>
        <v>-</v>
      </c>
      <c r="H433" s="11" t="str">
        <f>IFERROR(VLOOKUP($B433,'(勿動)組件目錄表'!$D$15:$R$1094,9,FALSE),"-")</f>
        <v>-</v>
      </c>
      <c r="I433" s="11" t="str">
        <f>IFERROR(VLOOKUP($B433,'(勿動)組件目錄表'!$D$15:$R$1094,10,FALSE),"-")</f>
        <v>-</v>
      </c>
      <c r="J433" s="11" t="str">
        <f>IFERROR(VLOOKUP($B433,'(勿動)組件目錄表'!$D$15:$R$1094,11,FALSE),"-")</f>
        <v>-</v>
      </c>
      <c r="K433" s="11" t="str">
        <f>IFERROR(VLOOKUP($B433,'(勿動)組件目錄表'!$D$15:$R$1094,12,FALSE),"-")</f>
        <v>-</v>
      </c>
      <c r="L433" s="11" t="str">
        <f>IFERROR(VLOOKUP($B433,'(勿動)組件目錄表'!$D$15:$R$1094,13,FALSE),"-")</f>
        <v>-</v>
      </c>
      <c r="M433" s="11" t="str">
        <f>IFERROR(VLOOKUP($B433,'(勿動)組件目錄表'!$D$15:$R$1094,14,FALSE),"-")</f>
        <v>-</v>
      </c>
      <c r="N433" s="15">
        <f t="shared" si="2"/>
        <v>0</v>
      </c>
      <c r="O433" s="16"/>
    </row>
    <row r="434" spans="1:15" ht="15.75" customHeight="1">
      <c r="A434" s="18"/>
      <c r="B434" s="7"/>
      <c r="C434" s="8" t="str">
        <f>IFERROR(VLOOKUP($B434,'(勿動)組件目錄表'!$D$15:$R$1094,2,FALSE),"-")</f>
        <v>-</v>
      </c>
      <c r="D434" s="8" t="str">
        <f>IFERROR(VLOOKUP($B434,'(勿動)組件目錄表'!$D$15:$R$1094,3,FALSE),"-")</f>
        <v>-</v>
      </c>
      <c r="E434" s="9" t="str">
        <f>IFERROR(VLOOKUP($B434,'(勿動)組件目錄表'!$D$15:$R$1094,4,FALSE),"-")</f>
        <v>-</v>
      </c>
      <c r="F434" s="10" t="str">
        <f>IFERROR(VLOOKUP($B434,'(勿動)組件目錄表'!$D$15:$R$1094,5,FALSE),"-")</f>
        <v>-</v>
      </c>
      <c r="G434" s="11" t="str">
        <f>IFERROR(VLOOKUP($B434,'(勿動)組件目錄表'!$D$15:$R$1094,8,FALSE),"-")</f>
        <v>-</v>
      </c>
      <c r="H434" s="11" t="str">
        <f>IFERROR(VLOOKUP($B434,'(勿動)組件目錄表'!$D$15:$R$1094,9,FALSE),"-")</f>
        <v>-</v>
      </c>
      <c r="I434" s="11" t="str">
        <f>IFERROR(VLOOKUP($B434,'(勿動)組件目錄表'!$D$15:$R$1094,10,FALSE),"-")</f>
        <v>-</v>
      </c>
      <c r="J434" s="11" t="str">
        <f>IFERROR(VLOOKUP($B434,'(勿動)組件目錄表'!$D$15:$R$1094,11,FALSE),"-")</f>
        <v>-</v>
      </c>
      <c r="K434" s="11" t="str">
        <f>IFERROR(VLOOKUP($B434,'(勿動)組件目錄表'!$D$15:$R$1094,12,FALSE),"-")</f>
        <v>-</v>
      </c>
      <c r="L434" s="11" t="str">
        <f>IFERROR(VLOOKUP($B434,'(勿動)組件目錄表'!$D$15:$R$1094,13,FALSE),"-")</f>
        <v>-</v>
      </c>
      <c r="M434" s="11" t="str">
        <f>IFERROR(VLOOKUP($B434,'(勿動)組件目錄表'!$D$15:$R$1094,14,FALSE),"-")</f>
        <v>-</v>
      </c>
      <c r="N434" s="15">
        <f t="shared" si="2"/>
        <v>0</v>
      </c>
      <c r="O434" s="16"/>
    </row>
    <row r="435" spans="1:15" ht="15.75" customHeight="1">
      <c r="A435" s="18"/>
      <c r="B435" s="7"/>
      <c r="C435" s="8" t="str">
        <f>IFERROR(VLOOKUP($B435,'(勿動)組件目錄表'!$D$15:$R$1094,2,FALSE),"-")</f>
        <v>-</v>
      </c>
      <c r="D435" s="8" t="str">
        <f>IFERROR(VLOOKUP($B435,'(勿動)組件目錄表'!$D$15:$R$1094,3,FALSE),"-")</f>
        <v>-</v>
      </c>
      <c r="E435" s="9" t="str">
        <f>IFERROR(VLOOKUP($B435,'(勿動)組件目錄表'!$D$15:$R$1094,4,FALSE),"-")</f>
        <v>-</v>
      </c>
      <c r="F435" s="10" t="str">
        <f>IFERROR(VLOOKUP($B435,'(勿動)組件目錄表'!$D$15:$R$1094,5,FALSE),"-")</f>
        <v>-</v>
      </c>
      <c r="G435" s="11" t="str">
        <f>IFERROR(VLOOKUP($B435,'(勿動)組件目錄表'!$D$15:$R$1094,8,FALSE),"-")</f>
        <v>-</v>
      </c>
      <c r="H435" s="11" t="str">
        <f>IFERROR(VLOOKUP($B435,'(勿動)組件目錄表'!$D$15:$R$1094,9,FALSE),"-")</f>
        <v>-</v>
      </c>
      <c r="I435" s="11" t="str">
        <f>IFERROR(VLOOKUP($B435,'(勿動)組件目錄表'!$D$15:$R$1094,10,FALSE),"-")</f>
        <v>-</v>
      </c>
      <c r="J435" s="11" t="str">
        <f>IFERROR(VLOOKUP($B435,'(勿動)組件目錄表'!$D$15:$R$1094,11,FALSE),"-")</f>
        <v>-</v>
      </c>
      <c r="K435" s="11" t="str">
        <f>IFERROR(VLOOKUP($B435,'(勿動)組件目錄表'!$D$15:$R$1094,12,FALSE),"-")</f>
        <v>-</v>
      </c>
      <c r="L435" s="11" t="str">
        <f>IFERROR(VLOOKUP($B435,'(勿動)組件目錄表'!$D$15:$R$1094,13,FALSE),"-")</f>
        <v>-</v>
      </c>
      <c r="M435" s="11" t="str">
        <f>IFERROR(VLOOKUP($B435,'(勿動)組件目錄表'!$D$15:$R$1094,14,FALSE),"-")</f>
        <v>-</v>
      </c>
      <c r="N435" s="15">
        <f t="shared" si="2"/>
        <v>0</v>
      </c>
      <c r="O435" s="16"/>
    </row>
    <row r="436" spans="1:15" ht="15.75" customHeight="1">
      <c r="A436" s="18"/>
      <c r="B436" s="7"/>
      <c r="C436" s="8" t="str">
        <f>IFERROR(VLOOKUP($B436,'(勿動)組件目錄表'!$D$15:$R$1094,2,FALSE),"-")</f>
        <v>-</v>
      </c>
      <c r="D436" s="8" t="str">
        <f>IFERROR(VLOOKUP($B436,'(勿動)組件目錄表'!$D$15:$R$1094,3,FALSE),"-")</f>
        <v>-</v>
      </c>
      <c r="E436" s="9" t="str">
        <f>IFERROR(VLOOKUP($B436,'(勿動)組件目錄表'!$D$15:$R$1094,4,FALSE),"-")</f>
        <v>-</v>
      </c>
      <c r="F436" s="10" t="str">
        <f>IFERROR(VLOOKUP($B436,'(勿動)組件目錄表'!$D$15:$R$1094,5,FALSE),"-")</f>
        <v>-</v>
      </c>
      <c r="G436" s="11" t="str">
        <f>IFERROR(VLOOKUP($B436,'(勿動)組件目錄表'!$D$15:$R$1094,8,FALSE),"-")</f>
        <v>-</v>
      </c>
      <c r="H436" s="11" t="str">
        <f>IFERROR(VLOOKUP($B436,'(勿動)組件目錄表'!$D$15:$R$1094,9,FALSE),"-")</f>
        <v>-</v>
      </c>
      <c r="I436" s="11" t="str">
        <f>IFERROR(VLOOKUP($B436,'(勿動)組件目錄表'!$D$15:$R$1094,10,FALSE),"-")</f>
        <v>-</v>
      </c>
      <c r="J436" s="11" t="str">
        <f>IFERROR(VLOOKUP($B436,'(勿動)組件目錄表'!$D$15:$R$1094,11,FALSE),"-")</f>
        <v>-</v>
      </c>
      <c r="K436" s="11" t="str">
        <f>IFERROR(VLOOKUP($B436,'(勿動)組件目錄表'!$D$15:$R$1094,12,FALSE),"-")</f>
        <v>-</v>
      </c>
      <c r="L436" s="11" t="str">
        <f>IFERROR(VLOOKUP($B436,'(勿動)組件目錄表'!$D$15:$R$1094,13,FALSE),"-")</f>
        <v>-</v>
      </c>
      <c r="M436" s="11" t="str">
        <f>IFERROR(VLOOKUP($B436,'(勿動)組件目錄表'!$D$15:$R$1094,14,FALSE),"-")</f>
        <v>-</v>
      </c>
      <c r="N436" s="15">
        <f t="shared" si="2"/>
        <v>0</v>
      </c>
      <c r="O436" s="16"/>
    </row>
    <row r="437" spans="1:15" ht="15.75" customHeight="1">
      <c r="A437" s="18"/>
      <c r="B437" s="7"/>
      <c r="C437" s="8" t="str">
        <f>IFERROR(VLOOKUP($B437,'(勿動)組件目錄表'!$D$15:$R$1094,2,FALSE),"-")</f>
        <v>-</v>
      </c>
      <c r="D437" s="8" t="str">
        <f>IFERROR(VLOOKUP($B437,'(勿動)組件目錄表'!$D$15:$R$1094,3,FALSE),"-")</f>
        <v>-</v>
      </c>
      <c r="E437" s="9" t="str">
        <f>IFERROR(VLOOKUP($B437,'(勿動)組件目錄表'!$D$15:$R$1094,4,FALSE),"-")</f>
        <v>-</v>
      </c>
      <c r="F437" s="10" t="str">
        <f>IFERROR(VLOOKUP($B437,'(勿動)組件目錄表'!$D$15:$R$1094,5,FALSE),"-")</f>
        <v>-</v>
      </c>
      <c r="G437" s="11" t="str">
        <f>IFERROR(VLOOKUP($B437,'(勿動)組件目錄表'!$D$15:$R$1094,8,FALSE),"-")</f>
        <v>-</v>
      </c>
      <c r="H437" s="11" t="str">
        <f>IFERROR(VLOOKUP($B437,'(勿動)組件目錄表'!$D$15:$R$1094,9,FALSE),"-")</f>
        <v>-</v>
      </c>
      <c r="I437" s="11" t="str">
        <f>IFERROR(VLOOKUP($B437,'(勿動)組件目錄表'!$D$15:$R$1094,10,FALSE),"-")</f>
        <v>-</v>
      </c>
      <c r="J437" s="11" t="str">
        <f>IFERROR(VLOOKUP($B437,'(勿動)組件目錄表'!$D$15:$R$1094,11,FALSE),"-")</f>
        <v>-</v>
      </c>
      <c r="K437" s="11" t="str">
        <f>IFERROR(VLOOKUP($B437,'(勿動)組件目錄表'!$D$15:$R$1094,12,FALSE),"-")</f>
        <v>-</v>
      </c>
      <c r="L437" s="11" t="str">
        <f>IFERROR(VLOOKUP($B437,'(勿動)組件目錄表'!$D$15:$R$1094,13,FALSE),"-")</f>
        <v>-</v>
      </c>
      <c r="M437" s="11" t="str">
        <f>IFERROR(VLOOKUP($B437,'(勿動)組件目錄表'!$D$15:$R$1094,14,FALSE),"-")</f>
        <v>-</v>
      </c>
      <c r="N437" s="15">
        <f t="shared" si="2"/>
        <v>0</v>
      </c>
      <c r="O437" s="16"/>
    </row>
    <row r="438" spans="1:15" ht="15.75" customHeight="1">
      <c r="A438" s="18"/>
      <c r="B438" s="7"/>
      <c r="C438" s="8" t="str">
        <f>IFERROR(VLOOKUP($B438,'(勿動)組件目錄表'!$D$15:$R$1094,2,FALSE),"-")</f>
        <v>-</v>
      </c>
      <c r="D438" s="8" t="str">
        <f>IFERROR(VLOOKUP($B438,'(勿動)組件目錄表'!$D$15:$R$1094,3,FALSE),"-")</f>
        <v>-</v>
      </c>
      <c r="E438" s="9" t="str">
        <f>IFERROR(VLOOKUP($B438,'(勿動)組件目錄表'!$D$15:$R$1094,4,FALSE),"-")</f>
        <v>-</v>
      </c>
      <c r="F438" s="10" t="str">
        <f>IFERROR(VLOOKUP($B438,'(勿動)組件目錄表'!$D$15:$R$1094,5,FALSE),"-")</f>
        <v>-</v>
      </c>
      <c r="G438" s="11" t="str">
        <f>IFERROR(VLOOKUP($B438,'(勿動)組件目錄表'!$D$15:$R$1094,8,FALSE),"-")</f>
        <v>-</v>
      </c>
      <c r="H438" s="11" t="str">
        <f>IFERROR(VLOOKUP($B438,'(勿動)組件目錄表'!$D$15:$R$1094,9,FALSE),"-")</f>
        <v>-</v>
      </c>
      <c r="I438" s="11" t="str">
        <f>IFERROR(VLOOKUP($B438,'(勿動)組件目錄表'!$D$15:$R$1094,10,FALSE),"-")</f>
        <v>-</v>
      </c>
      <c r="J438" s="11" t="str">
        <f>IFERROR(VLOOKUP($B438,'(勿動)組件目錄表'!$D$15:$R$1094,11,FALSE),"-")</f>
        <v>-</v>
      </c>
      <c r="K438" s="11" t="str">
        <f>IFERROR(VLOOKUP($B438,'(勿動)組件目錄表'!$D$15:$R$1094,12,FALSE),"-")</f>
        <v>-</v>
      </c>
      <c r="L438" s="11" t="str">
        <f>IFERROR(VLOOKUP($B438,'(勿動)組件目錄表'!$D$15:$R$1094,13,FALSE),"-")</f>
        <v>-</v>
      </c>
      <c r="M438" s="11" t="str">
        <f>IFERROR(VLOOKUP($B438,'(勿動)組件目錄表'!$D$15:$R$1094,14,FALSE),"-")</f>
        <v>-</v>
      </c>
      <c r="N438" s="15">
        <f t="shared" si="2"/>
        <v>0</v>
      </c>
      <c r="O438" s="16"/>
    </row>
    <row r="439" spans="1:15" ht="15.75" customHeight="1">
      <c r="A439" s="18"/>
      <c r="B439" s="7"/>
      <c r="C439" s="8" t="str">
        <f>IFERROR(VLOOKUP($B439,'(勿動)組件目錄表'!$D$15:$R$1094,2,FALSE),"-")</f>
        <v>-</v>
      </c>
      <c r="D439" s="8" t="str">
        <f>IFERROR(VLOOKUP($B439,'(勿動)組件目錄表'!$D$15:$R$1094,3,FALSE),"-")</f>
        <v>-</v>
      </c>
      <c r="E439" s="9" t="str">
        <f>IFERROR(VLOOKUP($B439,'(勿動)組件目錄表'!$D$15:$R$1094,4,FALSE),"-")</f>
        <v>-</v>
      </c>
      <c r="F439" s="10" t="str">
        <f>IFERROR(VLOOKUP($B439,'(勿動)組件目錄表'!$D$15:$R$1094,5,FALSE),"-")</f>
        <v>-</v>
      </c>
      <c r="G439" s="11" t="str">
        <f>IFERROR(VLOOKUP($B439,'(勿動)組件目錄表'!$D$15:$R$1094,8,FALSE),"-")</f>
        <v>-</v>
      </c>
      <c r="H439" s="11" t="str">
        <f>IFERROR(VLOOKUP($B439,'(勿動)組件目錄表'!$D$15:$R$1094,9,FALSE),"-")</f>
        <v>-</v>
      </c>
      <c r="I439" s="11" t="str">
        <f>IFERROR(VLOOKUP($B439,'(勿動)組件目錄表'!$D$15:$R$1094,10,FALSE),"-")</f>
        <v>-</v>
      </c>
      <c r="J439" s="11" t="str">
        <f>IFERROR(VLOOKUP($B439,'(勿動)組件目錄表'!$D$15:$R$1094,11,FALSE),"-")</f>
        <v>-</v>
      </c>
      <c r="K439" s="11" t="str">
        <f>IFERROR(VLOOKUP($B439,'(勿動)組件目錄表'!$D$15:$R$1094,12,FALSE),"-")</f>
        <v>-</v>
      </c>
      <c r="L439" s="11" t="str">
        <f>IFERROR(VLOOKUP($B439,'(勿動)組件目錄表'!$D$15:$R$1094,13,FALSE),"-")</f>
        <v>-</v>
      </c>
      <c r="M439" s="11" t="str">
        <f>IFERROR(VLOOKUP($B439,'(勿動)組件目錄表'!$D$15:$R$1094,14,FALSE),"-")</f>
        <v>-</v>
      </c>
      <c r="N439" s="15">
        <f t="shared" si="2"/>
        <v>0</v>
      </c>
      <c r="O439" s="16"/>
    </row>
    <row r="440" spans="1:15" ht="15.75" customHeight="1">
      <c r="A440" s="18"/>
      <c r="B440" s="7"/>
      <c r="C440" s="8" t="str">
        <f>IFERROR(VLOOKUP($B440,'(勿動)組件目錄表'!$D$15:$R$1094,2,FALSE),"-")</f>
        <v>-</v>
      </c>
      <c r="D440" s="8" t="str">
        <f>IFERROR(VLOOKUP($B440,'(勿動)組件目錄表'!$D$15:$R$1094,3,FALSE),"-")</f>
        <v>-</v>
      </c>
      <c r="E440" s="9" t="str">
        <f>IFERROR(VLOOKUP($B440,'(勿動)組件目錄表'!$D$15:$R$1094,4,FALSE),"-")</f>
        <v>-</v>
      </c>
      <c r="F440" s="10" t="str">
        <f>IFERROR(VLOOKUP($B440,'(勿動)組件目錄表'!$D$15:$R$1094,5,FALSE),"-")</f>
        <v>-</v>
      </c>
      <c r="G440" s="11" t="str">
        <f>IFERROR(VLOOKUP($B440,'(勿動)組件目錄表'!$D$15:$R$1094,8,FALSE),"-")</f>
        <v>-</v>
      </c>
      <c r="H440" s="11" t="str">
        <f>IFERROR(VLOOKUP($B440,'(勿動)組件目錄表'!$D$15:$R$1094,9,FALSE),"-")</f>
        <v>-</v>
      </c>
      <c r="I440" s="11" t="str">
        <f>IFERROR(VLOOKUP($B440,'(勿動)組件目錄表'!$D$15:$R$1094,10,FALSE),"-")</f>
        <v>-</v>
      </c>
      <c r="J440" s="11" t="str">
        <f>IFERROR(VLOOKUP($B440,'(勿動)組件目錄表'!$D$15:$R$1094,11,FALSE),"-")</f>
        <v>-</v>
      </c>
      <c r="K440" s="11" t="str">
        <f>IFERROR(VLOOKUP($B440,'(勿動)組件目錄表'!$D$15:$R$1094,12,FALSE),"-")</f>
        <v>-</v>
      </c>
      <c r="L440" s="11" t="str">
        <f>IFERROR(VLOOKUP($B440,'(勿動)組件目錄表'!$D$15:$R$1094,13,FALSE),"-")</f>
        <v>-</v>
      </c>
      <c r="M440" s="11" t="str">
        <f>IFERROR(VLOOKUP($B440,'(勿動)組件目錄表'!$D$15:$R$1094,14,FALSE),"-")</f>
        <v>-</v>
      </c>
      <c r="N440" s="15">
        <f t="shared" si="2"/>
        <v>0</v>
      </c>
      <c r="O440" s="16"/>
    </row>
    <row r="441" spans="1:15" ht="15.75" customHeight="1">
      <c r="A441" s="18"/>
      <c r="B441" s="7"/>
      <c r="C441" s="8" t="str">
        <f>IFERROR(VLOOKUP($B441,'(勿動)組件目錄表'!$D$15:$R$1094,2,FALSE),"-")</f>
        <v>-</v>
      </c>
      <c r="D441" s="8" t="str">
        <f>IFERROR(VLOOKUP($B441,'(勿動)組件目錄表'!$D$15:$R$1094,3,FALSE),"-")</f>
        <v>-</v>
      </c>
      <c r="E441" s="9" t="str">
        <f>IFERROR(VLOOKUP($B441,'(勿動)組件目錄表'!$D$15:$R$1094,4,FALSE),"-")</f>
        <v>-</v>
      </c>
      <c r="F441" s="10" t="str">
        <f>IFERROR(VLOOKUP($B441,'(勿動)組件目錄表'!$D$15:$R$1094,5,FALSE),"-")</f>
        <v>-</v>
      </c>
      <c r="G441" s="11" t="str">
        <f>IFERROR(VLOOKUP($B441,'(勿動)組件目錄表'!$D$15:$R$1094,8,FALSE),"-")</f>
        <v>-</v>
      </c>
      <c r="H441" s="11" t="str">
        <f>IFERROR(VLOOKUP($B441,'(勿動)組件目錄表'!$D$15:$R$1094,9,FALSE),"-")</f>
        <v>-</v>
      </c>
      <c r="I441" s="11" t="str">
        <f>IFERROR(VLOOKUP($B441,'(勿動)組件目錄表'!$D$15:$R$1094,10,FALSE),"-")</f>
        <v>-</v>
      </c>
      <c r="J441" s="11" t="str">
        <f>IFERROR(VLOOKUP($B441,'(勿動)組件目錄表'!$D$15:$R$1094,11,FALSE),"-")</f>
        <v>-</v>
      </c>
      <c r="K441" s="11" t="str">
        <f>IFERROR(VLOOKUP($B441,'(勿動)組件目錄表'!$D$15:$R$1094,12,FALSE),"-")</f>
        <v>-</v>
      </c>
      <c r="L441" s="11" t="str">
        <f>IFERROR(VLOOKUP($B441,'(勿動)組件目錄表'!$D$15:$R$1094,13,FALSE),"-")</f>
        <v>-</v>
      </c>
      <c r="M441" s="11" t="str">
        <f>IFERROR(VLOOKUP($B441,'(勿動)組件目錄表'!$D$15:$R$1094,14,FALSE),"-")</f>
        <v>-</v>
      </c>
      <c r="N441" s="15">
        <f t="shared" si="2"/>
        <v>0</v>
      </c>
      <c r="O441" s="16"/>
    </row>
    <row r="442" spans="1:15" ht="15.75" customHeight="1">
      <c r="A442" s="18"/>
      <c r="B442" s="7"/>
      <c r="C442" s="8" t="str">
        <f>IFERROR(VLOOKUP($B442,'(勿動)組件目錄表'!$D$15:$R$1094,2,FALSE),"-")</f>
        <v>-</v>
      </c>
      <c r="D442" s="8" t="str">
        <f>IFERROR(VLOOKUP($B442,'(勿動)組件目錄表'!$D$15:$R$1094,3,FALSE),"-")</f>
        <v>-</v>
      </c>
      <c r="E442" s="9" t="str">
        <f>IFERROR(VLOOKUP($B442,'(勿動)組件目錄表'!$D$15:$R$1094,4,FALSE),"-")</f>
        <v>-</v>
      </c>
      <c r="F442" s="10" t="str">
        <f>IFERROR(VLOOKUP($B442,'(勿動)組件目錄表'!$D$15:$R$1094,5,FALSE),"-")</f>
        <v>-</v>
      </c>
      <c r="G442" s="11" t="str">
        <f>IFERROR(VLOOKUP($B442,'(勿動)組件目錄表'!$D$15:$R$1094,8,FALSE),"-")</f>
        <v>-</v>
      </c>
      <c r="H442" s="11" t="str">
        <f>IFERROR(VLOOKUP($B442,'(勿動)組件目錄表'!$D$15:$R$1094,9,FALSE),"-")</f>
        <v>-</v>
      </c>
      <c r="I442" s="11" t="str">
        <f>IFERROR(VLOOKUP($B442,'(勿動)組件目錄表'!$D$15:$R$1094,10,FALSE),"-")</f>
        <v>-</v>
      </c>
      <c r="J442" s="11" t="str">
        <f>IFERROR(VLOOKUP($B442,'(勿動)組件目錄表'!$D$15:$R$1094,11,FALSE),"-")</f>
        <v>-</v>
      </c>
      <c r="K442" s="11" t="str">
        <f>IFERROR(VLOOKUP($B442,'(勿動)組件目錄表'!$D$15:$R$1094,12,FALSE),"-")</f>
        <v>-</v>
      </c>
      <c r="L442" s="11" t="str">
        <f>IFERROR(VLOOKUP($B442,'(勿動)組件目錄表'!$D$15:$R$1094,13,FALSE),"-")</f>
        <v>-</v>
      </c>
      <c r="M442" s="11" t="str">
        <f>IFERROR(VLOOKUP($B442,'(勿動)組件目錄表'!$D$15:$R$1094,14,FALSE),"-")</f>
        <v>-</v>
      </c>
      <c r="N442" s="15">
        <f t="shared" si="2"/>
        <v>0</v>
      </c>
      <c r="O442" s="16"/>
    </row>
    <row r="443" spans="1:15" ht="15.75" customHeight="1">
      <c r="A443" s="18"/>
      <c r="B443" s="7"/>
      <c r="C443" s="8" t="str">
        <f>IFERROR(VLOOKUP($B443,'(勿動)組件目錄表'!$D$15:$R$1094,2,FALSE),"-")</f>
        <v>-</v>
      </c>
      <c r="D443" s="8" t="str">
        <f>IFERROR(VLOOKUP($B443,'(勿動)組件目錄表'!$D$15:$R$1094,3,FALSE),"-")</f>
        <v>-</v>
      </c>
      <c r="E443" s="9" t="str">
        <f>IFERROR(VLOOKUP($B443,'(勿動)組件目錄表'!$D$15:$R$1094,4,FALSE),"-")</f>
        <v>-</v>
      </c>
      <c r="F443" s="10" t="str">
        <f>IFERROR(VLOOKUP($B443,'(勿動)組件目錄表'!$D$15:$R$1094,5,FALSE),"-")</f>
        <v>-</v>
      </c>
      <c r="G443" s="11" t="str">
        <f>IFERROR(VLOOKUP($B443,'(勿動)組件目錄表'!$D$15:$R$1094,8,FALSE),"-")</f>
        <v>-</v>
      </c>
      <c r="H443" s="11" t="str">
        <f>IFERROR(VLOOKUP($B443,'(勿動)組件目錄表'!$D$15:$R$1094,9,FALSE),"-")</f>
        <v>-</v>
      </c>
      <c r="I443" s="11" t="str">
        <f>IFERROR(VLOOKUP($B443,'(勿動)組件目錄表'!$D$15:$R$1094,10,FALSE),"-")</f>
        <v>-</v>
      </c>
      <c r="J443" s="11" t="str">
        <f>IFERROR(VLOOKUP($B443,'(勿動)組件目錄表'!$D$15:$R$1094,11,FALSE),"-")</f>
        <v>-</v>
      </c>
      <c r="K443" s="11" t="str">
        <f>IFERROR(VLOOKUP($B443,'(勿動)組件目錄表'!$D$15:$R$1094,12,FALSE),"-")</f>
        <v>-</v>
      </c>
      <c r="L443" s="11" t="str">
        <f>IFERROR(VLOOKUP($B443,'(勿動)組件目錄表'!$D$15:$R$1094,13,FALSE),"-")</f>
        <v>-</v>
      </c>
      <c r="M443" s="11" t="str">
        <f>IFERROR(VLOOKUP($B443,'(勿動)組件目錄表'!$D$15:$R$1094,14,FALSE),"-")</f>
        <v>-</v>
      </c>
      <c r="N443" s="15">
        <f t="shared" si="2"/>
        <v>0</v>
      </c>
      <c r="O443" s="16"/>
    </row>
    <row r="444" spans="1:15" ht="15.75" customHeight="1">
      <c r="A444" s="18"/>
      <c r="B444" s="7"/>
      <c r="C444" s="8" t="str">
        <f>IFERROR(VLOOKUP($B444,'(勿動)組件目錄表'!$D$15:$R$1094,2,FALSE),"-")</f>
        <v>-</v>
      </c>
      <c r="D444" s="8" t="str">
        <f>IFERROR(VLOOKUP($B444,'(勿動)組件目錄表'!$D$15:$R$1094,3,FALSE),"-")</f>
        <v>-</v>
      </c>
      <c r="E444" s="9" t="str">
        <f>IFERROR(VLOOKUP($B444,'(勿動)組件目錄表'!$D$15:$R$1094,4,FALSE),"-")</f>
        <v>-</v>
      </c>
      <c r="F444" s="10" t="str">
        <f>IFERROR(VLOOKUP($B444,'(勿動)組件目錄表'!$D$15:$R$1094,5,FALSE),"-")</f>
        <v>-</v>
      </c>
      <c r="G444" s="11" t="str">
        <f>IFERROR(VLOOKUP($B444,'(勿動)組件目錄表'!$D$15:$R$1094,8,FALSE),"-")</f>
        <v>-</v>
      </c>
      <c r="H444" s="11" t="str">
        <f>IFERROR(VLOOKUP($B444,'(勿動)組件目錄表'!$D$15:$R$1094,9,FALSE),"-")</f>
        <v>-</v>
      </c>
      <c r="I444" s="11" t="str">
        <f>IFERROR(VLOOKUP($B444,'(勿動)組件目錄表'!$D$15:$R$1094,10,FALSE),"-")</f>
        <v>-</v>
      </c>
      <c r="J444" s="11" t="str">
        <f>IFERROR(VLOOKUP($B444,'(勿動)組件目錄表'!$D$15:$R$1094,11,FALSE),"-")</f>
        <v>-</v>
      </c>
      <c r="K444" s="11" t="str">
        <f>IFERROR(VLOOKUP($B444,'(勿動)組件目錄表'!$D$15:$R$1094,12,FALSE),"-")</f>
        <v>-</v>
      </c>
      <c r="L444" s="11" t="str">
        <f>IFERROR(VLOOKUP($B444,'(勿動)組件目錄表'!$D$15:$R$1094,13,FALSE),"-")</f>
        <v>-</v>
      </c>
      <c r="M444" s="11" t="str">
        <f>IFERROR(VLOOKUP($B444,'(勿動)組件目錄表'!$D$15:$R$1094,14,FALSE),"-")</f>
        <v>-</v>
      </c>
      <c r="N444" s="15">
        <f t="shared" si="2"/>
        <v>0</v>
      </c>
      <c r="O444" s="16"/>
    </row>
    <row r="445" spans="1:15" ht="15.75" customHeight="1">
      <c r="A445" s="18"/>
      <c r="B445" s="7"/>
      <c r="C445" s="8" t="str">
        <f>IFERROR(VLOOKUP($B445,'(勿動)組件目錄表'!$D$15:$R$1094,2,FALSE),"-")</f>
        <v>-</v>
      </c>
      <c r="D445" s="8" t="str">
        <f>IFERROR(VLOOKUP($B445,'(勿動)組件目錄表'!$D$15:$R$1094,3,FALSE),"-")</f>
        <v>-</v>
      </c>
      <c r="E445" s="9" t="str">
        <f>IFERROR(VLOOKUP($B445,'(勿動)組件目錄表'!$D$15:$R$1094,4,FALSE),"-")</f>
        <v>-</v>
      </c>
      <c r="F445" s="10" t="str">
        <f>IFERROR(VLOOKUP($B445,'(勿動)組件目錄表'!$D$15:$R$1094,5,FALSE),"-")</f>
        <v>-</v>
      </c>
      <c r="G445" s="11" t="str">
        <f>IFERROR(VLOOKUP($B445,'(勿動)組件目錄表'!$D$15:$R$1094,8,FALSE),"-")</f>
        <v>-</v>
      </c>
      <c r="H445" s="11" t="str">
        <f>IFERROR(VLOOKUP($B445,'(勿動)組件目錄表'!$D$15:$R$1094,9,FALSE),"-")</f>
        <v>-</v>
      </c>
      <c r="I445" s="11" t="str">
        <f>IFERROR(VLOOKUP($B445,'(勿動)組件目錄表'!$D$15:$R$1094,10,FALSE),"-")</f>
        <v>-</v>
      </c>
      <c r="J445" s="11" t="str">
        <f>IFERROR(VLOOKUP($B445,'(勿動)組件目錄表'!$D$15:$R$1094,11,FALSE),"-")</f>
        <v>-</v>
      </c>
      <c r="K445" s="11" t="str">
        <f>IFERROR(VLOOKUP($B445,'(勿動)組件目錄表'!$D$15:$R$1094,12,FALSE),"-")</f>
        <v>-</v>
      </c>
      <c r="L445" s="11" t="str">
        <f>IFERROR(VLOOKUP($B445,'(勿動)組件目錄表'!$D$15:$R$1094,13,FALSE),"-")</f>
        <v>-</v>
      </c>
      <c r="M445" s="11" t="str">
        <f>IFERROR(VLOOKUP($B445,'(勿動)組件目錄表'!$D$15:$R$1094,14,FALSE),"-")</f>
        <v>-</v>
      </c>
      <c r="N445" s="15">
        <f t="shared" si="2"/>
        <v>0</v>
      </c>
      <c r="O445" s="16"/>
    </row>
    <row r="446" spans="1:15" ht="15.75" customHeight="1">
      <c r="A446" s="18"/>
      <c r="B446" s="7"/>
      <c r="C446" s="8" t="str">
        <f>IFERROR(VLOOKUP($B446,'(勿動)組件目錄表'!$D$15:$R$1094,2,FALSE),"-")</f>
        <v>-</v>
      </c>
      <c r="D446" s="8" t="str">
        <f>IFERROR(VLOOKUP($B446,'(勿動)組件目錄表'!$D$15:$R$1094,3,FALSE),"-")</f>
        <v>-</v>
      </c>
      <c r="E446" s="9" t="str">
        <f>IFERROR(VLOOKUP($B446,'(勿動)組件目錄表'!$D$15:$R$1094,4,FALSE),"-")</f>
        <v>-</v>
      </c>
      <c r="F446" s="10" t="str">
        <f>IFERROR(VLOOKUP($B446,'(勿動)組件目錄表'!$D$15:$R$1094,5,FALSE),"-")</f>
        <v>-</v>
      </c>
      <c r="G446" s="11" t="str">
        <f>IFERROR(VLOOKUP($B446,'(勿動)組件目錄表'!$D$15:$R$1094,8,FALSE),"-")</f>
        <v>-</v>
      </c>
      <c r="H446" s="11" t="str">
        <f>IFERROR(VLOOKUP($B446,'(勿動)組件目錄表'!$D$15:$R$1094,9,FALSE),"-")</f>
        <v>-</v>
      </c>
      <c r="I446" s="11" t="str">
        <f>IFERROR(VLOOKUP($B446,'(勿動)組件目錄表'!$D$15:$R$1094,10,FALSE),"-")</f>
        <v>-</v>
      </c>
      <c r="J446" s="11" t="str">
        <f>IFERROR(VLOOKUP($B446,'(勿動)組件目錄表'!$D$15:$R$1094,11,FALSE),"-")</f>
        <v>-</v>
      </c>
      <c r="K446" s="11" t="str">
        <f>IFERROR(VLOOKUP($B446,'(勿動)組件目錄表'!$D$15:$R$1094,12,FALSE),"-")</f>
        <v>-</v>
      </c>
      <c r="L446" s="11" t="str">
        <f>IFERROR(VLOOKUP($B446,'(勿動)組件目錄表'!$D$15:$R$1094,13,FALSE),"-")</f>
        <v>-</v>
      </c>
      <c r="M446" s="11" t="str">
        <f>IFERROR(VLOOKUP($B446,'(勿動)組件目錄表'!$D$15:$R$1094,14,FALSE),"-")</f>
        <v>-</v>
      </c>
      <c r="N446" s="15">
        <f t="shared" si="2"/>
        <v>0</v>
      </c>
      <c r="O446" s="16"/>
    </row>
    <row r="447" spans="1:15" ht="15.75" customHeight="1">
      <c r="A447" s="18"/>
      <c r="B447" s="7"/>
      <c r="C447" s="8" t="str">
        <f>IFERROR(VLOOKUP($B447,'(勿動)組件目錄表'!$D$15:$R$1094,2,FALSE),"-")</f>
        <v>-</v>
      </c>
      <c r="D447" s="8" t="str">
        <f>IFERROR(VLOOKUP($B447,'(勿動)組件目錄表'!$D$15:$R$1094,3,FALSE),"-")</f>
        <v>-</v>
      </c>
      <c r="E447" s="9" t="str">
        <f>IFERROR(VLOOKUP($B447,'(勿動)組件目錄表'!$D$15:$R$1094,4,FALSE),"-")</f>
        <v>-</v>
      </c>
      <c r="F447" s="10" t="str">
        <f>IFERROR(VLOOKUP($B447,'(勿動)組件目錄表'!$D$15:$R$1094,5,FALSE),"-")</f>
        <v>-</v>
      </c>
      <c r="G447" s="11" t="str">
        <f>IFERROR(VLOOKUP($B447,'(勿動)組件目錄表'!$D$15:$R$1094,8,FALSE),"-")</f>
        <v>-</v>
      </c>
      <c r="H447" s="11" t="str">
        <f>IFERROR(VLOOKUP($B447,'(勿動)組件目錄表'!$D$15:$R$1094,9,FALSE),"-")</f>
        <v>-</v>
      </c>
      <c r="I447" s="11" t="str">
        <f>IFERROR(VLOOKUP($B447,'(勿動)組件目錄表'!$D$15:$R$1094,10,FALSE),"-")</f>
        <v>-</v>
      </c>
      <c r="J447" s="11" t="str">
        <f>IFERROR(VLOOKUP($B447,'(勿動)組件目錄表'!$D$15:$R$1094,11,FALSE),"-")</f>
        <v>-</v>
      </c>
      <c r="K447" s="11" t="str">
        <f>IFERROR(VLOOKUP($B447,'(勿動)組件目錄表'!$D$15:$R$1094,12,FALSE),"-")</f>
        <v>-</v>
      </c>
      <c r="L447" s="11" t="str">
        <f>IFERROR(VLOOKUP($B447,'(勿動)組件目錄表'!$D$15:$R$1094,13,FALSE),"-")</f>
        <v>-</v>
      </c>
      <c r="M447" s="11" t="str">
        <f>IFERROR(VLOOKUP($B447,'(勿動)組件目錄表'!$D$15:$R$1094,14,FALSE),"-")</f>
        <v>-</v>
      </c>
      <c r="N447" s="15">
        <f t="shared" si="2"/>
        <v>0</v>
      </c>
      <c r="O447" s="16"/>
    </row>
    <row r="448" spans="1:15" ht="15.75" customHeight="1">
      <c r="A448" s="18"/>
      <c r="B448" s="7"/>
      <c r="C448" s="8" t="str">
        <f>IFERROR(VLOOKUP($B448,'(勿動)組件目錄表'!$D$15:$R$1094,2,FALSE),"-")</f>
        <v>-</v>
      </c>
      <c r="D448" s="8" t="str">
        <f>IFERROR(VLOOKUP($B448,'(勿動)組件目錄表'!$D$15:$R$1094,3,FALSE),"-")</f>
        <v>-</v>
      </c>
      <c r="E448" s="9" t="str">
        <f>IFERROR(VLOOKUP($B448,'(勿動)組件目錄表'!$D$15:$R$1094,4,FALSE),"-")</f>
        <v>-</v>
      </c>
      <c r="F448" s="10" t="str">
        <f>IFERROR(VLOOKUP($B448,'(勿動)組件目錄表'!$D$15:$R$1094,5,FALSE),"-")</f>
        <v>-</v>
      </c>
      <c r="G448" s="11" t="str">
        <f>IFERROR(VLOOKUP($B448,'(勿動)組件目錄表'!$D$15:$R$1094,8,FALSE),"-")</f>
        <v>-</v>
      </c>
      <c r="H448" s="11" t="str">
        <f>IFERROR(VLOOKUP($B448,'(勿動)組件目錄表'!$D$15:$R$1094,9,FALSE),"-")</f>
        <v>-</v>
      </c>
      <c r="I448" s="11" t="str">
        <f>IFERROR(VLOOKUP($B448,'(勿動)組件目錄表'!$D$15:$R$1094,10,FALSE),"-")</f>
        <v>-</v>
      </c>
      <c r="J448" s="11" t="str">
        <f>IFERROR(VLOOKUP($B448,'(勿動)組件目錄表'!$D$15:$R$1094,11,FALSE),"-")</f>
        <v>-</v>
      </c>
      <c r="K448" s="11" t="str">
        <f>IFERROR(VLOOKUP($B448,'(勿動)組件目錄表'!$D$15:$R$1094,12,FALSE),"-")</f>
        <v>-</v>
      </c>
      <c r="L448" s="11" t="str">
        <f>IFERROR(VLOOKUP($B448,'(勿動)組件目錄表'!$D$15:$R$1094,13,FALSE),"-")</f>
        <v>-</v>
      </c>
      <c r="M448" s="11" t="str">
        <f>IFERROR(VLOOKUP($B448,'(勿動)組件目錄表'!$D$15:$R$1094,14,FALSE),"-")</f>
        <v>-</v>
      </c>
      <c r="N448" s="15">
        <f t="shared" si="2"/>
        <v>0</v>
      </c>
      <c r="O448" s="16"/>
    </row>
    <row r="449" spans="1:15" ht="15.75" customHeight="1">
      <c r="A449" s="18"/>
      <c r="B449" s="7"/>
      <c r="C449" s="8" t="str">
        <f>IFERROR(VLOOKUP($B449,'(勿動)組件目錄表'!$D$15:$R$1094,2,FALSE),"-")</f>
        <v>-</v>
      </c>
      <c r="D449" s="8" t="str">
        <f>IFERROR(VLOOKUP($B449,'(勿動)組件目錄表'!$D$15:$R$1094,3,FALSE),"-")</f>
        <v>-</v>
      </c>
      <c r="E449" s="9" t="str">
        <f>IFERROR(VLOOKUP($B449,'(勿動)組件目錄表'!$D$15:$R$1094,4,FALSE),"-")</f>
        <v>-</v>
      </c>
      <c r="F449" s="10" t="str">
        <f>IFERROR(VLOOKUP($B449,'(勿動)組件目錄表'!$D$15:$R$1094,5,FALSE),"-")</f>
        <v>-</v>
      </c>
      <c r="G449" s="11" t="str">
        <f>IFERROR(VLOOKUP($B449,'(勿動)組件目錄表'!$D$15:$R$1094,8,FALSE),"-")</f>
        <v>-</v>
      </c>
      <c r="H449" s="11" t="str">
        <f>IFERROR(VLOOKUP($B449,'(勿動)組件目錄表'!$D$15:$R$1094,9,FALSE),"-")</f>
        <v>-</v>
      </c>
      <c r="I449" s="11" t="str">
        <f>IFERROR(VLOOKUP($B449,'(勿動)組件目錄表'!$D$15:$R$1094,10,FALSE),"-")</f>
        <v>-</v>
      </c>
      <c r="J449" s="11" t="str">
        <f>IFERROR(VLOOKUP($B449,'(勿動)組件目錄表'!$D$15:$R$1094,11,FALSE),"-")</f>
        <v>-</v>
      </c>
      <c r="K449" s="11" t="str">
        <f>IFERROR(VLOOKUP($B449,'(勿動)組件目錄表'!$D$15:$R$1094,12,FALSE),"-")</f>
        <v>-</v>
      </c>
      <c r="L449" s="11" t="str">
        <f>IFERROR(VLOOKUP($B449,'(勿動)組件目錄表'!$D$15:$R$1094,13,FALSE),"-")</f>
        <v>-</v>
      </c>
      <c r="M449" s="11" t="str">
        <f>IFERROR(VLOOKUP($B449,'(勿動)組件目錄表'!$D$15:$R$1094,14,FALSE),"-")</f>
        <v>-</v>
      </c>
      <c r="N449" s="15">
        <f t="shared" si="2"/>
        <v>0</v>
      </c>
      <c r="O449" s="16"/>
    </row>
    <row r="450" spans="1:15" ht="15.75" customHeight="1">
      <c r="A450" s="18"/>
      <c r="B450" s="7"/>
      <c r="C450" s="8" t="str">
        <f>IFERROR(VLOOKUP($B450,'(勿動)組件目錄表'!$D$15:$R$1094,2,FALSE),"-")</f>
        <v>-</v>
      </c>
      <c r="D450" s="8" t="str">
        <f>IFERROR(VLOOKUP($B450,'(勿動)組件目錄表'!$D$15:$R$1094,3,FALSE),"-")</f>
        <v>-</v>
      </c>
      <c r="E450" s="9" t="str">
        <f>IFERROR(VLOOKUP($B450,'(勿動)組件目錄表'!$D$15:$R$1094,4,FALSE),"-")</f>
        <v>-</v>
      </c>
      <c r="F450" s="10" t="str">
        <f>IFERROR(VLOOKUP($B450,'(勿動)組件目錄表'!$D$15:$R$1094,5,FALSE),"-")</f>
        <v>-</v>
      </c>
      <c r="G450" s="11" t="str">
        <f>IFERROR(VLOOKUP($B450,'(勿動)組件目錄表'!$D$15:$R$1094,8,FALSE),"-")</f>
        <v>-</v>
      </c>
      <c r="H450" s="11" t="str">
        <f>IFERROR(VLOOKUP($B450,'(勿動)組件目錄表'!$D$15:$R$1094,9,FALSE),"-")</f>
        <v>-</v>
      </c>
      <c r="I450" s="11" t="str">
        <f>IFERROR(VLOOKUP($B450,'(勿動)組件目錄表'!$D$15:$R$1094,10,FALSE),"-")</f>
        <v>-</v>
      </c>
      <c r="J450" s="11" t="str">
        <f>IFERROR(VLOOKUP($B450,'(勿動)組件目錄表'!$D$15:$R$1094,11,FALSE),"-")</f>
        <v>-</v>
      </c>
      <c r="K450" s="11" t="str">
        <f>IFERROR(VLOOKUP($B450,'(勿動)組件目錄表'!$D$15:$R$1094,12,FALSE),"-")</f>
        <v>-</v>
      </c>
      <c r="L450" s="11" t="str">
        <f>IFERROR(VLOOKUP($B450,'(勿動)組件目錄表'!$D$15:$R$1094,13,FALSE),"-")</f>
        <v>-</v>
      </c>
      <c r="M450" s="11" t="str">
        <f>IFERROR(VLOOKUP($B450,'(勿動)組件目錄表'!$D$15:$R$1094,14,FALSE),"-")</f>
        <v>-</v>
      </c>
      <c r="N450" s="15">
        <f t="shared" si="2"/>
        <v>0</v>
      </c>
      <c r="O450" s="16"/>
    </row>
    <row r="451" spans="1:15" ht="15.75" customHeight="1">
      <c r="A451" s="18"/>
      <c r="B451" s="7"/>
      <c r="C451" s="8" t="str">
        <f>IFERROR(VLOOKUP($B451,'(勿動)組件目錄表'!$D$15:$R$1094,2,FALSE),"-")</f>
        <v>-</v>
      </c>
      <c r="D451" s="8" t="str">
        <f>IFERROR(VLOOKUP($B451,'(勿動)組件目錄表'!$D$15:$R$1094,3,FALSE),"-")</f>
        <v>-</v>
      </c>
      <c r="E451" s="9" t="str">
        <f>IFERROR(VLOOKUP($B451,'(勿動)組件目錄表'!$D$15:$R$1094,4,FALSE),"-")</f>
        <v>-</v>
      </c>
      <c r="F451" s="10" t="str">
        <f>IFERROR(VLOOKUP($B451,'(勿動)組件目錄表'!$D$15:$R$1094,5,FALSE),"-")</f>
        <v>-</v>
      </c>
      <c r="G451" s="11" t="str">
        <f>IFERROR(VLOOKUP($B451,'(勿動)組件目錄表'!$D$15:$R$1094,8,FALSE),"-")</f>
        <v>-</v>
      </c>
      <c r="H451" s="11" t="str">
        <f>IFERROR(VLOOKUP($B451,'(勿動)組件目錄表'!$D$15:$R$1094,9,FALSE),"-")</f>
        <v>-</v>
      </c>
      <c r="I451" s="11" t="str">
        <f>IFERROR(VLOOKUP($B451,'(勿動)組件目錄表'!$D$15:$R$1094,10,FALSE),"-")</f>
        <v>-</v>
      </c>
      <c r="J451" s="11" t="str">
        <f>IFERROR(VLOOKUP($B451,'(勿動)組件目錄表'!$D$15:$R$1094,11,FALSE),"-")</f>
        <v>-</v>
      </c>
      <c r="K451" s="11" t="str">
        <f>IFERROR(VLOOKUP($B451,'(勿動)組件目錄表'!$D$15:$R$1094,12,FALSE),"-")</f>
        <v>-</v>
      </c>
      <c r="L451" s="11" t="str">
        <f>IFERROR(VLOOKUP($B451,'(勿動)組件目錄表'!$D$15:$R$1094,13,FALSE),"-")</f>
        <v>-</v>
      </c>
      <c r="M451" s="11" t="str">
        <f>IFERROR(VLOOKUP($B451,'(勿動)組件目錄表'!$D$15:$R$1094,14,FALSE),"-")</f>
        <v>-</v>
      </c>
      <c r="N451" s="15">
        <f t="shared" si="2"/>
        <v>0</v>
      </c>
      <c r="O451" s="16"/>
    </row>
    <row r="452" spans="1:15" ht="15.75" customHeight="1">
      <c r="A452" s="18"/>
      <c r="B452" s="7"/>
      <c r="C452" s="8" t="str">
        <f>IFERROR(VLOOKUP($B452,'(勿動)組件目錄表'!$D$15:$R$1094,2,FALSE),"-")</f>
        <v>-</v>
      </c>
      <c r="D452" s="8" t="str">
        <f>IFERROR(VLOOKUP($B452,'(勿動)組件目錄表'!$D$15:$R$1094,3,FALSE),"-")</f>
        <v>-</v>
      </c>
      <c r="E452" s="9" t="str">
        <f>IFERROR(VLOOKUP($B452,'(勿動)組件目錄表'!$D$15:$R$1094,4,FALSE),"-")</f>
        <v>-</v>
      </c>
      <c r="F452" s="10" t="str">
        <f>IFERROR(VLOOKUP($B452,'(勿動)組件目錄表'!$D$15:$R$1094,5,FALSE),"-")</f>
        <v>-</v>
      </c>
      <c r="G452" s="11" t="str">
        <f>IFERROR(VLOOKUP($B452,'(勿動)組件目錄表'!$D$15:$R$1094,8,FALSE),"-")</f>
        <v>-</v>
      </c>
      <c r="H452" s="11" t="str">
        <f>IFERROR(VLOOKUP($B452,'(勿動)組件目錄表'!$D$15:$R$1094,9,FALSE),"-")</f>
        <v>-</v>
      </c>
      <c r="I452" s="11" t="str">
        <f>IFERROR(VLOOKUP($B452,'(勿動)組件目錄表'!$D$15:$R$1094,10,FALSE),"-")</f>
        <v>-</v>
      </c>
      <c r="J452" s="11" t="str">
        <f>IFERROR(VLOOKUP($B452,'(勿動)組件目錄表'!$D$15:$R$1094,11,FALSE),"-")</f>
        <v>-</v>
      </c>
      <c r="K452" s="11" t="str">
        <f>IFERROR(VLOOKUP($B452,'(勿動)組件目錄表'!$D$15:$R$1094,12,FALSE),"-")</f>
        <v>-</v>
      </c>
      <c r="L452" s="11" t="str">
        <f>IFERROR(VLOOKUP($B452,'(勿動)組件目錄表'!$D$15:$R$1094,13,FALSE),"-")</f>
        <v>-</v>
      </c>
      <c r="M452" s="11" t="str">
        <f>IFERROR(VLOOKUP($B452,'(勿動)組件目錄表'!$D$15:$R$1094,14,FALSE),"-")</f>
        <v>-</v>
      </c>
      <c r="N452" s="15">
        <f t="shared" si="2"/>
        <v>0</v>
      </c>
      <c r="O452" s="16"/>
    </row>
    <row r="453" spans="1:15" ht="15.75" customHeight="1">
      <c r="A453" s="18"/>
      <c r="B453" s="7"/>
      <c r="C453" s="8" t="str">
        <f>IFERROR(VLOOKUP($B453,'(勿動)組件目錄表'!$D$15:$R$1094,2,FALSE),"-")</f>
        <v>-</v>
      </c>
      <c r="D453" s="8" t="str">
        <f>IFERROR(VLOOKUP($B453,'(勿動)組件目錄表'!$D$15:$R$1094,3,FALSE),"-")</f>
        <v>-</v>
      </c>
      <c r="E453" s="9" t="str">
        <f>IFERROR(VLOOKUP($B453,'(勿動)組件目錄表'!$D$15:$R$1094,4,FALSE),"-")</f>
        <v>-</v>
      </c>
      <c r="F453" s="10" t="str">
        <f>IFERROR(VLOOKUP($B453,'(勿動)組件目錄表'!$D$15:$R$1094,5,FALSE),"-")</f>
        <v>-</v>
      </c>
      <c r="G453" s="11" t="str">
        <f>IFERROR(VLOOKUP($B453,'(勿動)組件目錄表'!$D$15:$R$1094,8,FALSE),"-")</f>
        <v>-</v>
      </c>
      <c r="H453" s="11" t="str">
        <f>IFERROR(VLOOKUP($B453,'(勿動)組件目錄表'!$D$15:$R$1094,9,FALSE),"-")</f>
        <v>-</v>
      </c>
      <c r="I453" s="11" t="str">
        <f>IFERROR(VLOOKUP($B453,'(勿動)組件目錄表'!$D$15:$R$1094,10,FALSE),"-")</f>
        <v>-</v>
      </c>
      <c r="J453" s="11" t="str">
        <f>IFERROR(VLOOKUP($B453,'(勿動)組件目錄表'!$D$15:$R$1094,11,FALSE),"-")</f>
        <v>-</v>
      </c>
      <c r="K453" s="11" t="str">
        <f>IFERROR(VLOOKUP($B453,'(勿動)組件目錄表'!$D$15:$R$1094,12,FALSE),"-")</f>
        <v>-</v>
      </c>
      <c r="L453" s="11" t="str">
        <f>IFERROR(VLOOKUP($B453,'(勿動)組件目錄表'!$D$15:$R$1094,13,FALSE),"-")</f>
        <v>-</v>
      </c>
      <c r="M453" s="11" t="str">
        <f>IFERROR(VLOOKUP($B453,'(勿動)組件目錄表'!$D$15:$R$1094,14,FALSE),"-")</f>
        <v>-</v>
      </c>
      <c r="N453" s="15">
        <f t="shared" si="2"/>
        <v>0</v>
      </c>
      <c r="O453" s="16"/>
    </row>
    <row r="454" spans="1:15" ht="15.75" customHeight="1">
      <c r="A454" s="18"/>
      <c r="B454" s="7"/>
      <c r="C454" s="8" t="str">
        <f>IFERROR(VLOOKUP($B454,'(勿動)組件目錄表'!$D$15:$R$1094,2,FALSE),"-")</f>
        <v>-</v>
      </c>
      <c r="D454" s="8" t="str">
        <f>IFERROR(VLOOKUP($B454,'(勿動)組件目錄表'!$D$15:$R$1094,3,FALSE),"-")</f>
        <v>-</v>
      </c>
      <c r="E454" s="9" t="str">
        <f>IFERROR(VLOOKUP($B454,'(勿動)組件目錄表'!$D$15:$R$1094,4,FALSE),"-")</f>
        <v>-</v>
      </c>
      <c r="F454" s="10" t="str">
        <f>IFERROR(VLOOKUP($B454,'(勿動)組件目錄表'!$D$15:$R$1094,5,FALSE),"-")</f>
        <v>-</v>
      </c>
      <c r="G454" s="11" t="str">
        <f>IFERROR(VLOOKUP($B454,'(勿動)組件目錄表'!$D$15:$R$1094,8,FALSE),"-")</f>
        <v>-</v>
      </c>
      <c r="H454" s="11" t="str">
        <f>IFERROR(VLOOKUP($B454,'(勿動)組件目錄表'!$D$15:$R$1094,9,FALSE),"-")</f>
        <v>-</v>
      </c>
      <c r="I454" s="11" t="str">
        <f>IFERROR(VLOOKUP($B454,'(勿動)組件目錄表'!$D$15:$R$1094,10,FALSE),"-")</f>
        <v>-</v>
      </c>
      <c r="J454" s="11" t="str">
        <f>IFERROR(VLOOKUP($B454,'(勿動)組件目錄表'!$D$15:$R$1094,11,FALSE),"-")</f>
        <v>-</v>
      </c>
      <c r="K454" s="11" t="str">
        <f>IFERROR(VLOOKUP($B454,'(勿動)組件目錄表'!$D$15:$R$1094,12,FALSE),"-")</f>
        <v>-</v>
      </c>
      <c r="L454" s="11" t="str">
        <f>IFERROR(VLOOKUP($B454,'(勿動)組件目錄表'!$D$15:$R$1094,13,FALSE),"-")</f>
        <v>-</v>
      </c>
      <c r="M454" s="11" t="str">
        <f>IFERROR(VLOOKUP($B454,'(勿動)組件目錄表'!$D$15:$R$1094,14,FALSE),"-")</f>
        <v>-</v>
      </c>
      <c r="N454" s="15">
        <f t="shared" si="2"/>
        <v>0</v>
      </c>
      <c r="O454" s="16"/>
    </row>
    <row r="455" spans="1:15" ht="15.75" customHeight="1">
      <c r="A455" s="18"/>
      <c r="B455" s="7"/>
      <c r="C455" s="8" t="str">
        <f>IFERROR(VLOOKUP($B455,'(勿動)組件目錄表'!$D$15:$R$1094,2,FALSE),"-")</f>
        <v>-</v>
      </c>
      <c r="D455" s="8" t="str">
        <f>IFERROR(VLOOKUP($B455,'(勿動)組件目錄表'!$D$15:$R$1094,3,FALSE),"-")</f>
        <v>-</v>
      </c>
      <c r="E455" s="9" t="str">
        <f>IFERROR(VLOOKUP($B455,'(勿動)組件目錄表'!$D$15:$R$1094,4,FALSE),"-")</f>
        <v>-</v>
      </c>
      <c r="F455" s="10" t="str">
        <f>IFERROR(VLOOKUP($B455,'(勿動)組件目錄表'!$D$15:$R$1094,5,FALSE),"-")</f>
        <v>-</v>
      </c>
      <c r="G455" s="11" t="str">
        <f>IFERROR(VLOOKUP($B455,'(勿動)組件目錄表'!$D$15:$R$1094,8,FALSE),"-")</f>
        <v>-</v>
      </c>
      <c r="H455" s="11" t="str">
        <f>IFERROR(VLOOKUP($B455,'(勿動)組件目錄表'!$D$15:$R$1094,9,FALSE),"-")</f>
        <v>-</v>
      </c>
      <c r="I455" s="11" t="str">
        <f>IFERROR(VLOOKUP($B455,'(勿動)組件目錄表'!$D$15:$R$1094,10,FALSE),"-")</f>
        <v>-</v>
      </c>
      <c r="J455" s="11" t="str">
        <f>IFERROR(VLOOKUP($B455,'(勿動)組件目錄表'!$D$15:$R$1094,11,FALSE),"-")</f>
        <v>-</v>
      </c>
      <c r="K455" s="11" t="str">
        <f>IFERROR(VLOOKUP($B455,'(勿動)組件目錄表'!$D$15:$R$1094,12,FALSE),"-")</f>
        <v>-</v>
      </c>
      <c r="L455" s="11" t="str">
        <f>IFERROR(VLOOKUP($B455,'(勿動)組件目錄表'!$D$15:$R$1094,13,FALSE),"-")</f>
        <v>-</v>
      </c>
      <c r="M455" s="11" t="str">
        <f>IFERROR(VLOOKUP($B455,'(勿動)組件目錄表'!$D$15:$R$1094,14,FALSE),"-")</f>
        <v>-</v>
      </c>
      <c r="N455" s="15">
        <f t="shared" si="2"/>
        <v>0</v>
      </c>
      <c r="O455" s="16"/>
    </row>
    <row r="456" spans="1:15" ht="15.75" customHeight="1">
      <c r="A456" s="18"/>
      <c r="B456" s="7"/>
      <c r="C456" s="8" t="str">
        <f>IFERROR(VLOOKUP($B456,'(勿動)組件目錄表'!$D$15:$R$1094,2,FALSE),"-")</f>
        <v>-</v>
      </c>
      <c r="D456" s="8" t="str">
        <f>IFERROR(VLOOKUP($B456,'(勿動)組件目錄表'!$D$15:$R$1094,3,FALSE),"-")</f>
        <v>-</v>
      </c>
      <c r="E456" s="9" t="str">
        <f>IFERROR(VLOOKUP($B456,'(勿動)組件目錄表'!$D$15:$R$1094,4,FALSE),"-")</f>
        <v>-</v>
      </c>
      <c r="F456" s="10" t="str">
        <f>IFERROR(VLOOKUP($B456,'(勿動)組件目錄表'!$D$15:$R$1094,5,FALSE),"-")</f>
        <v>-</v>
      </c>
      <c r="G456" s="11" t="str">
        <f>IFERROR(VLOOKUP($B456,'(勿動)組件目錄表'!$D$15:$R$1094,8,FALSE),"-")</f>
        <v>-</v>
      </c>
      <c r="H456" s="11" t="str">
        <f>IFERROR(VLOOKUP($B456,'(勿動)組件目錄表'!$D$15:$R$1094,9,FALSE),"-")</f>
        <v>-</v>
      </c>
      <c r="I456" s="11" t="str">
        <f>IFERROR(VLOOKUP($B456,'(勿動)組件目錄表'!$D$15:$R$1094,10,FALSE),"-")</f>
        <v>-</v>
      </c>
      <c r="J456" s="11" t="str">
        <f>IFERROR(VLOOKUP($B456,'(勿動)組件目錄表'!$D$15:$R$1094,11,FALSE),"-")</f>
        <v>-</v>
      </c>
      <c r="K456" s="11" t="str">
        <f>IFERROR(VLOOKUP($B456,'(勿動)組件目錄表'!$D$15:$R$1094,12,FALSE),"-")</f>
        <v>-</v>
      </c>
      <c r="L456" s="11" t="str">
        <f>IFERROR(VLOOKUP($B456,'(勿動)組件目錄表'!$D$15:$R$1094,13,FALSE),"-")</f>
        <v>-</v>
      </c>
      <c r="M456" s="11" t="str">
        <f>IFERROR(VLOOKUP($B456,'(勿動)組件目錄表'!$D$15:$R$1094,14,FALSE),"-")</f>
        <v>-</v>
      </c>
      <c r="N456" s="15">
        <f t="shared" si="2"/>
        <v>0</v>
      </c>
      <c r="O456" s="16"/>
    </row>
    <row r="457" spans="1:15" ht="15.75" customHeight="1">
      <c r="A457" s="18"/>
      <c r="B457" s="7"/>
      <c r="C457" s="8" t="str">
        <f>IFERROR(VLOOKUP($B457,'(勿動)組件目錄表'!$D$15:$R$1094,2,FALSE),"-")</f>
        <v>-</v>
      </c>
      <c r="D457" s="8" t="str">
        <f>IFERROR(VLOOKUP($B457,'(勿動)組件目錄表'!$D$15:$R$1094,3,FALSE),"-")</f>
        <v>-</v>
      </c>
      <c r="E457" s="9" t="str">
        <f>IFERROR(VLOOKUP($B457,'(勿動)組件目錄表'!$D$15:$R$1094,4,FALSE),"-")</f>
        <v>-</v>
      </c>
      <c r="F457" s="10" t="str">
        <f>IFERROR(VLOOKUP($B457,'(勿動)組件目錄表'!$D$15:$R$1094,5,FALSE),"-")</f>
        <v>-</v>
      </c>
      <c r="G457" s="11" t="str">
        <f>IFERROR(VLOOKUP($B457,'(勿動)組件目錄表'!$D$15:$R$1094,8,FALSE),"-")</f>
        <v>-</v>
      </c>
      <c r="H457" s="11" t="str">
        <f>IFERROR(VLOOKUP($B457,'(勿動)組件目錄表'!$D$15:$R$1094,9,FALSE),"-")</f>
        <v>-</v>
      </c>
      <c r="I457" s="11" t="str">
        <f>IFERROR(VLOOKUP($B457,'(勿動)組件目錄表'!$D$15:$R$1094,10,FALSE),"-")</f>
        <v>-</v>
      </c>
      <c r="J457" s="11" t="str">
        <f>IFERROR(VLOOKUP($B457,'(勿動)組件目錄表'!$D$15:$R$1094,11,FALSE),"-")</f>
        <v>-</v>
      </c>
      <c r="K457" s="11" t="str">
        <f>IFERROR(VLOOKUP($B457,'(勿動)組件目錄表'!$D$15:$R$1094,12,FALSE),"-")</f>
        <v>-</v>
      </c>
      <c r="L457" s="11" t="str">
        <f>IFERROR(VLOOKUP($B457,'(勿動)組件目錄表'!$D$15:$R$1094,13,FALSE),"-")</f>
        <v>-</v>
      </c>
      <c r="M457" s="11" t="str">
        <f>IFERROR(VLOOKUP($B457,'(勿動)組件目錄表'!$D$15:$R$1094,14,FALSE),"-")</f>
        <v>-</v>
      </c>
      <c r="N457" s="15">
        <f t="shared" si="2"/>
        <v>0</v>
      </c>
      <c r="O457" s="16"/>
    </row>
    <row r="458" spans="1:15" ht="15.75" customHeight="1">
      <c r="A458" s="18"/>
      <c r="B458" s="7"/>
      <c r="C458" s="8" t="str">
        <f>IFERROR(VLOOKUP($B458,'(勿動)組件目錄表'!$D$15:$R$1094,2,FALSE),"-")</f>
        <v>-</v>
      </c>
      <c r="D458" s="8" t="str">
        <f>IFERROR(VLOOKUP($B458,'(勿動)組件目錄表'!$D$15:$R$1094,3,FALSE),"-")</f>
        <v>-</v>
      </c>
      <c r="E458" s="9" t="str">
        <f>IFERROR(VLOOKUP($B458,'(勿動)組件目錄表'!$D$15:$R$1094,4,FALSE),"-")</f>
        <v>-</v>
      </c>
      <c r="F458" s="10" t="str">
        <f>IFERROR(VLOOKUP($B458,'(勿動)組件目錄表'!$D$15:$R$1094,5,FALSE),"-")</f>
        <v>-</v>
      </c>
      <c r="G458" s="11" t="str">
        <f>IFERROR(VLOOKUP($B458,'(勿動)組件目錄表'!$D$15:$R$1094,8,FALSE),"-")</f>
        <v>-</v>
      </c>
      <c r="H458" s="11" t="str">
        <f>IFERROR(VLOOKUP($B458,'(勿動)組件目錄表'!$D$15:$R$1094,9,FALSE),"-")</f>
        <v>-</v>
      </c>
      <c r="I458" s="11" t="str">
        <f>IFERROR(VLOOKUP($B458,'(勿動)組件目錄表'!$D$15:$R$1094,10,FALSE),"-")</f>
        <v>-</v>
      </c>
      <c r="J458" s="11" t="str">
        <f>IFERROR(VLOOKUP($B458,'(勿動)組件目錄表'!$D$15:$R$1094,11,FALSE),"-")</f>
        <v>-</v>
      </c>
      <c r="K458" s="11" t="str">
        <f>IFERROR(VLOOKUP($B458,'(勿動)組件目錄表'!$D$15:$R$1094,12,FALSE),"-")</f>
        <v>-</v>
      </c>
      <c r="L458" s="11" t="str">
        <f>IFERROR(VLOOKUP($B458,'(勿動)組件目錄表'!$D$15:$R$1094,13,FALSE),"-")</f>
        <v>-</v>
      </c>
      <c r="M458" s="11" t="str">
        <f>IFERROR(VLOOKUP($B458,'(勿動)組件目錄表'!$D$15:$R$1094,14,FALSE),"-")</f>
        <v>-</v>
      </c>
      <c r="N458" s="15">
        <f t="shared" si="2"/>
        <v>0</v>
      </c>
      <c r="O458" s="16"/>
    </row>
    <row r="459" spans="1:15" ht="15.75" customHeight="1">
      <c r="A459" s="18"/>
      <c r="B459" s="7"/>
      <c r="C459" s="8" t="str">
        <f>IFERROR(VLOOKUP($B459,'(勿動)組件目錄表'!$D$15:$R$1094,2,FALSE),"-")</f>
        <v>-</v>
      </c>
      <c r="D459" s="8" t="str">
        <f>IFERROR(VLOOKUP($B459,'(勿動)組件目錄表'!$D$15:$R$1094,3,FALSE),"-")</f>
        <v>-</v>
      </c>
      <c r="E459" s="9" t="str">
        <f>IFERROR(VLOOKUP($B459,'(勿動)組件目錄表'!$D$15:$R$1094,4,FALSE),"-")</f>
        <v>-</v>
      </c>
      <c r="F459" s="10" t="str">
        <f>IFERROR(VLOOKUP($B459,'(勿動)組件目錄表'!$D$15:$R$1094,5,FALSE),"-")</f>
        <v>-</v>
      </c>
      <c r="G459" s="11" t="str">
        <f>IFERROR(VLOOKUP($B459,'(勿動)組件目錄表'!$D$15:$R$1094,8,FALSE),"-")</f>
        <v>-</v>
      </c>
      <c r="H459" s="11" t="str">
        <f>IFERROR(VLOOKUP($B459,'(勿動)組件目錄表'!$D$15:$R$1094,9,FALSE),"-")</f>
        <v>-</v>
      </c>
      <c r="I459" s="11" t="str">
        <f>IFERROR(VLOOKUP($B459,'(勿動)組件目錄表'!$D$15:$R$1094,10,FALSE),"-")</f>
        <v>-</v>
      </c>
      <c r="J459" s="11" t="str">
        <f>IFERROR(VLOOKUP($B459,'(勿動)組件目錄表'!$D$15:$R$1094,11,FALSE),"-")</f>
        <v>-</v>
      </c>
      <c r="K459" s="11" t="str">
        <f>IFERROR(VLOOKUP($B459,'(勿動)組件目錄表'!$D$15:$R$1094,12,FALSE),"-")</f>
        <v>-</v>
      </c>
      <c r="L459" s="11" t="str">
        <f>IFERROR(VLOOKUP($B459,'(勿動)組件目錄表'!$D$15:$R$1094,13,FALSE),"-")</f>
        <v>-</v>
      </c>
      <c r="M459" s="11" t="str">
        <f>IFERROR(VLOOKUP($B459,'(勿動)組件目錄表'!$D$15:$R$1094,14,FALSE),"-")</f>
        <v>-</v>
      </c>
      <c r="N459" s="15">
        <f t="shared" si="2"/>
        <v>0</v>
      </c>
      <c r="O459" s="16"/>
    </row>
    <row r="460" spans="1:15" ht="15.75" customHeight="1">
      <c r="A460" s="18"/>
      <c r="B460" s="7"/>
      <c r="C460" s="8" t="str">
        <f>IFERROR(VLOOKUP($B460,'(勿動)組件目錄表'!$D$15:$R$1094,2,FALSE),"-")</f>
        <v>-</v>
      </c>
      <c r="D460" s="8" t="str">
        <f>IFERROR(VLOOKUP($B460,'(勿動)組件目錄表'!$D$15:$R$1094,3,FALSE),"-")</f>
        <v>-</v>
      </c>
      <c r="E460" s="9" t="str">
        <f>IFERROR(VLOOKUP($B460,'(勿動)組件目錄表'!$D$15:$R$1094,4,FALSE),"-")</f>
        <v>-</v>
      </c>
      <c r="F460" s="10" t="str">
        <f>IFERROR(VLOOKUP($B460,'(勿動)組件目錄表'!$D$15:$R$1094,5,FALSE),"-")</f>
        <v>-</v>
      </c>
      <c r="G460" s="11" t="str">
        <f>IFERROR(VLOOKUP($B460,'(勿動)組件目錄表'!$D$15:$R$1094,8,FALSE),"-")</f>
        <v>-</v>
      </c>
      <c r="H460" s="11" t="str">
        <f>IFERROR(VLOOKUP($B460,'(勿動)組件目錄表'!$D$15:$R$1094,9,FALSE),"-")</f>
        <v>-</v>
      </c>
      <c r="I460" s="11" t="str">
        <f>IFERROR(VLOOKUP($B460,'(勿動)組件目錄表'!$D$15:$R$1094,10,FALSE),"-")</f>
        <v>-</v>
      </c>
      <c r="J460" s="11" t="str">
        <f>IFERROR(VLOOKUP($B460,'(勿動)組件目錄表'!$D$15:$R$1094,11,FALSE),"-")</f>
        <v>-</v>
      </c>
      <c r="K460" s="11" t="str">
        <f>IFERROR(VLOOKUP($B460,'(勿動)組件目錄表'!$D$15:$R$1094,12,FALSE),"-")</f>
        <v>-</v>
      </c>
      <c r="L460" s="11" t="str">
        <f>IFERROR(VLOOKUP($B460,'(勿動)組件目錄表'!$D$15:$R$1094,13,FALSE),"-")</f>
        <v>-</v>
      </c>
      <c r="M460" s="11" t="str">
        <f>IFERROR(VLOOKUP($B460,'(勿動)組件目錄表'!$D$15:$R$1094,14,FALSE),"-")</f>
        <v>-</v>
      </c>
      <c r="N460" s="15">
        <f t="shared" si="2"/>
        <v>0</v>
      </c>
      <c r="O460" s="16"/>
    </row>
    <row r="461" spans="1:15" ht="15.75" customHeight="1">
      <c r="A461" s="18"/>
      <c r="B461" s="7"/>
      <c r="C461" s="8" t="str">
        <f>IFERROR(VLOOKUP($B461,'(勿動)組件目錄表'!$D$15:$R$1094,2,FALSE),"-")</f>
        <v>-</v>
      </c>
      <c r="D461" s="8" t="str">
        <f>IFERROR(VLOOKUP($B461,'(勿動)組件目錄表'!$D$15:$R$1094,3,FALSE),"-")</f>
        <v>-</v>
      </c>
      <c r="E461" s="9" t="str">
        <f>IFERROR(VLOOKUP($B461,'(勿動)組件目錄表'!$D$15:$R$1094,4,FALSE),"-")</f>
        <v>-</v>
      </c>
      <c r="F461" s="10" t="str">
        <f>IFERROR(VLOOKUP($B461,'(勿動)組件目錄表'!$D$15:$R$1094,5,FALSE),"-")</f>
        <v>-</v>
      </c>
      <c r="G461" s="11" t="str">
        <f>IFERROR(VLOOKUP($B461,'(勿動)組件目錄表'!$D$15:$R$1094,8,FALSE),"-")</f>
        <v>-</v>
      </c>
      <c r="H461" s="11" t="str">
        <f>IFERROR(VLOOKUP($B461,'(勿動)組件目錄表'!$D$15:$R$1094,9,FALSE),"-")</f>
        <v>-</v>
      </c>
      <c r="I461" s="11" t="str">
        <f>IFERROR(VLOOKUP($B461,'(勿動)組件目錄表'!$D$15:$R$1094,10,FALSE),"-")</f>
        <v>-</v>
      </c>
      <c r="J461" s="11" t="str">
        <f>IFERROR(VLOOKUP($B461,'(勿動)組件目錄表'!$D$15:$R$1094,11,FALSE),"-")</f>
        <v>-</v>
      </c>
      <c r="K461" s="11" t="str">
        <f>IFERROR(VLOOKUP($B461,'(勿動)組件目錄表'!$D$15:$R$1094,12,FALSE),"-")</f>
        <v>-</v>
      </c>
      <c r="L461" s="11" t="str">
        <f>IFERROR(VLOOKUP($B461,'(勿動)組件目錄表'!$D$15:$R$1094,13,FALSE),"-")</f>
        <v>-</v>
      </c>
      <c r="M461" s="11" t="str">
        <f>IFERROR(VLOOKUP($B461,'(勿動)組件目錄表'!$D$15:$R$1094,14,FALSE),"-")</f>
        <v>-</v>
      </c>
      <c r="N461" s="15">
        <f t="shared" si="2"/>
        <v>0</v>
      </c>
      <c r="O461" s="16"/>
    </row>
    <row r="462" spans="1:15" ht="15.75" customHeight="1">
      <c r="A462" s="18"/>
      <c r="B462" s="7"/>
      <c r="C462" s="8" t="str">
        <f>IFERROR(VLOOKUP($B462,'(勿動)組件目錄表'!$D$15:$R$1094,2,FALSE),"-")</f>
        <v>-</v>
      </c>
      <c r="D462" s="8" t="str">
        <f>IFERROR(VLOOKUP($B462,'(勿動)組件目錄表'!$D$15:$R$1094,3,FALSE),"-")</f>
        <v>-</v>
      </c>
      <c r="E462" s="9" t="str">
        <f>IFERROR(VLOOKUP($B462,'(勿動)組件目錄表'!$D$15:$R$1094,4,FALSE),"-")</f>
        <v>-</v>
      </c>
      <c r="F462" s="10" t="str">
        <f>IFERROR(VLOOKUP($B462,'(勿動)組件目錄表'!$D$15:$R$1094,5,FALSE),"-")</f>
        <v>-</v>
      </c>
      <c r="G462" s="11" t="str">
        <f>IFERROR(VLOOKUP($B462,'(勿動)組件目錄表'!$D$15:$R$1094,8,FALSE),"-")</f>
        <v>-</v>
      </c>
      <c r="H462" s="11" t="str">
        <f>IFERROR(VLOOKUP($B462,'(勿動)組件目錄表'!$D$15:$R$1094,9,FALSE),"-")</f>
        <v>-</v>
      </c>
      <c r="I462" s="11" t="str">
        <f>IFERROR(VLOOKUP($B462,'(勿動)組件目錄表'!$D$15:$R$1094,10,FALSE),"-")</f>
        <v>-</v>
      </c>
      <c r="J462" s="11" t="str">
        <f>IFERROR(VLOOKUP($B462,'(勿動)組件目錄表'!$D$15:$R$1094,11,FALSE),"-")</f>
        <v>-</v>
      </c>
      <c r="K462" s="11" t="str">
        <f>IFERROR(VLOOKUP($B462,'(勿動)組件目錄表'!$D$15:$R$1094,12,FALSE),"-")</f>
        <v>-</v>
      </c>
      <c r="L462" s="11" t="str">
        <f>IFERROR(VLOOKUP($B462,'(勿動)組件目錄表'!$D$15:$R$1094,13,FALSE),"-")</f>
        <v>-</v>
      </c>
      <c r="M462" s="11" t="str">
        <f>IFERROR(VLOOKUP($B462,'(勿動)組件目錄表'!$D$15:$R$1094,14,FALSE),"-")</f>
        <v>-</v>
      </c>
      <c r="N462" s="15">
        <f t="shared" si="2"/>
        <v>0</v>
      </c>
      <c r="O462" s="16"/>
    </row>
    <row r="463" spans="1:15" ht="15.75" customHeight="1">
      <c r="A463" s="18"/>
      <c r="B463" s="7"/>
      <c r="C463" s="8" t="str">
        <f>IFERROR(VLOOKUP($B463,'(勿動)組件目錄表'!$D$15:$R$1094,2,FALSE),"-")</f>
        <v>-</v>
      </c>
      <c r="D463" s="8" t="str">
        <f>IFERROR(VLOOKUP($B463,'(勿動)組件目錄表'!$D$15:$R$1094,3,FALSE),"-")</f>
        <v>-</v>
      </c>
      <c r="E463" s="9" t="str">
        <f>IFERROR(VLOOKUP($B463,'(勿動)組件目錄表'!$D$15:$R$1094,4,FALSE),"-")</f>
        <v>-</v>
      </c>
      <c r="F463" s="10" t="str">
        <f>IFERROR(VLOOKUP($B463,'(勿動)組件目錄表'!$D$15:$R$1094,5,FALSE),"-")</f>
        <v>-</v>
      </c>
      <c r="G463" s="11" t="str">
        <f>IFERROR(VLOOKUP($B463,'(勿動)組件目錄表'!$D$15:$R$1094,8,FALSE),"-")</f>
        <v>-</v>
      </c>
      <c r="H463" s="11" t="str">
        <f>IFERROR(VLOOKUP($B463,'(勿動)組件目錄表'!$D$15:$R$1094,9,FALSE),"-")</f>
        <v>-</v>
      </c>
      <c r="I463" s="11" t="str">
        <f>IFERROR(VLOOKUP($B463,'(勿動)組件目錄表'!$D$15:$R$1094,10,FALSE),"-")</f>
        <v>-</v>
      </c>
      <c r="J463" s="11" t="str">
        <f>IFERROR(VLOOKUP($B463,'(勿動)組件目錄表'!$D$15:$R$1094,11,FALSE),"-")</f>
        <v>-</v>
      </c>
      <c r="K463" s="11" t="str">
        <f>IFERROR(VLOOKUP($B463,'(勿動)組件目錄表'!$D$15:$R$1094,12,FALSE),"-")</f>
        <v>-</v>
      </c>
      <c r="L463" s="11" t="str">
        <f>IFERROR(VLOOKUP($B463,'(勿動)組件目錄表'!$D$15:$R$1094,13,FALSE),"-")</f>
        <v>-</v>
      </c>
      <c r="M463" s="11" t="str">
        <f>IFERROR(VLOOKUP($B463,'(勿動)組件目錄表'!$D$15:$R$1094,14,FALSE),"-")</f>
        <v>-</v>
      </c>
      <c r="N463" s="15">
        <f t="shared" si="2"/>
        <v>0</v>
      </c>
      <c r="O463" s="16"/>
    </row>
    <row r="464" spans="1:15" ht="15.75" customHeight="1">
      <c r="A464" s="18"/>
      <c r="B464" s="7"/>
      <c r="C464" s="8" t="str">
        <f>IFERROR(VLOOKUP($B464,'(勿動)組件目錄表'!$D$15:$R$1094,2,FALSE),"-")</f>
        <v>-</v>
      </c>
      <c r="D464" s="8" t="str">
        <f>IFERROR(VLOOKUP($B464,'(勿動)組件目錄表'!$D$15:$R$1094,3,FALSE),"-")</f>
        <v>-</v>
      </c>
      <c r="E464" s="9" t="str">
        <f>IFERROR(VLOOKUP($B464,'(勿動)組件目錄表'!$D$15:$R$1094,4,FALSE),"-")</f>
        <v>-</v>
      </c>
      <c r="F464" s="10" t="str">
        <f>IFERROR(VLOOKUP($B464,'(勿動)組件目錄表'!$D$15:$R$1094,5,FALSE),"-")</f>
        <v>-</v>
      </c>
      <c r="G464" s="11" t="str">
        <f>IFERROR(VLOOKUP($B464,'(勿動)組件目錄表'!$D$15:$R$1094,8,FALSE),"-")</f>
        <v>-</v>
      </c>
      <c r="H464" s="11" t="str">
        <f>IFERROR(VLOOKUP($B464,'(勿動)組件目錄表'!$D$15:$R$1094,9,FALSE),"-")</f>
        <v>-</v>
      </c>
      <c r="I464" s="11" t="str">
        <f>IFERROR(VLOOKUP($B464,'(勿動)組件目錄表'!$D$15:$R$1094,10,FALSE),"-")</f>
        <v>-</v>
      </c>
      <c r="J464" s="11" t="str">
        <f>IFERROR(VLOOKUP($B464,'(勿動)組件目錄表'!$D$15:$R$1094,11,FALSE),"-")</f>
        <v>-</v>
      </c>
      <c r="K464" s="11" t="str">
        <f>IFERROR(VLOOKUP($B464,'(勿動)組件目錄表'!$D$15:$R$1094,12,FALSE),"-")</f>
        <v>-</v>
      </c>
      <c r="L464" s="11" t="str">
        <f>IFERROR(VLOOKUP($B464,'(勿動)組件目錄表'!$D$15:$R$1094,13,FALSE),"-")</f>
        <v>-</v>
      </c>
      <c r="M464" s="11" t="str">
        <f>IFERROR(VLOOKUP($B464,'(勿動)組件目錄表'!$D$15:$R$1094,14,FALSE),"-")</f>
        <v>-</v>
      </c>
      <c r="N464" s="15">
        <f t="shared" si="2"/>
        <v>0</v>
      </c>
      <c r="O464" s="16"/>
    </row>
    <row r="465" spans="1:15" ht="15.75" customHeight="1">
      <c r="A465" s="18"/>
      <c r="B465" s="7"/>
      <c r="C465" s="8" t="str">
        <f>IFERROR(VLOOKUP($B465,'(勿動)組件目錄表'!$D$15:$R$1094,2,FALSE),"-")</f>
        <v>-</v>
      </c>
      <c r="D465" s="8" t="str">
        <f>IFERROR(VLOOKUP($B465,'(勿動)組件目錄表'!$D$15:$R$1094,3,FALSE),"-")</f>
        <v>-</v>
      </c>
      <c r="E465" s="9" t="str">
        <f>IFERROR(VLOOKUP($B465,'(勿動)組件目錄表'!$D$15:$R$1094,4,FALSE),"-")</f>
        <v>-</v>
      </c>
      <c r="F465" s="10" t="str">
        <f>IFERROR(VLOOKUP($B465,'(勿動)組件目錄表'!$D$15:$R$1094,5,FALSE),"-")</f>
        <v>-</v>
      </c>
      <c r="G465" s="11" t="str">
        <f>IFERROR(VLOOKUP($B465,'(勿動)組件目錄表'!$D$15:$R$1094,8,FALSE),"-")</f>
        <v>-</v>
      </c>
      <c r="H465" s="11" t="str">
        <f>IFERROR(VLOOKUP($B465,'(勿動)組件目錄表'!$D$15:$R$1094,9,FALSE),"-")</f>
        <v>-</v>
      </c>
      <c r="I465" s="11" t="str">
        <f>IFERROR(VLOOKUP($B465,'(勿動)組件目錄表'!$D$15:$R$1094,10,FALSE),"-")</f>
        <v>-</v>
      </c>
      <c r="J465" s="11" t="str">
        <f>IFERROR(VLOOKUP($B465,'(勿動)組件目錄表'!$D$15:$R$1094,11,FALSE),"-")</f>
        <v>-</v>
      </c>
      <c r="K465" s="11" t="str">
        <f>IFERROR(VLOOKUP($B465,'(勿動)組件目錄表'!$D$15:$R$1094,12,FALSE),"-")</f>
        <v>-</v>
      </c>
      <c r="L465" s="11" t="str">
        <f>IFERROR(VLOOKUP($B465,'(勿動)組件目錄表'!$D$15:$R$1094,13,FALSE),"-")</f>
        <v>-</v>
      </c>
      <c r="M465" s="11" t="str">
        <f>IFERROR(VLOOKUP($B465,'(勿動)組件目錄表'!$D$15:$R$1094,14,FALSE),"-")</f>
        <v>-</v>
      </c>
      <c r="N465" s="15">
        <f t="shared" si="2"/>
        <v>0</v>
      </c>
      <c r="O465" s="16"/>
    </row>
    <row r="466" spans="1:15" ht="15.75" customHeight="1">
      <c r="A466" s="18"/>
      <c r="B466" s="7"/>
      <c r="C466" s="8" t="str">
        <f>IFERROR(VLOOKUP($B466,'(勿動)組件目錄表'!$D$15:$R$1094,2,FALSE),"-")</f>
        <v>-</v>
      </c>
      <c r="D466" s="8" t="str">
        <f>IFERROR(VLOOKUP($B466,'(勿動)組件目錄表'!$D$15:$R$1094,3,FALSE),"-")</f>
        <v>-</v>
      </c>
      <c r="E466" s="9" t="str">
        <f>IFERROR(VLOOKUP($B466,'(勿動)組件目錄表'!$D$15:$R$1094,4,FALSE),"-")</f>
        <v>-</v>
      </c>
      <c r="F466" s="10" t="str">
        <f>IFERROR(VLOOKUP($B466,'(勿動)組件目錄表'!$D$15:$R$1094,5,FALSE),"-")</f>
        <v>-</v>
      </c>
      <c r="G466" s="11" t="str">
        <f>IFERROR(VLOOKUP($B466,'(勿動)組件目錄表'!$D$15:$R$1094,8,FALSE),"-")</f>
        <v>-</v>
      </c>
      <c r="H466" s="11" t="str">
        <f>IFERROR(VLOOKUP($B466,'(勿動)組件目錄表'!$D$15:$R$1094,9,FALSE),"-")</f>
        <v>-</v>
      </c>
      <c r="I466" s="11" t="str">
        <f>IFERROR(VLOOKUP($B466,'(勿動)組件目錄表'!$D$15:$R$1094,10,FALSE),"-")</f>
        <v>-</v>
      </c>
      <c r="J466" s="11" t="str">
        <f>IFERROR(VLOOKUP($B466,'(勿動)組件目錄表'!$D$15:$R$1094,11,FALSE),"-")</f>
        <v>-</v>
      </c>
      <c r="K466" s="11" t="str">
        <f>IFERROR(VLOOKUP($B466,'(勿動)組件目錄表'!$D$15:$R$1094,12,FALSE),"-")</f>
        <v>-</v>
      </c>
      <c r="L466" s="11" t="str">
        <f>IFERROR(VLOOKUP($B466,'(勿動)組件目錄表'!$D$15:$R$1094,13,FALSE),"-")</f>
        <v>-</v>
      </c>
      <c r="M466" s="11" t="str">
        <f>IFERROR(VLOOKUP($B466,'(勿動)組件目錄表'!$D$15:$R$1094,14,FALSE),"-")</f>
        <v>-</v>
      </c>
      <c r="N466" s="15">
        <f t="shared" si="2"/>
        <v>0</v>
      </c>
      <c r="O466" s="16"/>
    </row>
    <row r="467" spans="1:15" ht="15.75" customHeight="1">
      <c r="A467" s="18"/>
      <c r="B467" s="7"/>
      <c r="C467" s="8" t="str">
        <f>IFERROR(VLOOKUP($B467,'(勿動)組件目錄表'!$D$15:$R$1094,2,FALSE),"-")</f>
        <v>-</v>
      </c>
      <c r="D467" s="8" t="str">
        <f>IFERROR(VLOOKUP($B467,'(勿動)組件目錄表'!$D$15:$R$1094,3,FALSE),"-")</f>
        <v>-</v>
      </c>
      <c r="E467" s="9" t="str">
        <f>IFERROR(VLOOKUP($B467,'(勿動)組件目錄表'!$D$15:$R$1094,4,FALSE),"-")</f>
        <v>-</v>
      </c>
      <c r="F467" s="10" t="str">
        <f>IFERROR(VLOOKUP($B467,'(勿動)組件目錄表'!$D$15:$R$1094,5,FALSE),"-")</f>
        <v>-</v>
      </c>
      <c r="G467" s="11" t="str">
        <f>IFERROR(VLOOKUP($B467,'(勿動)組件目錄表'!$D$15:$R$1094,8,FALSE),"-")</f>
        <v>-</v>
      </c>
      <c r="H467" s="11" t="str">
        <f>IFERROR(VLOOKUP($B467,'(勿動)組件目錄表'!$D$15:$R$1094,9,FALSE),"-")</f>
        <v>-</v>
      </c>
      <c r="I467" s="11" t="str">
        <f>IFERROR(VLOOKUP($B467,'(勿動)組件目錄表'!$D$15:$R$1094,10,FALSE),"-")</f>
        <v>-</v>
      </c>
      <c r="J467" s="11" t="str">
        <f>IFERROR(VLOOKUP($B467,'(勿動)組件目錄表'!$D$15:$R$1094,11,FALSE),"-")</f>
        <v>-</v>
      </c>
      <c r="K467" s="11" t="str">
        <f>IFERROR(VLOOKUP($B467,'(勿動)組件目錄表'!$D$15:$R$1094,12,FALSE),"-")</f>
        <v>-</v>
      </c>
      <c r="L467" s="11" t="str">
        <f>IFERROR(VLOOKUP($B467,'(勿動)組件目錄表'!$D$15:$R$1094,13,FALSE),"-")</f>
        <v>-</v>
      </c>
      <c r="M467" s="11" t="str">
        <f>IFERROR(VLOOKUP($B467,'(勿動)組件目錄表'!$D$15:$R$1094,14,FALSE),"-")</f>
        <v>-</v>
      </c>
      <c r="N467" s="15">
        <f t="shared" si="2"/>
        <v>0</v>
      </c>
      <c r="O467" s="16"/>
    </row>
    <row r="468" spans="1:15" ht="15.75" customHeight="1">
      <c r="A468" s="18"/>
      <c r="B468" s="7"/>
      <c r="C468" s="8" t="str">
        <f>IFERROR(VLOOKUP($B468,'(勿動)組件目錄表'!$D$15:$R$1094,2,FALSE),"-")</f>
        <v>-</v>
      </c>
      <c r="D468" s="8" t="str">
        <f>IFERROR(VLOOKUP($B468,'(勿動)組件目錄表'!$D$15:$R$1094,3,FALSE),"-")</f>
        <v>-</v>
      </c>
      <c r="E468" s="9" t="str">
        <f>IFERROR(VLOOKUP($B468,'(勿動)組件目錄表'!$D$15:$R$1094,4,FALSE),"-")</f>
        <v>-</v>
      </c>
      <c r="F468" s="10" t="str">
        <f>IFERROR(VLOOKUP($B468,'(勿動)組件目錄表'!$D$15:$R$1094,5,FALSE),"-")</f>
        <v>-</v>
      </c>
      <c r="G468" s="11" t="str">
        <f>IFERROR(VLOOKUP($B468,'(勿動)組件目錄表'!$D$15:$R$1094,8,FALSE),"-")</f>
        <v>-</v>
      </c>
      <c r="H468" s="11" t="str">
        <f>IFERROR(VLOOKUP($B468,'(勿動)組件目錄表'!$D$15:$R$1094,9,FALSE),"-")</f>
        <v>-</v>
      </c>
      <c r="I468" s="11" t="str">
        <f>IFERROR(VLOOKUP($B468,'(勿動)組件目錄表'!$D$15:$R$1094,10,FALSE),"-")</f>
        <v>-</v>
      </c>
      <c r="J468" s="11" t="str">
        <f>IFERROR(VLOOKUP($B468,'(勿動)組件目錄表'!$D$15:$R$1094,11,FALSE),"-")</f>
        <v>-</v>
      </c>
      <c r="K468" s="11" t="str">
        <f>IFERROR(VLOOKUP($B468,'(勿動)組件目錄表'!$D$15:$R$1094,12,FALSE),"-")</f>
        <v>-</v>
      </c>
      <c r="L468" s="11" t="str">
        <f>IFERROR(VLOOKUP($B468,'(勿動)組件目錄表'!$D$15:$R$1094,13,FALSE),"-")</f>
        <v>-</v>
      </c>
      <c r="M468" s="11" t="str">
        <f>IFERROR(VLOOKUP($B468,'(勿動)組件目錄表'!$D$15:$R$1094,14,FALSE),"-")</f>
        <v>-</v>
      </c>
      <c r="N468" s="15">
        <f t="shared" si="2"/>
        <v>0</v>
      </c>
      <c r="O468" s="16"/>
    </row>
    <row r="469" spans="1:15" ht="15.75" customHeight="1">
      <c r="A469" s="18"/>
      <c r="B469" s="7"/>
      <c r="C469" s="8" t="str">
        <f>IFERROR(VLOOKUP($B469,'(勿動)組件目錄表'!$D$15:$R$1094,2,FALSE),"-")</f>
        <v>-</v>
      </c>
      <c r="D469" s="8" t="str">
        <f>IFERROR(VLOOKUP($B469,'(勿動)組件目錄表'!$D$15:$R$1094,3,FALSE),"-")</f>
        <v>-</v>
      </c>
      <c r="E469" s="9" t="str">
        <f>IFERROR(VLOOKUP($B469,'(勿動)組件目錄表'!$D$15:$R$1094,4,FALSE),"-")</f>
        <v>-</v>
      </c>
      <c r="F469" s="10" t="str">
        <f>IFERROR(VLOOKUP($B469,'(勿動)組件目錄表'!$D$15:$R$1094,5,FALSE),"-")</f>
        <v>-</v>
      </c>
      <c r="G469" s="11" t="str">
        <f>IFERROR(VLOOKUP($B469,'(勿動)組件目錄表'!$D$15:$R$1094,8,FALSE),"-")</f>
        <v>-</v>
      </c>
      <c r="H469" s="11" t="str">
        <f>IFERROR(VLOOKUP($B469,'(勿動)組件目錄表'!$D$15:$R$1094,9,FALSE),"-")</f>
        <v>-</v>
      </c>
      <c r="I469" s="11" t="str">
        <f>IFERROR(VLOOKUP($B469,'(勿動)組件目錄表'!$D$15:$R$1094,10,FALSE),"-")</f>
        <v>-</v>
      </c>
      <c r="J469" s="11" t="str">
        <f>IFERROR(VLOOKUP($B469,'(勿動)組件目錄表'!$D$15:$R$1094,11,FALSE),"-")</f>
        <v>-</v>
      </c>
      <c r="K469" s="11" t="str">
        <f>IFERROR(VLOOKUP($B469,'(勿動)組件目錄表'!$D$15:$R$1094,12,FALSE),"-")</f>
        <v>-</v>
      </c>
      <c r="L469" s="11" t="str">
        <f>IFERROR(VLOOKUP($B469,'(勿動)組件目錄表'!$D$15:$R$1094,13,FALSE),"-")</f>
        <v>-</v>
      </c>
      <c r="M469" s="11" t="str">
        <f>IFERROR(VLOOKUP($B469,'(勿動)組件目錄表'!$D$15:$R$1094,14,FALSE),"-")</f>
        <v>-</v>
      </c>
      <c r="N469" s="15">
        <f t="shared" si="2"/>
        <v>0</v>
      </c>
      <c r="O469" s="16"/>
    </row>
    <row r="470" spans="1:15" ht="15.75" customHeight="1">
      <c r="A470" s="18"/>
      <c r="B470" s="7"/>
      <c r="C470" s="8" t="str">
        <f>IFERROR(VLOOKUP($B470,'(勿動)組件目錄表'!$D$15:$R$1094,2,FALSE),"-")</f>
        <v>-</v>
      </c>
      <c r="D470" s="8" t="str">
        <f>IFERROR(VLOOKUP($B470,'(勿動)組件目錄表'!$D$15:$R$1094,3,FALSE),"-")</f>
        <v>-</v>
      </c>
      <c r="E470" s="9" t="str">
        <f>IFERROR(VLOOKUP($B470,'(勿動)組件目錄表'!$D$15:$R$1094,4,FALSE),"-")</f>
        <v>-</v>
      </c>
      <c r="F470" s="10" t="str">
        <f>IFERROR(VLOOKUP($B470,'(勿動)組件目錄表'!$D$15:$R$1094,5,FALSE),"-")</f>
        <v>-</v>
      </c>
      <c r="G470" s="11" t="str">
        <f>IFERROR(VLOOKUP($B470,'(勿動)組件目錄表'!$D$15:$R$1094,8,FALSE),"-")</f>
        <v>-</v>
      </c>
      <c r="H470" s="11" t="str">
        <f>IFERROR(VLOOKUP($B470,'(勿動)組件目錄表'!$D$15:$R$1094,9,FALSE),"-")</f>
        <v>-</v>
      </c>
      <c r="I470" s="11" t="str">
        <f>IFERROR(VLOOKUP($B470,'(勿動)組件目錄表'!$D$15:$R$1094,10,FALSE),"-")</f>
        <v>-</v>
      </c>
      <c r="J470" s="11" t="str">
        <f>IFERROR(VLOOKUP($B470,'(勿動)組件目錄表'!$D$15:$R$1094,11,FALSE),"-")</f>
        <v>-</v>
      </c>
      <c r="K470" s="11" t="str">
        <f>IFERROR(VLOOKUP($B470,'(勿動)組件目錄表'!$D$15:$R$1094,12,FALSE),"-")</f>
        <v>-</v>
      </c>
      <c r="L470" s="11" t="str">
        <f>IFERROR(VLOOKUP($B470,'(勿動)組件目錄表'!$D$15:$R$1094,13,FALSE),"-")</f>
        <v>-</v>
      </c>
      <c r="M470" s="11" t="str">
        <f>IFERROR(VLOOKUP($B470,'(勿動)組件目錄表'!$D$15:$R$1094,14,FALSE),"-")</f>
        <v>-</v>
      </c>
      <c r="N470" s="15">
        <f t="shared" si="2"/>
        <v>0</v>
      </c>
      <c r="O470" s="16"/>
    </row>
    <row r="471" spans="1:15" ht="15.75" customHeight="1">
      <c r="A471" s="18"/>
      <c r="B471" s="7"/>
      <c r="C471" s="8" t="str">
        <f>IFERROR(VLOOKUP($B471,'(勿動)組件目錄表'!$D$15:$R$1094,2,FALSE),"-")</f>
        <v>-</v>
      </c>
      <c r="D471" s="8" t="str">
        <f>IFERROR(VLOOKUP($B471,'(勿動)組件目錄表'!$D$15:$R$1094,3,FALSE),"-")</f>
        <v>-</v>
      </c>
      <c r="E471" s="9" t="str">
        <f>IFERROR(VLOOKUP($B471,'(勿動)組件目錄表'!$D$15:$R$1094,4,FALSE),"-")</f>
        <v>-</v>
      </c>
      <c r="F471" s="10" t="str">
        <f>IFERROR(VLOOKUP($B471,'(勿動)組件目錄表'!$D$15:$R$1094,5,FALSE),"-")</f>
        <v>-</v>
      </c>
      <c r="G471" s="11" t="str">
        <f>IFERROR(VLOOKUP($B471,'(勿動)組件目錄表'!$D$15:$R$1094,8,FALSE),"-")</f>
        <v>-</v>
      </c>
      <c r="H471" s="11" t="str">
        <f>IFERROR(VLOOKUP($B471,'(勿動)組件目錄表'!$D$15:$R$1094,9,FALSE),"-")</f>
        <v>-</v>
      </c>
      <c r="I471" s="11" t="str">
        <f>IFERROR(VLOOKUP($B471,'(勿動)組件目錄表'!$D$15:$R$1094,10,FALSE),"-")</f>
        <v>-</v>
      </c>
      <c r="J471" s="11" t="str">
        <f>IFERROR(VLOOKUP($B471,'(勿動)組件目錄表'!$D$15:$R$1094,11,FALSE),"-")</f>
        <v>-</v>
      </c>
      <c r="K471" s="11" t="str">
        <f>IFERROR(VLOOKUP($B471,'(勿動)組件目錄表'!$D$15:$R$1094,12,FALSE),"-")</f>
        <v>-</v>
      </c>
      <c r="L471" s="11" t="str">
        <f>IFERROR(VLOOKUP($B471,'(勿動)組件目錄表'!$D$15:$R$1094,13,FALSE),"-")</f>
        <v>-</v>
      </c>
      <c r="M471" s="11" t="str">
        <f>IFERROR(VLOOKUP($B471,'(勿動)組件目錄表'!$D$15:$R$1094,14,FALSE),"-")</f>
        <v>-</v>
      </c>
      <c r="N471" s="15">
        <f t="shared" si="2"/>
        <v>0</v>
      </c>
      <c r="O471" s="16"/>
    </row>
    <row r="472" spans="1:15" ht="15.75" customHeight="1">
      <c r="A472" s="18"/>
      <c r="B472" s="7"/>
      <c r="C472" s="8" t="str">
        <f>IFERROR(VLOOKUP($B472,'(勿動)組件目錄表'!$D$15:$R$1094,2,FALSE),"-")</f>
        <v>-</v>
      </c>
      <c r="D472" s="8" t="str">
        <f>IFERROR(VLOOKUP($B472,'(勿動)組件目錄表'!$D$15:$R$1094,3,FALSE),"-")</f>
        <v>-</v>
      </c>
      <c r="E472" s="9" t="str">
        <f>IFERROR(VLOOKUP($B472,'(勿動)組件目錄表'!$D$15:$R$1094,4,FALSE),"-")</f>
        <v>-</v>
      </c>
      <c r="F472" s="10" t="str">
        <f>IFERROR(VLOOKUP($B472,'(勿動)組件目錄表'!$D$15:$R$1094,5,FALSE),"-")</f>
        <v>-</v>
      </c>
      <c r="G472" s="11" t="str">
        <f>IFERROR(VLOOKUP($B472,'(勿動)組件目錄表'!$D$15:$R$1094,8,FALSE),"-")</f>
        <v>-</v>
      </c>
      <c r="H472" s="11" t="str">
        <f>IFERROR(VLOOKUP($B472,'(勿動)組件目錄表'!$D$15:$R$1094,9,FALSE),"-")</f>
        <v>-</v>
      </c>
      <c r="I472" s="11" t="str">
        <f>IFERROR(VLOOKUP($B472,'(勿動)組件目錄表'!$D$15:$R$1094,10,FALSE),"-")</f>
        <v>-</v>
      </c>
      <c r="J472" s="11" t="str">
        <f>IFERROR(VLOOKUP($B472,'(勿動)組件目錄表'!$D$15:$R$1094,11,FALSE),"-")</f>
        <v>-</v>
      </c>
      <c r="K472" s="11" t="str">
        <f>IFERROR(VLOOKUP($B472,'(勿動)組件目錄表'!$D$15:$R$1094,12,FALSE),"-")</f>
        <v>-</v>
      </c>
      <c r="L472" s="11" t="str">
        <f>IFERROR(VLOOKUP($B472,'(勿動)組件目錄表'!$D$15:$R$1094,13,FALSE),"-")</f>
        <v>-</v>
      </c>
      <c r="M472" s="11" t="str">
        <f>IFERROR(VLOOKUP($B472,'(勿動)組件目錄表'!$D$15:$R$1094,14,FALSE),"-")</f>
        <v>-</v>
      </c>
      <c r="N472" s="15">
        <f t="shared" si="2"/>
        <v>0</v>
      </c>
      <c r="O472" s="16"/>
    </row>
    <row r="473" spans="1:15" ht="15.75" customHeight="1">
      <c r="A473" s="18"/>
      <c r="B473" s="7"/>
      <c r="C473" s="8" t="str">
        <f>IFERROR(VLOOKUP($B473,'(勿動)組件目錄表'!$D$15:$R$1094,2,FALSE),"-")</f>
        <v>-</v>
      </c>
      <c r="D473" s="8" t="str">
        <f>IFERROR(VLOOKUP($B473,'(勿動)組件目錄表'!$D$15:$R$1094,3,FALSE),"-")</f>
        <v>-</v>
      </c>
      <c r="E473" s="9" t="str">
        <f>IFERROR(VLOOKUP($B473,'(勿動)組件目錄表'!$D$15:$R$1094,4,FALSE),"-")</f>
        <v>-</v>
      </c>
      <c r="F473" s="10" t="str">
        <f>IFERROR(VLOOKUP($B473,'(勿動)組件目錄表'!$D$15:$R$1094,5,FALSE),"-")</f>
        <v>-</v>
      </c>
      <c r="G473" s="11" t="str">
        <f>IFERROR(VLOOKUP($B473,'(勿動)組件目錄表'!$D$15:$R$1094,8,FALSE),"-")</f>
        <v>-</v>
      </c>
      <c r="H473" s="11" t="str">
        <f>IFERROR(VLOOKUP($B473,'(勿動)組件目錄表'!$D$15:$R$1094,9,FALSE),"-")</f>
        <v>-</v>
      </c>
      <c r="I473" s="11" t="str">
        <f>IFERROR(VLOOKUP($B473,'(勿動)組件目錄表'!$D$15:$R$1094,10,FALSE),"-")</f>
        <v>-</v>
      </c>
      <c r="J473" s="11" t="str">
        <f>IFERROR(VLOOKUP($B473,'(勿動)組件目錄表'!$D$15:$R$1094,11,FALSE),"-")</f>
        <v>-</v>
      </c>
      <c r="K473" s="11" t="str">
        <f>IFERROR(VLOOKUP($B473,'(勿動)組件目錄表'!$D$15:$R$1094,12,FALSE),"-")</f>
        <v>-</v>
      </c>
      <c r="L473" s="11" t="str">
        <f>IFERROR(VLOOKUP($B473,'(勿動)組件目錄表'!$D$15:$R$1094,13,FALSE),"-")</f>
        <v>-</v>
      </c>
      <c r="M473" s="11" t="str">
        <f>IFERROR(VLOOKUP($B473,'(勿動)組件目錄表'!$D$15:$R$1094,14,FALSE),"-")</f>
        <v>-</v>
      </c>
      <c r="N473" s="15">
        <f t="shared" si="2"/>
        <v>0</v>
      </c>
      <c r="O473" s="16"/>
    </row>
    <row r="474" spans="1:15" ht="15.75" customHeight="1">
      <c r="A474" s="18"/>
      <c r="B474" s="7"/>
      <c r="C474" s="8" t="str">
        <f>IFERROR(VLOOKUP($B474,'(勿動)組件目錄表'!$D$15:$R$1094,2,FALSE),"-")</f>
        <v>-</v>
      </c>
      <c r="D474" s="8" t="str">
        <f>IFERROR(VLOOKUP($B474,'(勿動)組件目錄表'!$D$15:$R$1094,3,FALSE),"-")</f>
        <v>-</v>
      </c>
      <c r="E474" s="9" t="str">
        <f>IFERROR(VLOOKUP($B474,'(勿動)組件目錄表'!$D$15:$R$1094,4,FALSE),"-")</f>
        <v>-</v>
      </c>
      <c r="F474" s="10" t="str">
        <f>IFERROR(VLOOKUP($B474,'(勿動)組件目錄表'!$D$15:$R$1094,5,FALSE),"-")</f>
        <v>-</v>
      </c>
      <c r="G474" s="11" t="str">
        <f>IFERROR(VLOOKUP($B474,'(勿動)組件目錄表'!$D$15:$R$1094,8,FALSE),"-")</f>
        <v>-</v>
      </c>
      <c r="H474" s="11" t="str">
        <f>IFERROR(VLOOKUP($B474,'(勿動)組件目錄表'!$D$15:$R$1094,9,FALSE),"-")</f>
        <v>-</v>
      </c>
      <c r="I474" s="11" t="str">
        <f>IFERROR(VLOOKUP($B474,'(勿動)組件目錄表'!$D$15:$R$1094,10,FALSE),"-")</f>
        <v>-</v>
      </c>
      <c r="J474" s="11" t="str">
        <f>IFERROR(VLOOKUP($B474,'(勿動)組件目錄表'!$D$15:$R$1094,11,FALSE),"-")</f>
        <v>-</v>
      </c>
      <c r="K474" s="11" t="str">
        <f>IFERROR(VLOOKUP($B474,'(勿動)組件目錄表'!$D$15:$R$1094,12,FALSE),"-")</f>
        <v>-</v>
      </c>
      <c r="L474" s="11" t="str">
        <f>IFERROR(VLOOKUP($B474,'(勿動)組件目錄表'!$D$15:$R$1094,13,FALSE),"-")</f>
        <v>-</v>
      </c>
      <c r="M474" s="11" t="str">
        <f>IFERROR(VLOOKUP($B474,'(勿動)組件目錄表'!$D$15:$R$1094,14,FALSE),"-")</f>
        <v>-</v>
      </c>
      <c r="N474" s="15">
        <f t="shared" si="2"/>
        <v>0</v>
      </c>
      <c r="O474" s="16"/>
    </row>
    <row r="475" spans="1:15" ht="15.75" customHeight="1">
      <c r="A475" s="18"/>
      <c r="B475" s="7"/>
      <c r="C475" s="8" t="str">
        <f>IFERROR(VLOOKUP($B475,'(勿動)組件目錄表'!$D$15:$R$1094,2,FALSE),"-")</f>
        <v>-</v>
      </c>
      <c r="D475" s="8" t="str">
        <f>IFERROR(VLOOKUP($B475,'(勿動)組件目錄表'!$D$15:$R$1094,3,FALSE),"-")</f>
        <v>-</v>
      </c>
      <c r="E475" s="9" t="str">
        <f>IFERROR(VLOOKUP($B475,'(勿動)組件目錄表'!$D$15:$R$1094,4,FALSE),"-")</f>
        <v>-</v>
      </c>
      <c r="F475" s="10" t="str">
        <f>IFERROR(VLOOKUP($B475,'(勿動)組件目錄表'!$D$15:$R$1094,5,FALSE),"-")</f>
        <v>-</v>
      </c>
      <c r="G475" s="11" t="str">
        <f>IFERROR(VLOOKUP($B475,'(勿動)組件目錄表'!$D$15:$R$1094,8,FALSE),"-")</f>
        <v>-</v>
      </c>
      <c r="H475" s="11" t="str">
        <f>IFERROR(VLOOKUP($B475,'(勿動)組件目錄表'!$D$15:$R$1094,9,FALSE),"-")</f>
        <v>-</v>
      </c>
      <c r="I475" s="11" t="str">
        <f>IFERROR(VLOOKUP($B475,'(勿動)組件目錄表'!$D$15:$R$1094,10,FALSE),"-")</f>
        <v>-</v>
      </c>
      <c r="J475" s="11" t="str">
        <f>IFERROR(VLOOKUP($B475,'(勿動)組件目錄表'!$D$15:$R$1094,11,FALSE),"-")</f>
        <v>-</v>
      </c>
      <c r="K475" s="11" t="str">
        <f>IFERROR(VLOOKUP($B475,'(勿動)組件目錄表'!$D$15:$R$1094,12,FALSE),"-")</f>
        <v>-</v>
      </c>
      <c r="L475" s="11" t="str">
        <f>IFERROR(VLOOKUP($B475,'(勿動)組件目錄表'!$D$15:$R$1094,13,FALSE),"-")</f>
        <v>-</v>
      </c>
      <c r="M475" s="11" t="str">
        <f>IFERROR(VLOOKUP($B475,'(勿動)組件目錄表'!$D$15:$R$1094,14,FALSE),"-")</f>
        <v>-</v>
      </c>
      <c r="N475" s="15">
        <f t="shared" si="2"/>
        <v>0</v>
      </c>
      <c r="O475" s="16"/>
    </row>
    <row r="476" spans="1:15" ht="15.75" customHeight="1">
      <c r="A476" s="18"/>
      <c r="B476" s="7"/>
      <c r="C476" s="8" t="str">
        <f>IFERROR(VLOOKUP($B476,'(勿動)組件目錄表'!$D$15:$R$1094,2,FALSE),"-")</f>
        <v>-</v>
      </c>
      <c r="D476" s="8" t="str">
        <f>IFERROR(VLOOKUP($B476,'(勿動)組件目錄表'!$D$15:$R$1094,3,FALSE),"-")</f>
        <v>-</v>
      </c>
      <c r="E476" s="9" t="str">
        <f>IFERROR(VLOOKUP($B476,'(勿動)組件目錄表'!$D$15:$R$1094,4,FALSE),"-")</f>
        <v>-</v>
      </c>
      <c r="F476" s="10" t="str">
        <f>IFERROR(VLOOKUP($B476,'(勿動)組件目錄表'!$D$15:$R$1094,5,FALSE),"-")</f>
        <v>-</v>
      </c>
      <c r="G476" s="11" t="str">
        <f>IFERROR(VLOOKUP($B476,'(勿動)組件目錄表'!$D$15:$R$1094,8,FALSE),"-")</f>
        <v>-</v>
      </c>
      <c r="H476" s="11" t="str">
        <f>IFERROR(VLOOKUP($B476,'(勿動)組件目錄表'!$D$15:$R$1094,9,FALSE),"-")</f>
        <v>-</v>
      </c>
      <c r="I476" s="11" t="str">
        <f>IFERROR(VLOOKUP($B476,'(勿動)組件目錄表'!$D$15:$R$1094,10,FALSE),"-")</f>
        <v>-</v>
      </c>
      <c r="J476" s="11" t="str">
        <f>IFERROR(VLOOKUP($B476,'(勿動)組件目錄表'!$D$15:$R$1094,11,FALSE),"-")</f>
        <v>-</v>
      </c>
      <c r="K476" s="11" t="str">
        <f>IFERROR(VLOOKUP($B476,'(勿動)組件目錄表'!$D$15:$R$1094,12,FALSE),"-")</f>
        <v>-</v>
      </c>
      <c r="L476" s="11" t="str">
        <f>IFERROR(VLOOKUP($B476,'(勿動)組件目錄表'!$D$15:$R$1094,13,FALSE),"-")</f>
        <v>-</v>
      </c>
      <c r="M476" s="11" t="str">
        <f>IFERROR(VLOOKUP($B476,'(勿動)組件目錄表'!$D$15:$R$1094,14,FALSE),"-")</f>
        <v>-</v>
      </c>
      <c r="N476" s="15">
        <f t="shared" si="2"/>
        <v>0</v>
      </c>
      <c r="O476" s="16"/>
    </row>
    <row r="477" spans="1:15" ht="15.75" customHeight="1">
      <c r="A477" s="18"/>
      <c r="B477" s="7"/>
      <c r="C477" s="8" t="str">
        <f>IFERROR(VLOOKUP($B477,'(勿動)組件目錄表'!$D$15:$R$1094,2,FALSE),"-")</f>
        <v>-</v>
      </c>
      <c r="D477" s="8" t="str">
        <f>IFERROR(VLOOKUP($B477,'(勿動)組件目錄表'!$D$15:$R$1094,3,FALSE),"-")</f>
        <v>-</v>
      </c>
      <c r="E477" s="9" t="str">
        <f>IFERROR(VLOOKUP($B477,'(勿動)組件目錄表'!$D$15:$R$1094,4,FALSE),"-")</f>
        <v>-</v>
      </c>
      <c r="F477" s="10" t="str">
        <f>IFERROR(VLOOKUP($B477,'(勿動)組件目錄表'!$D$15:$R$1094,5,FALSE),"-")</f>
        <v>-</v>
      </c>
      <c r="G477" s="11" t="str">
        <f>IFERROR(VLOOKUP($B477,'(勿動)組件目錄表'!$D$15:$R$1094,8,FALSE),"-")</f>
        <v>-</v>
      </c>
      <c r="H477" s="11" t="str">
        <f>IFERROR(VLOOKUP($B477,'(勿動)組件目錄表'!$D$15:$R$1094,9,FALSE),"-")</f>
        <v>-</v>
      </c>
      <c r="I477" s="11" t="str">
        <f>IFERROR(VLOOKUP($B477,'(勿動)組件目錄表'!$D$15:$R$1094,10,FALSE),"-")</f>
        <v>-</v>
      </c>
      <c r="J477" s="11" t="str">
        <f>IFERROR(VLOOKUP($B477,'(勿動)組件目錄表'!$D$15:$R$1094,11,FALSE),"-")</f>
        <v>-</v>
      </c>
      <c r="K477" s="11" t="str">
        <f>IFERROR(VLOOKUP($B477,'(勿動)組件目錄表'!$D$15:$R$1094,12,FALSE),"-")</f>
        <v>-</v>
      </c>
      <c r="L477" s="11" t="str">
        <f>IFERROR(VLOOKUP($B477,'(勿動)組件目錄表'!$D$15:$R$1094,13,FALSE),"-")</f>
        <v>-</v>
      </c>
      <c r="M477" s="11" t="str">
        <f>IFERROR(VLOOKUP($B477,'(勿動)組件目錄表'!$D$15:$R$1094,14,FALSE),"-")</f>
        <v>-</v>
      </c>
      <c r="N477" s="15">
        <f t="shared" si="2"/>
        <v>0</v>
      </c>
      <c r="O477" s="16"/>
    </row>
    <row r="478" spans="1:15" ht="15.75" customHeight="1">
      <c r="A478" s="18"/>
      <c r="B478" s="7"/>
      <c r="C478" s="8" t="str">
        <f>IFERROR(VLOOKUP($B478,'(勿動)組件目錄表'!$D$15:$R$1094,2,FALSE),"-")</f>
        <v>-</v>
      </c>
      <c r="D478" s="8" t="str">
        <f>IFERROR(VLOOKUP($B478,'(勿動)組件目錄表'!$D$15:$R$1094,3,FALSE),"-")</f>
        <v>-</v>
      </c>
      <c r="E478" s="9" t="str">
        <f>IFERROR(VLOOKUP($B478,'(勿動)組件目錄表'!$D$15:$R$1094,4,FALSE),"-")</f>
        <v>-</v>
      </c>
      <c r="F478" s="10" t="str">
        <f>IFERROR(VLOOKUP($B478,'(勿動)組件目錄表'!$D$15:$R$1094,5,FALSE),"-")</f>
        <v>-</v>
      </c>
      <c r="G478" s="11" t="str">
        <f>IFERROR(VLOOKUP($B478,'(勿動)組件目錄表'!$D$15:$R$1094,8,FALSE),"-")</f>
        <v>-</v>
      </c>
      <c r="H478" s="11" t="str">
        <f>IFERROR(VLOOKUP($B478,'(勿動)組件目錄表'!$D$15:$R$1094,9,FALSE),"-")</f>
        <v>-</v>
      </c>
      <c r="I478" s="11" t="str">
        <f>IFERROR(VLOOKUP($B478,'(勿動)組件目錄表'!$D$15:$R$1094,10,FALSE),"-")</f>
        <v>-</v>
      </c>
      <c r="J478" s="11" t="str">
        <f>IFERROR(VLOOKUP($B478,'(勿動)組件目錄表'!$D$15:$R$1094,11,FALSE),"-")</f>
        <v>-</v>
      </c>
      <c r="K478" s="11" t="str">
        <f>IFERROR(VLOOKUP($B478,'(勿動)組件目錄表'!$D$15:$R$1094,12,FALSE),"-")</f>
        <v>-</v>
      </c>
      <c r="L478" s="11" t="str">
        <f>IFERROR(VLOOKUP($B478,'(勿動)組件目錄表'!$D$15:$R$1094,13,FALSE),"-")</f>
        <v>-</v>
      </c>
      <c r="M478" s="11" t="str">
        <f>IFERROR(VLOOKUP($B478,'(勿動)組件目錄表'!$D$15:$R$1094,14,FALSE),"-")</f>
        <v>-</v>
      </c>
      <c r="N478" s="15">
        <f t="shared" si="2"/>
        <v>0</v>
      </c>
      <c r="O478" s="16"/>
    </row>
    <row r="479" spans="1:15" ht="15.75" customHeight="1">
      <c r="A479" s="18"/>
      <c r="B479" s="7"/>
      <c r="C479" s="8" t="str">
        <f>IFERROR(VLOOKUP($B479,'(勿動)組件目錄表'!$D$15:$R$1094,2,FALSE),"-")</f>
        <v>-</v>
      </c>
      <c r="D479" s="8" t="str">
        <f>IFERROR(VLOOKUP($B479,'(勿動)組件目錄表'!$D$15:$R$1094,3,FALSE),"-")</f>
        <v>-</v>
      </c>
      <c r="E479" s="9" t="str">
        <f>IFERROR(VLOOKUP($B479,'(勿動)組件目錄表'!$D$15:$R$1094,4,FALSE),"-")</f>
        <v>-</v>
      </c>
      <c r="F479" s="10" t="str">
        <f>IFERROR(VLOOKUP($B479,'(勿動)組件目錄表'!$D$15:$R$1094,5,FALSE),"-")</f>
        <v>-</v>
      </c>
      <c r="G479" s="11" t="str">
        <f>IFERROR(VLOOKUP($B479,'(勿動)組件目錄表'!$D$15:$R$1094,8,FALSE),"-")</f>
        <v>-</v>
      </c>
      <c r="H479" s="11" t="str">
        <f>IFERROR(VLOOKUP($B479,'(勿動)組件目錄表'!$D$15:$R$1094,9,FALSE),"-")</f>
        <v>-</v>
      </c>
      <c r="I479" s="11" t="str">
        <f>IFERROR(VLOOKUP($B479,'(勿動)組件目錄表'!$D$15:$R$1094,10,FALSE),"-")</f>
        <v>-</v>
      </c>
      <c r="J479" s="11" t="str">
        <f>IFERROR(VLOOKUP($B479,'(勿動)組件目錄表'!$D$15:$R$1094,11,FALSE),"-")</f>
        <v>-</v>
      </c>
      <c r="K479" s="11" t="str">
        <f>IFERROR(VLOOKUP($B479,'(勿動)組件目錄表'!$D$15:$R$1094,12,FALSE),"-")</f>
        <v>-</v>
      </c>
      <c r="L479" s="11" t="str">
        <f>IFERROR(VLOOKUP($B479,'(勿動)組件目錄表'!$D$15:$R$1094,13,FALSE),"-")</f>
        <v>-</v>
      </c>
      <c r="M479" s="11" t="str">
        <f>IFERROR(VLOOKUP($B479,'(勿動)組件目錄表'!$D$15:$R$1094,14,FALSE),"-")</f>
        <v>-</v>
      </c>
      <c r="N479" s="15">
        <f t="shared" si="2"/>
        <v>0</v>
      </c>
      <c r="O479" s="16"/>
    </row>
    <row r="480" spans="1:15" ht="15.75" customHeight="1">
      <c r="A480" s="18"/>
      <c r="B480" s="7"/>
      <c r="C480" s="8" t="str">
        <f>IFERROR(VLOOKUP($B480,'(勿動)組件目錄表'!$D$15:$R$1094,2,FALSE),"-")</f>
        <v>-</v>
      </c>
      <c r="D480" s="8" t="str">
        <f>IFERROR(VLOOKUP($B480,'(勿動)組件目錄表'!$D$15:$R$1094,3,FALSE),"-")</f>
        <v>-</v>
      </c>
      <c r="E480" s="9" t="str">
        <f>IFERROR(VLOOKUP($B480,'(勿動)組件目錄表'!$D$15:$R$1094,4,FALSE),"-")</f>
        <v>-</v>
      </c>
      <c r="F480" s="10" t="str">
        <f>IFERROR(VLOOKUP($B480,'(勿動)組件目錄表'!$D$15:$R$1094,5,FALSE),"-")</f>
        <v>-</v>
      </c>
      <c r="G480" s="11" t="str">
        <f>IFERROR(VLOOKUP($B480,'(勿動)組件目錄表'!$D$15:$R$1094,8,FALSE),"-")</f>
        <v>-</v>
      </c>
      <c r="H480" s="11" t="str">
        <f>IFERROR(VLOOKUP($B480,'(勿動)組件目錄表'!$D$15:$R$1094,9,FALSE),"-")</f>
        <v>-</v>
      </c>
      <c r="I480" s="11" t="str">
        <f>IFERROR(VLOOKUP($B480,'(勿動)組件目錄表'!$D$15:$R$1094,10,FALSE),"-")</f>
        <v>-</v>
      </c>
      <c r="J480" s="11" t="str">
        <f>IFERROR(VLOOKUP($B480,'(勿動)組件目錄表'!$D$15:$R$1094,11,FALSE),"-")</f>
        <v>-</v>
      </c>
      <c r="K480" s="11" t="str">
        <f>IFERROR(VLOOKUP($B480,'(勿動)組件目錄表'!$D$15:$R$1094,12,FALSE),"-")</f>
        <v>-</v>
      </c>
      <c r="L480" s="11" t="str">
        <f>IFERROR(VLOOKUP($B480,'(勿動)組件目錄表'!$D$15:$R$1094,13,FALSE),"-")</f>
        <v>-</v>
      </c>
      <c r="M480" s="11" t="str">
        <f>IFERROR(VLOOKUP($B480,'(勿動)組件目錄表'!$D$15:$R$1094,14,FALSE),"-")</f>
        <v>-</v>
      </c>
      <c r="N480" s="15">
        <f t="shared" si="2"/>
        <v>0</v>
      </c>
      <c r="O480" s="16"/>
    </row>
    <row r="481" spans="1:15" ht="15.75" customHeight="1">
      <c r="A481" s="18"/>
      <c r="B481" s="7"/>
      <c r="C481" s="8" t="str">
        <f>IFERROR(VLOOKUP($B481,'(勿動)組件目錄表'!$D$15:$R$1094,2,FALSE),"-")</f>
        <v>-</v>
      </c>
      <c r="D481" s="8" t="str">
        <f>IFERROR(VLOOKUP($B481,'(勿動)組件目錄表'!$D$15:$R$1094,3,FALSE),"-")</f>
        <v>-</v>
      </c>
      <c r="E481" s="9" t="str">
        <f>IFERROR(VLOOKUP($B481,'(勿動)組件目錄表'!$D$15:$R$1094,4,FALSE),"-")</f>
        <v>-</v>
      </c>
      <c r="F481" s="10" t="str">
        <f>IFERROR(VLOOKUP($B481,'(勿動)組件目錄表'!$D$15:$R$1094,5,FALSE),"-")</f>
        <v>-</v>
      </c>
      <c r="G481" s="11" t="str">
        <f>IFERROR(VLOOKUP($B481,'(勿動)組件目錄表'!$D$15:$R$1094,8,FALSE),"-")</f>
        <v>-</v>
      </c>
      <c r="H481" s="11" t="str">
        <f>IFERROR(VLOOKUP($B481,'(勿動)組件目錄表'!$D$15:$R$1094,9,FALSE),"-")</f>
        <v>-</v>
      </c>
      <c r="I481" s="11" t="str">
        <f>IFERROR(VLOOKUP($B481,'(勿動)組件目錄表'!$D$15:$R$1094,10,FALSE),"-")</f>
        <v>-</v>
      </c>
      <c r="J481" s="11" t="str">
        <f>IFERROR(VLOOKUP($B481,'(勿動)組件目錄表'!$D$15:$R$1094,11,FALSE),"-")</f>
        <v>-</v>
      </c>
      <c r="K481" s="11" t="str">
        <f>IFERROR(VLOOKUP($B481,'(勿動)組件目錄表'!$D$15:$R$1094,12,FALSE),"-")</f>
        <v>-</v>
      </c>
      <c r="L481" s="11" t="str">
        <f>IFERROR(VLOOKUP($B481,'(勿動)組件目錄表'!$D$15:$R$1094,13,FALSE),"-")</f>
        <v>-</v>
      </c>
      <c r="M481" s="11" t="str">
        <f>IFERROR(VLOOKUP($B481,'(勿動)組件目錄表'!$D$15:$R$1094,14,FALSE),"-")</f>
        <v>-</v>
      </c>
      <c r="N481" s="15">
        <f t="shared" si="2"/>
        <v>0</v>
      </c>
      <c r="O481" s="16"/>
    </row>
    <row r="482" spans="1:15" ht="15.75" customHeight="1">
      <c r="A482" s="18"/>
      <c r="B482" s="7"/>
      <c r="C482" s="8" t="str">
        <f>IFERROR(VLOOKUP($B482,'(勿動)組件目錄表'!$D$15:$R$1094,2,FALSE),"-")</f>
        <v>-</v>
      </c>
      <c r="D482" s="8" t="str">
        <f>IFERROR(VLOOKUP($B482,'(勿動)組件目錄表'!$D$15:$R$1094,3,FALSE),"-")</f>
        <v>-</v>
      </c>
      <c r="E482" s="9" t="str">
        <f>IFERROR(VLOOKUP($B482,'(勿動)組件目錄表'!$D$15:$R$1094,4,FALSE),"-")</f>
        <v>-</v>
      </c>
      <c r="F482" s="10" t="str">
        <f>IFERROR(VLOOKUP($B482,'(勿動)組件目錄表'!$D$15:$R$1094,5,FALSE),"-")</f>
        <v>-</v>
      </c>
      <c r="G482" s="11" t="str">
        <f>IFERROR(VLOOKUP($B482,'(勿動)組件目錄表'!$D$15:$R$1094,8,FALSE),"-")</f>
        <v>-</v>
      </c>
      <c r="H482" s="11" t="str">
        <f>IFERROR(VLOOKUP($B482,'(勿動)組件目錄表'!$D$15:$R$1094,9,FALSE),"-")</f>
        <v>-</v>
      </c>
      <c r="I482" s="11" t="str">
        <f>IFERROR(VLOOKUP($B482,'(勿動)組件目錄表'!$D$15:$R$1094,10,FALSE),"-")</f>
        <v>-</v>
      </c>
      <c r="J482" s="11" t="str">
        <f>IFERROR(VLOOKUP($B482,'(勿動)組件目錄表'!$D$15:$R$1094,11,FALSE),"-")</f>
        <v>-</v>
      </c>
      <c r="K482" s="11" t="str">
        <f>IFERROR(VLOOKUP($B482,'(勿動)組件目錄表'!$D$15:$R$1094,12,FALSE),"-")</f>
        <v>-</v>
      </c>
      <c r="L482" s="11" t="str">
        <f>IFERROR(VLOOKUP($B482,'(勿動)組件目錄表'!$D$15:$R$1094,13,FALSE),"-")</f>
        <v>-</v>
      </c>
      <c r="M482" s="11" t="str">
        <f>IFERROR(VLOOKUP($B482,'(勿動)組件目錄表'!$D$15:$R$1094,14,FALSE),"-")</f>
        <v>-</v>
      </c>
      <c r="N482" s="15">
        <f t="shared" si="2"/>
        <v>0</v>
      </c>
      <c r="O482" s="16"/>
    </row>
    <row r="483" spans="1:15" ht="15.75" customHeight="1">
      <c r="A483" s="18"/>
      <c r="B483" s="7"/>
      <c r="C483" s="8" t="str">
        <f>IFERROR(VLOOKUP($B483,'(勿動)組件目錄表'!$D$15:$R$1094,2,FALSE),"-")</f>
        <v>-</v>
      </c>
      <c r="D483" s="8" t="str">
        <f>IFERROR(VLOOKUP($B483,'(勿動)組件目錄表'!$D$15:$R$1094,3,FALSE),"-")</f>
        <v>-</v>
      </c>
      <c r="E483" s="9" t="str">
        <f>IFERROR(VLOOKUP($B483,'(勿動)組件目錄表'!$D$15:$R$1094,4,FALSE),"-")</f>
        <v>-</v>
      </c>
      <c r="F483" s="10" t="str">
        <f>IFERROR(VLOOKUP($B483,'(勿動)組件目錄表'!$D$15:$R$1094,5,FALSE),"-")</f>
        <v>-</v>
      </c>
      <c r="G483" s="11" t="str">
        <f>IFERROR(VLOOKUP($B483,'(勿動)組件目錄表'!$D$15:$R$1094,8,FALSE),"-")</f>
        <v>-</v>
      </c>
      <c r="H483" s="11" t="str">
        <f>IFERROR(VLOOKUP($B483,'(勿動)組件目錄表'!$D$15:$R$1094,9,FALSE),"-")</f>
        <v>-</v>
      </c>
      <c r="I483" s="11" t="str">
        <f>IFERROR(VLOOKUP($B483,'(勿動)組件目錄表'!$D$15:$R$1094,10,FALSE),"-")</f>
        <v>-</v>
      </c>
      <c r="J483" s="11" t="str">
        <f>IFERROR(VLOOKUP($B483,'(勿動)組件目錄表'!$D$15:$R$1094,11,FALSE),"-")</f>
        <v>-</v>
      </c>
      <c r="K483" s="11" t="str">
        <f>IFERROR(VLOOKUP($B483,'(勿動)組件目錄表'!$D$15:$R$1094,12,FALSE),"-")</f>
        <v>-</v>
      </c>
      <c r="L483" s="11" t="str">
        <f>IFERROR(VLOOKUP($B483,'(勿動)組件目錄表'!$D$15:$R$1094,13,FALSE),"-")</f>
        <v>-</v>
      </c>
      <c r="M483" s="11" t="str">
        <f>IFERROR(VLOOKUP($B483,'(勿動)組件目錄表'!$D$15:$R$1094,14,FALSE),"-")</f>
        <v>-</v>
      </c>
      <c r="N483" s="15">
        <f t="shared" si="2"/>
        <v>0</v>
      </c>
      <c r="O483" s="16"/>
    </row>
    <row r="484" spans="1:15" ht="15.75" customHeight="1">
      <c r="A484" s="18"/>
      <c r="B484" s="7"/>
      <c r="C484" s="8" t="str">
        <f>IFERROR(VLOOKUP($B484,'(勿動)組件目錄表'!$D$15:$R$1094,2,FALSE),"-")</f>
        <v>-</v>
      </c>
      <c r="D484" s="8" t="str">
        <f>IFERROR(VLOOKUP($B484,'(勿動)組件目錄表'!$D$15:$R$1094,3,FALSE),"-")</f>
        <v>-</v>
      </c>
      <c r="E484" s="9" t="str">
        <f>IFERROR(VLOOKUP($B484,'(勿動)組件目錄表'!$D$15:$R$1094,4,FALSE),"-")</f>
        <v>-</v>
      </c>
      <c r="F484" s="10" t="str">
        <f>IFERROR(VLOOKUP($B484,'(勿動)組件目錄表'!$D$15:$R$1094,5,FALSE),"-")</f>
        <v>-</v>
      </c>
      <c r="G484" s="11" t="str">
        <f>IFERROR(VLOOKUP($B484,'(勿動)組件目錄表'!$D$15:$R$1094,8,FALSE),"-")</f>
        <v>-</v>
      </c>
      <c r="H484" s="11" t="str">
        <f>IFERROR(VLOOKUP($B484,'(勿動)組件目錄表'!$D$15:$R$1094,9,FALSE),"-")</f>
        <v>-</v>
      </c>
      <c r="I484" s="11" t="str">
        <f>IFERROR(VLOOKUP($B484,'(勿動)組件目錄表'!$D$15:$R$1094,10,FALSE),"-")</f>
        <v>-</v>
      </c>
      <c r="J484" s="11" t="str">
        <f>IFERROR(VLOOKUP($B484,'(勿動)組件目錄表'!$D$15:$R$1094,11,FALSE),"-")</f>
        <v>-</v>
      </c>
      <c r="K484" s="11" t="str">
        <f>IFERROR(VLOOKUP($B484,'(勿動)組件目錄表'!$D$15:$R$1094,12,FALSE),"-")</f>
        <v>-</v>
      </c>
      <c r="L484" s="11" t="str">
        <f>IFERROR(VLOOKUP($B484,'(勿動)組件目錄表'!$D$15:$R$1094,13,FALSE),"-")</f>
        <v>-</v>
      </c>
      <c r="M484" s="11" t="str">
        <f>IFERROR(VLOOKUP($B484,'(勿動)組件目錄表'!$D$15:$R$1094,14,FALSE),"-")</f>
        <v>-</v>
      </c>
      <c r="N484" s="15">
        <f t="shared" si="2"/>
        <v>0</v>
      </c>
      <c r="O484" s="16"/>
    </row>
    <row r="485" spans="1:15" ht="15.75" customHeight="1">
      <c r="A485" s="18"/>
      <c r="B485" s="7"/>
      <c r="C485" s="8" t="str">
        <f>IFERROR(VLOOKUP($B485,'(勿動)組件目錄表'!$D$15:$R$1094,2,FALSE),"-")</f>
        <v>-</v>
      </c>
      <c r="D485" s="8" t="str">
        <f>IFERROR(VLOOKUP($B485,'(勿動)組件目錄表'!$D$15:$R$1094,3,FALSE),"-")</f>
        <v>-</v>
      </c>
      <c r="E485" s="9" t="str">
        <f>IFERROR(VLOOKUP($B485,'(勿動)組件目錄表'!$D$15:$R$1094,4,FALSE),"-")</f>
        <v>-</v>
      </c>
      <c r="F485" s="10" t="str">
        <f>IFERROR(VLOOKUP($B485,'(勿動)組件目錄表'!$D$15:$R$1094,5,FALSE),"-")</f>
        <v>-</v>
      </c>
      <c r="G485" s="11" t="str">
        <f>IFERROR(VLOOKUP($B485,'(勿動)組件目錄表'!$D$15:$R$1094,8,FALSE),"-")</f>
        <v>-</v>
      </c>
      <c r="H485" s="11" t="str">
        <f>IFERROR(VLOOKUP($B485,'(勿動)組件目錄表'!$D$15:$R$1094,9,FALSE),"-")</f>
        <v>-</v>
      </c>
      <c r="I485" s="11" t="str">
        <f>IFERROR(VLOOKUP($B485,'(勿動)組件目錄表'!$D$15:$R$1094,10,FALSE),"-")</f>
        <v>-</v>
      </c>
      <c r="J485" s="11" t="str">
        <f>IFERROR(VLOOKUP($B485,'(勿動)組件目錄表'!$D$15:$R$1094,11,FALSE),"-")</f>
        <v>-</v>
      </c>
      <c r="K485" s="11" t="str">
        <f>IFERROR(VLOOKUP($B485,'(勿動)組件目錄表'!$D$15:$R$1094,12,FALSE),"-")</f>
        <v>-</v>
      </c>
      <c r="L485" s="11" t="str">
        <f>IFERROR(VLOOKUP($B485,'(勿動)組件目錄表'!$D$15:$R$1094,13,FALSE),"-")</f>
        <v>-</v>
      </c>
      <c r="M485" s="11" t="str">
        <f>IFERROR(VLOOKUP($B485,'(勿動)組件目錄表'!$D$15:$R$1094,14,FALSE),"-")</f>
        <v>-</v>
      </c>
      <c r="N485" s="15">
        <f t="shared" si="2"/>
        <v>0</v>
      </c>
      <c r="O485" s="16"/>
    </row>
    <row r="486" spans="1:15" ht="15.75" customHeight="1">
      <c r="A486" s="18"/>
      <c r="B486" s="7"/>
      <c r="C486" s="8" t="str">
        <f>IFERROR(VLOOKUP($B486,'(勿動)組件目錄表'!$D$15:$R$1094,2,FALSE),"-")</f>
        <v>-</v>
      </c>
      <c r="D486" s="8" t="str">
        <f>IFERROR(VLOOKUP($B486,'(勿動)組件目錄表'!$D$15:$R$1094,3,FALSE),"-")</f>
        <v>-</v>
      </c>
      <c r="E486" s="9" t="str">
        <f>IFERROR(VLOOKUP($B486,'(勿動)組件目錄表'!$D$15:$R$1094,4,FALSE),"-")</f>
        <v>-</v>
      </c>
      <c r="F486" s="10" t="str">
        <f>IFERROR(VLOOKUP($B486,'(勿動)組件目錄表'!$D$15:$R$1094,5,FALSE),"-")</f>
        <v>-</v>
      </c>
      <c r="G486" s="11" t="str">
        <f>IFERROR(VLOOKUP($B486,'(勿動)組件目錄表'!$D$15:$R$1094,8,FALSE),"-")</f>
        <v>-</v>
      </c>
      <c r="H486" s="11" t="str">
        <f>IFERROR(VLOOKUP($B486,'(勿動)組件目錄表'!$D$15:$R$1094,9,FALSE),"-")</f>
        <v>-</v>
      </c>
      <c r="I486" s="11" t="str">
        <f>IFERROR(VLOOKUP($B486,'(勿動)組件目錄表'!$D$15:$R$1094,10,FALSE),"-")</f>
        <v>-</v>
      </c>
      <c r="J486" s="11" t="str">
        <f>IFERROR(VLOOKUP($B486,'(勿動)組件目錄表'!$D$15:$R$1094,11,FALSE),"-")</f>
        <v>-</v>
      </c>
      <c r="K486" s="11" t="str">
        <f>IFERROR(VLOOKUP($B486,'(勿動)組件目錄表'!$D$15:$R$1094,12,FALSE),"-")</f>
        <v>-</v>
      </c>
      <c r="L486" s="11" t="str">
        <f>IFERROR(VLOOKUP($B486,'(勿動)組件目錄表'!$D$15:$R$1094,13,FALSE),"-")</f>
        <v>-</v>
      </c>
      <c r="M486" s="11" t="str">
        <f>IFERROR(VLOOKUP($B486,'(勿動)組件目錄表'!$D$15:$R$1094,14,FALSE),"-")</f>
        <v>-</v>
      </c>
      <c r="N486" s="15">
        <f t="shared" si="2"/>
        <v>0</v>
      </c>
      <c r="O486" s="16"/>
    </row>
    <row r="487" spans="1:15" ht="15.75" customHeight="1">
      <c r="A487" s="18"/>
      <c r="B487" s="7"/>
      <c r="C487" s="8" t="str">
        <f>IFERROR(VLOOKUP($B487,'(勿動)組件目錄表'!$D$15:$R$1094,2,FALSE),"-")</f>
        <v>-</v>
      </c>
      <c r="D487" s="8" t="str">
        <f>IFERROR(VLOOKUP($B487,'(勿動)組件目錄表'!$D$15:$R$1094,3,FALSE),"-")</f>
        <v>-</v>
      </c>
      <c r="E487" s="9" t="str">
        <f>IFERROR(VLOOKUP($B487,'(勿動)組件目錄表'!$D$15:$R$1094,4,FALSE),"-")</f>
        <v>-</v>
      </c>
      <c r="F487" s="10" t="str">
        <f>IFERROR(VLOOKUP($B487,'(勿動)組件目錄表'!$D$15:$R$1094,5,FALSE),"-")</f>
        <v>-</v>
      </c>
      <c r="G487" s="11" t="str">
        <f>IFERROR(VLOOKUP($B487,'(勿動)組件目錄表'!$D$15:$R$1094,8,FALSE),"-")</f>
        <v>-</v>
      </c>
      <c r="H487" s="11" t="str">
        <f>IFERROR(VLOOKUP($B487,'(勿動)組件目錄表'!$D$15:$R$1094,9,FALSE),"-")</f>
        <v>-</v>
      </c>
      <c r="I487" s="11" t="str">
        <f>IFERROR(VLOOKUP($B487,'(勿動)組件目錄表'!$D$15:$R$1094,10,FALSE),"-")</f>
        <v>-</v>
      </c>
      <c r="J487" s="11" t="str">
        <f>IFERROR(VLOOKUP($B487,'(勿動)組件目錄表'!$D$15:$R$1094,11,FALSE),"-")</f>
        <v>-</v>
      </c>
      <c r="K487" s="11" t="str">
        <f>IFERROR(VLOOKUP($B487,'(勿動)組件目錄表'!$D$15:$R$1094,12,FALSE),"-")</f>
        <v>-</v>
      </c>
      <c r="L487" s="11" t="str">
        <f>IFERROR(VLOOKUP($B487,'(勿動)組件目錄表'!$D$15:$R$1094,13,FALSE),"-")</f>
        <v>-</v>
      </c>
      <c r="M487" s="11" t="str">
        <f>IFERROR(VLOOKUP($B487,'(勿動)組件目錄表'!$D$15:$R$1094,14,FALSE),"-")</f>
        <v>-</v>
      </c>
      <c r="N487" s="15">
        <f t="shared" si="2"/>
        <v>0</v>
      </c>
      <c r="O487" s="16"/>
    </row>
    <row r="488" spans="1:15" ht="15.75" customHeight="1">
      <c r="A488" s="18"/>
      <c r="B488" s="7"/>
      <c r="C488" s="8" t="str">
        <f>IFERROR(VLOOKUP($B488,'(勿動)組件目錄表'!$D$15:$R$1094,2,FALSE),"-")</f>
        <v>-</v>
      </c>
      <c r="D488" s="8" t="str">
        <f>IFERROR(VLOOKUP($B488,'(勿動)組件目錄表'!$D$15:$R$1094,3,FALSE),"-")</f>
        <v>-</v>
      </c>
      <c r="E488" s="9" t="str">
        <f>IFERROR(VLOOKUP($B488,'(勿動)組件目錄表'!$D$15:$R$1094,4,FALSE),"-")</f>
        <v>-</v>
      </c>
      <c r="F488" s="10" t="str">
        <f>IFERROR(VLOOKUP($B488,'(勿動)組件目錄表'!$D$15:$R$1094,5,FALSE),"-")</f>
        <v>-</v>
      </c>
      <c r="G488" s="11" t="str">
        <f>IFERROR(VLOOKUP($B488,'(勿動)組件目錄表'!$D$15:$R$1094,8,FALSE),"-")</f>
        <v>-</v>
      </c>
      <c r="H488" s="11" t="str">
        <f>IFERROR(VLOOKUP($B488,'(勿動)組件目錄表'!$D$15:$R$1094,9,FALSE),"-")</f>
        <v>-</v>
      </c>
      <c r="I488" s="11" t="str">
        <f>IFERROR(VLOOKUP($B488,'(勿動)組件目錄表'!$D$15:$R$1094,10,FALSE),"-")</f>
        <v>-</v>
      </c>
      <c r="J488" s="11" t="str">
        <f>IFERROR(VLOOKUP($B488,'(勿動)組件目錄表'!$D$15:$R$1094,11,FALSE),"-")</f>
        <v>-</v>
      </c>
      <c r="K488" s="11" t="str">
        <f>IFERROR(VLOOKUP($B488,'(勿動)組件目錄表'!$D$15:$R$1094,12,FALSE),"-")</f>
        <v>-</v>
      </c>
      <c r="L488" s="11" t="str">
        <f>IFERROR(VLOOKUP($B488,'(勿動)組件目錄表'!$D$15:$R$1094,13,FALSE),"-")</f>
        <v>-</v>
      </c>
      <c r="M488" s="11" t="str">
        <f>IFERROR(VLOOKUP($B488,'(勿動)組件目錄表'!$D$15:$R$1094,14,FALSE),"-")</f>
        <v>-</v>
      </c>
      <c r="N488" s="15">
        <f t="shared" si="2"/>
        <v>0</v>
      </c>
      <c r="O488" s="16"/>
    </row>
    <row r="489" spans="1:15" ht="15.75" customHeight="1">
      <c r="A489" s="18"/>
      <c r="B489" s="7"/>
      <c r="C489" s="8" t="str">
        <f>IFERROR(VLOOKUP($B489,'(勿動)組件目錄表'!$D$15:$R$1094,2,FALSE),"-")</f>
        <v>-</v>
      </c>
      <c r="D489" s="8" t="str">
        <f>IFERROR(VLOOKUP($B489,'(勿動)組件目錄表'!$D$15:$R$1094,3,FALSE),"-")</f>
        <v>-</v>
      </c>
      <c r="E489" s="9" t="str">
        <f>IFERROR(VLOOKUP($B489,'(勿動)組件目錄表'!$D$15:$R$1094,4,FALSE),"-")</f>
        <v>-</v>
      </c>
      <c r="F489" s="10" t="str">
        <f>IFERROR(VLOOKUP($B489,'(勿動)組件目錄表'!$D$15:$R$1094,5,FALSE),"-")</f>
        <v>-</v>
      </c>
      <c r="G489" s="11" t="str">
        <f>IFERROR(VLOOKUP($B489,'(勿動)組件目錄表'!$D$15:$R$1094,8,FALSE),"-")</f>
        <v>-</v>
      </c>
      <c r="H489" s="11" t="str">
        <f>IFERROR(VLOOKUP($B489,'(勿動)組件目錄表'!$D$15:$R$1094,9,FALSE),"-")</f>
        <v>-</v>
      </c>
      <c r="I489" s="11" t="str">
        <f>IFERROR(VLOOKUP($B489,'(勿動)組件目錄表'!$D$15:$R$1094,10,FALSE),"-")</f>
        <v>-</v>
      </c>
      <c r="J489" s="11" t="str">
        <f>IFERROR(VLOOKUP($B489,'(勿動)組件目錄表'!$D$15:$R$1094,11,FALSE),"-")</f>
        <v>-</v>
      </c>
      <c r="K489" s="11" t="str">
        <f>IFERROR(VLOOKUP($B489,'(勿動)組件目錄表'!$D$15:$R$1094,12,FALSE),"-")</f>
        <v>-</v>
      </c>
      <c r="L489" s="11" t="str">
        <f>IFERROR(VLOOKUP($B489,'(勿動)組件目錄表'!$D$15:$R$1094,13,FALSE),"-")</f>
        <v>-</v>
      </c>
      <c r="M489" s="11" t="str">
        <f>IFERROR(VLOOKUP($B489,'(勿動)組件目錄表'!$D$15:$R$1094,14,FALSE),"-")</f>
        <v>-</v>
      </c>
      <c r="N489" s="15">
        <f t="shared" si="2"/>
        <v>0</v>
      </c>
      <c r="O489" s="16"/>
    </row>
    <row r="490" spans="1:15" ht="15.75" customHeight="1">
      <c r="A490" s="18"/>
      <c r="B490" s="7"/>
      <c r="C490" s="8" t="str">
        <f>IFERROR(VLOOKUP($B490,'(勿動)組件目錄表'!$D$15:$R$1094,2,FALSE),"-")</f>
        <v>-</v>
      </c>
      <c r="D490" s="8" t="str">
        <f>IFERROR(VLOOKUP($B490,'(勿動)組件目錄表'!$D$15:$R$1094,3,FALSE),"-")</f>
        <v>-</v>
      </c>
      <c r="E490" s="9" t="str">
        <f>IFERROR(VLOOKUP($B490,'(勿動)組件目錄表'!$D$15:$R$1094,4,FALSE),"-")</f>
        <v>-</v>
      </c>
      <c r="F490" s="10" t="str">
        <f>IFERROR(VLOOKUP($B490,'(勿動)組件目錄表'!$D$15:$R$1094,5,FALSE),"-")</f>
        <v>-</v>
      </c>
      <c r="G490" s="11" t="str">
        <f>IFERROR(VLOOKUP($B490,'(勿動)組件目錄表'!$D$15:$R$1094,8,FALSE),"-")</f>
        <v>-</v>
      </c>
      <c r="H490" s="11" t="str">
        <f>IFERROR(VLOOKUP($B490,'(勿動)組件目錄表'!$D$15:$R$1094,9,FALSE),"-")</f>
        <v>-</v>
      </c>
      <c r="I490" s="11" t="str">
        <f>IFERROR(VLOOKUP($B490,'(勿動)組件目錄表'!$D$15:$R$1094,10,FALSE),"-")</f>
        <v>-</v>
      </c>
      <c r="J490" s="11" t="str">
        <f>IFERROR(VLOOKUP($B490,'(勿動)組件目錄表'!$D$15:$R$1094,11,FALSE),"-")</f>
        <v>-</v>
      </c>
      <c r="K490" s="11" t="str">
        <f>IFERROR(VLOOKUP($B490,'(勿動)組件目錄表'!$D$15:$R$1094,12,FALSE),"-")</f>
        <v>-</v>
      </c>
      <c r="L490" s="11" t="str">
        <f>IFERROR(VLOOKUP($B490,'(勿動)組件目錄表'!$D$15:$R$1094,13,FALSE),"-")</f>
        <v>-</v>
      </c>
      <c r="M490" s="11" t="str">
        <f>IFERROR(VLOOKUP($B490,'(勿動)組件目錄表'!$D$15:$R$1094,14,FALSE),"-")</f>
        <v>-</v>
      </c>
      <c r="N490" s="15">
        <f t="shared" si="2"/>
        <v>0</v>
      </c>
      <c r="O490" s="16"/>
    </row>
    <row r="491" spans="1:15" ht="15.75" customHeight="1">
      <c r="A491" s="18"/>
      <c r="B491" s="7"/>
      <c r="C491" s="8" t="str">
        <f>IFERROR(VLOOKUP($B491,'(勿動)組件目錄表'!$D$15:$R$1094,2,FALSE),"-")</f>
        <v>-</v>
      </c>
      <c r="D491" s="8" t="str">
        <f>IFERROR(VLOOKUP($B491,'(勿動)組件目錄表'!$D$15:$R$1094,3,FALSE),"-")</f>
        <v>-</v>
      </c>
      <c r="E491" s="9" t="str">
        <f>IFERROR(VLOOKUP($B491,'(勿動)組件目錄表'!$D$15:$R$1094,4,FALSE),"-")</f>
        <v>-</v>
      </c>
      <c r="F491" s="10" t="str">
        <f>IFERROR(VLOOKUP($B491,'(勿動)組件目錄表'!$D$15:$R$1094,5,FALSE),"-")</f>
        <v>-</v>
      </c>
      <c r="G491" s="11" t="str">
        <f>IFERROR(VLOOKUP($B491,'(勿動)組件目錄表'!$D$15:$R$1094,8,FALSE),"-")</f>
        <v>-</v>
      </c>
      <c r="H491" s="11" t="str">
        <f>IFERROR(VLOOKUP($B491,'(勿動)組件目錄表'!$D$15:$R$1094,9,FALSE),"-")</f>
        <v>-</v>
      </c>
      <c r="I491" s="11" t="str">
        <f>IFERROR(VLOOKUP($B491,'(勿動)組件目錄表'!$D$15:$R$1094,10,FALSE),"-")</f>
        <v>-</v>
      </c>
      <c r="J491" s="11" t="str">
        <f>IFERROR(VLOOKUP($B491,'(勿動)組件目錄表'!$D$15:$R$1094,11,FALSE),"-")</f>
        <v>-</v>
      </c>
      <c r="K491" s="11" t="str">
        <f>IFERROR(VLOOKUP($B491,'(勿動)組件目錄表'!$D$15:$R$1094,12,FALSE),"-")</f>
        <v>-</v>
      </c>
      <c r="L491" s="11" t="str">
        <f>IFERROR(VLOOKUP($B491,'(勿動)組件目錄表'!$D$15:$R$1094,13,FALSE),"-")</f>
        <v>-</v>
      </c>
      <c r="M491" s="11" t="str">
        <f>IFERROR(VLOOKUP($B491,'(勿動)組件目錄表'!$D$15:$R$1094,14,FALSE),"-")</f>
        <v>-</v>
      </c>
      <c r="N491" s="15">
        <f t="shared" si="2"/>
        <v>0</v>
      </c>
      <c r="O491" s="16"/>
    </row>
    <row r="492" spans="1:15" ht="15.75" customHeight="1">
      <c r="A492" s="18"/>
      <c r="B492" s="7"/>
      <c r="C492" s="8" t="str">
        <f>IFERROR(VLOOKUP($B492,'(勿動)組件目錄表'!$D$15:$R$1094,2,FALSE),"-")</f>
        <v>-</v>
      </c>
      <c r="D492" s="8" t="str">
        <f>IFERROR(VLOOKUP($B492,'(勿動)組件目錄表'!$D$15:$R$1094,3,FALSE),"-")</f>
        <v>-</v>
      </c>
      <c r="E492" s="9" t="str">
        <f>IFERROR(VLOOKUP($B492,'(勿動)組件目錄表'!$D$15:$R$1094,4,FALSE),"-")</f>
        <v>-</v>
      </c>
      <c r="F492" s="10" t="str">
        <f>IFERROR(VLOOKUP($B492,'(勿動)組件目錄表'!$D$15:$R$1094,5,FALSE),"-")</f>
        <v>-</v>
      </c>
      <c r="G492" s="11" t="str">
        <f>IFERROR(VLOOKUP($B492,'(勿動)組件目錄表'!$D$15:$R$1094,8,FALSE),"-")</f>
        <v>-</v>
      </c>
      <c r="H492" s="11" t="str">
        <f>IFERROR(VLOOKUP($B492,'(勿動)組件目錄表'!$D$15:$R$1094,9,FALSE),"-")</f>
        <v>-</v>
      </c>
      <c r="I492" s="11" t="str">
        <f>IFERROR(VLOOKUP($B492,'(勿動)組件目錄表'!$D$15:$R$1094,10,FALSE),"-")</f>
        <v>-</v>
      </c>
      <c r="J492" s="11" t="str">
        <f>IFERROR(VLOOKUP($B492,'(勿動)組件目錄表'!$D$15:$R$1094,11,FALSE),"-")</f>
        <v>-</v>
      </c>
      <c r="K492" s="11" t="str">
        <f>IFERROR(VLOOKUP($B492,'(勿動)組件目錄表'!$D$15:$R$1094,12,FALSE),"-")</f>
        <v>-</v>
      </c>
      <c r="L492" s="11" t="str">
        <f>IFERROR(VLOOKUP($B492,'(勿動)組件目錄表'!$D$15:$R$1094,13,FALSE),"-")</f>
        <v>-</v>
      </c>
      <c r="M492" s="11" t="str">
        <f>IFERROR(VLOOKUP($B492,'(勿動)組件目錄表'!$D$15:$R$1094,14,FALSE),"-")</f>
        <v>-</v>
      </c>
      <c r="N492" s="15">
        <f t="shared" si="2"/>
        <v>0</v>
      </c>
      <c r="O492" s="16"/>
    </row>
    <row r="493" spans="1:15" ht="15.75" customHeight="1">
      <c r="A493" s="18"/>
      <c r="B493" s="7"/>
      <c r="C493" s="8" t="str">
        <f>IFERROR(VLOOKUP($B493,'(勿動)組件目錄表'!$D$15:$R$1094,2,FALSE),"-")</f>
        <v>-</v>
      </c>
      <c r="D493" s="8" t="str">
        <f>IFERROR(VLOOKUP($B493,'(勿動)組件目錄表'!$D$15:$R$1094,3,FALSE),"-")</f>
        <v>-</v>
      </c>
      <c r="E493" s="9" t="str">
        <f>IFERROR(VLOOKUP($B493,'(勿動)組件目錄表'!$D$15:$R$1094,4,FALSE),"-")</f>
        <v>-</v>
      </c>
      <c r="F493" s="10" t="str">
        <f>IFERROR(VLOOKUP($B493,'(勿動)組件目錄表'!$D$15:$R$1094,5,FALSE),"-")</f>
        <v>-</v>
      </c>
      <c r="G493" s="11" t="str">
        <f>IFERROR(VLOOKUP($B493,'(勿動)組件目錄表'!$D$15:$R$1094,8,FALSE),"-")</f>
        <v>-</v>
      </c>
      <c r="H493" s="11" t="str">
        <f>IFERROR(VLOOKUP($B493,'(勿動)組件目錄表'!$D$15:$R$1094,9,FALSE),"-")</f>
        <v>-</v>
      </c>
      <c r="I493" s="11" t="str">
        <f>IFERROR(VLOOKUP($B493,'(勿動)組件目錄表'!$D$15:$R$1094,10,FALSE),"-")</f>
        <v>-</v>
      </c>
      <c r="J493" s="11" t="str">
        <f>IFERROR(VLOOKUP($B493,'(勿動)組件目錄表'!$D$15:$R$1094,11,FALSE),"-")</f>
        <v>-</v>
      </c>
      <c r="K493" s="11" t="str">
        <f>IFERROR(VLOOKUP($B493,'(勿動)組件目錄表'!$D$15:$R$1094,12,FALSE),"-")</f>
        <v>-</v>
      </c>
      <c r="L493" s="11" t="str">
        <f>IFERROR(VLOOKUP($B493,'(勿動)組件目錄表'!$D$15:$R$1094,13,FALSE),"-")</f>
        <v>-</v>
      </c>
      <c r="M493" s="11" t="str">
        <f>IFERROR(VLOOKUP($B493,'(勿動)組件目錄表'!$D$15:$R$1094,14,FALSE),"-")</f>
        <v>-</v>
      </c>
      <c r="N493" s="15">
        <f t="shared" si="2"/>
        <v>0</v>
      </c>
      <c r="O493" s="16"/>
    </row>
    <row r="494" spans="1:15" ht="15.75" customHeight="1">
      <c r="A494" s="18"/>
      <c r="B494" s="7"/>
      <c r="C494" s="8" t="str">
        <f>IFERROR(VLOOKUP($B494,'(勿動)組件目錄表'!$D$15:$R$1094,2,FALSE),"-")</f>
        <v>-</v>
      </c>
      <c r="D494" s="8" t="str">
        <f>IFERROR(VLOOKUP($B494,'(勿動)組件目錄表'!$D$15:$R$1094,3,FALSE),"-")</f>
        <v>-</v>
      </c>
      <c r="E494" s="9" t="str">
        <f>IFERROR(VLOOKUP($B494,'(勿動)組件目錄表'!$D$15:$R$1094,4,FALSE),"-")</f>
        <v>-</v>
      </c>
      <c r="F494" s="10" t="str">
        <f>IFERROR(VLOOKUP($B494,'(勿動)組件目錄表'!$D$15:$R$1094,5,FALSE),"-")</f>
        <v>-</v>
      </c>
      <c r="G494" s="11" t="str">
        <f>IFERROR(VLOOKUP($B494,'(勿動)組件目錄表'!$D$15:$R$1094,8,FALSE),"-")</f>
        <v>-</v>
      </c>
      <c r="H494" s="11" t="str">
        <f>IFERROR(VLOOKUP($B494,'(勿動)組件目錄表'!$D$15:$R$1094,9,FALSE),"-")</f>
        <v>-</v>
      </c>
      <c r="I494" s="11" t="str">
        <f>IFERROR(VLOOKUP($B494,'(勿動)組件目錄表'!$D$15:$R$1094,10,FALSE),"-")</f>
        <v>-</v>
      </c>
      <c r="J494" s="11" t="str">
        <f>IFERROR(VLOOKUP($B494,'(勿動)組件目錄表'!$D$15:$R$1094,11,FALSE),"-")</f>
        <v>-</v>
      </c>
      <c r="K494" s="11" t="str">
        <f>IFERROR(VLOOKUP($B494,'(勿動)組件目錄表'!$D$15:$R$1094,12,FALSE),"-")</f>
        <v>-</v>
      </c>
      <c r="L494" s="11" t="str">
        <f>IFERROR(VLOOKUP($B494,'(勿動)組件目錄表'!$D$15:$R$1094,13,FALSE),"-")</f>
        <v>-</v>
      </c>
      <c r="M494" s="11" t="str">
        <f>IFERROR(VLOOKUP($B494,'(勿動)組件目錄表'!$D$15:$R$1094,14,FALSE),"-")</f>
        <v>-</v>
      </c>
      <c r="N494" s="15">
        <f t="shared" si="2"/>
        <v>0</v>
      </c>
      <c r="O494" s="16"/>
    </row>
    <row r="495" spans="1:15" ht="15.75" customHeight="1">
      <c r="A495" s="18"/>
      <c r="B495" s="7"/>
      <c r="C495" s="8" t="str">
        <f>IFERROR(VLOOKUP($B495,'(勿動)組件目錄表'!$D$15:$R$1094,2,FALSE),"-")</f>
        <v>-</v>
      </c>
      <c r="D495" s="8" t="str">
        <f>IFERROR(VLOOKUP($B495,'(勿動)組件目錄表'!$D$15:$R$1094,3,FALSE),"-")</f>
        <v>-</v>
      </c>
      <c r="E495" s="9" t="str">
        <f>IFERROR(VLOOKUP($B495,'(勿動)組件目錄表'!$D$15:$R$1094,4,FALSE),"-")</f>
        <v>-</v>
      </c>
      <c r="F495" s="10" t="str">
        <f>IFERROR(VLOOKUP($B495,'(勿動)組件目錄表'!$D$15:$R$1094,5,FALSE),"-")</f>
        <v>-</v>
      </c>
      <c r="G495" s="11" t="str">
        <f>IFERROR(VLOOKUP($B495,'(勿動)組件目錄表'!$D$15:$R$1094,8,FALSE),"-")</f>
        <v>-</v>
      </c>
      <c r="H495" s="11" t="str">
        <f>IFERROR(VLOOKUP($B495,'(勿動)組件目錄表'!$D$15:$R$1094,9,FALSE),"-")</f>
        <v>-</v>
      </c>
      <c r="I495" s="11" t="str">
        <f>IFERROR(VLOOKUP($B495,'(勿動)組件目錄表'!$D$15:$R$1094,10,FALSE),"-")</f>
        <v>-</v>
      </c>
      <c r="J495" s="11" t="str">
        <f>IFERROR(VLOOKUP($B495,'(勿動)組件目錄表'!$D$15:$R$1094,11,FALSE),"-")</f>
        <v>-</v>
      </c>
      <c r="K495" s="11" t="str">
        <f>IFERROR(VLOOKUP($B495,'(勿動)組件目錄表'!$D$15:$R$1094,12,FALSE),"-")</f>
        <v>-</v>
      </c>
      <c r="L495" s="11" t="str">
        <f>IFERROR(VLOOKUP($B495,'(勿動)組件目錄表'!$D$15:$R$1094,13,FALSE),"-")</f>
        <v>-</v>
      </c>
      <c r="M495" s="11" t="str">
        <f>IFERROR(VLOOKUP($B495,'(勿動)組件目錄表'!$D$15:$R$1094,14,FALSE),"-")</f>
        <v>-</v>
      </c>
      <c r="N495" s="15">
        <f t="shared" si="2"/>
        <v>0</v>
      </c>
      <c r="O495" s="16"/>
    </row>
    <row r="496" spans="1:15" ht="15.75" customHeight="1">
      <c r="A496" s="18"/>
      <c r="B496" s="7"/>
      <c r="C496" s="8" t="str">
        <f>IFERROR(VLOOKUP($B496,'(勿動)組件目錄表'!$D$15:$R$1094,2,FALSE),"-")</f>
        <v>-</v>
      </c>
      <c r="D496" s="8" t="str">
        <f>IFERROR(VLOOKUP($B496,'(勿動)組件目錄表'!$D$15:$R$1094,3,FALSE),"-")</f>
        <v>-</v>
      </c>
      <c r="E496" s="9" t="str">
        <f>IFERROR(VLOOKUP($B496,'(勿動)組件目錄表'!$D$15:$R$1094,4,FALSE),"-")</f>
        <v>-</v>
      </c>
      <c r="F496" s="10" t="str">
        <f>IFERROR(VLOOKUP($B496,'(勿動)組件目錄表'!$D$15:$R$1094,5,FALSE),"-")</f>
        <v>-</v>
      </c>
      <c r="G496" s="11" t="str">
        <f>IFERROR(VLOOKUP($B496,'(勿動)組件目錄表'!$D$15:$R$1094,8,FALSE),"-")</f>
        <v>-</v>
      </c>
      <c r="H496" s="11" t="str">
        <f>IFERROR(VLOOKUP($B496,'(勿動)組件目錄表'!$D$15:$R$1094,9,FALSE),"-")</f>
        <v>-</v>
      </c>
      <c r="I496" s="11" t="str">
        <f>IFERROR(VLOOKUP($B496,'(勿動)組件目錄表'!$D$15:$R$1094,10,FALSE),"-")</f>
        <v>-</v>
      </c>
      <c r="J496" s="11" t="str">
        <f>IFERROR(VLOOKUP($B496,'(勿動)組件目錄表'!$D$15:$R$1094,11,FALSE),"-")</f>
        <v>-</v>
      </c>
      <c r="K496" s="11" t="str">
        <f>IFERROR(VLOOKUP($B496,'(勿動)組件目錄表'!$D$15:$R$1094,12,FALSE),"-")</f>
        <v>-</v>
      </c>
      <c r="L496" s="11" t="str">
        <f>IFERROR(VLOOKUP($B496,'(勿動)組件目錄表'!$D$15:$R$1094,13,FALSE),"-")</f>
        <v>-</v>
      </c>
      <c r="M496" s="11" t="str">
        <f>IFERROR(VLOOKUP($B496,'(勿動)組件目錄表'!$D$15:$R$1094,14,FALSE),"-")</f>
        <v>-</v>
      </c>
      <c r="N496" s="15">
        <f t="shared" si="2"/>
        <v>0</v>
      </c>
      <c r="O496" s="16"/>
    </row>
    <row r="497" spans="1:15" ht="15.75" customHeight="1">
      <c r="A497" s="18"/>
      <c r="B497" s="7"/>
      <c r="C497" s="8" t="str">
        <f>IFERROR(VLOOKUP($B497,'(勿動)組件目錄表'!$D$15:$R$1094,2,FALSE),"-")</f>
        <v>-</v>
      </c>
      <c r="D497" s="8" t="str">
        <f>IFERROR(VLOOKUP($B497,'(勿動)組件目錄表'!$D$15:$R$1094,3,FALSE),"-")</f>
        <v>-</v>
      </c>
      <c r="E497" s="9" t="str">
        <f>IFERROR(VLOOKUP($B497,'(勿動)組件目錄表'!$D$15:$R$1094,4,FALSE),"-")</f>
        <v>-</v>
      </c>
      <c r="F497" s="10" t="str">
        <f>IFERROR(VLOOKUP($B497,'(勿動)組件目錄表'!$D$15:$R$1094,5,FALSE),"-")</f>
        <v>-</v>
      </c>
      <c r="G497" s="11" t="str">
        <f>IFERROR(VLOOKUP($B497,'(勿動)組件目錄表'!$D$15:$R$1094,8,FALSE),"-")</f>
        <v>-</v>
      </c>
      <c r="H497" s="11" t="str">
        <f>IFERROR(VLOOKUP($B497,'(勿動)組件目錄表'!$D$15:$R$1094,9,FALSE),"-")</f>
        <v>-</v>
      </c>
      <c r="I497" s="11" t="str">
        <f>IFERROR(VLOOKUP($B497,'(勿動)組件目錄表'!$D$15:$R$1094,10,FALSE),"-")</f>
        <v>-</v>
      </c>
      <c r="J497" s="11" t="str">
        <f>IFERROR(VLOOKUP($B497,'(勿動)組件目錄表'!$D$15:$R$1094,11,FALSE),"-")</f>
        <v>-</v>
      </c>
      <c r="K497" s="11" t="str">
        <f>IFERROR(VLOOKUP($B497,'(勿動)組件目錄表'!$D$15:$R$1094,12,FALSE),"-")</f>
        <v>-</v>
      </c>
      <c r="L497" s="11" t="str">
        <f>IFERROR(VLOOKUP($B497,'(勿動)組件目錄表'!$D$15:$R$1094,13,FALSE),"-")</f>
        <v>-</v>
      </c>
      <c r="M497" s="11" t="str">
        <f>IFERROR(VLOOKUP($B497,'(勿動)組件目錄表'!$D$15:$R$1094,14,FALSE),"-")</f>
        <v>-</v>
      </c>
      <c r="N497" s="15">
        <f t="shared" si="2"/>
        <v>0</v>
      </c>
      <c r="O497" s="16"/>
    </row>
    <row r="498" spans="1:15" ht="15.75" customHeight="1">
      <c r="A498" s="18"/>
      <c r="B498" s="7"/>
      <c r="C498" s="8" t="str">
        <f>IFERROR(VLOOKUP($B498,'(勿動)組件目錄表'!$D$15:$R$1094,2,FALSE),"-")</f>
        <v>-</v>
      </c>
      <c r="D498" s="8" t="str">
        <f>IFERROR(VLOOKUP($B498,'(勿動)組件目錄表'!$D$15:$R$1094,3,FALSE),"-")</f>
        <v>-</v>
      </c>
      <c r="E498" s="9" t="str">
        <f>IFERROR(VLOOKUP($B498,'(勿動)組件目錄表'!$D$15:$R$1094,4,FALSE),"-")</f>
        <v>-</v>
      </c>
      <c r="F498" s="10" t="str">
        <f>IFERROR(VLOOKUP($B498,'(勿動)組件目錄表'!$D$15:$R$1094,5,FALSE),"-")</f>
        <v>-</v>
      </c>
      <c r="G498" s="11" t="str">
        <f>IFERROR(VLOOKUP($B498,'(勿動)組件目錄表'!$D$15:$R$1094,8,FALSE),"-")</f>
        <v>-</v>
      </c>
      <c r="H498" s="11" t="str">
        <f>IFERROR(VLOOKUP($B498,'(勿動)組件目錄表'!$D$15:$R$1094,9,FALSE),"-")</f>
        <v>-</v>
      </c>
      <c r="I498" s="11" t="str">
        <f>IFERROR(VLOOKUP($B498,'(勿動)組件目錄表'!$D$15:$R$1094,10,FALSE),"-")</f>
        <v>-</v>
      </c>
      <c r="J498" s="11" t="str">
        <f>IFERROR(VLOOKUP($B498,'(勿動)組件目錄表'!$D$15:$R$1094,11,FALSE),"-")</f>
        <v>-</v>
      </c>
      <c r="K498" s="11" t="str">
        <f>IFERROR(VLOOKUP($B498,'(勿動)組件目錄表'!$D$15:$R$1094,12,FALSE),"-")</f>
        <v>-</v>
      </c>
      <c r="L498" s="11" t="str">
        <f>IFERROR(VLOOKUP($B498,'(勿動)組件目錄表'!$D$15:$R$1094,13,FALSE),"-")</f>
        <v>-</v>
      </c>
      <c r="M498" s="11" t="str">
        <f>IFERROR(VLOOKUP($B498,'(勿動)組件目錄表'!$D$15:$R$1094,14,FALSE),"-")</f>
        <v>-</v>
      </c>
      <c r="N498" s="15">
        <f t="shared" si="2"/>
        <v>0</v>
      </c>
      <c r="O498" s="16"/>
    </row>
    <row r="499" spans="1:15" ht="15.75" customHeight="1">
      <c r="A499" s="18"/>
      <c r="B499" s="7"/>
      <c r="C499" s="8" t="str">
        <f>IFERROR(VLOOKUP($B499,'(勿動)組件目錄表'!$D$15:$R$1094,2,FALSE),"-")</f>
        <v>-</v>
      </c>
      <c r="D499" s="8" t="str">
        <f>IFERROR(VLOOKUP($B499,'(勿動)組件目錄表'!$D$15:$R$1094,3,FALSE),"-")</f>
        <v>-</v>
      </c>
      <c r="E499" s="9" t="str">
        <f>IFERROR(VLOOKUP($B499,'(勿動)組件目錄表'!$D$15:$R$1094,4,FALSE),"-")</f>
        <v>-</v>
      </c>
      <c r="F499" s="10" t="str">
        <f>IFERROR(VLOOKUP($B499,'(勿動)組件目錄表'!$D$15:$R$1094,5,FALSE),"-")</f>
        <v>-</v>
      </c>
      <c r="G499" s="11" t="str">
        <f>IFERROR(VLOOKUP($B499,'(勿動)組件目錄表'!$D$15:$R$1094,8,FALSE),"-")</f>
        <v>-</v>
      </c>
      <c r="H499" s="11" t="str">
        <f>IFERROR(VLOOKUP($B499,'(勿動)組件目錄表'!$D$15:$R$1094,9,FALSE),"-")</f>
        <v>-</v>
      </c>
      <c r="I499" s="11" t="str">
        <f>IFERROR(VLOOKUP($B499,'(勿動)組件目錄表'!$D$15:$R$1094,10,FALSE),"-")</f>
        <v>-</v>
      </c>
      <c r="J499" s="11" t="str">
        <f>IFERROR(VLOOKUP($B499,'(勿動)組件目錄表'!$D$15:$R$1094,11,FALSE),"-")</f>
        <v>-</v>
      </c>
      <c r="K499" s="11" t="str">
        <f>IFERROR(VLOOKUP($B499,'(勿動)組件目錄表'!$D$15:$R$1094,12,FALSE),"-")</f>
        <v>-</v>
      </c>
      <c r="L499" s="11" t="str">
        <f>IFERROR(VLOOKUP($B499,'(勿動)組件目錄表'!$D$15:$R$1094,13,FALSE),"-")</f>
        <v>-</v>
      </c>
      <c r="M499" s="11" t="str">
        <f>IFERROR(VLOOKUP($B499,'(勿動)組件目錄表'!$D$15:$R$1094,14,FALSE),"-")</f>
        <v>-</v>
      </c>
      <c r="N499" s="15">
        <f t="shared" si="2"/>
        <v>0</v>
      </c>
      <c r="O499" s="16"/>
    </row>
    <row r="500" spans="1:15" ht="15.75" customHeight="1">
      <c r="A500" s="18"/>
      <c r="B500" s="7"/>
      <c r="C500" s="8" t="str">
        <f>IFERROR(VLOOKUP($B500,'(勿動)組件目錄表'!$D$15:$R$1094,2,FALSE),"-")</f>
        <v>-</v>
      </c>
      <c r="D500" s="8" t="str">
        <f>IFERROR(VLOOKUP($B500,'(勿動)組件目錄表'!$D$15:$R$1094,3,FALSE),"-")</f>
        <v>-</v>
      </c>
      <c r="E500" s="9" t="str">
        <f>IFERROR(VLOOKUP($B500,'(勿動)組件目錄表'!$D$15:$R$1094,4,FALSE),"-")</f>
        <v>-</v>
      </c>
      <c r="F500" s="10" t="str">
        <f>IFERROR(VLOOKUP($B500,'(勿動)組件目錄表'!$D$15:$R$1094,5,FALSE),"-")</f>
        <v>-</v>
      </c>
      <c r="G500" s="11" t="str">
        <f>IFERROR(VLOOKUP($B500,'(勿動)組件目錄表'!$D$15:$R$1094,8,FALSE),"-")</f>
        <v>-</v>
      </c>
      <c r="H500" s="11" t="str">
        <f>IFERROR(VLOOKUP($B500,'(勿動)組件目錄表'!$D$15:$R$1094,9,FALSE),"-")</f>
        <v>-</v>
      </c>
      <c r="I500" s="11" t="str">
        <f>IFERROR(VLOOKUP($B500,'(勿動)組件目錄表'!$D$15:$R$1094,10,FALSE),"-")</f>
        <v>-</v>
      </c>
      <c r="J500" s="11" t="str">
        <f>IFERROR(VLOOKUP($B500,'(勿動)組件目錄表'!$D$15:$R$1094,11,FALSE),"-")</f>
        <v>-</v>
      </c>
      <c r="K500" s="11" t="str">
        <f>IFERROR(VLOOKUP($B500,'(勿動)組件目錄表'!$D$15:$R$1094,12,FALSE),"-")</f>
        <v>-</v>
      </c>
      <c r="L500" s="11" t="str">
        <f>IFERROR(VLOOKUP($B500,'(勿動)組件目錄表'!$D$15:$R$1094,13,FALSE),"-")</f>
        <v>-</v>
      </c>
      <c r="M500" s="11" t="str">
        <f>IFERROR(VLOOKUP($B500,'(勿動)組件目錄表'!$D$15:$R$1094,14,FALSE),"-")</f>
        <v>-</v>
      </c>
      <c r="N500" s="15">
        <f t="shared" si="2"/>
        <v>0</v>
      </c>
      <c r="O500" s="16"/>
    </row>
    <row r="501" spans="1:15" ht="15.75" customHeight="1">
      <c r="A501" s="18"/>
      <c r="B501" s="7"/>
      <c r="C501" s="8" t="str">
        <f>IFERROR(VLOOKUP($B501,'(勿動)組件目錄表'!$D$15:$R$1094,2,FALSE),"-")</f>
        <v>-</v>
      </c>
      <c r="D501" s="8" t="str">
        <f>IFERROR(VLOOKUP($B501,'(勿動)組件目錄表'!$D$15:$R$1094,3,FALSE),"-")</f>
        <v>-</v>
      </c>
      <c r="E501" s="9" t="str">
        <f>IFERROR(VLOOKUP($B501,'(勿動)組件目錄表'!$D$15:$R$1094,4,FALSE),"-")</f>
        <v>-</v>
      </c>
      <c r="F501" s="10" t="str">
        <f>IFERROR(VLOOKUP($B501,'(勿動)組件目錄表'!$D$15:$R$1094,5,FALSE),"-")</f>
        <v>-</v>
      </c>
      <c r="G501" s="11" t="str">
        <f>IFERROR(VLOOKUP($B501,'(勿動)組件目錄表'!$D$15:$R$1094,8,FALSE),"-")</f>
        <v>-</v>
      </c>
      <c r="H501" s="11" t="str">
        <f>IFERROR(VLOOKUP($B501,'(勿動)組件目錄表'!$D$15:$R$1094,9,FALSE),"-")</f>
        <v>-</v>
      </c>
      <c r="I501" s="11" t="str">
        <f>IFERROR(VLOOKUP($B501,'(勿動)組件目錄表'!$D$15:$R$1094,10,FALSE),"-")</f>
        <v>-</v>
      </c>
      <c r="J501" s="11" t="str">
        <f>IFERROR(VLOOKUP($B501,'(勿動)組件目錄表'!$D$15:$R$1094,11,FALSE),"-")</f>
        <v>-</v>
      </c>
      <c r="K501" s="11" t="str">
        <f>IFERROR(VLOOKUP($B501,'(勿動)組件目錄表'!$D$15:$R$1094,12,FALSE),"-")</f>
        <v>-</v>
      </c>
      <c r="L501" s="11" t="str">
        <f>IFERROR(VLOOKUP($B501,'(勿動)組件目錄表'!$D$15:$R$1094,13,FALSE),"-")</f>
        <v>-</v>
      </c>
      <c r="M501" s="11" t="str">
        <f>IFERROR(VLOOKUP($B501,'(勿動)組件目錄表'!$D$15:$R$1094,14,FALSE),"-")</f>
        <v>-</v>
      </c>
      <c r="N501" s="15">
        <f t="shared" si="2"/>
        <v>0</v>
      </c>
      <c r="O501" s="16"/>
    </row>
    <row r="502" spans="1:15" ht="15.75" customHeight="1">
      <c r="A502" s="18"/>
      <c r="B502" s="7"/>
      <c r="C502" s="8" t="str">
        <f>IFERROR(VLOOKUP($B502,'(勿動)組件目錄表'!$D$15:$R$1094,2,FALSE),"-")</f>
        <v>-</v>
      </c>
      <c r="D502" s="8" t="str">
        <f>IFERROR(VLOOKUP($B502,'(勿動)組件目錄表'!$D$15:$R$1094,3,FALSE),"-")</f>
        <v>-</v>
      </c>
      <c r="E502" s="9" t="str">
        <f>IFERROR(VLOOKUP($B502,'(勿動)組件目錄表'!$D$15:$R$1094,4,FALSE),"-")</f>
        <v>-</v>
      </c>
      <c r="F502" s="10" t="str">
        <f>IFERROR(VLOOKUP($B502,'(勿動)組件目錄表'!$D$15:$R$1094,5,FALSE),"-")</f>
        <v>-</v>
      </c>
      <c r="G502" s="11" t="str">
        <f>IFERROR(VLOOKUP($B502,'(勿動)組件目錄表'!$D$15:$R$1094,8,FALSE),"-")</f>
        <v>-</v>
      </c>
      <c r="H502" s="11" t="str">
        <f>IFERROR(VLOOKUP($B502,'(勿動)組件目錄表'!$D$15:$R$1094,9,FALSE),"-")</f>
        <v>-</v>
      </c>
      <c r="I502" s="11" t="str">
        <f>IFERROR(VLOOKUP($B502,'(勿動)組件目錄表'!$D$15:$R$1094,10,FALSE),"-")</f>
        <v>-</v>
      </c>
      <c r="J502" s="11" t="str">
        <f>IFERROR(VLOOKUP($B502,'(勿動)組件目錄表'!$D$15:$R$1094,11,FALSE),"-")</f>
        <v>-</v>
      </c>
      <c r="K502" s="11" t="str">
        <f>IFERROR(VLOOKUP($B502,'(勿動)組件目錄表'!$D$15:$R$1094,12,FALSE),"-")</f>
        <v>-</v>
      </c>
      <c r="L502" s="11" t="str">
        <f>IFERROR(VLOOKUP($B502,'(勿動)組件目錄表'!$D$15:$R$1094,13,FALSE),"-")</f>
        <v>-</v>
      </c>
      <c r="M502" s="11" t="str">
        <f>IFERROR(VLOOKUP($B502,'(勿動)組件目錄表'!$D$15:$R$1094,14,FALSE),"-")</f>
        <v>-</v>
      </c>
      <c r="N502" s="15">
        <f t="shared" si="2"/>
        <v>0</v>
      </c>
      <c r="O502" s="16"/>
    </row>
    <row r="503" spans="1:15" ht="15.75" customHeight="1">
      <c r="A503" s="18"/>
      <c r="B503" s="7"/>
      <c r="C503" s="8" t="str">
        <f>IFERROR(VLOOKUP($B503,'(勿動)組件目錄表'!$D$15:$R$1094,2,FALSE),"-")</f>
        <v>-</v>
      </c>
      <c r="D503" s="8" t="str">
        <f>IFERROR(VLOOKUP($B503,'(勿動)組件目錄表'!$D$15:$R$1094,3,FALSE),"-")</f>
        <v>-</v>
      </c>
      <c r="E503" s="9" t="str">
        <f>IFERROR(VLOOKUP($B503,'(勿動)組件目錄表'!$D$15:$R$1094,4,FALSE),"-")</f>
        <v>-</v>
      </c>
      <c r="F503" s="10" t="str">
        <f>IFERROR(VLOOKUP($B503,'(勿動)組件目錄表'!$D$15:$R$1094,5,FALSE),"-")</f>
        <v>-</v>
      </c>
      <c r="G503" s="11" t="str">
        <f>IFERROR(VLOOKUP($B503,'(勿動)組件目錄表'!$D$15:$R$1094,8,FALSE),"-")</f>
        <v>-</v>
      </c>
      <c r="H503" s="11" t="str">
        <f>IFERROR(VLOOKUP($B503,'(勿動)組件目錄表'!$D$15:$R$1094,9,FALSE),"-")</f>
        <v>-</v>
      </c>
      <c r="I503" s="11" t="str">
        <f>IFERROR(VLOOKUP($B503,'(勿動)組件目錄表'!$D$15:$R$1094,10,FALSE),"-")</f>
        <v>-</v>
      </c>
      <c r="J503" s="11" t="str">
        <f>IFERROR(VLOOKUP($B503,'(勿動)組件目錄表'!$D$15:$R$1094,11,FALSE),"-")</f>
        <v>-</v>
      </c>
      <c r="K503" s="11" t="str">
        <f>IFERROR(VLOOKUP($B503,'(勿動)組件目錄表'!$D$15:$R$1094,12,FALSE),"-")</f>
        <v>-</v>
      </c>
      <c r="L503" s="11" t="str">
        <f>IFERROR(VLOOKUP($B503,'(勿動)組件目錄表'!$D$15:$R$1094,13,FALSE),"-")</f>
        <v>-</v>
      </c>
      <c r="M503" s="11" t="str">
        <f>IFERROR(VLOOKUP($B503,'(勿動)組件目錄表'!$D$15:$R$1094,14,FALSE),"-")</f>
        <v>-</v>
      </c>
      <c r="N503" s="15">
        <f t="shared" si="2"/>
        <v>0</v>
      </c>
      <c r="O503" s="16"/>
    </row>
    <row r="504" spans="1:15" ht="15.75" customHeight="1">
      <c r="A504" s="18"/>
      <c r="B504" s="7"/>
      <c r="C504" s="8" t="str">
        <f>IFERROR(VLOOKUP($B504,'(勿動)組件目錄表'!$D$15:$R$1094,2,FALSE),"-")</f>
        <v>-</v>
      </c>
      <c r="D504" s="8" t="str">
        <f>IFERROR(VLOOKUP($B504,'(勿動)組件目錄表'!$D$15:$R$1094,3,FALSE),"-")</f>
        <v>-</v>
      </c>
      <c r="E504" s="9" t="str">
        <f>IFERROR(VLOOKUP($B504,'(勿動)組件目錄表'!$D$15:$R$1094,4,FALSE),"-")</f>
        <v>-</v>
      </c>
      <c r="F504" s="10" t="str">
        <f>IFERROR(VLOOKUP($B504,'(勿動)組件目錄表'!$D$15:$R$1094,5,FALSE),"-")</f>
        <v>-</v>
      </c>
      <c r="G504" s="11" t="str">
        <f>IFERROR(VLOOKUP($B504,'(勿動)組件目錄表'!$D$15:$R$1094,8,FALSE),"-")</f>
        <v>-</v>
      </c>
      <c r="H504" s="11" t="str">
        <f>IFERROR(VLOOKUP($B504,'(勿動)組件目錄表'!$D$15:$R$1094,9,FALSE),"-")</f>
        <v>-</v>
      </c>
      <c r="I504" s="11" t="str">
        <f>IFERROR(VLOOKUP($B504,'(勿動)組件目錄表'!$D$15:$R$1094,10,FALSE),"-")</f>
        <v>-</v>
      </c>
      <c r="J504" s="11" t="str">
        <f>IFERROR(VLOOKUP($B504,'(勿動)組件目錄表'!$D$15:$R$1094,11,FALSE),"-")</f>
        <v>-</v>
      </c>
      <c r="K504" s="11" t="str">
        <f>IFERROR(VLOOKUP($B504,'(勿動)組件目錄表'!$D$15:$R$1094,12,FALSE),"-")</f>
        <v>-</v>
      </c>
      <c r="L504" s="11" t="str">
        <f>IFERROR(VLOOKUP($B504,'(勿動)組件目錄表'!$D$15:$R$1094,13,FALSE),"-")</f>
        <v>-</v>
      </c>
      <c r="M504" s="11" t="str">
        <f>IFERROR(VLOOKUP($B504,'(勿動)組件目錄表'!$D$15:$R$1094,14,FALSE),"-")</f>
        <v>-</v>
      </c>
      <c r="N504" s="15">
        <f t="shared" si="2"/>
        <v>0</v>
      </c>
      <c r="O504" s="16"/>
    </row>
    <row r="505" spans="1:15" ht="15.75" customHeight="1">
      <c r="A505" s="18"/>
      <c r="B505" s="7"/>
      <c r="C505" s="8" t="str">
        <f>IFERROR(VLOOKUP($B505,'(勿動)組件目錄表'!$D$15:$R$1094,2,FALSE),"-")</f>
        <v>-</v>
      </c>
      <c r="D505" s="8" t="str">
        <f>IFERROR(VLOOKUP($B505,'(勿動)組件目錄表'!$D$15:$R$1094,3,FALSE),"-")</f>
        <v>-</v>
      </c>
      <c r="E505" s="9" t="str">
        <f>IFERROR(VLOOKUP($B505,'(勿動)組件目錄表'!$D$15:$R$1094,4,FALSE),"-")</f>
        <v>-</v>
      </c>
      <c r="F505" s="10" t="str">
        <f>IFERROR(VLOOKUP($B505,'(勿動)組件目錄表'!$D$15:$R$1094,5,FALSE),"-")</f>
        <v>-</v>
      </c>
      <c r="G505" s="11" t="str">
        <f>IFERROR(VLOOKUP($B505,'(勿動)組件目錄表'!$D$15:$R$1094,8,FALSE),"-")</f>
        <v>-</v>
      </c>
      <c r="H505" s="11" t="str">
        <f>IFERROR(VLOOKUP($B505,'(勿動)組件目錄表'!$D$15:$R$1094,9,FALSE),"-")</f>
        <v>-</v>
      </c>
      <c r="I505" s="11" t="str">
        <f>IFERROR(VLOOKUP($B505,'(勿動)組件目錄表'!$D$15:$R$1094,10,FALSE),"-")</f>
        <v>-</v>
      </c>
      <c r="J505" s="11" t="str">
        <f>IFERROR(VLOOKUP($B505,'(勿動)組件目錄表'!$D$15:$R$1094,11,FALSE),"-")</f>
        <v>-</v>
      </c>
      <c r="K505" s="11" t="str">
        <f>IFERROR(VLOOKUP($B505,'(勿動)組件目錄表'!$D$15:$R$1094,12,FALSE),"-")</f>
        <v>-</v>
      </c>
      <c r="L505" s="11" t="str">
        <f>IFERROR(VLOOKUP($B505,'(勿動)組件目錄表'!$D$15:$R$1094,13,FALSE),"-")</f>
        <v>-</v>
      </c>
      <c r="M505" s="11" t="str">
        <f>IFERROR(VLOOKUP($B505,'(勿動)組件目錄表'!$D$15:$R$1094,14,FALSE),"-")</f>
        <v>-</v>
      </c>
      <c r="N505" s="15">
        <f t="shared" si="2"/>
        <v>0</v>
      </c>
      <c r="O505" s="16"/>
    </row>
    <row r="506" spans="1:15" ht="15.75" customHeight="1">
      <c r="A506" s="18"/>
      <c r="B506" s="7"/>
      <c r="C506" s="8" t="str">
        <f>IFERROR(VLOOKUP($B506,'(勿動)組件目錄表'!$D$15:$R$1094,2,FALSE),"-")</f>
        <v>-</v>
      </c>
      <c r="D506" s="8" t="str">
        <f>IFERROR(VLOOKUP($B506,'(勿動)組件目錄表'!$D$15:$R$1094,3,FALSE),"-")</f>
        <v>-</v>
      </c>
      <c r="E506" s="9" t="str">
        <f>IFERROR(VLOOKUP($B506,'(勿動)組件目錄表'!$D$15:$R$1094,4,FALSE),"-")</f>
        <v>-</v>
      </c>
      <c r="F506" s="10" t="str">
        <f>IFERROR(VLOOKUP($B506,'(勿動)組件目錄表'!$D$15:$R$1094,5,FALSE),"-")</f>
        <v>-</v>
      </c>
      <c r="G506" s="11" t="str">
        <f>IFERROR(VLOOKUP($B506,'(勿動)組件目錄表'!$D$15:$R$1094,8,FALSE),"-")</f>
        <v>-</v>
      </c>
      <c r="H506" s="11" t="str">
        <f>IFERROR(VLOOKUP($B506,'(勿動)組件目錄表'!$D$15:$R$1094,9,FALSE),"-")</f>
        <v>-</v>
      </c>
      <c r="I506" s="11" t="str">
        <f>IFERROR(VLOOKUP($B506,'(勿動)組件目錄表'!$D$15:$R$1094,10,FALSE),"-")</f>
        <v>-</v>
      </c>
      <c r="J506" s="11" t="str">
        <f>IFERROR(VLOOKUP($B506,'(勿動)組件目錄表'!$D$15:$R$1094,11,FALSE),"-")</f>
        <v>-</v>
      </c>
      <c r="K506" s="11" t="str">
        <f>IFERROR(VLOOKUP($B506,'(勿動)組件目錄表'!$D$15:$R$1094,12,FALSE),"-")</f>
        <v>-</v>
      </c>
      <c r="L506" s="11" t="str">
        <f>IFERROR(VLOOKUP($B506,'(勿動)組件目錄表'!$D$15:$R$1094,13,FALSE),"-")</f>
        <v>-</v>
      </c>
      <c r="M506" s="11" t="str">
        <f>IFERROR(VLOOKUP($B506,'(勿動)組件目錄表'!$D$15:$R$1094,14,FALSE),"-")</f>
        <v>-</v>
      </c>
      <c r="N506" s="15">
        <f t="shared" si="2"/>
        <v>0</v>
      </c>
      <c r="O506" s="16"/>
    </row>
    <row r="507" spans="1:15" ht="15.75" customHeight="1">
      <c r="A507" s="18"/>
      <c r="B507" s="7"/>
      <c r="C507" s="8" t="str">
        <f>IFERROR(VLOOKUP($B507,'(勿動)組件目錄表'!$D$15:$R$1094,2,FALSE),"-")</f>
        <v>-</v>
      </c>
      <c r="D507" s="8" t="str">
        <f>IFERROR(VLOOKUP($B507,'(勿動)組件目錄表'!$D$15:$R$1094,3,FALSE),"-")</f>
        <v>-</v>
      </c>
      <c r="E507" s="9" t="str">
        <f>IFERROR(VLOOKUP($B507,'(勿動)組件目錄表'!$D$15:$R$1094,4,FALSE),"-")</f>
        <v>-</v>
      </c>
      <c r="F507" s="10" t="str">
        <f>IFERROR(VLOOKUP($B507,'(勿動)組件目錄表'!$D$15:$R$1094,5,FALSE),"-")</f>
        <v>-</v>
      </c>
      <c r="G507" s="11" t="str">
        <f>IFERROR(VLOOKUP($B507,'(勿動)組件目錄表'!$D$15:$R$1094,8,FALSE),"-")</f>
        <v>-</v>
      </c>
      <c r="H507" s="11" t="str">
        <f>IFERROR(VLOOKUP($B507,'(勿動)組件目錄表'!$D$15:$R$1094,9,FALSE),"-")</f>
        <v>-</v>
      </c>
      <c r="I507" s="11" t="str">
        <f>IFERROR(VLOOKUP($B507,'(勿動)組件目錄表'!$D$15:$R$1094,10,FALSE),"-")</f>
        <v>-</v>
      </c>
      <c r="J507" s="11" t="str">
        <f>IFERROR(VLOOKUP($B507,'(勿動)組件目錄表'!$D$15:$R$1094,11,FALSE),"-")</f>
        <v>-</v>
      </c>
      <c r="K507" s="11" t="str">
        <f>IFERROR(VLOOKUP($B507,'(勿動)組件目錄表'!$D$15:$R$1094,12,FALSE),"-")</f>
        <v>-</v>
      </c>
      <c r="L507" s="11" t="str">
        <f>IFERROR(VLOOKUP($B507,'(勿動)組件目錄表'!$D$15:$R$1094,13,FALSE),"-")</f>
        <v>-</v>
      </c>
      <c r="M507" s="11" t="str">
        <f>IFERROR(VLOOKUP($B507,'(勿動)組件目錄表'!$D$15:$R$1094,14,FALSE),"-")</f>
        <v>-</v>
      </c>
      <c r="N507" s="15">
        <f t="shared" si="2"/>
        <v>0</v>
      </c>
      <c r="O507" s="16"/>
    </row>
    <row r="508" spans="1:15" ht="15.75" customHeight="1">
      <c r="A508" s="18"/>
      <c r="B508" s="7"/>
      <c r="C508" s="8" t="str">
        <f>IFERROR(VLOOKUP($B508,'(勿動)組件目錄表'!$D$15:$R$1094,2,FALSE),"-")</f>
        <v>-</v>
      </c>
      <c r="D508" s="8" t="str">
        <f>IFERROR(VLOOKUP($B508,'(勿動)組件目錄表'!$D$15:$R$1094,3,FALSE),"-")</f>
        <v>-</v>
      </c>
      <c r="E508" s="9" t="str">
        <f>IFERROR(VLOOKUP($B508,'(勿動)組件目錄表'!$D$15:$R$1094,4,FALSE),"-")</f>
        <v>-</v>
      </c>
      <c r="F508" s="10" t="str">
        <f>IFERROR(VLOOKUP($B508,'(勿動)組件目錄表'!$D$15:$R$1094,5,FALSE),"-")</f>
        <v>-</v>
      </c>
      <c r="G508" s="11" t="str">
        <f>IFERROR(VLOOKUP($B508,'(勿動)組件目錄表'!$D$15:$R$1094,8,FALSE),"-")</f>
        <v>-</v>
      </c>
      <c r="H508" s="11" t="str">
        <f>IFERROR(VLOOKUP($B508,'(勿動)組件目錄表'!$D$15:$R$1094,9,FALSE),"-")</f>
        <v>-</v>
      </c>
      <c r="I508" s="11" t="str">
        <f>IFERROR(VLOOKUP($B508,'(勿動)組件目錄表'!$D$15:$R$1094,10,FALSE),"-")</f>
        <v>-</v>
      </c>
      <c r="J508" s="11" t="str">
        <f>IFERROR(VLOOKUP($B508,'(勿動)組件目錄表'!$D$15:$R$1094,11,FALSE),"-")</f>
        <v>-</v>
      </c>
      <c r="K508" s="11" t="str">
        <f>IFERROR(VLOOKUP($B508,'(勿動)組件目錄表'!$D$15:$R$1094,12,FALSE),"-")</f>
        <v>-</v>
      </c>
      <c r="L508" s="11" t="str">
        <f>IFERROR(VLOOKUP($B508,'(勿動)組件目錄表'!$D$15:$R$1094,13,FALSE),"-")</f>
        <v>-</v>
      </c>
      <c r="M508" s="11" t="str">
        <f>IFERROR(VLOOKUP($B508,'(勿動)組件目錄表'!$D$15:$R$1094,14,FALSE),"-")</f>
        <v>-</v>
      </c>
      <c r="N508" s="15">
        <f t="shared" si="2"/>
        <v>0</v>
      </c>
      <c r="O508" s="16"/>
    </row>
    <row r="509" spans="1:15" ht="15.75" customHeight="1">
      <c r="A509" s="18"/>
      <c r="B509" s="7"/>
      <c r="C509" s="8" t="str">
        <f>IFERROR(VLOOKUP($B509,'(勿動)組件目錄表'!$D$15:$R$1094,2,FALSE),"-")</f>
        <v>-</v>
      </c>
      <c r="D509" s="8" t="str">
        <f>IFERROR(VLOOKUP($B509,'(勿動)組件目錄表'!$D$15:$R$1094,3,FALSE),"-")</f>
        <v>-</v>
      </c>
      <c r="E509" s="9" t="str">
        <f>IFERROR(VLOOKUP($B509,'(勿動)組件目錄表'!$D$15:$R$1094,4,FALSE),"-")</f>
        <v>-</v>
      </c>
      <c r="F509" s="10" t="str">
        <f>IFERROR(VLOOKUP($B509,'(勿動)組件目錄表'!$D$15:$R$1094,5,FALSE),"-")</f>
        <v>-</v>
      </c>
      <c r="G509" s="11" t="str">
        <f>IFERROR(VLOOKUP($B509,'(勿動)組件目錄表'!$D$15:$R$1094,8,FALSE),"-")</f>
        <v>-</v>
      </c>
      <c r="H509" s="11" t="str">
        <f>IFERROR(VLOOKUP($B509,'(勿動)組件目錄表'!$D$15:$R$1094,9,FALSE),"-")</f>
        <v>-</v>
      </c>
      <c r="I509" s="11" t="str">
        <f>IFERROR(VLOOKUP($B509,'(勿動)組件目錄表'!$D$15:$R$1094,10,FALSE),"-")</f>
        <v>-</v>
      </c>
      <c r="J509" s="11" t="str">
        <f>IFERROR(VLOOKUP($B509,'(勿動)組件目錄表'!$D$15:$R$1094,11,FALSE),"-")</f>
        <v>-</v>
      </c>
      <c r="K509" s="11" t="str">
        <f>IFERROR(VLOOKUP($B509,'(勿動)組件目錄表'!$D$15:$R$1094,12,FALSE),"-")</f>
        <v>-</v>
      </c>
      <c r="L509" s="11" t="str">
        <f>IFERROR(VLOOKUP($B509,'(勿動)組件目錄表'!$D$15:$R$1094,13,FALSE),"-")</f>
        <v>-</v>
      </c>
      <c r="M509" s="11" t="str">
        <f>IFERROR(VLOOKUP($B509,'(勿動)組件目錄表'!$D$15:$R$1094,14,FALSE),"-")</f>
        <v>-</v>
      </c>
      <c r="N509" s="15">
        <f t="shared" si="2"/>
        <v>0</v>
      </c>
      <c r="O509" s="16"/>
    </row>
    <row r="510" spans="1:15" ht="15.75" customHeight="1">
      <c r="A510" s="18"/>
      <c r="B510" s="7"/>
      <c r="C510" s="8" t="str">
        <f>IFERROR(VLOOKUP($B510,'(勿動)組件目錄表'!$D$15:$R$1094,2,FALSE),"-")</f>
        <v>-</v>
      </c>
      <c r="D510" s="8" t="str">
        <f>IFERROR(VLOOKUP($B510,'(勿動)組件目錄表'!$D$15:$R$1094,3,FALSE),"-")</f>
        <v>-</v>
      </c>
      <c r="E510" s="9" t="str">
        <f>IFERROR(VLOOKUP($B510,'(勿動)組件目錄表'!$D$15:$R$1094,4,FALSE),"-")</f>
        <v>-</v>
      </c>
      <c r="F510" s="10" t="str">
        <f>IFERROR(VLOOKUP($B510,'(勿動)組件目錄表'!$D$15:$R$1094,5,FALSE),"-")</f>
        <v>-</v>
      </c>
      <c r="G510" s="11" t="str">
        <f>IFERROR(VLOOKUP($B510,'(勿動)組件目錄表'!$D$15:$R$1094,8,FALSE),"-")</f>
        <v>-</v>
      </c>
      <c r="H510" s="11" t="str">
        <f>IFERROR(VLOOKUP($B510,'(勿動)組件目錄表'!$D$15:$R$1094,9,FALSE),"-")</f>
        <v>-</v>
      </c>
      <c r="I510" s="11" t="str">
        <f>IFERROR(VLOOKUP($B510,'(勿動)組件目錄表'!$D$15:$R$1094,10,FALSE),"-")</f>
        <v>-</v>
      </c>
      <c r="J510" s="11" t="str">
        <f>IFERROR(VLOOKUP($B510,'(勿動)組件目錄表'!$D$15:$R$1094,11,FALSE),"-")</f>
        <v>-</v>
      </c>
      <c r="K510" s="11" t="str">
        <f>IFERROR(VLOOKUP($B510,'(勿動)組件目錄表'!$D$15:$R$1094,12,FALSE),"-")</f>
        <v>-</v>
      </c>
      <c r="L510" s="11" t="str">
        <f>IFERROR(VLOOKUP($B510,'(勿動)組件目錄表'!$D$15:$R$1094,13,FALSE),"-")</f>
        <v>-</v>
      </c>
      <c r="M510" s="11" t="str">
        <f>IFERROR(VLOOKUP($B510,'(勿動)組件目錄表'!$D$15:$R$1094,14,FALSE),"-")</f>
        <v>-</v>
      </c>
      <c r="N510" s="15">
        <f t="shared" si="2"/>
        <v>0</v>
      </c>
      <c r="O510" s="16"/>
    </row>
    <row r="511" spans="1:15" ht="15.75" customHeight="1">
      <c r="A511" s="18"/>
      <c r="B511" s="7"/>
      <c r="C511" s="8" t="str">
        <f>IFERROR(VLOOKUP($B511,'(勿動)組件目錄表'!$D$15:$R$1094,2,FALSE),"-")</f>
        <v>-</v>
      </c>
      <c r="D511" s="8" t="str">
        <f>IFERROR(VLOOKUP($B511,'(勿動)組件目錄表'!$D$15:$R$1094,3,FALSE),"-")</f>
        <v>-</v>
      </c>
      <c r="E511" s="9" t="str">
        <f>IFERROR(VLOOKUP($B511,'(勿動)組件目錄表'!$D$15:$R$1094,4,FALSE),"-")</f>
        <v>-</v>
      </c>
      <c r="F511" s="10" t="str">
        <f>IFERROR(VLOOKUP($B511,'(勿動)組件目錄表'!$D$15:$R$1094,5,FALSE),"-")</f>
        <v>-</v>
      </c>
      <c r="G511" s="11" t="str">
        <f>IFERROR(VLOOKUP($B511,'(勿動)組件目錄表'!$D$15:$R$1094,8,FALSE),"-")</f>
        <v>-</v>
      </c>
      <c r="H511" s="11" t="str">
        <f>IFERROR(VLOOKUP($B511,'(勿動)組件目錄表'!$D$15:$R$1094,9,FALSE),"-")</f>
        <v>-</v>
      </c>
      <c r="I511" s="11" t="str">
        <f>IFERROR(VLOOKUP($B511,'(勿動)組件目錄表'!$D$15:$R$1094,10,FALSE),"-")</f>
        <v>-</v>
      </c>
      <c r="J511" s="11" t="str">
        <f>IFERROR(VLOOKUP($B511,'(勿動)組件目錄表'!$D$15:$R$1094,11,FALSE),"-")</f>
        <v>-</v>
      </c>
      <c r="K511" s="11" t="str">
        <f>IFERROR(VLOOKUP($B511,'(勿動)組件目錄表'!$D$15:$R$1094,12,FALSE),"-")</f>
        <v>-</v>
      </c>
      <c r="L511" s="11" t="str">
        <f>IFERROR(VLOOKUP($B511,'(勿動)組件目錄表'!$D$15:$R$1094,13,FALSE),"-")</f>
        <v>-</v>
      </c>
      <c r="M511" s="11" t="str">
        <f>IFERROR(VLOOKUP($B511,'(勿動)組件目錄表'!$D$15:$R$1094,14,FALSE),"-")</f>
        <v>-</v>
      </c>
      <c r="N511" s="15">
        <f t="shared" si="2"/>
        <v>0</v>
      </c>
      <c r="O511" s="16"/>
    </row>
    <row r="512" spans="1:15" ht="15.75" customHeight="1">
      <c r="A512" s="18"/>
      <c r="B512" s="7"/>
      <c r="C512" s="8" t="str">
        <f>IFERROR(VLOOKUP($B512,'(勿動)組件目錄表'!$D$15:$R$1094,2,FALSE),"-")</f>
        <v>-</v>
      </c>
      <c r="D512" s="8" t="str">
        <f>IFERROR(VLOOKUP($B512,'(勿動)組件目錄表'!$D$15:$R$1094,3,FALSE),"-")</f>
        <v>-</v>
      </c>
      <c r="E512" s="9" t="str">
        <f>IFERROR(VLOOKUP($B512,'(勿動)組件目錄表'!$D$15:$R$1094,4,FALSE),"-")</f>
        <v>-</v>
      </c>
      <c r="F512" s="10" t="str">
        <f>IFERROR(VLOOKUP($B512,'(勿動)組件目錄表'!$D$15:$R$1094,5,FALSE),"-")</f>
        <v>-</v>
      </c>
      <c r="G512" s="11" t="str">
        <f>IFERROR(VLOOKUP($B512,'(勿動)組件目錄表'!$D$15:$R$1094,8,FALSE),"-")</f>
        <v>-</v>
      </c>
      <c r="H512" s="11" t="str">
        <f>IFERROR(VLOOKUP($B512,'(勿動)組件目錄表'!$D$15:$R$1094,9,FALSE),"-")</f>
        <v>-</v>
      </c>
      <c r="I512" s="11" t="str">
        <f>IFERROR(VLOOKUP($B512,'(勿動)組件目錄表'!$D$15:$R$1094,10,FALSE),"-")</f>
        <v>-</v>
      </c>
      <c r="J512" s="11" t="str">
        <f>IFERROR(VLOOKUP($B512,'(勿動)組件目錄表'!$D$15:$R$1094,11,FALSE),"-")</f>
        <v>-</v>
      </c>
      <c r="K512" s="11" t="str">
        <f>IFERROR(VLOOKUP($B512,'(勿動)組件目錄表'!$D$15:$R$1094,12,FALSE),"-")</f>
        <v>-</v>
      </c>
      <c r="L512" s="11" t="str">
        <f>IFERROR(VLOOKUP($B512,'(勿動)組件目錄表'!$D$15:$R$1094,13,FALSE),"-")</f>
        <v>-</v>
      </c>
      <c r="M512" s="11" t="str">
        <f>IFERROR(VLOOKUP($B512,'(勿動)組件目錄表'!$D$15:$R$1094,14,FALSE),"-")</f>
        <v>-</v>
      </c>
      <c r="N512" s="15">
        <f t="shared" si="2"/>
        <v>0</v>
      </c>
      <c r="O512" s="16"/>
    </row>
    <row r="513" spans="1:15" ht="15.75" customHeight="1">
      <c r="A513" s="18"/>
      <c r="B513" s="7"/>
      <c r="C513" s="8" t="str">
        <f>IFERROR(VLOOKUP($B513,'(勿動)組件目錄表'!$D$15:$R$1094,2,FALSE),"-")</f>
        <v>-</v>
      </c>
      <c r="D513" s="8" t="str">
        <f>IFERROR(VLOOKUP($B513,'(勿動)組件目錄表'!$D$15:$R$1094,3,FALSE),"-")</f>
        <v>-</v>
      </c>
      <c r="E513" s="9" t="str">
        <f>IFERROR(VLOOKUP($B513,'(勿動)組件目錄表'!$D$15:$R$1094,4,FALSE),"-")</f>
        <v>-</v>
      </c>
      <c r="F513" s="10" t="str">
        <f>IFERROR(VLOOKUP($B513,'(勿動)組件目錄表'!$D$15:$R$1094,5,FALSE),"-")</f>
        <v>-</v>
      </c>
      <c r="G513" s="11" t="str">
        <f>IFERROR(VLOOKUP($B513,'(勿動)組件目錄表'!$D$15:$R$1094,8,FALSE),"-")</f>
        <v>-</v>
      </c>
      <c r="H513" s="11" t="str">
        <f>IFERROR(VLOOKUP($B513,'(勿動)組件目錄表'!$D$15:$R$1094,9,FALSE),"-")</f>
        <v>-</v>
      </c>
      <c r="I513" s="11" t="str">
        <f>IFERROR(VLOOKUP($B513,'(勿動)組件目錄表'!$D$15:$R$1094,10,FALSE),"-")</f>
        <v>-</v>
      </c>
      <c r="J513" s="11" t="str">
        <f>IFERROR(VLOOKUP($B513,'(勿動)組件目錄表'!$D$15:$R$1094,11,FALSE),"-")</f>
        <v>-</v>
      </c>
      <c r="K513" s="11" t="str">
        <f>IFERROR(VLOOKUP($B513,'(勿動)組件目錄表'!$D$15:$R$1094,12,FALSE),"-")</f>
        <v>-</v>
      </c>
      <c r="L513" s="11" t="str">
        <f>IFERROR(VLOOKUP($B513,'(勿動)組件目錄表'!$D$15:$R$1094,13,FALSE),"-")</f>
        <v>-</v>
      </c>
      <c r="M513" s="11" t="str">
        <f>IFERROR(VLOOKUP($B513,'(勿動)組件目錄表'!$D$15:$R$1094,14,FALSE),"-")</f>
        <v>-</v>
      </c>
      <c r="N513" s="15">
        <f t="shared" si="2"/>
        <v>0</v>
      </c>
      <c r="O513" s="16"/>
    </row>
    <row r="514" spans="1:15" ht="15.75" customHeight="1">
      <c r="A514" s="18"/>
      <c r="B514" s="7"/>
      <c r="C514" s="8" t="str">
        <f>IFERROR(VLOOKUP($B514,'(勿動)組件目錄表'!$D$15:$R$1094,2,FALSE),"-")</f>
        <v>-</v>
      </c>
      <c r="D514" s="8" t="str">
        <f>IFERROR(VLOOKUP($B514,'(勿動)組件目錄表'!$D$15:$R$1094,3,FALSE),"-")</f>
        <v>-</v>
      </c>
      <c r="E514" s="9" t="str">
        <f>IFERROR(VLOOKUP($B514,'(勿動)組件目錄表'!$D$15:$R$1094,4,FALSE),"-")</f>
        <v>-</v>
      </c>
      <c r="F514" s="10" t="str">
        <f>IFERROR(VLOOKUP($B514,'(勿動)組件目錄表'!$D$15:$R$1094,5,FALSE),"-")</f>
        <v>-</v>
      </c>
      <c r="G514" s="11" t="str">
        <f>IFERROR(VLOOKUP($B514,'(勿動)組件目錄表'!$D$15:$R$1094,8,FALSE),"-")</f>
        <v>-</v>
      </c>
      <c r="H514" s="11" t="str">
        <f>IFERROR(VLOOKUP($B514,'(勿動)組件目錄表'!$D$15:$R$1094,9,FALSE),"-")</f>
        <v>-</v>
      </c>
      <c r="I514" s="11" t="str">
        <f>IFERROR(VLOOKUP($B514,'(勿動)組件目錄表'!$D$15:$R$1094,10,FALSE),"-")</f>
        <v>-</v>
      </c>
      <c r="J514" s="11" t="str">
        <f>IFERROR(VLOOKUP($B514,'(勿動)組件目錄表'!$D$15:$R$1094,11,FALSE),"-")</f>
        <v>-</v>
      </c>
      <c r="K514" s="11" t="str">
        <f>IFERROR(VLOOKUP($B514,'(勿動)組件目錄表'!$D$15:$R$1094,12,FALSE),"-")</f>
        <v>-</v>
      </c>
      <c r="L514" s="11" t="str">
        <f>IFERROR(VLOOKUP($B514,'(勿動)組件目錄表'!$D$15:$R$1094,13,FALSE),"-")</f>
        <v>-</v>
      </c>
      <c r="M514" s="11" t="str">
        <f>IFERROR(VLOOKUP($B514,'(勿動)組件目錄表'!$D$15:$R$1094,14,FALSE),"-")</f>
        <v>-</v>
      </c>
      <c r="N514" s="15">
        <f t="shared" si="2"/>
        <v>0</v>
      </c>
      <c r="O514" s="16"/>
    </row>
    <row r="515" spans="1:15" ht="15.75" customHeight="1">
      <c r="A515" s="18"/>
      <c r="B515" s="7"/>
      <c r="C515" s="8" t="str">
        <f>IFERROR(VLOOKUP($B515,'(勿動)組件目錄表'!$D$15:$R$1094,2,FALSE),"-")</f>
        <v>-</v>
      </c>
      <c r="D515" s="8" t="str">
        <f>IFERROR(VLOOKUP($B515,'(勿動)組件目錄表'!$D$15:$R$1094,3,FALSE),"-")</f>
        <v>-</v>
      </c>
      <c r="E515" s="9" t="str">
        <f>IFERROR(VLOOKUP($B515,'(勿動)組件目錄表'!$D$15:$R$1094,4,FALSE),"-")</f>
        <v>-</v>
      </c>
      <c r="F515" s="10" t="str">
        <f>IFERROR(VLOOKUP($B515,'(勿動)組件目錄表'!$D$15:$R$1094,5,FALSE),"-")</f>
        <v>-</v>
      </c>
      <c r="G515" s="11" t="str">
        <f>IFERROR(VLOOKUP($B515,'(勿動)組件目錄表'!$D$15:$R$1094,8,FALSE),"-")</f>
        <v>-</v>
      </c>
      <c r="H515" s="11" t="str">
        <f>IFERROR(VLOOKUP($B515,'(勿動)組件目錄表'!$D$15:$R$1094,9,FALSE),"-")</f>
        <v>-</v>
      </c>
      <c r="I515" s="11" t="str">
        <f>IFERROR(VLOOKUP($B515,'(勿動)組件目錄表'!$D$15:$R$1094,10,FALSE),"-")</f>
        <v>-</v>
      </c>
      <c r="J515" s="11" t="str">
        <f>IFERROR(VLOOKUP($B515,'(勿動)組件目錄表'!$D$15:$R$1094,11,FALSE),"-")</f>
        <v>-</v>
      </c>
      <c r="K515" s="11" t="str">
        <f>IFERROR(VLOOKUP($B515,'(勿動)組件目錄表'!$D$15:$R$1094,12,FALSE),"-")</f>
        <v>-</v>
      </c>
      <c r="L515" s="11" t="str">
        <f>IFERROR(VLOOKUP($B515,'(勿動)組件目錄表'!$D$15:$R$1094,13,FALSE),"-")</f>
        <v>-</v>
      </c>
      <c r="M515" s="11" t="str">
        <f>IFERROR(VLOOKUP($B515,'(勿動)組件目錄表'!$D$15:$R$1094,14,FALSE),"-")</f>
        <v>-</v>
      </c>
      <c r="N515" s="15">
        <f t="shared" si="2"/>
        <v>0</v>
      </c>
      <c r="O515" s="16"/>
    </row>
    <row r="516" spans="1:15" ht="15.75" customHeight="1">
      <c r="A516" s="18"/>
      <c r="B516" s="7"/>
      <c r="C516" s="8" t="str">
        <f>IFERROR(VLOOKUP($B516,'(勿動)組件目錄表'!$D$15:$R$1094,2,FALSE),"-")</f>
        <v>-</v>
      </c>
      <c r="D516" s="8" t="str">
        <f>IFERROR(VLOOKUP($B516,'(勿動)組件目錄表'!$D$15:$R$1094,3,FALSE),"-")</f>
        <v>-</v>
      </c>
      <c r="E516" s="9" t="str">
        <f>IFERROR(VLOOKUP($B516,'(勿動)組件目錄表'!$D$15:$R$1094,4,FALSE),"-")</f>
        <v>-</v>
      </c>
      <c r="F516" s="10" t="str">
        <f>IFERROR(VLOOKUP($B516,'(勿動)組件目錄表'!$D$15:$R$1094,5,FALSE),"-")</f>
        <v>-</v>
      </c>
      <c r="G516" s="11" t="str">
        <f>IFERROR(VLOOKUP($B516,'(勿動)組件目錄表'!$D$15:$R$1094,8,FALSE),"-")</f>
        <v>-</v>
      </c>
      <c r="H516" s="11" t="str">
        <f>IFERROR(VLOOKUP($B516,'(勿動)組件目錄表'!$D$15:$R$1094,9,FALSE),"-")</f>
        <v>-</v>
      </c>
      <c r="I516" s="11" t="str">
        <f>IFERROR(VLOOKUP($B516,'(勿動)組件目錄表'!$D$15:$R$1094,10,FALSE),"-")</f>
        <v>-</v>
      </c>
      <c r="J516" s="11" t="str">
        <f>IFERROR(VLOOKUP($B516,'(勿動)組件目錄表'!$D$15:$R$1094,11,FALSE),"-")</f>
        <v>-</v>
      </c>
      <c r="K516" s="11" t="str">
        <f>IFERROR(VLOOKUP($B516,'(勿動)組件目錄表'!$D$15:$R$1094,12,FALSE),"-")</f>
        <v>-</v>
      </c>
      <c r="L516" s="11" t="str">
        <f>IFERROR(VLOOKUP($B516,'(勿動)組件目錄表'!$D$15:$R$1094,13,FALSE),"-")</f>
        <v>-</v>
      </c>
      <c r="M516" s="11" t="str">
        <f>IFERROR(VLOOKUP($B516,'(勿動)組件目錄表'!$D$15:$R$1094,14,FALSE),"-")</f>
        <v>-</v>
      </c>
      <c r="N516" s="15">
        <f t="shared" si="2"/>
        <v>0</v>
      </c>
      <c r="O516" s="16"/>
    </row>
    <row r="517" spans="1:15" ht="15.75" customHeight="1">
      <c r="A517" s="18"/>
      <c r="B517" s="7"/>
      <c r="C517" s="8" t="str">
        <f>IFERROR(VLOOKUP($B517,'(勿動)組件目錄表'!$D$15:$R$1094,2,FALSE),"-")</f>
        <v>-</v>
      </c>
      <c r="D517" s="8" t="str">
        <f>IFERROR(VLOOKUP($B517,'(勿動)組件目錄表'!$D$15:$R$1094,3,FALSE),"-")</f>
        <v>-</v>
      </c>
      <c r="E517" s="9" t="str">
        <f>IFERROR(VLOOKUP($B517,'(勿動)組件目錄表'!$D$15:$R$1094,4,FALSE),"-")</f>
        <v>-</v>
      </c>
      <c r="F517" s="10" t="str">
        <f>IFERROR(VLOOKUP($B517,'(勿動)組件目錄表'!$D$15:$R$1094,5,FALSE),"-")</f>
        <v>-</v>
      </c>
      <c r="G517" s="11" t="str">
        <f>IFERROR(VLOOKUP($B517,'(勿動)組件目錄表'!$D$15:$R$1094,8,FALSE),"-")</f>
        <v>-</v>
      </c>
      <c r="H517" s="11" t="str">
        <f>IFERROR(VLOOKUP($B517,'(勿動)組件目錄表'!$D$15:$R$1094,9,FALSE),"-")</f>
        <v>-</v>
      </c>
      <c r="I517" s="11" t="str">
        <f>IFERROR(VLOOKUP($B517,'(勿動)組件目錄表'!$D$15:$R$1094,10,FALSE),"-")</f>
        <v>-</v>
      </c>
      <c r="J517" s="11" t="str">
        <f>IFERROR(VLOOKUP($B517,'(勿動)組件目錄表'!$D$15:$R$1094,11,FALSE),"-")</f>
        <v>-</v>
      </c>
      <c r="K517" s="11" t="str">
        <f>IFERROR(VLOOKUP($B517,'(勿動)組件目錄表'!$D$15:$R$1094,12,FALSE),"-")</f>
        <v>-</v>
      </c>
      <c r="L517" s="11" t="str">
        <f>IFERROR(VLOOKUP($B517,'(勿動)組件目錄表'!$D$15:$R$1094,13,FALSE),"-")</f>
        <v>-</v>
      </c>
      <c r="M517" s="11" t="str">
        <f>IFERROR(VLOOKUP($B517,'(勿動)組件目錄表'!$D$15:$R$1094,14,FALSE),"-")</f>
        <v>-</v>
      </c>
      <c r="N517" s="15">
        <f t="shared" si="2"/>
        <v>0</v>
      </c>
      <c r="O517" s="16"/>
    </row>
    <row r="518" spans="1:15" ht="15.75" customHeight="1">
      <c r="A518" s="18"/>
      <c r="B518" s="7"/>
      <c r="C518" s="8" t="str">
        <f>IFERROR(VLOOKUP($B518,'(勿動)組件目錄表'!$D$15:$R$1094,2,FALSE),"-")</f>
        <v>-</v>
      </c>
      <c r="D518" s="8" t="str">
        <f>IFERROR(VLOOKUP($B518,'(勿動)組件目錄表'!$D$15:$R$1094,3,FALSE),"-")</f>
        <v>-</v>
      </c>
      <c r="E518" s="9" t="str">
        <f>IFERROR(VLOOKUP($B518,'(勿動)組件目錄表'!$D$15:$R$1094,4,FALSE),"-")</f>
        <v>-</v>
      </c>
      <c r="F518" s="10" t="str">
        <f>IFERROR(VLOOKUP($B518,'(勿動)組件目錄表'!$D$15:$R$1094,5,FALSE),"-")</f>
        <v>-</v>
      </c>
      <c r="G518" s="11" t="str">
        <f>IFERROR(VLOOKUP($B518,'(勿動)組件目錄表'!$D$15:$R$1094,8,FALSE),"-")</f>
        <v>-</v>
      </c>
      <c r="H518" s="11" t="str">
        <f>IFERROR(VLOOKUP($B518,'(勿動)組件目錄表'!$D$15:$R$1094,9,FALSE),"-")</f>
        <v>-</v>
      </c>
      <c r="I518" s="11" t="str">
        <f>IFERROR(VLOOKUP($B518,'(勿動)組件目錄表'!$D$15:$R$1094,10,FALSE),"-")</f>
        <v>-</v>
      </c>
      <c r="J518" s="11" t="str">
        <f>IFERROR(VLOOKUP($B518,'(勿動)組件目錄表'!$D$15:$R$1094,11,FALSE),"-")</f>
        <v>-</v>
      </c>
      <c r="K518" s="11" t="str">
        <f>IFERROR(VLOOKUP($B518,'(勿動)組件目錄表'!$D$15:$R$1094,12,FALSE),"-")</f>
        <v>-</v>
      </c>
      <c r="L518" s="11" t="str">
        <f>IFERROR(VLOOKUP($B518,'(勿動)組件目錄表'!$D$15:$R$1094,13,FALSE),"-")</f>
        <v>-</v>
      </c>
      <c r="M518" s="11" t="str">
        <f>IFERROR(VLOOKUP($B518,'(勿動)組件目錄表'!$D$15:$R$1094,14,FALSE),"-")</f>
        <v>-</v>
      </c>
      <c r="N518" s="15">
        <f t="shared" si="2"/>
        <v>0</v>
      </c>
      <c r="O518" s="16"/>
    </row>
    <row r="519" spans="1:15" ht="15.75" customHeight="1">
      <c r="A519" s="18"/>
      <c r="B519" s="7"/>
      <c r="C519" s="8" t="str">
        <f>IFERROR(VLOOKUP($B519,'(勿動)組件目錄表'!$D$15:$R$1094,2,FALSE),"-")</f>
        <v>-</v>
      </c>
      <c r="D519" s="8" t="str">
        <f>IFERROR(VLOOKUP($B519,'(勿動)組件目錄表'!$D$15:$R$1094,3,FALSE),"-")</f>
        <v>-</v>
      </c>
      <c r="E519" s="9" t="str">
        <f>IFERROR(VLOOKUP($B519,'(勿動)組件目錄表'!$D$15:$R$1094,4,FALSE),"-")</f>
        <v>-</v>
      </c>
      <c r="F519" s="10" t="str">
        <f>IFERROR(VLOOKUP($B519,'(勿動)組件目錄表'!$D$15:$R$1094,5,FALSE),"-")</f>
        <v>-</v>
      </c>
      <c r="G519" s="11" t="str">
        <f>IFERROR(VLOOKUP($B519,'(勿動)組件目錄表'!$D$15:$R$1094,8,FALSE),"-")</f>
        <v>-</v>
      </c>
      <c r="H519" s="11" t="str">
        <f>IFERROR(VLOOKUP($B519,'(勿動)組件目錄表'!$D$15:$R$1094,9,FALSE),"-")</f>
        <v>-</v>
      </c>
      <c r="I519" s="11" t="str">
        <f>IFERROR(VLOOKUP($B519,'(勿動)組件目錄表'!$D$15:$R$1094,10,FALSE),"-")</f>
        <v>-</v>
      </c>
      <c r="J519" s="11" t="str">
        <f>IFERROR(VLOOKUP($B519,'(勿動)組件目錄表'!$D$15:$R$1094,11,FALSE),"-")</f>
        <v>-</v>
      </c>
      <c r="K519" s="11" t="str">
        <f>IFERROR(VLOOKUP($B519,'(勿動)組件目錄表'!$D$15:$R$1094,12,FALSE),"-")</f>
        <v>-</v>
      </c>
      <c r="L519" s="11" t="str">
        <f>IFERROR(VLOOKUP($B519,'(勿動)組件目錄表'!$D$15:$R$1094,13,FALSE),"-")</f>
        <v>-</v>
      </c>
      <c r="M519" s="11" t="str">
        <f>IFERROR(VLOOKUP($B519,'(勿動)組件目錄表'!$D$15:$R$1094,14,FALSE),"-")</f>
        <v>-</v>
      </c>
      <c r="N519" s="15">
        <f t="shared" si="2"/>
        <v>0</v>
      </c>
      <c r="O519" s="16"/>
    </row>
    <row r="520" spans="1:15" ht="15.75" customHeight="1">
      <c r="A520" s="18"/>
      <c r="B520" s="7"/>
      <c r="C520" s="8" t="str">
        <f>IFERROR(VLOOKUP($B520,'(勿動)組件目錄表'!$D$15:$R$1094,2,FALSE),"-")</f>
        <v>-</v>
      </c>
      <c r="D520" s="8" t="str">
        <f>IFERROR(VLOOKUP($B520,'(勿動)組件目錄表'!$D$15:$R$1094,3,FALSE),"-")</f>
        <v>-</v>
      </c>
      <c r="E520" s="9" t="str">
        <f>IFERROR(VLOOKUP($B520,'(勿動)組件目錄表'!$D$15:$R$1094,4,FALSE),"-")</f>
        <v>-</v>
      </c>
      <c r="F520" s="10" t="str">
        <f>IFERROR(VLOOKUP($B520,'(勿動)組件目錄表'!$D$15:$R$1094,5,FALSE),"-")</f>
        <v>-</v>
      </c>
      <c r="G520" s="11" t="str">
        <f>IFERROR(VLOOKUP($B520,'(勿動)組件目錄表'!$D$15:$R$1094,8,FALSE),"-")</f>
        <v>-</v>
      </c>
      <c r="H520" s="11" t="str">
        <f>IFERROR(VLOOKUP($B520,'(勿動)組件目錄表'!$D$15:$R$1094,9,FALSE),"-")</f>
        <v>-</v>
      </c>
      <c r="I520" s="11" t="str">
        <f>IFERROR(VLOOKUP($B520,'(勿動)組件目錄表'!$D$15:$R$1094,10,FALSE),"-")</f>
        <v>-</v>
      </c>
      <c r="J520" s="11" t="str">
        <f>IFERROR(VLOOKUP($B520,'(勿動)組件目錄表'!$D$15:$R$1094,11,FALSE),"-")</f>
        <v>-</v>
      </c>
      <c r="K520" s="11" t="str">
        <f>IFERROR(VLOOKUP($B520,'(勿動)組件目錄表'!$D$15:$R$1094,12,FALSE),"-")</f>
        <v>-</v>
      </c>
      <c r="L520" s="11" t="str">
        <f>IFERROR(VLOOKUP($B520,'(勿動)組件目錄表'!$D$15:$R$1094,13,FALSE),"-")</f>
        <v>-</v>
      </c>
      <c r="M520" s="11" t="str">
        <f>IFERROR(VLOOKUP($B520,'(勿動)組件目錄表'!$D$15:$R$1094,14,FALSE),"-")</f>
        <v>-</v>
      </c>
      <c r="N520" s="15">
        <f t="shared" si="2"/>
        <v>0</v>
      </c>
      <c r="O520" s="16"/>
    </row>
    <row r="521" spans="1:15" ht="15.75" customHeight="1">
      <c r="A521" s="18"/>
      <c r="B521" s="7"/>
      <c r="C521" s="8" t="str">
        <f>IFERROR(VLOOKUP($B521,'(勿動)組件目錄表'!$D$15:$R$1094,2,FALSE),"-")</f>
        <v>-</v>
      </c>
      <c r="D521" s="8" t="str">
        <f>IFERROR(VLOOKUP($B521,'(勿動)組件目錄表'!$D$15:$R$1094,3,FALSE),"-")</f>
        <v>-</v>
      </c>
      <c r="E521" s="9" t="str">
        <f>IFERROR(VLOOKUP($B521,'(勿動)組件目錄表'!$D$15:$R$1094,4,FALSE),"-")</f>
        <v>-</v>
      </c>
      <c r="F521" s="10" t="str">
        <f>IFERROR(VLOOKUP($B521,'(勿動)組件目錄表'!$D$15:$R$1094,5,FALSE),"-")</f>
        <v>-</v>
      </c>
      <c r="G521" s="11" t="str">
        <f>IFERROR(VLOOKUP($B521,'(勿動)組件目錄表'!$D$15:$R$1094,8,FALSE),"-")</f>
        <v>-</v>
      </c>
      <c r="H521" s="11" t="str">
        <f>IFERROR(VLOOKUP($B521,'(勿動)組件目錄表'!$D$15:$R$1094,9,FALSE),"-")</f>
        <v>-</v>
      </c>
      <c r="I521" s="11" t="str">
        <f>IFERROR(VLOOKUP($B521,'(勿動)組件目錄表'!$D$15:$R$1094,10,FALSE),"-")</f>
        <v>-</v>
      </c>
      <c r="J521" s="11" t="str">
        <f>IFERROR(VLOOKUP($B521,'(勿動)組件目錄表'!$D$15:$R$1094,11,FALSE),"-")</f>
        <v>-</v>
      </c>
      <c r="K521" s="11" t="str">
        <f>IFERROR(VLOOKUP($B521,'(勿動)組件目錄表'!$D$15:$R$1094,12,FALSE),"-")</f>
        <v>-</v>
      </c>
      <c r="L521" s="11" t="str">
        <f>IFERROR(VLOOKUP($B521,'(勿動)組件目錄表'!$D$15:$R$1094,13,FALSE),"-")</f>
        <v>-</v>
      </c>
      <c r="M521" s="11" t="str">
        <f>IFERROR(VLOOKUP($B521,'(勿動)組件目錄表'!$D$15:$R$1094,14,FALSE),"-")</f>
        <v>-</v>
      </c>
      <c r="N521" s="15">
        <f t="shared" si="2"/>
        <v>0</v>
      </c>
      <c r="O521" s="16"/>
    </row>
    <row r="522" spans="1:15" ht="15.75" customHeight="1">
      <c r="A522" s="18"/>
      <c r="B522" s="7"/>
      <c r="C522" s="8" t="str">
        <f>IFERROR(VLOOKUP($B522,'(勿動)組件目錄表'!$D$15:$R$1094,2,FALSE),"-")</f>
        <v>-</v>
      </c>
      <c r="D522" s="8" t="str">
        <f>IFERROR(VLOOKUP($B522,'(勿動)組件目錄表'!$D$15:$R$1094,3,FALSE),"-")</f>
        <v>-</v>
      </c>
      <c r="E522" s="9" t="str">
        <f>IFERROR(VLOOKUP($B522,'(勿動)組件目錄表'!$D$15:$R$1094,4,FALSE),"-")</f>
        <v>-</v>
      </c>
      <c r="F522" s="10" t="str">
        <f>IFERROR(VLOOKUP($B522,'(勿動)組件目錄表'!$D$15:$R$1094,5,FALSE),"-")</f>
        <v>-</v>
      </c>
      <c r="G522" s="11" t="str">
        <f>IFERROR(VLOOKUP($B522,'(勿動)組件目錄表'!$D$15:$R$1094,8,FALSE),"-")</f>
        <v>-</v>
      </c>
      <c r="H522" s="11" t="str">
        <f>IFERROR(VLOOKUP($B522,'(勿動)組件目錄表'!$D$15:$R$1094,9,FALSE),"-")</f>
        <v>-</v>
      </c>
      <c r="I522" s="11" t="str">
        <f>IFERROR(VLOOKUP($B522,'(勿動)組件目錄表'!$D$15:$R$1094,10,FALSE),"-")</f>
        <v>-</v>
      </c>
      <c r="J522" s="11" t="str">
        <f>IFERROR(VLOOKUP($B522,'(勿動)組件目錄表'!$D$15:$R$1094,11,FALSE),"-")</f>
        <v>-</v>
      </c>
      <c r="K522" s="11" t="str">
        <f>IFERROR(VLOOKUP($B522,'(勿動)組件目錄表'!$D$15:$R$1094,12,FALSE),"-")</f>
        <v>-</v>
      </c>
      <c r="L522" s="11" t="str">
        <f>IFERROR(VLOOKUP($B522,'(勿動)組件目錄表'!$D$15:$R$1094,13,FALSE),"-")</f>
        <v>-</v>
      </c>
      <c r="M522" s="11" t="str">
        <f>IFERROR(VLOOKUP($B522,'(勿動)組件目錄表'!$D$15:$R$1094,14,FALSE),"-")</f>
        <v>-</v>
      </c>
      <c r="N522" s="15">
        <f t="shared" si="2"/>
        <v>0</v>
      </c>
      <c r="O522" s="16"/>
    </row>
    <row r="523" spans="1:15" ht="15.75" customHeight="1">
      <c r="A523" s="18"/>
      <c r="B523" s="7"/>
      <c r="C523" s="8" t="str">
        <f>IFERROR(VLOOKUP($B523,'(勿動)組件目錄表'!$D$15:$R$1094,2,FALSE),"-")</f>
        <v>-</v>
      </c>
      <c r="D523" s="8" t="str">
        <f>IFERROR(VLOOKUP($B523,'(勿動)組件目錄表'!$D$15:$R$1094,3,FALSE),"-")</f>
        <v>-</v>
      </c>
      <c r="E523" s="9" t="str">
        <f>IFERROR(VLOOKUP($B523,'(勿動)組件目錄表'!$D$15:$R$1094,4,FALSE),"-")</f>
        <v>-</v>
      </c>
      <c r="F523" s="10" t="str">
        <f>IFERROR(VLOOKUP($B523,'(勿動)組件目錄表'!$D$15:$R$1094,5,FALSE),"-")</f>
        <v>-</v>
      </c>
      <c r="G523" s="11" t="str">
        <f>IFERROR(VLOOKUP($B523,'(勿動)組件目錄表'!$D$15:$R$1094,8,FALSE),"-")</f>
        <v>-</v>
      </c>
      <c r="H523" s="11" t="str">
        <f>IFERROR(VLOOKUP($B523,'(勿動)組件目錄表'!$D$15:$R$1094,9,FALSE),"-")</f>
        <v>-</v>
      </c>
      <c r="I523" s="11" t="str">
        <f>IFERROR(VLOOKUP($B523,'(勿動)組件目錄表'!$D$15:$R$1094,10,FALSE),"-")</f>
        <v>-</v>
      </c>
      <c r="J523" s="11" t="str">
        <f>IFERROR(VLOOKUP($B523,'(勿動)組件目錄表'!$D$15:$R$1094,11,FALSE),"-")</f>
        <v>-</v>
      </c>
      <c r="K523" s="11" t="str">
        <f>IFERROR(VLOOKUP($B523,'(勿動)組件目錄表'!$D$15:$R$1094,12,FALSE),"-")</f>
        <v>-</v>
      </c>
      <c r="L523" s="11" t="str">
        <f>IFERROR(VLOOKUP($B523,'(勿動)組件目錄表'!$D$15:$R$1094,13,FALSE),"-")</f>
        <v>-</v>
      </c>
      <c r="M523" s="11" t="str">
        <f>IFERROR(VLOOKUP($B523,'(勿動)組件目錄表'!$D$15:$R$1094,14,FALSE),"-")</f>
        <v>-</v>
      </c>
      <c r="N523" s="15">
        <f t="shared" si="2"/>
        <v>0</v>
      </c>
      <c r="O523" s="16"/>
    </row>
    <row r="524" spans="1:15" ht="15.75" customHeight="1">
      <c r="A524" s="18"/>
      <c r="B524" s="7"/>
      <c r="C524" s="8" t="str">
        <f>IFERROR(VLOOKUP($B524,'(勿動)組件目錄表'!$D$15:$R$1094,2,FALSE),"-")</f>
        <v>-</v>
      </c>
      <c r="D524" s="8" t="str">
        <f>IFERROR(VLOOKUP($B524,'(勿動)組件目錄表'!$D$15:$R$1094,3,FALSE),"-")</f>
        <v>-</v>
      </c>
      <c r="E524" s="9" t="str">
        <f>IFERROR(VLOOKUP($B524,'(勿動)組件目錄表'!$D$15:$R$1094,4,FALSE),"-")</f>
        <v>-</v>
      </c>
      <c r="F524" s="10" t="str">
        <f>IFERROR(VLOOKUP($B524,'(勿動)組件目錄表'!$D$15:$R$1094,5,FALSE),"-")</f>
        <v>-</v>
      </c>
      <c r="G524" s="11" t="str">
        <f>IFERROR(VLOOKUP($B524,'(勿動)組件目錄表'!$D$15:$R$1094,8,FALSE),"-")</f>
        <v>-</v>
      </c>
      <c r="H524" s="11" t="str">
        <f>IFERROR(VLOOKUP($B524,'(勿動)組件目錄表'!$D$15:$R$1094,9,FALSE),"-")</f>
        <v>-</v>
      </c>
      <c r="I524" s="11" t="str">
        <f>IFERROR(VLOOKUP($B524,'(勿動)組件目錄表'!$D$15:$R$1094,10,FALSE),"-")</f>
        <v>-</v>
      </c>
      <c r="J524" s="11" t="str">
        <f>IFERROR(VLOOKUP($B524,'(勿動)組件目錄表'!$D$15:$R$1094,11,FALSE),"-")</f>
        <v>-</v>
      </c>
      <c r="K524" s="11" t="str">
        <f>IFERROR(VLOOKUP($B524,'(勿動)組件目錄表'!$D$15:$R$1094,12,FALSE),"-")</f>
        <v>-</v>
      </c>
      <c r="L524" s="11" t="str">
        <f>IFERROR(VLOOKUP($B524,'(勿動)組件目錄表'!$D$15:$R$1094,13,FALSE),"-")</f>
        <v>-</v>
      </c>
      <c r="M524" s="11" t="str">
        <f>IFERROR(VLOOKUP($B524,'(勿動)組件目錄表'!$D$15:$R$1094,14,FALSE),"-")</f>
        <v>-</v>
      </c>
      <c r="N524" s="15">
        <f t="shared" si="2"/>
        <v>0</v>
      </c>
      <c r="O524" s="16"/>
    </row>
    <row r="525" spans="1:15" ht="15.75" customHeight="1">
      <c r="A525" s="18"/>
      <c r="B525" s="7"/>
      <c r="C525" s="8" t="str">
        <f>IFERROR(VLOOKUP($B525,'(勿動)組件目錄表'!$D$15:$R$1094,2,FALSE),"-")</f>
        <v>-</v>
      </c>
      <c r="D525" s="8" t="str">
        <f>IFERROR(VLOOKUP($B525,'(勿動)組件目錄表'!$D$15:$R$1094,3,FALSE),"-")</f>
        <v>-</v>
      </c>
      <c r="E525" s="9" t="str">
        <f>IFERROR(VLOOKUP($B525,'(勿動)組件目錄表'!$D$15:$R$1094,4,FALSE),"-")</f>
        <v>-</v>
      </c>
      <c r="F525" s="10" t="str">
        <f>IFERROR(VLOOKUP($B525,'(勿動)組件目錄表'!$D$15:$R$1094,5,FALSE),"-")</f>
        <v>-</v>
      </c>
      <c r="G525" s="11" t="str">
        <f>IFERROR(VLOOKUP($B525,'(勿動)組件目錄表'!$D$15:$R$1094,8,FALSE),"-")</f>
        <v>-</v>
      </c>
      <c r="H525" s="11" t="str">
        <f>IFERROR(VLOOKUP($B525,'(勿動)組件目錄表'!$D$15:$R$1094,9,FALSE),"-")</f>
        <v>-</v>
      </c>
      <c r="I525" s="11" t="str">
        <f>IFERROR(VLOOKUP($B525,'(勿動)組件目錄表'!$D$15:$R$1094,10,FALSE),"-")</f>
        <v>-</v>
      </c>
      <c r="J525" s="11" t="str">
        <f>IFERROR(VLOOKUP($B525,'(勿動)組件目錄表'!$D$15:$R$1094,11,FALSE),"-")</f>
        <v>-</v>
      </c>
      <c r="K525" s="11" t="str">
        <f>IFERROR(VLOOKUP($B525,'(勿動)組件目錄表'!$D$15:$R$1094,12,FALSE),"-")</f>
        <v>-</v>
      </c>
      <c r="L525" s="11" t="str">
        <f>IFERROR(VLOOKUP($B525,'(勿動)組件目錄表'!$D$15:$R$1094,13,FALSE),"-")</f>
        <v>-</v>
      </c>
      <c r="M525" s="11" t="str">
        <f>IFERROR(VLOOKUP($B525,'(勿動)組件目錄表'!$D$15:$R$1094,14,FALSE),"-")</f>
        <v>-</v>
      </c>
      <c r="N525" s="15">
        <f t="shared" si="2"/>
        <v>0</v>
      </c>
      <c r="O525" s="16"/>
    </row>
    <row r="526" spans="1:15" ht="15.75" customHeight="1">
      <c r="A526" s="18"/>
      <c r="B526" s="7"/>
      <c r="C526" s="8" t="str">
        <f>IFERROR(VLOOKUP($B526,'(勿動)組件目錄表'!$D$15:$R$1094,2,FALSE),"-")</f>
        <v>-</v>
      </c>
      <c r="D526" s="8" t="str">
        <f>IFERROR(VLOOKUP($B526,'(勿動)組件目錄表'!$D$15:$R$1094,3,FALSE),"-")</f>
        <v>-</v>
      </c>
      <c r="E526" s="9" t="str">
        <f>IFERROR(VLOOKUP($B526,'(勿動)組件目錄表'!$D$15:$R$1094,4,FALSE),"-")</f>
        <v>-</v>
      </c>
      <c r="F526" s="10" t="str">
        <f>IFERROR(VLOOKUP($B526,'(勿動)組件目錄表'!$D$15:$R$1094,5,FALSE),"-")</f>
        <v>-</v>
      </c>
      <c r="G526" s="11" t="str">
        <f>IFERROR(VLOOKUP($B526,'(勿動)組件目錄表'!$D$15:$R$1094,8,FALSE),"-")</f>
        <v>-</v>
      </c>
      <c r="H526" s="11" t="str">
        <f>IFERROR(VLOOKUP($B526,'(勿動)組件目錄表'!$D$15:$R$1094,9,FALSE),"-")</f>
        <v>-</v>
      </c>
      <c r="I526" s="11" t="str">
        <f>IFERROR(VLOOKUP($B526,'(勿動)組件目錄表'!$D$15:$R$1094,10,FALSE),"-")</f>
        <v>-</v>
      </c>
      <c r="J526" s="11" t="str">
        <f>IFERROR(VLOOKUP($B526,'(勿動)組件目錄表'!$D$15:$R$1094,11,FALSE),"-")</f>
        <v>-</v>
      </c>
      <c r="K526" s="11" t="str">
        <f>IFERROR(VLOOKUP($B526,'(勿動)組件目錄表'!$D$15:$R$1094,12,FALSE),"-")</f>
        <v>-</v>
      </c>
      <c r="L526" s="11" t="str">
        <f>IFERROR(VLOOKUP($B526,'(勿動)組件目錄表'!$D$15:$R$1094,13,FALSE),"-")</f>
        <v>-</v>
      </c>
      <c r="M526" s="11" t="str">
        <f>IFERROR(VLOOKUP($B526,'(勿動)組件目錄表'!$D$15:$R$1094,14,FALSE),"-")</f>
        <v>-</v>
      </c>
      <c r="N526" s="15">
        <f t="shared" si="2"/>
        <v>0</v>
      </c>
      <c r="O526" s="16"/>
    </row>
    <row r="527" spans="1:15" ht="15.75" customHeight="1">
      <c r="A527" s="18"/>
      <c r="B527" s="7"/>
      <c r="C527" s="8" t="str">
        <f>IFERROR(VLOOKUP($B527,'(勿動)組件目錄表'!$D$15:$R$1094,2,FALSE),"-")</f>
        <v>-</v>
      </c>
      <c r="D527" s="8" t="str">
        <f>IFERROR(VLOOKUP($B527,'(勿動)組件目錄表'!$D$15:$R$1094,3,FALSE),"-")</f>
        <v>-</v>
      </c>
      <c r="E527" s="9" t="str">
        <f>IFERROR(VLOOKUP($B527,'(勿動)組件目錄表'!$D$15:$R$1094,4,FALSE),"-")</f>
        <v>-</v>
      </c>
      <c r="F527" s="10" t="str">
        <f>IFERROR(VLOOKUP($B527,'(勿動)組件目錄表'!$D$15:$R$1094,5,FALSE),"-")</f>
        <v>-</v>
      </c>
      <c r="G527" s="11" t="str">
        <f>IFERROR(VLOOKUP($B527,'(勿動)組件目錄表'!$D$15:$R$1094,8,FALSE),"-")</f>
        <v>-</v>
      </c>
      <c r="H527" s="11" t="str">
        <f>IFERROR(VLOOKUP($B527,'(勿動)組件目錄表'!$D$15:$R$1094,9,FALSE),"-")</f>
        <v>-</v>
      </c>
      <c r="I527" s="11" t="str">
        <f>IFERROR(VLOOKUP($B527,'(勿動)組件目錄表'!$D$15:$R$1094,10,FALSE),"-")</f>
        <v>-</v>
      </c>
      <c r="J527" s="11" t="str">
        <f>IFERROR(VLOOKUP($B527,'(勿動)組件目錄表'!$D$15:$R$1094,11,FALSE),"-")</f>
        <v>-</v>
      </c>
      <c r="K527" s="11" t="str">
        <f>IFERROR(VLOOKUP($B527,'(勿動)組件目錄表'!$D$15:$R$1094,12,FALSE),"-")</f>
        <v>-</v>
      </c>
      <c r="L527" s="11" t="str">
        <f>IFERROR(VLOOKUP($B527,'(勿動)組件目錄表'!$D$15:$R$1094,13,FALSE),"-")</f>
        <v>-</v>
      </c>
      <c r="M527" s="11" t="str">
        <f>IFERROR(VLOOKUP($B527,'(勿動)組件目錄表'!$D$15:$R$1094,14,FALSE),"-")</f>
        <v>-</v>
      </c>
      <c r="N527" s="15">
        <f t="shared" si="2"/>
        <v>0</v>
      </c>
      <c r="O527" s="16"/>
    </row>
    <row r="528" spans="1:15" ht="15.75" customHeight="1">
      <c r="A528" s="18"/>
      <c r="B528" s="7"/>
      <c r="C528" s="8" t="str">
        <f>IFERROR(VLOOKUP($B528,'(勿動)組件目錄表'!$D$15:$R$1094,2,FALSE),"-")</f>
        <v>-</v>
      </c>
      <c r="D528" s="8" t="str">
        <f>IFERROR(VLOOKUP($B528,'(勿動)組件目錄表'!$D$15:$R$1094,3,FALSE),"-")</f>
        <v>-</v>
      </c>
      <c r="E528" s="9" t="str">
        <f>IFERROR(VLOOKUP($B528,'(勿動)組件目錄表'!$D$15:$R$1094,4,FALSE),"-")</f>
        <v>-</v>
      </c>
      <c r="F528" s="10" t="str">
        <f>IFERROR(VLOOKUP($B528,'(勿動)組件目錄表'!$D$15:$R$1094,5,FALSE),"-")</f>
        <v>-</v>
      </c>
      <c r="G528" s="11" t="str">
        <f>IFERROR(VLOOKUP($B528,'(勿動)組件目錄表'!$D$15:$R$1094,8,FALSE),"-")</f>
        <v>-</v>
      </c>
      <c r="H528" s="11" t="str">
        <f>IFERROR(VLOOKUP($B528,'(勿動)組件目錄表'!$D$15:$R$1094,9,FALSE),"-")</f>
        <v>-</v>
      </c>
      <c r="I528" s="11" t="str">
        <f>IFERROR(VLOOKUP($B528,'(勿動)組件目錄表'!$D$15:$R$1094,10,FALSE),"-")</f>
        <v>-</v>
      </c>
      <c r="J528" s="11" t="str">
        <f>IFERROR(VLOOKUP($B528,'(勿動)組件目錄表'!$D$15:$R$1094,11,FALSE),"-")</f>
        <v>-</v>
      </c>
      <c r="K528" s="11" t="str">
        <f>IFERROR(VLOOKUP($B528,'(勿動)組件目錄表'!$D$15:$R$1094,12,FALSE),"-")</f>
        <v>-</v>
      </c>
      <c r="L528" s="11" t="str">
        <f>IFERROR(VLOOKUP($B528,'(勿動)組件目錄表'!$D$15:$R$1094,13,FALSE),"-")</f>
        <v>-</v>
      </c>
      <c r="M528" s="11" t="str">
        <f>IFERROR(VLOOKUP($B528,'(勿動)組件目錄表'!$D$15:$R$1094,14,FALSE),"-")</f>
        <v>-</v>
      </c>
      <c r="N528" s="15">
        <f t="shared" si="2"/>
        <v>0</v>
      </c>
      <c r="O528" s="16"/>
    </row>
    <row r="529" spans="1:15" ht="15.75" customHeight="1">
      <c r="A529" s="18"/>
      <c r="B529" s="7"/>
      <c r="C529" s="8" t="str">
        <f>IFERROR(VLOOKUP($B529,'(勿動)組件目錄表'!$D$15:$R$1094,2,FALSE),"-")</f>
        <v>-</v>
      </c>
      <c r="D529" s="8" t="str">
        <f>IFERROR(VLOOKUP($B529,'(勿動)組件目錄表'!$D$15:$R$1094,3,FALSE),"-")</f>
        <v>-</v>
      </c>
      <c r="E529" s="9" t="str">
        <f>IFERROR(VLOOKUP($B529,'(勿動)組件目錄表'!$D$15:$R$1094,4,FALSE),"-")</f>
        <v>-</v>
      </c>
      <c r="F529" s="10" t="str">
        <f>IFERROR(VLOOKUP($B529,'(勿動)組件目錄表'!$D$15:$R$1094,5,FALSE),"-")</f>
        <v>-</v>
      </c>
      <c r="G529" s="11" t="str">
        <f>IFERROR(VLOOKUP($B529,'(勿動)組件目錄表'!$D$15:$R$1094,8,FALSE),"-")</f>
        <v>-</v>
      </c>
      <c r="H529" s="11" t="str">
        <f>IFERROR(VLOOKUP($B529,'(勿動)組件目錄表'!$D$15:$R$1094,9,FALSE),"-")</f>
        <v>-</v>
      </c>
      <c r="I529" s="11" t="str">
        <f>IFERROR(VLOOKUP($B529,'(勿動)組件目錄表'!$D$15:$R$1094,10,FALSE),"-")</f>
        <v>-</v>
      </c>
      <c r="J529" s="11" t="str">
        <f>IFERROR(VLOOKUP($B529,'(勿動)組件目錄表'!$D$15:$R$1094,11,FALSE),"-")</f>
        <v>-</v>
      </c>
      <c r="K529" s="11" t="str">
        <f>IFERROR(VLOOKUP($B529,'(勿動)組件目錄表'!$D$15:$R$1094,12,FALSE),"-")</f>
        <v>-</v>
      </c>
      <c r="L529" s="11" t="str">
        <f>IFERROR(VLOOKUP($B529,'(勿動)組件目錄表'!$D$15:$R$1094,13,FALSE),"-")</f>
        <v>-</v>
      </c>
      <c r="M529" s="11" t="str">
        <f>IFERROR(VLOOKUP($B529,'(勿動)組件目錄表'!$D$15:$R$1094,14,FALSE),"-")</f>
        <v>-</v>
      </c>
      <c r="N529" s="15">
        <f t="shared" si="2"/>
        <v>0</v>
      </c>
      <c r="O529" s="16"/>
    </row>
    <row r="530" spans="1:15" ht="15.75" customHeight="1">
      <c r="A530" s="18"/>
      <c r="B530" s="7"/>
      <c r="C530" s="8" t="str">
        <f>IFERROR(VLOOKUP($B530,'(勿動)組件目錄表'!$D$15:$R$1094,2,FALSE),"-")</f>
        <v>-</v>
      </c>
      <c r="D530" s="8" t="str">
        <f>IFERROR(VLOOKUP($B530,'(勿動)組件目錄表'!$D$15:$R$1094,3,FALSE),"-")</f>
        <v>-</v>
      </c>
      <c r="E530" s="9" t="str">
        <f>IFERROR(VLOOKUP($B530,'(勿動)組件目錄表'!$D$15:$R$1094,4,FALSE),"-")</f>
        <v>-</v>
      </c>
      <c r="F530" s="10" t="str">
        <f>IFERROR(VLOOKUP($B530,'(勿動)組件目錄表'!$D$15:$R$1094,5,FALSE),"-")</f>
        <v>-</v>
      </c>
      <c r="G530" s="11" t="str">
        <f>IFERROR(VLOOKUP($B530,'(勿動)組件目錄表'!$D$15:$R$1094,8,FALSE),"-")</f>
        <v>-</v>
      </c>
      <c r="H530" s="11" t="str">
        <f>IFERROR(VLOOKUP($B530,'(勿動)組件目錄表'!$D$15:$R$1094,9,FALSE),"-")</f>
        <v>-</v>
      </c>
      <c r="I530" s="11" t="str">
        <f>IFERROR(VLOOKUP($B530,'(勿動)組件目錄表'!$D$15:$R$1094,10,FALSE),"-")</f>
        <v>-</v>
      </c>
      <c r="J530" s="11" t="str">
        <f>IFERROR(VLOOKUP($B530,'(勿動)組件目錄表'!$D$15:$R$1094,11,FALSE),"-")</f>
        <v>-</v>
      </c>
      <c r="K530" s="11" t="str">
        <f>IFERROR(VLOOKUP($B530,'(勿動)組件目錄表'!$D$15:$R$1094,12,FALSE),"-")</f>
        <v>-</v>
      </c>
      <c r="L530" s="11" t="str">
        <f>IFERROR(VLOOKUP($B530,'(勿動)組件目錄表'!$D$15:$R$1094,13,FALSE),"-")</f>
        <v>-</v>
      </c>
      <c r="M530" s="11" t="str">
        <f>IFERROR(VLOOKUP($B530,'(勿動)組件目錄表'!$D$15:$R$1094,14,FALSE),"-")</f>
        <v>-</v>
      </c>
      <c r="N530" s="15">
        <f t="shared" si="2"/>
        <v>0</v>
      </c>
      <c r="O530" s="16"/>
    </row>
    <row r="531" spans="1:15" ht="15.75" customHeight="1">
      <c r="A531" s="18"/>
      <c r="B531" s="7"/>
      <c r="C531" s="8" t="str">
        <f>IFERROR(VLOOKUP($B531,'(勿動)組件目錄表'!$D$15:$R$1094,2,FALSE),"-")</f>
        <v>-</v>
      </c>
      <c r="D531" s="8" t="str">
        <f>IFERROR(VLOOKUP($B531,'(勿動)組件目錄表'!$D$15:$R$1094,3,FALSE),"-")</f>
        <v>-</v>
      </c>
      <c r="E531" s="9" t="str">
        <f>IFERROR(VLOOKUP($B531,'(勿動)組件目錄表'!$D$15:$R$1094,4,FALSE),"-")</f>
        <v>-</v>
      </c>
      <c r="F531" s="10" t="str">
        <f>IFERROR(VLOOKUP($B531,'(勿動)組件目錄表'!$D$15:$R$1094,5,FALSE),"-")</f>
        <v>-</v>
      </c>
      <c r="G531" s="11" t="str">
        <f>IFERROR(VLOOKUP($B531,'(勿動)組件目錄表'!$D$15:$R$1094,8,FALSE),"-")</f>
        <v>-</v>
      </c>
      <c r="H531" s="11" t="str">
        <f>IFERROR(VLOOKUP($B531,'(勿動)組件目錄表'!$D$15:$R$1094,9,FALSE),"-")</f>
        <v>-</v>
      </c>
      <c r="I531" s="11" t="str">
        <f>IFERROR(VLOOKUP($B531,'(勿動)組件目錄表'!$D$15:$R$1094,10,FALSE),"-")</f>
        <v>-</v>
      </c>
      <c r="J531" s="11" t="str">
        <f>IFERROR(VLOOKUP($B531,'(勿動)組件目錄表'!$D$15:$R$1094,11,FALSE),"-")</f>
        <v>-</v>
      </c>
      <c r="K531" s="11" t="str">
        <f>IFERROR(VLOOKUP($B531,'(勿動)組件目錄表'!$D$15:$R$1094,12,FALSE),"-")</f>
        <v>-</v>
      </c>
      <c r="L531" s="11" t="str">
        <f>IFERROR(VLOOKUP($B531,'(勿動)組件目錄表'!$D$15:$R$1094,13,FALSE),"-")</f>
        <v>-</v>
      </c>
      <c r="M531" s="11" t="str">
        <f>IFERROR(VLOOKUP($B531,'(勿動)組件目錄表'!$D$15:$R$1094,14,FALSE),"-")</f>
        <v>-</v>
      </c>
      <c r="N531" s="15">
        <f t="shared" si="2"/>
        <v>0</v>
      </c>
      <c r="O531" s="16"/>
    </row>
    <row r="532" spans="1:15" ht="15.75" customHeight="1">
      <c r="A532" s="18"/>
      <c r="B532" s="7"/>
      <c r="C532" s="8" t="str">
        <f>IFERROR(VLOOKUP($B532,'(勿動)組件目錄表'!$D$15:$R$1094,2,FALSE),"-")</f>
        <v>-</v>
      </c>
      <c r="D532" s="8" t="str">
        <f>IFERROR(VLOOKUP($B532,'(勿動)組件目錄表'!$D$15:$R$1094,3,FALSE),"-")</f>
        <v>-</v>
      </c>
      <c r="E532" s="9" t="str">
        <f>IFERROR(VLOOKUP($B532,'(勿動)組件目錄表'!$D$15:$R$1094,4,FALSE),"-")</f>
        <v>-</v>
      </c>
      <c r="F532" s="10" t="str">
        <f>IFERROR(VLOOKUP($B532,'(勿動)組件目錄表'!$D$15:$R$1094,5,FALSE),"-")</f>
        <v>-</v>
      </c>
      <c r="G532" s="11" t="str">
        <f>IFERROR(VLOOKUP($B532,'(勿動)組件目錄表'!$D$15:$R$1094,8,FALSE),"-")</f>
        <v>-</v>
      </c>
      <c r="H532" s="11" t="str">
        <f>IFERROR(VLOOKUP($B532,'(勿動)組件目錄表'!$D$15:$R$1094,9,FALSE),"-")</f>
        <v>-</v>
      </c>
      <c r="I532" s="11" t="str">
        <f>IFERROR(VLOOKUP($B532,'(勿動)組件目錄表'!$D$15:$R$1094,10,FALSE),"-")</f>
        <v>-</v>
      </c>
      <c r="J532" s="11" t="str">
        <f>IFERROR(VLOOKUP($B532,'(勿動)組件目錄表'!$D$15:$R$1094,11,FALSE),"-")</f>
        <v>-</v>
      </c>
      <c r="K532" s="11" t="str">
        <f>IFERROR(VLOOKUP($B532,'(勿動)組件目錄表'!$D$15:$R$1094,12,FALSE),"-")</f>
        <v>-</v>
      </c>
      <c r="L532" s="11" t="str">
        <f>IFERROR(VLOOKUP($B532,'(勿動)組件目錄表'!$D$15:$R$1094,13,FALSE),"-")</f>
        <v>-</v>
      </c>
      <c r="M532" s="11" t="str">
        <f>IFERROR(VLOOKUP($B532,'(勿動)組件目錄表'!$D$15:$R$1094,14,FALSE),"-")</f>
        <v>-</v>
      </c>
      <c r="N532" s="15">
        <f t="shared" si="2"/>
        <v>0</v>
      </c>
      <c r="O532" s="16"/>
    </row>
    <row r="533" spans="1:15" ht="15.75" customHeight="1">
      <c r="A533" s="18"/>
      <c r="B533" s="7"/>
      <c r="C533" s="8" t="str">
        <f>IFERROR(VLOOKUP($B533,'(勿動)組件目錄表'!$D$15:$R$1094,2,FALSE),"-")</f>
        <v>-</v>
      </c>
      <c r="D533" s="8" t="str">
        <f>IFERROR(VLOOKUP($B533,'(勿動)組件目錄表'!$D$15:$R$1094,3,FALSE),"-")</f>
        <v>-</v>
      </c>
      <c r="E533" s="9" t="str">
        <f>IFERROR(VLOOKUP($B533,'(勿動)組件目錄表'!$D$15:$R$1094,4,FALSE),"-")</f>
        <v>-</v>
      </c>
      <c r="F533" s="10" t="str">
        <f>IFERROR(VLOOKUP($B533,'(勿動)組件目錄表'!$D$15:$R$1094,5,FALSE),"-")</f>
        <v>-</v>
      </c>
      <c r="G533" s="11" t="str">
        <f>IFERROR(VLOOKUP($B533,'(勿動)組件目錄表'!$D$15:$R$1094,8,FALSE),"-")</f>
        <v>-</v>
      </c>
      <c r="H533" s="11" t="str">
        <f>IFERROR(VLOOKUP($B533,'(勿動)組件目錄表'!$D$15:$R$1094,9,FALSE),"-")</f>
        <v>-</v>
      </c>
      <c r="I533" s="11" t="str">
        <f>IFERROR(VLOOKUP($B533,'(勿動)組件目錄表'!$D$15:$R$1094,10,FALSE),"-")</f>
        <v>-</v>
      </c>
      <c r="J533" s="11" t="str">
        <f>IFERROR(VLOOKUP($B533,'(勿動)組件目錄表'!$D$15:$R$1094,11,FALSE),"-")</f>
        <v>-</v>
      </c>
      <c r="K533" s="11" t="str">
        <f>IFERROR(VLOOKUP($B533,'(勿動)組件目錄表'!$D$15:$R$1094,12,FALSE),"-")</f>
        <v>-</v>
      </c>
      <c r="L533" s="11" t="str">
        <f>IFERROR(VLOOKUP($B533,'(勿動)組件目錄表'!$D$15:$R$1094,13,FALSE),"-")</f>
        <v>-</v>
      </c>
      <c r="M533" s="11" t="str">
        <f>IFERROR(VLOOKUP($B533,'(勿動)組件目錄表'!$D$15:$R$1094,14,FALSE),"-")</f>
        <v>-</v>
      </c>
      <c r="N533" s="15">
        <f t="shared" si="2"/>
        <v>0</v>
      </c>
      <c r="O533" s="16"/>
    </row>
    <row r="534" spans="1:15" ht="15.75" customHeight="1">
      <c r="A534" s="18"/>
      <c r="B534" s="7"/>
      <c r="C534" s="8" t="str">
        <f>IFERROR(VLOOKUP($B534,'(勿動)組件目錄表'!$D$15:$R$1094,2,FALSE),"-")</f>
        <v>-</v>
      </c>
      <c r="D534" s="8" t="str">
        <f>IFERROR(VLOOKUP($B534,'(勿動)組件目錄表'!$D$15:$R$1094,3,FALSE),"-")</f>
        <v>-</v>
      </c>
      <c r="E534" s="9" t="str">
        <f>IFERROR(VLOOKUP($B534,'(勿動)組件目錄表'!$D$15:$R$1094,4,FALSE),"-")</f>
        <v>-</v>
      </c>
      <c r="F534" s="10" t="str">
        <f>IFERROR(VLOOKUP($B534,'(勿動)組件目錄表'!$D$15:$R$1094,5,FALSE),"-")</f>
        <v>-</v>
      </c>
      <c r="G534" s="11" t="str">
        <f>IFERROR(VLOOKUP($B534,'(勿動)組件目錄表'!$D$15:$R$1094,8,FALSE),"-")</f>
        <v>-</v>
      </c>
      <c r="H534" s="11" t="str">
        <f>IFERROR(VLOOKUP($B534,'(勿動)組件目錄表'!$D$15:$R$1094,9,FALSE),"-")</f>
        <v>-</v>
      </c>
      <c r="I534" s="11" t="str">
        <f>IFERROR(VLOOKUP($B534,'(勿動)組件目錄表'!$D$15:$R$1094,10,FALSE),"-")</f>
        <v>-</v>
      </c>
      <c r="J534" s="11" t="str">
        <f>IFERROR(VLOOKUP($B534,'(勿動)組件目錄表'!$D$15:$R$1094,11,FALSE),"-")</f>
        <v>-</v>
      </c>
      <c r="K534" s="11" t="str">
        <f>IFERROR(VLOOKUP($B534,'(勿動)組件目錄表'!$D$15:$R$1094,12,FALSE),"-")</f>
        <v>-</v>
      </c>
      <c r="L534" s="11" t="str">
        <f>IFERROR(VLOOKUP($B534,'(勿動)組件目錄表'!$D$15:$R$1094,13,FALSE),"-")</f>
        <v>-</v>
      </c>
      <c r="M534" s="11" t="str">
        <f>IFERROR(VLOOKUP($B534,'(勿動)組件目錄表'!$D$15:$R$1094,14,FALSE),"-")</f>
        <v>-</v>
      </c>
      <c r="N534" s="15">
        <f t="shared" si="2"/>
        <v>0</v>
      </c>
      <c r="O534" s="16"/>
    </row>
    <row r="535" spans="1:15" ht="15.75" customHeight="1">
      <c r="A535" s="18"/>
      <c r="B535" s="7"/>
      <c r="C535" s="8" t="str">
        <f>IFERROR(VLOOKUP($B535,'(勿動)組件目錄表'!$D$15:$R$1094,2,FALSE),"-")</f>
        <v>-</v>
      </c>
      <c r="D535" s="8" t="str">
        <f>IFERROR(VLOOKUP($B535,'(勿動)組件目錄表'!$D$15:$R$1094,3,FALSE),"-")</f>
        <v>-</v>
      </c>
      <c r="E535" s="9" t="str">
        <f>IFERROR(VLOOKUP($B535,'(勿動)組件目錄表'!$D$15:$R$1094,4,FALSE),"-")</f>
        <v>-</v>
      </c>
      <c r="F535" s="10" t="str">
        <f>IFERROR(VLOOKUP($B535,'(勿動)組件目錄表'!$D$15:$R$1094,5,FALSE),"-")</f>
        <v>-</v>
      </c>
      <c r="G535" s="11" t="str">
        <f>IFERROR(VLOOKUP($B535,'(勿動)組件目錄表'!$D$15:$R$1094,8,FALSE),"-")</f>
        <v>-</v>
      </c>
      <c r="H535" s="11" t="str">
        <f>IFERROR(VLOOKUP($B535,'(勿動)組件目錄表'!$D$15:$R$1094,9,FALSE),"-")</f>
        <v>-</v>
      </c>
      <c r="I535" s="11" t="str">
        <f>IFERROR(VLOOKUP($B535,'(勿動)組件目錄表'!$D$15:$R$1094,10,FALSE),"-")</f>
        <v>-</v>
      </c>
      <c r="J535" s="11" t="str">
        <f>IFERROR(VLOOKUP($B535,'(勿動)組件目錄表'!$D$15:$R$1094,11,FALSE),"-")</f>
        <v>-</v>
      </c>
      <c r="K535" s="11" t="str">
        <f>IFERROR(VLOOKUP($B535,'(勿動)組件目錄表'!$D$15:$R$1094,12,FALSE),"-")</f>
        <v>-</v>
      </c>
      <c r="L535" s="11" t="str">
        <f>IFERROR(VLOOKUP($B535,'(勿動)組件目錄表'!$D$15:$R$1094,13,FALSE),"-")</f>
        <v>-</v>
      </c>
      <c r="M535" s="11" t="str">
        <f>IFERROR(VLOOKUP($B535,'(勿動)組件目錄表'!$D$15:$R$1094,14,FALSE),"-")</f>
        <v>-</v>
      </c>
      <c r="N535" s="15">
        <f t="shared" si="2"/>
        <v>0</v>
      </c>
      <c r="O535" s="16"/>
    </row>
    <row r="536" spans="1:15" ht="15.75" customHeight="1">
      <c r="A536" s="18"/>
      <c r="B536" s="7"/>
      <c r="C536" s="8" t="str">
        <f>IFERROR(VLOOKUP($B536,'(勿動)組件目錄表'!$D$15:$R$1094,2,FALSE),"-")</f>
        <v>-</v>
      </c>
      <c r="D536" s="8" t="str">
        <f>IFERROR(VLOOKUP($B536,'(勿動)組件目錄表'!$D$15:$R$1094,3,FALSE),"-")</f>
        <v>-</v>
      </c>
      <c r="E536" s="9" t="str">
        <f>IFERROR(VLOOKUP($B536,'(勿動)組件目錄表'!$D$15:$R$1094,4,FALSE),"-")</f>
        <v>-</v>
      </c>
      <c r="F536" s="10" t="str">
        <f>IFERROR(VLOOKUP($B536,'(勿動)組件目錄表'!$D$15:$R$1094,5,FALSE),"-")</f>
        <v>-</v>
      </c>
      <c r="G536" s="11" t="str">
        <f>IFERROR(VLOOKUP($B536,'(勿動)組件目錄表'!$D$15:$R$1094,8,FALSE),"-")</f>
        <v>-</v>
      </c>
      <c r="H536" s="11" t="str">
        <f>IFERROR(VLOOKUP($B536,'(勿動)組件目錄表'!$D$15:$R$1094,9,FALSE),"-")</f>
        <v>-</v>
      </c>
      <c r="I536" s="11" t="str">
        <f>IFERROR(VLOOKUP($B536,'(勿動)組件目錄表'!$D$15:$R$1094,10,FALSE),"-")</f>
        <v>-</v>
      </c>
      <c r="J536" s="11" t="str">
        <f>IFERROR(VLOOKUP($B536,'(勿動)組件目錄表'!$D$15:$R$1094,11,FALSE),"-")</f>
        <v>-</v>
      </c>
      <c r="K536" s="11" t="str">
        <f>IFERROR(VLOOKUP($B536,'(勿動)組件目錄表'!$D$15:$R$1094,12,FALSE),"-")</f>
        <v>-</v>
      </c>
      <c r="L536" s="11" t="str">
        <f>IFERROR(VLOOKUP($B536,'(勿動)組件目錄表'!$D$15:$R$1094,13,FALSE),"-")</f>
        <v>-</v>
      </c>
      <c r="M536" s="11" t="str">
        <f>IFERROR(VLOOKUP($B536,'(勿動)組件目錄表'!$D$15:$R$1094,14,FALSE),"-")</f>
        <v>-</v>
      </c>
      <c r="N536" s="15">
        <f t="shared" si="2"/>
        <v>0</v>
      </c>
      <c r="O536" s="16"/>
    </row>
    <row r="537" spans="1:15" ht="15.75" customHeight="1">
      <c r="A537" s="18"/>
      <c r="B537" s="7"/>
      <c r="C537" s="8" t="str">
        <f>IFERROR(VLOOKUP($B537,'(勿動)組件目錄表'!$D$15:$R$1094,2,FALSE),"-")</f>
        <v>-</v>
      </c>
      <c r="D537" s="8" t="str">
        <f>IFERROR(VLOOKUP($B537,'(勿動)組件目錄表'!$D$15:$R$1094,3,FALSE),"-")</f>
        <v>-</v>
      </c>
      <c r="E537" s="9" t="str">
        <f>IFERROR(VLOOKUP($B537,'(勿動)組件目錄表'!$D$15:$R$1094,4,FALSE),"-")</f>
        <v>-</v>
      </c>
      <c r="F537" s="10" t="str">
        <f>IFERROR(VLOOKUP($B537,'(勿動)組件目錄表'!$D$15:$R$1094,5,FALSE),"-")</f>
        <v>-</v>
      </c>
      <c r="G537" s="11" t="str">
        <f>IFERROR(VLOOKUP($B537,'(勿動)組件目錄表'!$D$15:$R$1094,8,FALSE),"-")</f>
        <v>-</v>
      </c>
      <c r="H537" s="11" t="str">
        <f>IFERROR(VLOOKUP($B537,'(勿動)組件目錄表'!$D$15:$R$1094,9,FALSE),"-")</f>
        <v>-</v>
      </c>
      <c r="I537" s="11" t="str">
        <f>IFERROR(VLOOKUP($B537,'(勿動)組件目錄表'!$D$15:$R$1094,10,FALSE),"-")</f>
        <v>-</v>
      </c>
      <c r="J537" s="11" t="str">
        <f>IFERROR(VLOOKUP($B537,'(勿動)組件目錄表'!$D$15:$R$1094,11,FALSE),"-")</f>
        <v>-</v>
      </c>
      <c r="K537" s="11" t="str">
        <f>IFERROR(VLOOKUP($B537,'(勿動)組件目錄表'!$D$15:$R$1094,12,FALSE),"-")</f>
        <v>-</v>
      </c>
      <c r="L537" s="11" t="str">
        <f>IFERROR(VLOOKUP($B537,'(勿動)組件目錄表'!$D$15:$R$1094,13,FALSE),"-")</f>
        <v>-</v>
      </c>
      <c r="M537" s="11" t="str">
        <f>IFERROR(VLOOKUP($B537,'(勿動)組件目錄表'!$D$15:$R$1094,14,FALSE),"-")</f>
        <v>-</v>
      </c>
      <c r="N537" s="15">
        <f t="shared" si="2"/>
        <v>0</v>
      </c>
      <c r="O537" s="16"/>
    </row>
    <row r="538" spans="1:15" ht="15.75" customHeight="1">
      <c r="A538" s="18"/>
      <c r="B538" s="7"/>
      <c r="C538" s="8" t="str">
        <f>IFERROR(VLOOKUP($B538,'(勿動)組件目錄表'!$D$15:$R$1094,2,FALSE),"-")</f>
        <v>-</v>
      </c>
      <c r="D538" s="8" t="str">
        <f>IFERROR(VLOOKUP($B538,'(勿動)組件目錄表'!$D$15:$R$1094,3,FALSE),"-")</f>
        <v>-</v>
      </c>
      <c r="E538" s="9" t="str">
        <f>IFERROR(VLOOKUP($B538,'(勿動)組件目錄表'!$D$15:$R$1094,4,FALSE),"-")</f>
        <v>-</v>
      </c>
      <c r="F538" s="10" t="str">
        <f>IFERROR(VLOOKUP($B538,'(勿動)組件目錄表'!$D$15:$R$1094,5,FALSE),"-")</f>
        <v>-</v>
      </c>
      <c r="G538" s="11" t="str">
        <f>IFERROR(VLOOKUP($B538,'(勿動)組件目錄表'!$D$15:$R$1094,8,FALSE),"-")</f>
        <v>-</v>
      </c>
      <c r="H538" s="11" t="str">
        <f>IFERROR(VLOOKUP($B538,'(勿動)組件目錄表'!$D$15:$R$1094,9,FALSE),"-")</f>
        <v>-</v>
      </c>
      <c r="I538" s="11" t="str">
        <f>IFERROR(VLOOKUP($B538,'(勿動)組件目錄表'!$D$15:$R$1094,10,FALSE),"-")</f>
        <v>-</v>
      </c>
      <c r="J538" s="11" t="str">
        <f>IFERROR(VLOOKUP($B538,'(勿動)組件目錄表'!$D$15:$R$1094,11,FALSE),"-")</f>
        <v>-</v>
      </c>
      <c r="K538" s="11" t="str">
        <f>IFERROR(VLOOKUP($B538,'(勿動)組件目錄表'!$D$15:$R$1094,12,FALSE),"-")</f>
        <v>-</v>
      </c>
      <c r="L538" s="11" t="str">
        <f>IFERROR(VLOOKUP($B538,'(勿動)組件目錄表'!$D$15:$R$1094,13,FALSE),"-")</f>
        <v>-</v>
      </c>
      <c r="M538" s="11" t="str">
        <f>IFERROR(VLOOKUP($B538,'(勿動)組件目錄表'!$D$15:$R$1094,14,FALSE),"-")</f>
        <v>-</v>
      </c>
      <c r="N538" s="15">
        <f t="shared" si="2"/>
        <v>0</v>
      </c>
      <c r="O538" s="16"/>
    </row>
    <row r="539" spans="1:15" ht="15.75" customHeight="1">
      <c r="A539" s="18"/>
      <c r="B539" s="7"/>
      <c r="C539" s="8" t="str">
        <f>IFERROR(VLOOKUP($B539,'(勿動)組件目錄表'!$D$15:$R$1094,2,FALSE),"-")</f>
        <v>-</v>
      </c>
      <c r="D539" s="8" t="str">
        <f>IFERROR(VLOOKUP($B539,'(勿動)組件目錄表'!$D$15:$R$1094,3,FALSE),"-")</f>
        <v>-</v>
      </c>
      <c r="E539" s="9" t="str">
        <f>IFERROR(VLOOKUP($B539,'(勿動)組件目錄表'!$D$15:$R$1094,4,FALSE),"-")</f>
        <v>-</v>
      </c>
      <c r="F539" s="10" t="str">
        <f>IFERROR(VLOOKUP($B539,'(勿動)組件目錄表'!$D$15:$R$1094,5,FALSE),"-")</f>
        <v>-</v>
      </c>
      <c r="G539" s="11" t="str">
        <f>IFERROR(VLOOKUP($B539,'(勿動)組件目錄表'!$D$15:$R$1094,8,FALSE),"-")</f>
        <v>-</v>
      </c>
      <c r="H539" s="11" t="str">
        <f>IFERROR(VLOOKUP($B539,'(勿動)組件目錄表'!$D$15:$R$1094,9,FALSE),"-")</f>
        <v>-</v>
      </c>
      <c r="I539" s="11" t="str">
        <f>IFERROR(VLOOKUP($B539,'(勿動)組件目錄表'!$D$15:$R$1094,10,FALSE),"-")</f>
        <v>-</v>
      </c>
      <c r="J539" s="11" t="str">
        <f>IFERROR(VLOOKUP($B539,'(勿動)組件目錄表'!$D$15:$R$1094,11,FALSE),"-")</f>
        <v>-</v>
      </c>
      <c r="K539" s="11" t="str">
        <f>IFERROR(VLOOKUP($B539,'(勿動)組件目錄表'!$D$15:$R$1094,12,FALSE),"-")</f>
        <v>-</v>
      </c>
      <c r="L539" s="11" t="str">
        <f>IFERROR(VLOOKUP($B539,'(勿動)組件目錄表'!$D$15:$R$1094,13,FALSE),"-")</f>
        <v>-</v>
      </c>
      <c r="M539" s="11" t="str">
        <f>IFERROR(VLOOKUP($B539,'(勿動)組件目錄表'!$D$15:$R$1094,14,FALSE),"-")</f>
        <v>-</v>
      </c>
      <c r="N539" s="15">
        <f t="shared" si="2"/>
        <v>0</v>
      </c>
      <c r="O539" s="16"/>
    </row>
    <row r="540" spans="1:15" ht="15.75" customHeight="1">
      <c r="A540" s="18"/>
      <c r="B540" s="7"/>
      <c r="C540" s="8" t="str">
        <f>IFERROR(VLOOKUP($B540,'(勿動)組件目錄表'!$D$15:$R$1094,2,FALSE),"-")</f>
        <v>-</v>
      </c>
      <c r="D540" s="8" t="str">
        <f>IFERROR(VLOOKUP($B540,'(勿動)組件目錄表'!$D$15:$R$1094,3,FALSE),"-")</f>
        <v>-</v>
      </c>
      <c r="E540" s="9" t="str">
        <f>IFERROR(VLOOKUP($B540,'(勿動)組件目錄表'!$D$15:$R$1094,4,FALSE),"-")</f>
        <v>-</v>
      </c>
      <c r="F540" s="10" t="str">
        <f>IFERROR(VLOOKUP($B540,'(勿動)組件目錄表'!$D$15:$R$1094,5,FALSE),"-")</f>
        <v>-</v>
      </c>
      <c r="G540" s="11" t="str">
        <f>IFERROR(VLOOKUP($B540,'(勿動)組件目錄表'!$D$15:$R$1094,8,FALSE),"-")</f>
        <v>-</v>
      </c>
      <c r="H540" s="11" t="str">
        <f>IFERROR(VLOOKUP($B540,'(勿動)組件目錄表'!$D$15:$R$1094,9,FALSE),"-")</f>
        <v>-</v>
      </c>
      <c r="I540" s="11" t="str">
        <f>IFERROR(VLOOKUP($B540,'(勿動)組件目錄表'!$D$15:$R$1094,10,FALSE),"-")</f>
        <v>-</v>
      </c>
      <c r="J540" s="11" t="str">
        <f>IFERROR(VLOOKUP($B540,'(勿動)組件目錄表'!$D$15:$R$1094,11,FALSE),"-")</f>
        <v>-</v>
      </c>
      <c r="K540" s="11" t="str">
        <f>IFERROR(VLOOKUP($B540,'(勿動)組件目錄表'!$D$15:$R$1094,12,FALSE),"-")</f>
        <v>-</v>
      </c>
      <c r="L540" s="11" t="str">
        <f>IFERROR(VLOOKUP($B540,'(勿動)組件目錄表'!$D$15:$R$1094,13,FALSE),"-")</f>
        <v>-</v>
      </c>
      <c r="M540" s="11" t="str">
        <f>IFERROR(VLOOKUP($B540,'(勿動)組件目錄表'!$D$15:$R$1094,14,FALSE),"-")</f>
        <v>-</v>
      </c>
      <c r="N540" s="15">
        <f t="shared" si="2"/>
        <v>0</v>
      </c>
      <c r="O540" s="16"/>
    </row>
    <row r="541" spans="1:15" ht="15.75" customHeight="1">
      <c r="A541" s="18"/>
      <c r="B541" s="7"/>
      <c r="C541" s="8" t="str">
        <f>IFERROR(VLOOKUP($B541,'(勿動)組件目錄表'!$D$15:$R$1094,2,FALSE),"-")</f>
        <v>-</v>
      </c>
      <c r="D541" s="8" t="str">
        <f>IFERROR(VLOOKUP($B541,'(勿動)組件目錄表'!$D$15:$R$1094,3,FALSE),"-")</f>
        <v>-</v>
      </c>
      <c r="E541" s="9" t="str">
        <f>IFERROR(VLOOKUP($B541,'(勿動)組件目錄表'!$D$15:$R$1094,4,FALSE),"-")</f>
        <v>-</v>
      </c>
      <c r="F541" s="10" t="str">
        <f>IFERROR(VLOOKUP($B541,'(勿動)組件目錄表'!$D$15:$R$1094,5,FALSE),"-")</f>
        <v>-</v>
      </c>
      <c r="G541" s="11" t="str">
        <f>IFERROR(VLOOKUP($B541,'(勿動)組件目錄表'!$D$15:$R$1094,8,FALSE),"-")</f>
        <v>-</v>
      </c>
      <c r="H541" s="11" t="str">
        <f>IFERROR(VLOOKUP($B541,'(勿動)組件目錄表'!$D$15:$R$1094,9,FALSE),"-")</f>
        <v>-</v>
      </c>
      <c r="I541" s="11" t="str">
        <f>IFERROR(VLOOKUP($B541,'(勿動)組件目錄表'!$D$15:$R$1094,10,FALSE),"-")</f>
        <v>-</v>
      </c>
      <c r="J541" s="11" t="str">
        <f>IFERROR(VLOOKUP($B541,'(勿動)組件目錄表'!$D$15:$R$1094,11,FALSE),"-")</f>
        <v>-</v>
      </c>
      <c r="K541" s="11" t="str">
        <f>IFERROR(VLOOKUP($B541,'(勿動)組件目錄表'!$D$15:$R$1094,12,FALSE),"-")</f>
        <v>-</v>
      </c>
      <c r="L541" s="11" t="str">
        <f>IFERROR(VLOOKUP($B541,'(勿動)組件目錄表'!$D$15:$R$1094,13,FALSE),"-")</f>
        <v>-</v>
      </c>
      <c r="M541" s="11" t="str">
        <f>IFERROR(VLOOKUP($B541,'(勿動)組件目錄表'!$D$15:$R$1094,14,FALSE),"-")</f>
        <v>-</v>
      </c>
      <c r="N541" s="15">
        <f t="shared" si="2"/>
        <v>0</v>
      </c>
      <c r="O541" s="16"/>
    </row>
    <row r="542" spans="1:15" ht="15.75" customHeight="1">
      <c r="A542" s="18"/>
      <c r="B542" s="7"/>
      <c r="C542" s="8" t="str">
        <f>IFERROR(VLOOKUP($B542,'(勿動)組件目錄表'!$D$15:$R$1094,2,FALSE),"-")</f>
        <v>-</v>
      </c>
      <c r="D542" s="8" t="str">
        <f>IFERROR(VLOOKUP($B542,'(勿動)組件目錄表'!$D$15:$R$1094,3,FALSE),"-")</f>
        <v>-</v>
      </c>
      <c r="E542" s="9" t="str">
        <f>IFERROR(VLOOKUP($B542,'(勿動)組件目錄表'!$D$15:$R$1094,4,FALSE),"-")</f>
        <v>-</v>
      </c>
      <c r="F542" s="10" t="str">
        <f>IFERROR(VLOOKUP($B542,'(勿動)組件目錄表'!$D$15:$R$1094,5,FALSE),"-")</f>
        <v>-</v>
      </c>
      <c r="G542" s="11" t="str">
        <f>IFERROR(VLOOKUP($B542,'(勿動)組件目錄表'!$D$15:$R$1094,8,FALSE),"-")</f>
        <v>-</v>
      </c>
      <c r="H542" s="11" t="str">
        <f>IFERROR(VLOOKUP($B542,'(勿動)組件目錄表'!$D$15:$R$1094,9,FALSE),"-")</f>
        <v>-</v>
      </c>
      <c r="I542" s="11" t="str">
        <f>IFERROR(VLOOKUP($B542,'(勿動)組件目錄表'!$D$15:$R$1094,10,FALSE),"-")</f>
        <v>-</v>
      </c>
      <c r="J542" s="11" t="str">
        <f>IFERROR(VLOOKUP($B542,'(勿動)組件目錄表'!$D$15:$R$1094,11,FALSE),"-")</f>
        <v>-</v>
      </c>
      <c r="K542" s="11" t="str">
        <f>IFERROR(VLOOKUP($B542,'(勿動)組件目錄表'!$D$15:$R$1094,12,FALSE),"-")</f>
        <v>-</v>
      </c>
      <c r="L542" s="11" t="str">
        <f>IFERROR(VLOOKUP($B542,'(勿動)組件目錄表'!$D$15:$R$1094,13,FALSE),"-")</f>
        <v>-</v>
      </c>
      <c r="M542" s="11" t="str">
        <f>IFERROR(VLOOKUP($B542,'(勿動)組件目錄表'!$D$15:$R$1094,14,FALSE),"-")</f>
        <v>-</v>
      </c>
      <c r="N542" s="15">
        <f t="shared" si="2"/>
        <v>0</v>
      </c>
      <c r="O542" s="16"/>
    </row>
    <row r="543" spans="1:15" ht="15.75" customHeight="1">
      <c r="A543" s="18"/>
      <c r="B543" s="7"/>
      <c r="C543" s="8" t="str">
        <f>IFERROR(VLOOKUP($B543,'(勿動)組件目錄表'!$D$15:$R$1094,2,FALSE),"-")</f>
        <v>-</v>
      </c>
      <c r="D543" s="8" t="str">
        <f>IFERROR(VLOOKUP($B543,'(勿動)組件目錄表'!$D$15:$R$1094,3,FALSE),"-")</f>
        <v>-</v>
      </c>
      <c r="E543" s="9" t="str">
        <f>IFERROR(VLOOKUP($B543,'(勿動)組件目錄表'!$D$15:$R$1094,4,FALSE),"-")</f>
        <v>-</v>
      </c>
      <c r="F543" s="10" t="str">
        <f>IFERROR(VLOOKUP($B543,'(勿動)組件目錄表'!$D$15:$R$1094,5,FALSE),"-")</f>
        <v>-</v>
      </c>
      <c r="G543" s="11" t="str">
        <f>IFERROR(VLOOKUP($B543,'(勿動)組件目錄表'!$D$15:$R$1094,8,FALSE),"-")</f>
        <v>-</v>
      </c>
      <c r="H543" s="11" t="str">
        <f>IFERROR(VLOOKUP($B543,'(勿動)組件目錄表'!$D$15:$R$1094,9,FALSE),"-")</f>
        <v>-</v>
      </c>
      <c r="I543" s="11" t="str">
        <f>IFERROR(VLOOKUP($B543,'(勿動)組件目錄表'!$D$15:$R$1094,10,FALSE),"-")</f>
        <v>-</v>
      </c>
      <c r="J543" s="11" t="str">
        <f>IFERROR(VLOOKUP($B543,'(勿動)組件目錄表'!$D$15:$R$1094,11,FALSE),"-")</f>
        <v>-</v>
      </c>
      <c r="K543" s="11" t="str">
        <f>IFERROR(VLOOKUP($B543,'(勿動)組件目錄表'!$D$15:$R$1094,12,FALSE),"-")</f>
        <v>-</v>
      </c>
      <c r="L543" s="11" t="str">
        <f>IFERROR(VLOOKUP($B543,'(勿動)組件目錄表'!$D$15:$R$1094,13,FALSE),"-")</f>
        <v>-</v>
      </c>
      <c r="M543" s="11" t="str">
        <f>IFERROR(VLOOKUP($B543,'(勿動)組件目錄表'!$D$15:$R$1094,14,FALSE),"-")</f>
        <v>-</v>
      </c>
      <c r="N543" s="15">
        <f t="shared" si="2"/>
        <v>0</v>
      </c>
      <c r="O543" s="16"/>
    </row>
    <row r="544" spans="1:15" ht="15.75" customHeight="1">
      <c r="A544" s="18"/>
      <c r="B544" s="7"/>
      <c r="C544" s="8" t="str">
        <f>IFERROR(VLOOKUP($B544,'(勿動)組件目錄表'!$D$15:$R$1094,2,FALSE),"-")</f>
        <v>-</v>
      </c>
      <c r="D544" s="8" t="str">
        <f>IFERROR(VLOOKUP($B544,'(勿動)組件目錄表'!$D$15:$R$1094,3,FALSE),"-")</f>
        <v>-</v>
      </c>
      <c r="E544" s="9" t="str">
        <f>IFERROR(VLOOKUP($B544,'(勿動)組件目錄表'!$D$15:$R$1094,4,FALSE),"-")</f>
        <v>-</v>
      </c>
      <c r="F544" s="10" t="str">
        <f>IFERROR(VLOOKUP($B544,'(勿動)組件目錄表'!$D$15:$R$1094,5,FALSE),"-")</f>
        <v>-</v>
      </c>
      <c r="G544" s="11" t="str">
        <f>IFERROR(VLOOKUP($B544,'(勿動)組件目錄表'!$D$15:$R$1094,8,FALSE),"-")</f>
        <v>-</v>
      </c>
      <c r="H544" s="11" t="str">
        <f>IFERROR(VLOOKUP($B544,'(勿動)組件目錄表'!$D$15:$R$1094,9,FALSE),"-")</f>
        <v>-</v>
      </c>
      <c r="I544" s="11" t="str">
        <f>IFERROR(VLOOKUP($B544,'(勿動)組件目錄表'!$D$15:$R$1094,10,FALSE),"-")</f>
        <v>-</v>
      </c>
      <c r="J544" s="11" t="str">
        <f>IFERROR(VLOOKUP($B544,'(勿動)組件目錄表'!$D$15:$R$1094,11,FALSE),"-")</f>
        <v>-</v>
      </c>
      <c r="K544" s="11" t="str">
        <f>IFERROR(VLOOKUP($B544,'(勿動)組件目錄表'!$D$15:$R$1094,12,FALSE),"-")</f>
        <v>-</v>
      </c>
      <c r="L544" s="11" t="str">
        <f>IFERROR(VLOOKUP($B544,'(勿動)組件目錄表'!$D$15:$R$1094,13,FALSE),"-")</f>
        <v>-</v>
      </c>
      <c r="M544" s="11" t="str">
        <f>IFERROR(VLOOKUP($B544,'(勿動)組件目錄表'!$D$15:$R$1094,14,FALSE),"-")</f>
        <v>-</v>
      </c>
      <c r="N544" s="15">
        <f t="shared" si="2"/>
        <v>0</v>
      </c>
      <c r="O544" s="16"/>
    </row>
    <row r="545" spans="1:15" ht="15.75" customHeight="1">
      <c r="A545" s="18"/>
      <c r="B545" s="7"/>
      <c r="C545" s="8" t="str">
        <f>IFERROR(VLOOKUP($B545,'(勿動)組件目錄表'!$D$15:$R$1094,2,FALSE),"-")</f>
        <v>-</v>
      </c>
      <c r="D545" s="8" t="str">
        <f>IFERROR(VLOOKUP($B545,'(勿動)組件目錄表'!$D$15:$R$1094,3,FALSE),"-")</f>
        <v>-</v>
      </c>
      <c r="E545" s="9" t="str">
        <f>IFERROR(VLOOKUP($B545,'(勿動)組件目錄表'!$D$15:$R$1094,4,FALSE),"-")</f>
        <v>-</v>
      </c>
      <c r="F545" s="10" t="str">
        <f>IFERROR(VLOOKUP($B545,'(勿動)組件目錄表'!$D$15:$R$1094,5,FALSE),"-")</f>
        <v>-</v>
      </c>
      <c r="G545" s="11" t="str">
        <f>IFERROR(VLOOKUP($B545,'(勿動)組件目錄表'!$D$15:$R$1094,8,FALSE),"-")</f>
        <v>-</v>
      </c>
      <c r="H545" s="11" t="str">
        <f>IFERROR(VLOOKUP($B545,'(勿動)組件目錄表'!$D$15:$R$1094,9,FALSE),"-")</f>
        <v>-</v>
      </c>
      <c r="I545" s="11" t="str">
        <f>IFERROR(VLOOKUP($B545,'(勿動)組件目錄表'!$D$15:$R$1094,10,FALSE),"-")</f>
        <v>-</v>
      </c>
      <c r="J545" s="11" t="str">
        <f>IFERROR(VLOOKUP($B545,'(勿動)組件目錄表'!$D$15:$R$1094,11,FALSE),"-")</f>
        <v>-</v>
      </c>
      <c r="K545" s="11" t="str">
        <f>IFERROR(VLOOKUP($B545,'(勿動)組件目錄表'!$D$15:$R$1094,12,FALSE),"-")</f>
        <v>-</v>
      </c>
      <c r="L545" s="11" t="str">
        <f>IFERROR(VLOOKUP($B545,'(勿動)組件目錄表'!$D$15:$R$1094,13,FALSE),"-")</f>
        <v>-</v>
      </c>
      <c r="M545" s="11" t="str">
        <f>IFERROR(VLOOKUP($B545,'(勿動)組件目錄表'!$D$15:$R$1094,14,FALSE),"-")</f>
        <v>-</v>
      </c>
      <c r="N545" s="15">
        <f t="shared" si="2"/>
        <v>0</v>
      </c>
      <c r="O545" s="16"/>
    </row>
    <row r="546" spans="1:15" ht="15.75" customHeight="1">
      <c r="A546" s="18"/>
      <c r="B546" s="7"/>
      <c r="C546" s="8" t="str">
        <f>IFERROR(VLOOKUP($B546,'(勿動)組件目錄表'!$D$15:$R$1094,2,FALSE),"-")</f>
        <v>-</v>
      </c>
      <c r="D546" s="8" t="str">
        <f>IFERROR(VLOOKUP($B546,'(勿動)組件目錄表'!$D$15:$R$1094,3,FALSE),"-")</f>
        <v>-</v>
      </c>
      <c r="E546" s="9" t="str">
        <f>IFERROR(VLOOKUP($B546,'(勿動)組件目錄表'!$D$15:$R$1094,4,FALSE),"-")</f>
        <v>-</v>
      </c>
      <c r="F546" s="10" t="str">
        <f>IFERROR(VLOOKUP($B546,'(勿動)組件目錄表'!$D$15:$R$1094,5,FALSE),"-")</f>
        <v>-</v>
      </c>
      <c r="G546" s="11" t="str">
        <f>IFERROR(VLOOKUP($B546,'(勿動)組件目錄表'!$D$15:$R$1094,8,FALSE),"-")</f>
        <v>-</v>
      </c>
      <c r="H546" s="11" t="str">
        <f>IFERROR(VLOOKUP($B546,'(勿動)組件目錄表'!$D$15:$R$1094,9,FALSE),"-")</f>
        <v>-</v>
      </c>
      <c r="I546" s="11" t="str">
        <f>IFERROR(VLOOKUP($B546,'(勿動)組件目錄表'!$D$15:$R$1094,10,FALSE),"-")</f>
        <v>-</v>
      </c>
      <c r="J546" s="11" t="str">
        <f>IFERROR(VLOOKUP($B546,'(勿動)組件目錄表'!$D$15:$R$1094,11,FALSE),"-")</f>
        <v>-</v>
      </c>
      <c r="K546" s="11" t="str">
        <f>IFERROR(VLOOKUP($B546,'(勿動)組件目錄表'!$D$15:$R$1094,12,FALSE),"-")</f>
        <v>-</v>
      </c>
      <c r="L546" s="11" t="str">
        <f>IFERROR(VLOOKUP($B546,'(勿動)組件目錄表'!$D$15:$R$1094,13,FALSE),"-")</f>
        <v>-</v>
      </c>
      <c r="M546" s="11" t="str">
        <f>IFERROR(VLOOKUP($B546,'(勿動)組件目錄表'!$D$15:$R$1094,14,FALSE),"-")</f>
        <v>-</v>
      </c>
      <c r="N546" s="15">
        <f t="shared" si="2"/>
        <v>0</v>
      </c>
      <c r="O546" s="16"/>
    </row>
    <row r="547" spans="1:15" ht="15.75" customHeight="1">
      <c r="A547" s="18"/>
      <c r="B547" s="7"/>
      <c r="C547" s="8" t="str">
        <f>IFERROR(VLOOKUP($B547,'(勿動)組件目錄表'!$D$15:$R$1094,2,FALSE),"-")</f>
        <v>-</v>
      </c>
      <c r="D547" s="8" t="str">
        <f>IFERROR(VLOOKUP($B547,'(勿動)組件目錄表'!$D$15:$R$1094,3,FALSE),"-")</f>
        <v>-</v>
      </c>
      <c r="E547" s="9" t="str">
        <f>IFERROR(VLOOKUP($B547,'(勿動)組件目錄表'!$D$15:$R$1094,4,FALSE),"-")</f>
        <v>-</v>
      </c>
      <c r="F547" s="10" t="str">
        <f>IFERROR(VLOOKUP($B547,'(勿動)組件目錄表'!$D$15:$R$1094,5,FALSE),"-")</f>
        <v>-</v>
      </c>
      <c r="G547" s="11" t="str">
        <f>IFERROR(VLOOKUP($B547,'(勿動)組件目錄表'!$D$15:$R$1094,8,FALSE),"-")</f>
        <v>-</v>
      </c>
      <c r="H547" s="11" t="str">
        <f>IFERROR(VLOOKUP($B547,'(勿動)組件目錄表'!$D$15:$R$1094,9,FALSE),"-")</f>
        <v>-</v>
      </c>
      <c r="I547" s="11" t="str">
        <f>IFERROR(VLOOKUP($B547,'(勿動)組件目錄表'!$D$15:$R$1094,10,FALSE),"-")</f>
        <v>-</v>
      </c>
      <c r="J547" s="11" t="str">
        <f>IFERROR(VLOOKUP($B547,'(勿動)組件目錄表'!$D$15:$R$1094,11,FALSE),"-")</f>
        <v>-</v>
      </c>
      <c r="K547" s="11" t="str">
        <f>IFERROR(VLOOKUP($B547,'(勿動)組件目錄表'!$D$15:$R$1094,12,FALSE),"-")</f>
        <v>-</v>
      </c>
      <c r="L547" s="11" t="str">
        <f>IFERROR(VLOOKUP($B547,'(勿動)組件目錄表'!$D$15:$R$1094,13,FALSE),"-")</f>
        <v>-</v>
      </c>
      <c r="M547" s="11" t="str">
        <f>IFERROR(VLOOKUP($B547,'(勿動)組件目錄表'!$D$15:$R$1094,14,FALSE),"-")</f>
        <v>-</v>
      </c>
      <c r="N547" s="15">
        <f t="shared" si="2"/>
        <v>0</v>
      </c>
      <c r="O547" s="16"/>
    </row>
    <row r="548" spans="1:15" ht="15.75" customHeight="1">
      <c r="A548" s="18"/>
      <c r="B548" s="7"/>
      <c r="C548" s="8" t="str">
        <f>IFERROR(VLOOKUP($B548,'(勿動)組件目錄表'!$D$15:$R$1094,2,FALSE),"-")</f>
        <v>-</v>
      </c>
      <c r="D548" s="8" t="str">
        <f>IFERROR(VLOOKUP($B548,'(勿動)組件目錄表'!$D$15:$R$1094,3,FALSE),"-")</f>
        <v>-</v>
      </c>
      <c r="E548" s="9" t="str">
        <f>IFERROR(VLOOKUP($B548,'(勿動)組件目錄表'!$D$15:$R$1094,4,FALSE),"-")</f>
        <v>-</v>
      </c>
      <c r="F548" s="10" t="str">
        <f>IFERROR(VLOOKUP($B548,'(勿動)組件目錄表'!$D$15:$R$1094,5,FALSE),"-")</f>
        <v>-</v>
      </c>
      <c r="G548" s="11" t="str">
        <f>IFERROR(VLOOKUP($B548,'(勿動)組件目錄表'!$D$15:$R$1094,8,FALSE),"-")</f>
        <v>-</v>
      </c>
      <c r="H548" s="11" t="str">
        <f>IFERROR(VLOOKUP($B548,'(勿動)組件目錄表'!$D$15:$R$1094,9,FALSE),"-")</f>
        <v>-</v>
      </c>
      <c r="I548" s="11" t="str">
        <f>IFERROR(VLOOKUP($B548,'(勿動)組件目錄表'!$D$15:$R$1094,10,FALSE),"-")</f>
        <v>-</v>
      </c>
      <c r="J548" s="11" t="str">
        <f>IFERROR(VLOOKUP($B548,'(勿動)組件目錄表'!$D$15:$R$1094,11,FALSE),"-")</f>
        <v>-</v>
      </c>
      <c r="K548" s="11" t="str">
        <f>IFERROR(VLOOKUP($B548,'(勿動)組件目錄表'!$D$15:$R$1094,12,FALSE),"-")</f>
        <v>-</v>
      </c>
      <c r="L548" s="11" t="str">
        <f>IFERROR(VLOOKUP($B548,'(勿動)組件目錄表'!$D$15:$R$1094,13,FALSE),"-")</f>
        <v>-</v>
      </c>
      <c r="M548" s="11" t="str">
        <f>IFERROR(VLOOKUP($B548,'(勿動)組件目錄表'!$D$15:$R$1094,14,FALSE),"-")</f>
        <v>-</v>
      </c>
      <c r="N548" s="15">
        <f t="shared" si="2"/>
        <v>0</v>
      </c>
      <c r="O548" s="16"/>
    </row>
    <row r="549" spans="1:15" ht="15.75" customHeight="1">
      <c r="A549" s="18"/>
      <c r="B549" s="7"/>
      <c r="C549" s="8" t="str">
        <f>IFERROR(VLOOKUP($B549,'(勿動)組件目錄表'!$D$15:$R$1094,2,FALSE),"-")</f>
        <v>-</v>
      </c>
      <c r="D549" s="8" t="str">
        <f>IFERROR(VLOOKUP($B549,'(勿動)組件目錄表'!$D$15:$R$1094,3,FALSE),"-")</f>
        <v>-</v>
      </c>
      <c r="E549" s="9" t="str">
        <f>IFERROR(VLOOKUP($B549,'(勿動)組件目錄表'!$D$15:$R$1094,4,FALSE),"-")</f>
        <v>-</v>
      </c>
      <c r="F549" s="10" t="str">
        <f>IFERROR(VLOOKUP($B549,'(勿動)組件目錄表'!$D$15:$R$1094,5,FALSE),"-")</f>
        <v>-</v>
      </c>
      <c r="G549" s="11" t="str">
        <f>IFERROR(VLOOKUP($B549,'(勿動)組件目錄表'!$D$15:$R$1094,8,FALSE),"-")</f>
        <v>-</v>
      </c>
      <c r="H549" s="11" t="str">
        <f>IFERROR(VLOOKUP($B549,'(勿動)組件目錄表'!$D$15:$R$1094,9,FALSE),"-")</f>
        <v>-</v>
      </c>
      <c r="I549" s="11" t="str">
        <f>IFERROR(VLOOKUP($B549,'(勿動)組件目錄表'!$D$15:$R$1094,10,FALSE),"-")</f>
        <v>-</v>
      </c>
      <c r="J549" s="11" t="str">
        <f>IFERROR(VLOOKUP($B549,'(勿動)組件目錄表'!$D$15:$R$1094,11,FALSE),"-")</f>
        <v>-</v>
      </c>
      <c r="K549" s="11" t="str">
        <f>IFERROR(VLOOKUP($B549,'(勿動)組件目錄表'!$D$15:$R$1094,12,FALSE),"-")</f>
        <v>-</v>
      </c>
      <c r="L549" s="11" t="str">
        <f>IFERROR(VLOOKUP($B549,'(勿動)組件目錄表'!$D$15:$R$1094,13,FALSE),"-")</f>
        <v>-</v>
      </c>
      <c r="M549" s="11" t="str">
        <f>IFERROR(VLOOKUP($B549,'(勿動)組件目錄表'!$D$15:$R$1094,14,FALSE),"-")</f>
        <v>-</v>
      </c>
      <c r="N549" s="15">
        <f t="shared" si="2"/>
        <v>0</v>
      </c>
      <c r="O549" s="16"/>
    </row>
    <row r="550" spans="1:15" ht="15.75" customHeight="1">
      <c r="A550" s="18"/>
      <c r="B550" s="7"/>
      <c r="C550" s="8" t="str">
        <f>IFERROR(VLOOKUP($B550,'(勿動)組件目錄表'!$D$15:$R$1094,2,FALSE),"-")</f>
        <v>-</v>
      </c>
      <c r="D550" s="8" t="str">
        <f>IFERROR(VLOOKUP($B550,'(勿動)組件目錄表'!$D$15:$R$1094,3,FALSE),"-")</f>
        <v>-</v>
      </c>
      <c r="E550" s="9" t="str">
        <f>IFERROR(VLOOKUP($B550,'(勿動)組件目錄表'!$D$15:$R$1094,4,FALSE),"-")</f>
        <v>-</v>
      </c>
      <c r="F550" s="10" t="str">
        <f>IFERROR(VLOOKUP($B550,'(勿動)組件目錄表'!$D$15:$R$1094,5,FALSE),"-")</f>
        <v>-</v>
      </c>
      <c r="G550" s="11" t="str">
        <f>IFERROR(VLOOKUP($B550,'(勿動)組件目錄表'!$D$15:$R$1094,8,FALSE),"-")</f>
        <v>-</v>
      </c>
      <c r="H550" s="11" t="str">
        <f>IFERROR(VLOOKUP($B550,'(勿動)組件目錄表'!$D$15:$R$1094,9,FALSE),"-")</f>
        <v>-</v>
      </c>
      <c r="I550" s="11" t="str">
        <f>IFERROR(VLOOKUP($B550,'(勿動)組件目錄表'!$D$15:$R$1094,10,FALSE),"-")</f>
        <v>-</v>
      </c>
      <c r="J550" s="11" t="str">
        <f>IFERROR(VLOOKUP($B550,'(勿動)組件目錄表'!$D$15:$R$1094,11,FALSE),"-")</f>
        <v>-</v>
      </c>
      <c r="K550" s="11" t="str">
        <f>IFERROR(VLOOKUP($B550,'(勿動)組件目錄表'!$D$15:$R$1094,12,FALSE),"-")</f>
        <v>-</v>
      </c>
      <c r="L550" s="11" t="str">
        <f>IFERROR(VLOOKUP($B550,'(勿動)組件目錄表'!$D$15:$R$1094,13,FALSE),"-")</f>
        <v>-</v>
      </c>
      <c r="M550" s="11" t="str">
        <f>IFERROR(VLOOKUP($B550,'(勿動)組件目錄表'!$D$15:$R$1094,14,FALSE),"-")</f>
        <v>-</v>
      </c>
      <c r="N550" s="15">
        <f t="shared" si="2"/>
        <v>0</v>
      </c>
      <c r="O550" s="16"/>
    </row>
    <row r="551" spans="1:15" ht="15.75" customHeight="1">
      <c r="A551" s="18"/>
      <c r="B551" s="7"/>
      <c r="C551" s="8" t="str">
        <f>IFERROR(VLOOKUP($B551,'(勿動)組件目錄表'!$D$15:$R$1094,2,FALSE),"-")</f>
        <v>-</v>
      </c>
      <c r="D551" s="8" t="str">
        <f>IFERROR(VLOOKUP($B551,'(勿動)組件目錄表'!$D$15:$R$1094,3,FALSE),"-")</f>
        <v>-</v>
      </c>
      <c r="E551" s="9" t="str">
        <f>IFERROR(VLOOKUP($B551,'(勿動)組件目錄表'!$D$15:$R$1094,4,FALSE),"-")</f>
        <v>-</v>
      </c>
      <c r="F551" s="10" t="str">
        <f>IFERROR(VLOOKUP($B551,'(勿動)組件目錄表'!$D$15:$R$1094,5,FALSE),"-")</f>
        <v>-</v>
      </c>
      <c r="G551" s="11" t="str">
        <f>IFERROR(VLOOKUP($B551,'(勿動)組件目錄表'!$D$15:$R$1094,8,FALSE),"-")</f>
        <v>-</v>
      </c>
      <c r="H551" s="11" t="str">
        <f>IFERROR(VLOOKUP($B551,'(勿動)組件目錄表'!$D$15:$R$1094,9,FALSE),"-")</f>
        <v>-</v>
      </c>
      <c r="I551" s="11" t="str">
        <f>IFERROR(VLOOKUP($B551,'(勿動)組件目錄表'!$D$15:$R$1094,10,FALSE),"-")</f>
        <v>-</v>
      </c>
      <c r="J551" s="11" t="str">
        <f>IFERROR(VLOOKUP($B551,'(勿動)組件目錄表'!$D$15:$R$1094,11,FALSE),"-")</f>
        <v>-</v>
      </c>
      <c r="K551" s="11" t="str">
        <f>IFERROR(VLOOKUP($B551,'(勿動)組件目錄表'!$D$15:$R$1094,12,FALSE),"-")</f>
        <v>-</v>
      </c>
      <c r="L551" s="11" t="str">
        <f>IFERROR(VLOOKUP($B551,'(勿動)組件目錄表'!$D$15:$R$1094,13,FALSE),"-")</f>
        <v>-</v>
      </c>
      <c r="M551" s="11" t="str">
        <f>IFERROR(VLOOKUP($B551,'(勿動)組件目錄表'!$D$15:$R$1094,14,FALSE),"-")</f>
        <v>-</v>
      </c>
      <c r="N551" s="15">
        <f t="shared" si="2"/>
        <v>0</v>
      </c>
      <c r="O551" s="16"/>
    </row>
    <row r="552" spans="1:15" ht="15.75" customHeight="1">
      <c r="A552" s="18"/>
      <c r="B552" s="7"/>
      <c r="C552" s="8" t="str">
        <f>IFERROR(VLOOKUP($B552,'(勿動)組件目錄表'!$D$15:$R$1094,2,FALSE),"-")</f>
        <v>-</v>
      </c>
      <c r="D552" s="8" t="str">
        <f>IFERROR(VLOOKUP($B552,'(勿動)組件目錄表'!$D$15:$R$1094,3,FALSE),"-")</f>
        <v>-</v>
      </c>
      <c r="E552" s="9" t="str">
        <f>IFERROR(VLOOKUP($B552,'(勿動)組件目錄表'!$D$15:$R$1094,4,FALSE),"-")</f>
        <v>-</v>
      </c>
      <c r="F552" s="10" t="str">
        <f>IFERROR(VLOOKUP($B552,'(勿動)組件目錄表'!$D$15:$R$1094,5,FALSE),"-")</f>
        <v>-</v>
      </c>
      <c r="G552" s="11" t="str">
        <f>IFERROR(VLOOKUP($B552,'(勿動)組件目錄表'!$D$15:$R$1094,8,FALSE),"-")</f>
        <v>-</v>
      </c>
      <c r="H552" s="11" t="str">
        <f>IFERROR(VLOOKUP($B552,'(勿動)組件目錄表'!$D$15:$R$1094,9,FALSE),"-")</f>
        <v>-</v>
      </c>
      <c r="I552" s="11" t="str">
        <f>IFERROR(VLOOKUP($B552,'(勿動)組件目錄表'!$D$15:$R$1094,10,FALSE),"-")</f>
        <v>-</v>
      </c>
      <c r="J552" s="11" t="str">
        <f>IFERROR(VLOOKUP($B552,'(勿動)組件目錄表'!$D$15:$R$1094,11,FALSE),"-")</f>
        <v>-</v>
      </c>
      <c r="K552" s="11" t="str">
        <f>IFERROR(VLOOKUP($B552,'(勿動)組件目錄表'!$D$15:$R$1094,12,FALSE),"-")</f>
        <v>-</v>
      </c>
      <c r="L552" s="11" t="str">
        <f>IFERROR(VLOOKUP($B552,'(勿動)組件目錄表'!$D$15:$R$1094,13,FALSE),"-")</f>
        <v>-</v>
      </c>
      <c r="M552" s="11" t="str">
        <f>IFERROR(VLOOKUP($B552,'(勿動)組件目錄表'!$D$15:$R$1094,14,FALSE),"-")</f>
        <v>-</v>
      </c>
      <c r="N552" s="15">
        <f t="shared" si="2"/>
        <v>0</v>
      </c>
      <c r="O552" s="16"/>
    </row>
    <row r="553" spans="1:15" ht="15.75" customHeight="1">
      <c r="A553" s="18"/>
      <c r="B553" s="7"/>
      <c r="C553" s="8" t="str">
        <f>IFERROR(VLOOKUP($B553,'(勿動)組件目錄表'!$D$15:$R$1094,2,FALSE),"-")</f>
        <v>-</v>
      </c>
      <c r="D553" s="8" t="str">
        <f>IFERROR(VLOOKUP($B553,'(勿動)組件目錄表'!$D$15:$R$1094,3,FALSE),"-")</f>
        <v>-</v>
      </c>
      <c r="E553" s="9" t="str">
        <f>IFERROR(VLOOKUP($B553,'(勿動)組件目錄表'!$D$15:$R$1094,4,FALSE),"-")</f>
        <v>-</v>
      </c>
      <c r="F553" s="10" t="str">
        <f>IFERROR(VLOOKUP($B553,'(勿動)組件目錄表'!$D$15:$R$1094,5,FALSE),"-")</f>
        <v>-</v>
      </c>
      <c r="G553" s="11" t="str">
        <f>IFERROR(VLOOKUP($B553,'(勿動)組件目錄表'!$D$15:$R$1094,8,FALSE),"-")</f>
        <v>-</v>
      </c>
      <c r="H553" s="11" t="str">
        <f>IFERROR(VLOOKUP($B553,'(勿動)組件目錄表'!$D$15:$R$1094,9,FALSE),"-")</f>
        <v>-</v>
      </c>
      <c r="I553" s="11" t="str">
        <f>IFERROR(VLOOKUP($B553,'(勿動)組件目錄表'!$D$15:$R$1094,10,FALSE),"-")</f>
        <v>-</v>
      </c>
      <c r="J553" s="11" t="str">
        <f>IFERROR(VLOOKUP($B553,'(勿動)組件目錄表'!$D$15:$R$1094,11,FALSE),"-")</f>
        <v>-</v>
      </c>
      <c r="K553" s="11" t="str">
        <f>IFERROR(VLOOKUP($B553,'(勿動)組件目錄表'!$D$15:$R$1094,12,FALSE),"-")</f>
        <v>-</v>
      </c>
      <c r="L553" s="11" t="str">
        <f>IFERROR(VLOOKUP($B553,'(勿動)組件目錄表'!$D$15:$R$1094,13,FALSE),"-")</f>
        <v>-</v>
      </c>
      <c r="M553" s="11" t="str">
        <f>IFERROR(VLOOKUP($B553,'(勿動)組件目錄表'!$D$15:$R$1094,14,FALSE),"-")</f>
        <v>-</v>
      </c>
      <c r="N553" s="15">
        <f t="shared" si="2"/>
        <v>0</v>
      </c>
      <c r="O553" s="16"/>
    </row>
    <row r="554" spans="1:15" ht="15.75" customHeight="1">
      <c r="A554" s="18"/>
      <c r="B554" s="7"/>
      <c r="C554" s="8" t="str">
        <f>IFERROR(VLOOKUP($B554,'(勿動)組件目錄表'!$D$15:$R$1094,2,FALSE),"-")</f>
        <v>-</v>
      </c>
      <c r="D554" s="8" t="str">
        <f>IFERROR(VLOOKUP($B554,'(勿動)組件目錄表'!$D$15:$R$1094,3,FALSE),"-")</f>
        <v>-</v>
      </c>
      <c r="E554" s="9" t="str">
        <f>IFERROR(VLOOKUP($B554,'(勿動)組件目錄表'!$D$15:$R$1094,4,FALSE),"-")</f>
        <v>-</v>
      </c>
      <c r="F554" s="10" t="str">
        <f>IFERROR(VLOOKUP($B554,'(勿動)組件目錄表'!$D$15:$R$1094,5,FALSE),"-")</f>
        <v>-</v>
      </c>
      <c r="G554" s="11" t="str">
        <f>IFERROR(VLOOKUP($B554,'(勿動)組件目錄表'!$D$15:$R$1094,8,FALSE),"-")</f>
        <v>-</v>
      </c>
      <c r="H554" s="11" t="str">
        <f>IFERROR(VLOOKUP($B554,'(勿動)組件目錄表'!$D$15:$R$1094,9,FALSE),"-")</f>
        <v>-</v>
      </c>
      <c r="I554" s="11" t="str">
        <f>IFERROR(VLOOKUP($B554,'(勿動)組件目錄表'!$D$15:$R$1094,10,FALSE),"-")</f>
        <v>-</v>
      </c>
      <c r="J554" s="11" t="str">
        <f>IFERROR(VLOOKUP($B554,'(勿動)組件目錄表'!$D$15:$R$1094,11,FALSE),"-")</f>
        <v>-</v>
      </c>
      <c r="K554" s="11" t="str">
        <f>IFERROR(VLOOKUP($B554,'(勿動)組件目錄表'!$D$15:$R$1094,12,FALSE),"-")</f>
        <v>-</v>
      </c>
      <c r="L554" s="11" t="str">
        <f>IFERROR(VLOOKUP($B554,'(勿動)組件目錄表'!$D$15:$R$1094,13,FALSE),"-")</f>
        <v>-</v>
      </c>
      <c r="M554" s="11" t="str">
        <f>IFERROR(VLOOKUP($B554,'(勿動)組件目錄表'!$D$15:$R$1094,14,FALSE),"-")</f>
        <v>-</v>
      </c>
      <c r="N554" s="15">
        <f t="shared" si="2"/>
        <v>0</v>
      </c>
      <c r="O554" s="16"/>
    </row>
    <row r="555" spans="1:15" ht="15.75" customHeight="1">
      <c r="A555" s="18"/>
      <c r="B555" s="7"/>
      <c r="C555" s="8" t="str">
        <f>IFERROR(VLOOKUP($B555,'(勿動)組件目錄表'!$D$15:$R$1094,2,FALSE),"-")</f>
        <v>-</v>
      </c>
      <c r="D555" s="8" t="str">
        <f>IFERROR(VLOOKUP($B555,'(勿動)組件目錄表'!$D$15:$R$1094,3,FALSE),"-")</f>
        <v>-</v>
      </c>
      <c r="E555" s="9" t="str">
        <f>IFERROR(VLOOKUP($B555,'(勿動)組件目錄表'!$D$15:$R$1094,4,FALSE),"-")</f>
        <v>-</v>
      </c>
      <c r="F555" s="10" t="str">
        <f>IFERROR(VLOOKUP($B555,'(勿動)組件目錄表'!$D$15:$R$1094,5,FALSE),"-")</f>
        <v>-</v>
      </c>
      <c r="G555" s="11" t="str">
        <f>IFERROR(VLOOKUP($B555,'(勿動)組件目錄表'!$D$15:$R$1094,8,FALSE),"-")</f>
        <v>-</v>
      </c>
      <c r="H555" s="11" t="str">
        <f>IFERROR(VLOOKUP($B555,'(勿動)組件目錄表'!$D$15:$R$1094,9,FALSE),"-")</f>
        <v>-</v>
      </c>
      <c r="I555" s="11" t="str">
        <f>IFERROR(VLOOKUP($B555,'(勿動)組件目錄表'!$D$15:$R$1094,10,FALSE),"-")</f>
        <v>-</v>
      </c>
      <c r="J555" s="11" t="str">
        <f>IFERROR(VLOOKUP($B555,'(勿動)組件目錄表'!$D$15:$R$1094,11,FALSE),"-")</f>
        <v>-</v>
      </c>
      <c r="K555" s="11" t="str">
        <f>IFERROR(VLOOKUP($B555,'(勿動)組件目錄表'!$D$15:$R$1094,12,FALSE),"-")</f>
        <v>-</v>
      </c>
      <c r="L555" s="11" t="str">
        <f>IFERROR(VLOOKUP($B555,'(勿動)組件目錄表'!$D$15:$R$1094,13,FALSE),"-")</f>
        <v>-</v>
      </c>
      <c r="M555" s="11" t="str">
        <f>IFERROR(VLOOKUP($B555,'(勿動)組件目錄表'!$D$15:$R$1094,14,FALSE),"-")</f>
        <v>-</v>
      </c>
      <c r="N555" s="15">
        <f t="shared" si="2"/>
        <v>0</v>
      </c>
      <c r="O555" s="16"/>
    </row>
    <row r="556" spans="1:15" ht="15.75" customHeight="1">
      <c r="A556" s="18"/>
      <c r="B556" s="7"/>
      <c r="C556" s="8" t="str">
        <f>IFERROR(VLOOKUP($B556,'(勿動)組件目錄表'!$D$15:$R$1094,2,FALSE),"-")</f>
        <v>-</v>
      </c>
      <c r="D556" s="8" t="str">
        <f>IFERROR(VLOOKUP($B556,'(勿動)組件目錄表'!$D$15:$R$1094,3,FALSE),"-")</f>
        <v>-</v>
      </c>
      <c r="E556" s="9" t="str">
        <f>IFERROR(VLOOKUP($B556,'(勿動)組件目錄表'!$D$15:$R$1094,4,FALSE),"-")</f>
        <v>-</v>
      </c>
      <c r="F556" s="10" t="str">
        <f>IFERROR(VLOOKUP($B556,'(勿動)組件目錄表'!$D$15:$R$1094,5,FALSE),"-")</f>
        <v>-</v>
      </c>
      <c r="G556" s="11" t="str">
        <f>IFERROR(VLOOKUP($B556,'(勿動)組件目錄表'!$D$15:$R$1094,8,FALSE),"-")</f>
        <v>-</v>
      </c>
      <c r="H556" s="11" t="str">
        <f>IFERROR(VLOOKUP($B556,'(勿動)組件目錄表'!$D$15:$R$1094,9,FALSE),"-")</f>
        <v>-</v>
      </c>
      <c r="I556" s="11" t="str">
        <f>IFERROR(VLOOKUP($B556,'(勿動)組件目錄表'!$D$15:$R$1094,10,FALSE),"-")</f>
        <v>-</v>
      </c>
      <c r="J556" s="11" t="str">
        <f>IFERROR(VLOOKUP($B556,'(勿動)組件目錄表'!$D$15:$R$1094,11,FALSE),"-")</f>
        <v>-</v>
      </c>
      <c r="K556" s="11" t="str">
        <f>IFERROR(VLOOKUP($B556,'(勿動)組件目錄表'!$D$15:$R$1094,12,FALSE),"-")</f>
        <v>-</v>
      </c>
      <c r="L556" s="11" t="str">
        <f>IFERROR(VLOOKUP($B556,'(勿動)組件目錄表'!$D$15:$R$1094,13,FALSE),"-")</f>
        <v>-</v>
      </c>
      <c r="M556" s="11" t="str">
        <f>IFERROR(VLOOKUP($B556,'(勿動)組件目錄表'!$D$15:$R$1094,14,FALSE),"-")</f>
        <v>-</v>
      </c>
      <c r="N556" s="15">
        <f t="shared" si="2"/>
        <v>0</v>
      </c>
      <c r="O556" s="16"/>
    </row>
    <row r="557" spans="1:15" ht="15.75" customHeight="1">
      <c r="A557" s="18"/>
      <c r="B557" s="7"/>
      <c r="C557" s="8" t="str">
        <f>IFERROR(VLOOKUP($B557,'(勿動)組件目錄表'!$D$15:$R$1094,2,FALSE),"-")</f>
        <v>-</v>
      </c>
      <c r="D557" s="8" t="str">
        <f>IFERROR(VLOOKUP($B557,'(勿動)組件目錄表'!$D$15:$R$1094,3,FALSE),"-")</f>
        <v>-</v>
      </c>
      <c r="E557" s="9" t="str">
        <f>IFERROR(VLOOKUP($B557,'(勿動)組件目錄表'!$D$15:$R$1094,4,FALSE),"-")</f>
        <v>-</v>
      </c>
      <c r="F557" s="10" t="str">
        <f>IFERROR(VLOOKUP($B557,'(勿動)組件目錄表'!$D$15:$R$1094,5,FALSE),"-")</f>
        <v>-</v>
      </c>
      <c r="G557" s="11" t="str">
        <f>IFERROR(VLOOKUP($B557,'(勿動)組件目錄表'!$D$15:$R$1094,8,FALSE),"-")</f>
        <v>-</v>
      </c>
      <c r="H557" s="11" t="str">
        <f>IFERROR(VLOOKUP($B557,'(勿動)組件目錄表'!$D$15:$R$1094,9,FALSE),"-")</f>
        <v>-</v>
      </c>
      <c r="I557" s="11" t="str">
        <f>IFERROR(VLOOKUP($B557,'(勿動)組件目錄表'!$D$15:$R$1094,10,FALSE),"-")</f>
        <v>-</v>
      </c>
      <c r="J557" s="11" t="str">
        <f>IFERROR(VLOOKUP($B557,'(勿動)組件目錄表'!$D$15:$R$1094,11,FALSE),"-")</f>
        <v>-</v>
      </c>
      <c r="K557" s="11" t="str">
        <f>IFERROR(VLOOKUP($B557,'(勿動)組件目錄表'!$D$15:$R$1094,12,FALSE),"-")</f>
        <v>-</v>
      </c>
      <c r="L557" s="11" t="str">
        <f>IFERROR(VLOOKUP($B557,'(勿動)組件目錄表'!$D$15:$R$1094,13,FALSE),"-")</f>
        <v>-</v>
      </c>
      <c r="M557" s="11" t="str">
        <f>IFERROR(VLOOKUP($B557,'(勿動)組件目錄表'!$D$15:$R$1094,14,FALSE),"-")</f>
        <v>-</v>
      </c>
      <c r="N557" s="15">
        <f t="shared" si="2"/>
        <v>0</v>
      </c>
      <c r="O557" s="16"/>
    </row>
    <row r="558" spans="1:15" ht="15.75" customHeight="1">
      <c r="A558" s="18"/>
      <c r="B558" s="7"/>
      <c r="C558" s="8" t="str">
        <f>IFERROR(VLOOKUP($B558,'(勿動)組件目錄表'!$D$15:$R$1094,2,FALSE),"-")</f>
        <v>-</v>
      </c>
      <c r="D558" s="8" t="str">
        <f>IFERROR(VLOOKUP($B558,'(勿動)組件目錄表'!$D$15:$R$1094,3,FALSE),"-")</f>
        <v>-</v>
      </c>
      <c r="E558" s="9" t="str">
        <f>IFERROR(VLOOKUP($B558,'(勿動)組件目錄表'!$D$15:$R$1094,4,FALSE),"-")</f>
        <v>-</v>
      </c>
      <c r="F558" s="10" t="str">
        <f>IFERROR(VLOOKUP($B558,'(勿動)組件目錄表'!$D$15:$R$1094,5,FALSE),"-")</f>
        <v>-</v>
      </c>
      <c r="G558" s="11" t="str">
        <f>IFERROR(VLOOKUP($B558,'(勿動)組件目錄表'!$D$15:$R$1094,8,FALSE),"-")</f>
        <v>-</v>
      </c>
      <c r="H558" s="11" t="str">
        <f>IFERROR(VLOOKUP($B558,'(勿動)組件目錄表'!$D$15:$R$1094,9,FALSE),"-")</f>
        <v>-</v>
      </c>
      <c r="I558" s="11" t="str">
        <f>IFERROR(VLOOKUP($B558,'(勿動)組件目錄表'!$D$15:$R$1094,10,FALSE),"-")</f>
        <v>-</v>
      </c>
      <c r="J558" s="11" t="str">
        <f>IFERROR(VLOOKUP($B558,'(勿動)組件目錄表'!$D$15:$R$1094,11,FALSE),"-")</f>
        <v>-</v>
      </c>
      <c r="K558" s="11" t="str">
        <f>IFERROR(VLOOKUP($B558,'(勿動)組件目錄表'!$D$15:$R$1094,12,FALSE),"-")</f>
        <v>-</v>
      </c>
      <c r="L558" s="11" t="str">
        <f>IFERROR(VLOOKUP($B558,'(勿動)組件目錄表'!$D$15:$R$1094,13,FALSE),"-")</f>
        <v>-</v>
      </c>
      <c r="M558" s="11" t="str">
        <f>IFERROR(VLOOKUP($B558,'(勿動)組件目錄表'!$D$15:$R$1094,14,FALSE),"-")</f>
        <v>-</v>
      </c>
      <c r="N558" s="15">
        <f t="shared" si="2"/>
        <v>0</v>
      </c>
      <c r="O558" s="16"/>
    </row>
    <row r="559" spans="1:15" ht="15.75" customHeight="1">
      <c r="A559" s="18"/>
      <c r="B559" s="7"/>
      <c r="C559" s="8" t="str">
        <f>IFERROR(VLOOKUP($B559,'(勿動)組件目錄表'!$D$15:$R$1094,2,FALSE),"-")</f>
        <v>-</v>
      </c>
      <c r="D559" s="8" t="str">
        <f>IFERROR(VLOOKUP($B559,'(勿動)組件目錄表'!$D$15:$R$1094,3,FALSE),"-")</f>
        <v>-</v>
      </c>
      <c r="E559" s="9" t="str">
        <f>IFERROR(VLOOKUP($B559,'(勿動)組件目錄表'!$D$15:$R$1094,4,FALSE),"-")</f>
        <v>-</v>
      </c>
      <c r="F559" s="10" t="str">
        <f>IFERROR(VLOOKUP($B559,'(勿動)組件目錄表'!$D$15:$R$1094,5,FALSE),"-")</f>
        <v>-</v>
      </c>
      <c r="G559" s="11" t="str">
        <f>IFERROR(VLOOKUP($B559,'(勿動)組件目錄表'!$D$15:$R$1094,8,FALSE),"-")</f>
        <v>-</v>
      </c>
      <c r="H559" s="11" t="str">
        <f>IFERROR(VLOOKUP($B559,'(勿動)組件目錄表'!$D$15:$R$1094,9,FALSE),"-")</f>
        <v>-</v>
      </c>
      <c r="I559" s="11" t="str">
        <f>IFERROR(VLOOKUP($B559,'(勿動)組件目錄表'!$D$15:$R$1094,10,FALSE),"-")</f>
        <v>-</v>
      </c>
      <c r="J559" s="11" t="str">
        <f>IFERROR(VLOOKUP($B559,'(勿動)組件目錄表'!$D$15:$R$1094,11,FALSE),"-")</f>
        <v>-</v>
      </c>
      <c r="K559" s="11" t="str">
        <f>IFERROR(VLOOKUP($B559,'(勿動)組件目錄表'!$D$15:$R$1094,12,FALSE),"-")</f>
        <v>-</v>
      </c>
      <c r="L559" s="11" t="str">
        <f>IFERROR(VLOOKUP($B559,'(勿動)組件目錄表'!$D$15:$R$1094,13,FALSE),"-")</f>
        <v>-</v>
      </c>
      <c r="M559" s="11" t="str">
        <f>IFERROR(VLOOKUP($B559,'(勿動)組件目錄表'!$D$15:$R$1094,14,FALSE),"-")</f>
        <v>-</v>
      </c>
      <c r="N559" s="15">
        <f t="shared" si="2"/>
        <v>0</v>
      </c>
      <c r="O559" s="16"/>
    </row>
    <row r="560" spans="1:15" ht="15.75" customHeight="1">
      <c r="A560" s="18"/>
      <c r="B560" s="7"/>
      <c r="C560" s="8" t="str">
        <f>IFERROR(VLOOKUP($B560,'(勿動)組件目錄表'!$D$15:$R$1094,2,FALSE),"-")</f>
        <v>-</v>
      </c>
      <c r="D560" s="8" t="str">
        <f>IFERROR(VLOOKUP($B560,'(勿動)組件目錄表'!$D$15:$R$1094,3,FALSE),"-")</f>
        <v>-</v>
      </c>
      <c r="E560" s="9" t="str">
        <f>IFERROR(VLOOKUP($B560,'(勿動)組件目錄表'!$D$15:$R$1094,4,FALSE),"-")</f>
        <v>-</v>
      </c>
      <c r="F560" s="10" t="str">
        <f>IFERROR(VLOOKUP($B560,'(勿動)組件目錄表'!$D$15:$R$1094,5,FALSE),"-")</f>
        <v>-</v>
      </c>
      <c r="G560" s="11" t="str">
        <f>IFERROR(VLOOKUP($B560,'(勿動)組件目錄表'!$D$15:$R$1094,8,FALSE),"-")</f>
        <v>-</v>
      </c>
      <c r="H560" s="11" t="str">
        <f>IFERROR(VLOOKUP($B560,'(勿動)組件目錄表'!$D$15:$R$1094,9,FALSE),"-")</f>
        <v>-</v>
      </c>
      <c r="I560" s="11" t="str">
        <f>IFERROR(VLOOKUP($B560,'(勿動)組件目錄表'!$D$15:$R$1094,10,FALSE),"-")</f>
        <v>-</v>
      </c>
      <c r="J560" s="11" t="str">
        <f>IFERROR(VLOOKUP($B560,'(勿動)組件目錄表'!$D$15:$R$1094,11,FALSE),"-")</f>
        <v>-</v>
      </c>
      <c r="K560" s="11" t="str">
        <f>IFERROR(VLOOKUP($B560,'(勿動)組件目錄表'!$D$15:$R$1094,12,FALSE),"-")</f>
        <v>-</v>
      </c>
      <c r="L560" s="11" t="str">
        <f>IFERROR(VLOOKUP($B560,'(勿動)組件目錄表'!$D$15:$R$1094,13,FALSE),"-")</f>
        <v>-</v>
      </c>
      <c r="M560" s="11" t="str">
        <f>IFERROR(VLOOKUP($B560,'(勿動)組件目錄表'!$D$15:$R$1094,14,FALSE),"-")</f>
        <v>-</v>
      </c>
      <c r="N560" s="15">
        <f t="shared" si="2"/>
        <v>0</v>
      </c>
      <c r="O560" s="16"/>
    </row>
    <row r="561" spans="1:15" ht="15.75" customHeight="1">
      <c r="A561" s="18"/>
      <c r="B561" s="7"/>
      <c r="C561" s="8" t="str">
        <f>IFERROR(VLOOKUP($B561,'(勿動)組件目錄表'!$D$15:$R$1094,2,FALSE),"-")</f>
        <v>-</v>
      </c>
      <c r="D561" s="8" t="str">
        <f>IFERROR(VLOOKUP($B561,'(勿動)組件目錄表'!$D$15:$R$1094,3,FALSE),"-")</f>
        <v>-</v>
      </c>
      <c r="E561" s="9" t="str">
        <f>IFERROR(VLOOKUP($B561,'(勿動)組件目錄表'!$D$15:$R$1094,4,FALSE),"-")</f>
        <v>-</v>
      </c>
      <c r="F561" s="10" t="str">
        <f>IFERROR(VLOOKUP($B561,'(勿動)組件目錄表'!$D$15:$R$1094,5,FALSE),"-")</f>
        <v>-</v>
      </c>
      <c r="G561" s="11" t="str">
        <f>IFERROR(VLOOKUP($B561,'(勿動)組件目錄表'!$D$15:$R$1094,8,FALSE),"-")</f>
        <v>-</v>
      </c>
      <c r="H561" s="11" t="str">
        <f>IFERROR(VLOOKUP($B561,'(勿動)組件目錄表'!$D$15:$R$1094,9,FALSE),"-")</f>
        <v>-</v>
      </c>
      <c r="I561" s="11" t="str">
        <f>IFERROR(VLOOKUP($B561,'(勿動)組件目錄表'!$D$15:$R$1094,10,FALSE),"-")</f>
        <v>-</v>
      </c>
      <c r="J561" s="11" t="str">
        <f>IFERROR(VLOOKUP($B561,'(勿動)組件目錄表'!$D$15:$R$1094,11,FALSE),"-")</f>
        <v>-</v>
      </c>
      <c r="K561" s="11" t="str">
        <f>IFERROR(VLOOKUP($B561,'(勿動)組件目錄表'!$D$15:$R$1094,12,FALSE),"-")</f>
        <v>-</v>
      </c>
      <c r="L561" s="11" t="str">
        <f>IFERROR(VLOOKUP($B561,'(勿動)組件目錄表'!$D$15:$R$1094,13,FALSE),"-")</f>
        <v>-</v>
      </c>
      <c r="M561" s="11" t="str">
        <f>IFERROR(VLOOKUP($B561,'(勿動)組件目錄表'!$D$15:$R$1094,14,FALSE),"-")</f>
        <v>-</v>
      </c>
      <c r="N561" s="15">
        <f t="shared" si="2"/>
        <v>0</v>
      </c>
      <c r="O561" s="16"/>
    </row>
    <row r="562" spans="1:15" ht="15.75" customHeight="1">
      <c r="A562" s="18"/>
      <c r="B562" s="7"/>
      <c r="C562" s="8" t="str">
        <f>IFERROR(VLOOKUP($B562,'(勿動)組件目錄表'!$D$15:$R$1094,2,FALSE),"-")</f>
        <v>-</v>
      </c>
      <c r="D562" s="8" t="str">
        <f>IFERROR(VLOOKUP($B562,'(勿動)組件目錄表'!$D$15:$R$1094,3,FALSE),"-")</f>
        <v>-</v>
      </c>
      <c r="E562" s="9" t="str">
        <f>IFERROR(VLOOKUP($B562,'(勿動)組件目錄表'!$D$15:$R$1094,4,FALSE),"-")</f>
        <v>-</v>
      </c>
      <c r="F562" s="10" t="str">
        <f>IFERROR(VLOOKUP($B562,'(勿動)組件目錄表'!$D$15:$R$1094,5,FALSE),"-")</f>
        <v>-</v>
      </c>
      <c r="G562" s="11" t="str">
        <f>IFERROR(VLOOKUP($B562,'(勿動)組件目錄表'!$D$15:$R$1094,8,FALSE),"-")</f>
        <v>-</v>
      </c>
      <c r="H562" s="11" t="str">
        <f>IFERROR(VLOOKUP($B562,'(勿動)組件目錄表'!$D$15:$R$1094,9,FALSE),"-")</f>
        <v>-</v>
      </c>
      <c r="I562" s="11" t="str">
        <f>IFERROR(VLOOKUP($B562,'(勿動)組件目錄表'!$D$15:$R$1094,10,FALSE),"-")</f>
        <v>-</v>
      </c>
      <c r="J562" s="11" t="str">
        <f>IFERROR(VLOOKUP($B562,'(勿動)組件目錄表'!$D$15:$R$1094,11,FALSE),"-")</f>
        <v>-</v>
      </c>
      <c r="K562" s="11" t="str">
        <f>IFERROR(VLOOKUP($B562,'(勿動)組件目錄表'!$D$15:$R$1094,12,FALSE),"-")</f>
        <v>-</v>
      </c>
      <c r="L562" s="11" t="str">
        <f>IFERROR(VLOOKUP($B562,'(勿動)組件目錄表'!$D$15:$R$1094,13,FALSE),"-")</f>
        <v>-</v>
      </c>
      <c r="M562" s="11" t="str">
        <f>IFERROR(VLOOKUP($B562,'(勿動)組件目錄表'!$D$15:$R$1094,14,FALSE),"-")</f>
        <v>-</v>
      </c>
      <c r="N562" s="15">
        <f t="shared" si="2"/>
        <v>0</v>
      </c>
      <c r="O562" s="16"/>
    </row>
    <row r="563" spans="1:15" ht="15.75" customHeight="1">
      <c r="A563" s="18"/>
      <c r="B563" s="7"/>
      <c r="C563" s="8" t="str">
        <f>IFERROR(VLOOKUP($B563,'(勿動)組件目錄表'!$D$15:$R$1094,2,FALSE),"-")</f>
        <v>-</v>
      </c>
      <c r="D563" s="8" t="str">
        <f>IFERROR(VLOOKUP($B563,'(勿動)組件目錄表'!$D$15:$R$1094,3,FALSE),"-")</f>
        <v>-</v>
      </c>
      <c r="E563" s="9" t="str">
        <f>IFERROR(VLOOKUP($B563,'(勿動)組件目錄表'!$D$15:$R$1094,4,FALSE),"-")</f>
        <v>-</v>
      </c>
      <c r="F563" s="10" t="str">
        <f>IFERROR(VLOOKUP($B563,'(勿動)組件目錄表'!$D$15:$R$1094,5,FALSE),"-")</f>
        <v>-</v>
      </c>
      <c r="G563" s="11" t="str">
        <f>IFERROR(VLOOKUP($B563,'(勿動)組件目錄表'!$D$15:$R$1094,8,FALSE),"-")</f>
        <v>-</v>
      </c>
      <c r="H563" s="11" t="str">
        <f>IFERROR(VLOOKUP($B563,'(勿動)組件目錄表'!$D$15:$R$1094,9,FALSE),"-")</f>
        <v>-</v>
      </c>
      <c r="I563" s="11" t="str">
        <f>IFERROR(VLOOKUP($B563,'(勿動)組件目錄表'!$D$15:$R$1094,10,FALSE),"-")</f>
        <v>-</v>
      </c>
      <c r="J563" s="11" t="str">
        <f>IFERROR(VLOOKUP($B563,'(勿動)組件目錄表'!$D$15:$R$1094,11,FALSE),"-")</f>
        <v>-</v>
      </c>
      <c r="K563" s="11" t="str">
        <f>IFERROR(VLOOKUP($B563,'(勿動)組件目錄表'!$D$15:$R$1094,12,FALSE),"-")</f>
        <v>-</v>
      </c>
      <c r="L563" s="11" t="str">
        <f>IFERROR(VLOOKUP($B563,'(勿動)組件目錄表'!$D$15:$R$1094,13,FALSE),"-")</f>
        <v>-</v>
      </c>
      <c r="M563" s="11" t="str">
        <f>IFERROR(VLOOKUP($B563,'(勿動)組件目錄表'!$D$15:$R$1094,14,FALSE),"-")</f>
        <v>-</v>
      </c>
      <c r="N563" s="15">
        <f t="shared" si="2"/>
        <v>0</v>
      </c>
      <c r="O563" s="16"/>
    </row>
    <row r="564" spans="1:15" ht="15.75" customHeight="1">
      <c r="A564" s="18"/>
      <c r="B564" s="7"/>
      <c r="C564" s="8" t="str">
        <f>IFERROR(VLOOKUP($B564,'(勿動)組件目錄表'!$D$15:$R$1094,2,FALSE),"-")</f>
        <v>-</v>
      </c>
      <c r="D564" s="8" t="str">
        <f>IFERROR(VLOOKUP($B564,'(勿動)組件目錄表'!$D$15:$R$1094,3,FALSE),"-")</f>
        <v>-</v>
      </c>
      <c r="E564" s="9" t="str">
        <f>IFERROR(VLOOKUP($B564,'(勿動)組件目錄表'!$D$15:$R$1094,4,FALSE),"-")</f>
        <v>-</v>
      </c>
      <c r="F564" s="10" t="str">
        <f>IFERROR(VLOOKUP($B564,'(勿動)組件目錄表'!$D$15:$R$1094,5,FALSE),"-")</f>
        <v>-</v>
      </c>
      <c r="G564" s="11" t="str">
        <f>IFERROR(VLOOKUP($B564,'(勿動)組件目錄表'!$D$15:$R$1094,8,FALSE),"-")</f>
        <v>-</v>
      </c>
      <c r="H564" s="11" t="str">
        <f>IFERROR(VLOOKUP($B564,'(勿動)組件目錄表'!$D$15:$R$1094,9,FALSE),"-")</f>
        <v>-</v>
      </c>
      <c r="I564" s="11" t="str">
        <f>IFERROR(VLOOKUP($B564,'(勿動)組件目錄表'!$D$15:$R$1094,10,FALSE),"-")</f>
        <v>-</v>
      </c>
      <c r="J564" s="11" t="str">
        <f>IFERROR(VLOOKUP($B564,'(勿動)組件目錄表'!$D$15:$R$1094,11,FALSE),"-")</f>
        <v>-</v>
      </c>
      <c r="K564" s="11" t="str">
        <f>IFERROR(VLOOKUP($B564,'(勿動)組件目錄表'!$D$15:$R$1094,12,FALSE),"-")</f>
        <v>-</v>
      </c>
      <c r="L564" s="11" t="str">
        <f>IFERROR(VLOOKUP($B564,'(勿動)組件目錄表'!$D$15:$R$1094,13,FALSE),"-")</f>
        <v>-</v>
      </c>
      <c r="M564" s="11" t="str">
        <f>IFERROR(VLOOKUP($B564,'(勿動)組件目錄表'!$D$15:$R$1094,14,FALSE),"-")</f>
        <v>-</v>
      </c>
      <c r="N564" s="15">
        <f t="shared" si="2"/>
        <v>0</v>
      </c>
      <c r="O564" s="16"/>
    </row>
    <row r="565" spans="1:15" ht="15.75" customHeight="1">
      <c r="A565" s="18"/>
      <c r="B565" s="7"/>
      <c r="C565" s="8" t="str">
        <f>IFERROR(VLOOKUP($B565,'(勿動)組件目錄表'!$D$15:$R$1094,2,FALSE),"-")</f>
        <v>-</v>
      </c>
      <c r="D565" s="8" t="str">
        <f>IFERROR(VLOOKUP($B565,'(勿動)組件目錄表'!$D$15:$R$1094,3,FALSE),"-")</f>
        <v>-</v>
      </c>
      <c r="E565" s="9" t="str">
        <f>IFERROR(VLOOKUP($B565,'(勿動)組件目錄表'!$D$15:$R$1094,4,FALSE),"-")</f>
        <v>-</v>
      </c>
      <c r="F565" s="10" t="str">
        <f>IFERROR(VLOOKUP($B565,'(勿動)組件目錄表'!$D$15:$R$1094,5,FALSE),"-")</f>
        <v>-</v>
      </c>
      <c r="G565" s="11" t="str">
        <f>IFERROR(VLOOKUP($B565,'(勿動)組件目錄表'!$D$15:$R$1094,8,FALSE),"-")</f>
        <v>-</v>
      </c>
      <c r="H565" s="11" t="str">
        <f>IFERROR(VLOOKUP($B565,'(勿動)組件目錄表'!$D$15:$R$1094,9,FALSE),"-")</f>
        <v>-</v>
      </c>
      <c r="I565" s="11" t="str">
        <f>IFERROR(VLOOKUP($B565,'(勿動)組件目錄表'!$D$15:$R$1094,10,FALSE),"-")</f>
        <v>-</v>
      </c>
      <c r="J565" s="11" t="str">
        <f>IFERROR(VLOOKUP($B565,'(勿動)組件目錄表'!$D$15:$R$1094,11,FALSE),"-")</f>
        <v>-</v>
      </c>
      <c r="K565" s="11" t="str">
        <f>IFERROR(VLOOKUP($B565,'(勿動)組件目錄表'!$D$15:$R$1094,12,FALSE),"-")</f>
        <v>-</v>
      </c>
      <c r="L565" s="11" t="str">
        <f>IFERROR(VLOOKUP($B565,'(勿動)組件目錄表'!$D$15:$R$1094,13,FALSE),"-")</f>
        <v>-</v>
      </c>
      <c r="M565" s="11" t="str">
        <f>IFERROR(VLOOKUP($B565,'(勿動)組件目錄表'!$D$15:$R$1094,14,FALSE),"-")</f>
        <v>-</v>
      </c>
      <c r="N565" s="15">
        <f t="shared" si="2"/>
        <v>0</v>
      </c>
      <c r="O565" s="16"/>
    </row>
    <row r="566" spans="1:15" ht="15.75" customHeight="1">
      <c r="A566" s="18"/>
      <c r="B566" s="7"/>
      <c r="C566" s="8" t="str">
        <f>IFERROR(VLOOKUP($B566,'(勿動)組件目錄表'!$D$15:$R$1094,2,FALSE),"-")</f>
        <v>-</v>
      </c>
      <c r="D566" s="8" t="str">
        <f>IFERROR(VLOOKUP($B566,'(勿動)組件目錄表'!$D$15:$R$1094,3,FALSE),"-")</f>
        <v>-</v>
      </c>
      <c r="E566" s="9" t="str">
        <f>IFERROR(VLOOKUP($B566,'(勿動)組件目錄表'!$D$15:$R$1094,4,FALSE),"-")</f>
        <v>-</v>
      </c>
      <c r="F566" s="10" t="str">
        <f>IFERROR(VLOOKUP($B566,'(勿動)組件目錄表'!$D$15:$R$1094,5,FALSE),"-")</f>
        <v>-</v>
      </c>
      <c r="G566" s="11" t="str">
        <f>IFERROR(VLOOKUP($B566,'(勿動)組件目錄表'!$D$15:$R$1094,8,FALSE),"-")</f>
        <v>-</v>
      </c>
      <c r="H566" s="11" t="str">
        <f>IFERROR(VLOOKUP($B566,'(勿動)組件目錄表'!$D$15:$R$1094,9,FALSE),"-")</f>
        <v>-</v>
      </c>
      <c r="I566" s="11" t="str">
        <f>IFERROR(VLOOKUP($B566,'(勿動)組件目錄表'!$D$15:$R$1094,10,FALSE),"-")</f>
        <v>-</v>
      </c>
      <c r="J566" s="11" t="str">
        <f>IFERROR(VLOOKUP($B566,'(勿動)組件目錄表'!$D$15:$R$1094,11,FALSE),"-")</f>
        <v>-</v>
      </c>
      <c r="K566" s="11" t="str">
        <f>IFERROR(VLOOKUP($B566,'(勿動)組件目錄表'!$D$15:$R$1094,12,FALSE),"-")</f>
        <v>-</v>
      </c>
      <c r="L566" s="11" t="str">
        <f>IFERROR(VLOOKUP($B566,'(勿動)組件目錄表'!$D$15:$R$1094,13,FALSE),"-")</f>
        <v>-</v>
      </c>
      <c r="M566" s="11" t="str">
        <f>IFERROR(VLOOKUP($B566,'(勿動)組件目錄表'!$D$15:$R$1094,14,FALSE),"-")</f>
        <v>-</v>
      </c>
      <c r="N566" s="15">
        <f t="shared" si="2"/>
        <v>0</v>
      </c>
      <c r="O566" s="16"/>
    </row>
    <row r="567" spans="1:15" ht="15.75" customHeight="1">
      <c r="A567" s="18"/>
      <c r="B567" s="7"/>
      <c r="C567" s="8" t="str">
        <f>IFERROR(VLOOKUP($B567,'(勿動)組件目錄表'!$D$15:$R$1094,2,FALSE),"-")</f>
        <v>-</v>
      </c>
      <c r="D567" s="8" t="str">
        <f>IFERROR(VLOOKUP($B567,'(勿動)組件目錄表'!$D$15:$R$1094,3,FALSE),"-")</f>
        <v>-</v>
      </c>
      <c r="E567" s="9" t="str">
        <f>IFERROR(VLOOKUP($B567,'(勿動)組件目錄表'!$D$15:$R$1094,4,FALSE),"-")</f>
        <v>-</v>
      </c>
      <c r="F567" s="10" t="str">
        <f>IFERROR(VLOOKUP($B567,'(勿動)組件目錄表'!$D$15:$R$1094,5,FALSE),"-")</f>
        <v>-</v>
      </c>
      <c r="G567" s="11" t="str">
        <f>IFERROR(VLOOKUP($B567,'(勿動)組件目錄表'!$D$15:$R$1094,8,FALSE),"-")</f>
        <v>-</v>
      </c>
      <c r="H567" s="11" t="str">
        <f>IFERROR(VLOOKUP($B567,'(勿動)組件目錄表'!$D$15:$R$1094,9,FALSE),"-")</f>
        <v>-</v>
      </c>
      <c r="I567" s="11" t="str">
        <f>IFERROR(VLOOKUP($B567,'(勿動)組件目錄表'!$D$15:$R$1094,10,FALSE),"-")</f>
        <v>-</v>
      </c>
      <c r="J567" s="11" t="str">
        <f>IFERROR(VLOOKUP($B567,'(勿動)組件目錄表'!$D$15:$R$1094,11,FALSE),"-")</f>
        <v>-</v>
      </c>
      <c r="K567" s="11" t="str">
        <f>IFERROR(VLOOKUP($B567,'(勿動)組件目錄表'!$D$15:$R$1094,12,FALSE),"-")</f>
        <v>-</v>
      </c>
      <c r="L567" s="11" t="str">
        <f>IFERROR(VLOOKUP($B567,'(勿動)組件目錄表'!$D$15:$R$1094,13,FALSE),"-")</f>
        <v>-</v>
      </c>
      <c r="M567" s="11" t="str">
        <f>IFERROR(VLOOKUP($B567,'(勿動)組件目錄表'!$D$15:$R$1094,14,FALSE),"-")</f>
        <v>-</v>
      </c>
      <c r="N567" s="15">
        <f t="shared" si="2"/>
        <v>0</v>
      </c>
      <c r="O567" s="16"/>
    </row>
    <row r="568" spans="1:15" ht="15.75" customHeight="1">
      <c r="A568" s="18"/>
      <c r="B568" s="7"/>
      <c r="C568" s="8" t="str">
        <f>IFERROR(VLOOKUP($B568,'(勿動)組件目錄表'!$D$15:$R$1094,2,FALSE),"-")</f>
        <v>-</v>
      </c>
      <c r="D568" s="8" t="str">
        <f>IFERROR(VLOOKUP($B568,'(勿動)組件目錄表'!$D$15:$R$1094,3,FALSE),"-")</f>
        <v>-</v>
      </c>
      <c r="E568" s="9" t="str">
        <f>IFERROR(VLOOKUP($B568,'(勿動)組件目錄表'!$D$15:$R$1094,4,FALSE),"-")</f>
        <v>-</v>
      </c>
      <c r="F568" s="10" t="str">
        <f>IFERROR(VLOOKUP($B568,'(勿動)組件目錄表'!$D$15:$R$1094,5,FALSE),"-")</f>
        <v>-</v>
      </c>
      <c r="G568" s="11" t="str">
        <f>IFERROR(VLOOKUP($B568,'(勿動)組件目錄表'!$D$15:$R$1094,8,FALSE),"-")</f>
        <v>-</v>
      </c>
      <c r="H568" s="11" t="str">
        <f>IFERROR(VLOOKUP($B568,'(勿動)組件目錄表'!$D$15:$R$1094,9,FALSE),"-")</f>
        <v>-</v>
      </c>
      <c r="I568" s="11" t="str">
        <f>IFERROR(VLOOKUP($B568,'(勿動)組件目錄表'!$D$15:$R$1094,10,FALSE),"-")</f>
        <v>-</v>
      </c>
      <c r="J568" s="11" t="str">
        <f>IFERROR(VLOOKUP($B568,'(勿動)組件目錄表'!$D$15:$R$1094,11,FALSE),"-")</f>
        <v>-</v>
      </c>
      <c r="K568" s="11" t="str">
        <f>IFERROR(VLOOKUP($B568,'(勿動)組件目錄表'!$D$15:$R$1094,12,FALSE),"-")</f>
        <v>-</v>
      </c>
      <c r="L568" s="11" t="str">
        <f>IFERROR(VLOOKUP($B568,'(勿動)組件目錄表'!$D$15:$R$1094,13,FALSE),"-")</f>
        <v>-</v>
      </c>
      <c r="M568" s="11" t="str">
        <f>IFERROR(VLOOKUP($B568,'(勿動)組件目錄表'!$D$15:$R$1094,14,FALSE),"-")</f>
        <v>-</v>
      </c>
      <c r="N568" s="15">
        <f t="shared" si="2"/>
        <v>0</v>
      </c>
      <c r="O568" s="16"/>
    </row>
    <row r="569" spans="1:15" ht="15.75" customHeight="1">
      <c r="A569" s="18"/>
      <c r="B569" s="7"/>
      <c r="C569" s="8" t="str">
        <f>IFERROR(VLOOKUP($B569,'(勿動)組件目錄表'!$D$15:$R$1094,2,FALSE),"-")</f>
        <v>-</v>
      </c>
      <c r="D569" s="8" t="str">
        <f>IFERROR(VLOOKUP($B569,'(勿動)組件目錄表'!$D$15:$R$1094,3,FALSE),"-")</f>
        <v>-</v>
      </c>
      <c r="E569" s="9" t="str">
        <f>IFERROR(VLOOKUP($B569,'(勿動)組件目錄表'!$D$15:$R$1094,4,FALSE),"-")</f>
        <v>-</v>
      </c>
      <c r="F569" s="10" t="str">
        <f>IFERROR(VLOOKUP($B569,'(勿動)組件目錄表'!$D$15:$R$1094,5,FALSE),"-")</f>
        <v>-</v>
      </c>
      <c r="G569" s="11" t="str">
        <f>IFERROR(VLOOKUP($B569,'(勿動)組件目錄表'!$D$15:$R$1094,8,FALSE),"-")</f>
        <v>-</v>
      </c>
      <c r="H569" s="11" t="str">
        <f>IFERROR(VLOOKUP($B569,'(勿動)組件目錄表'!$D$15:$R$1094,9,FALSE),"-")</f>
        <v>-</v>
      </c>
      <c r="I569" s="11" t="str">
        <f>IFERROR(VLOOKUP($B569,'(勿動)組件目錄表'!$D$15:$R$1094,10,FALSE),"-")</f>
        <v>-</v>
      </c>
      <c r="J569" s="11" t="str">
        <f>IFERROR(VLOOKUP($B569,'(勿動)組件目錄表'!$D$15:$R$1094,11,FALSE),"-")</f>
        <v>-</v>
      </c>
      <c r="K569" s="11" t="str">
        <f>IFERROR(VLOOKUP($B569,'(勿動)組件目錄表'!$D$15:$R$1094,12,FALSE),"-")</f>
        <v>-</v>
      </c>
      <c r="L569" s="11" t="str">
        <f>IFERROR(VLOOKUP($B569,'(勿動)組件目錄表'!$D$15:$R$1094,13,FALSE),"-")</f>
        <v>-</v>
      </c>
      <c r="M569" s="11" t="str">
        <f>IFERROR(VLOOKUP($B569,'(勿動)組件目錄表'!$D$15:$R$1094,14,FALSE),"-")</f>
        <v>-</v>
      </c>
      <c r="N569" s="15">
        <f t="shared" si="2"/>
        <v>0</v>
      </c>
      <c r="O569" s="16"/>
    </row>
    <row r="570" spans="1:15" ht="15.75" customHeight="1">
      <c r="A570" s="18"/>
      <c r="B570" s="7"/>
      <c r="C570" s="8" t="str">
        <f>IFERROR(VLOOKUP($B570,'(勿動)組件目錄表'!$D$15:$R$1094,2,FALSE),"-")</f>
        <v>-</v>
      </c>
      <c r="D570" s="8" t="str">
        <f>IFERROR(VLOOKUP($B570,'(勿動)組件目錄表'!$D$15:$R$1094,3,FALSE),"-")</f>
        <v>-</v>
      </c>
      <c r="E570" s="9" t="str">
        <f>IFERROR(VLOOKUP($B570,'(勿動)組件目錄表'!$D$15:$R$1094,4,FALSE),"-")</f>
        <v>-</v>
      </c>
      <c r="F570" s="10" t="str">
        <f>IFERROR(VLOOKUP($B570,'(勿動)組件目錄表'!$D$15:$R$1094,5,FALSE),"-")</f>
        <v>-</v>
      </c>
      <c r="G570" s="11" t="str">
        <f>IFERROR(VLOOKUP($B570,'(勿動)組件目錄表'!$D$15:$R$1094,8,FALSE),"-")</f>
        <v>-</v>
      </c>
      <c r="H570" s="11" t="str">
        <f>IFERROR(VLOOKUP($B570,'(勿動)組件目錄表'!$D$15:$R$1094,9,FALSE),"-")</f>
        <v>-</v>
      </c>
      <c r="I570" s="11" t="str">
        <f>IFERROR(VLOOKUP($B570,'(勿動)組件目錄表'!$D$15:$R$1094,10,FALSE),"-")</f>
        <v>-</v>
      </c>
      <c r="J570" s="11" t="str">
        <f>IFERROR(VLOOKUP($B570,'(勿動)組件目錄表'!$D$15:$R$1094,11,FALSE),"-")</f>
        <v>-</v>
      </c>
      <c r="K570" s="11" t="str">
        <f>IFERROR(VLOOKUP($B570,'(勿動)組件目錄表'!$D$15:$R$1094,12,FALSE),"-")</f>
        <v>-</v>
      </c>
      <c r="L570" s="11" t="str">
        <f>IFERROR(VLOOKUP($B570,'(勿動)組件目錄表'!$D$15:$R$1094,13,FALSE),"-")</f>
        <v>-</v>
      </c>
      <c r="M570" s="11" t="str">
        <f>IFERROR(VLOOKUP($B570,'(勿動)組件目錄表'!$D$15:$R$1094,14,FALSE),"-")</f>
        <v>-</v>
      </c>
      <c r="N570" s="15">
        <f t="shared" si="2"/>
        <v>0</v>
      </c>
      <c r="O570" s="16"/>
    </row>
    <row r="571" spans="1:15" ht="15.75" customHeight="1">
      <c r="A571" s="18"/>
      <c r="B571" s="7"/>
      <c r="C571" s="8" t="str">
        <f>IFERROR(VLOOKUP($B571,'(勿動)組件目錄表'!$D$15:$R$1094,2,FALSE),"-")</f>
        <v>-</v>
      </c>
      <c r="D571" s="8" t="str">
        <f>IFERROR(VLOOKUP($B571,'(勿動)組件目錄表'!$D$15:$R$1094,3,FALSE),"-")</f>
        <v>-</v>
      </c>
      <c r="E571" s="9" t="str">
        <f>IFERROR(VLOOKUP($B571,'(勿動)組件目錄表'!$D$15:$R$1094,4,FALSE),"-")</f>
        <v>-</v>
      </c>
      <c r="F571" s="10" t="str">
        <f>IFERROR(VLOOKUP($B571,'(勿動)組件目錄表'!$D$15:$R$1094,5,FALSE),"-")</f>
        <v>-</v>
      </c>
      <c r="G571" s="11" t="str">
        <f>IFERROR(VLOOKUP($B571,'(勿動)組件目錄表'!$D$15:$R$1094,8,FALSE),"-")</f>
        <v>-</v>
      </c>
      <c r="H571" s="11" t="str">
        <f>IFERROR(VLOOKUP($B571,'(勿動)組件目錄表'!$D$15:$R$1094,9,FALSE),"-")</f>
        <v>-</v>
      </c>
      <c r="I571" s="11" t="str">
        <f>IFERROR(VLOOKUP($B571,'(勿動)組件目錄表'!$D$15:$R$1094,10,FALSE),"-")</f>
        <v>-</v>
      </c>
      <c r="J571" s="11" t="str">
        <f>IFERROR(VLOOKUP($B571,'(勿動)組件目錄表'!$D$15:$R$1094,11,FALSE),"-")</f>
        <v>-</v>
      </c>
      <c r="K571" s="11" t="str">
        <f>IFERROR(VLOOKUP($B571,'(勿動)組件目錄表'!$D$15:$R$1094,12,FALSE),"-")</f>
        <v>-</v>
      </c>
      <c r="L571" s="11" t="str">
        <f>IFERROR(VLOOKUP($B571,'(勿動)組件目錄表'!$D$15:$R$1094,13,FALSE),"-")</f>
        <v>-</v>
      </c>
      <c r="M571" s="11" t="str">
        <f>IFERROR(VLOOKUP($B571,'(勿動)組件目錄表'!$D$15:$R$1094,14,FALSE),"-")</f>
        <v>-</v>
      </c>
      <c r="N571" s="15">
        <f t="shared" si="2"/>
        <v>0</v>
      </c>
      <c r="O571" s="16"/>
    </row>
    <row r="572" spans="1:15" ht="15.75" customHeight="1">
      <c r="A572" s="18"/>
      <c r="B572" s="7"/>
      <c r="C572" s="8" t="str">
        <f>IFERROR(VLOOKUP($B572,'(勿動)組件目錄表'!$D$15:$R$1094,2,FALSE),"-")</f>
        <v>-</v>
      </c>
      <c r="D572" s="8" t="str">
        <f>IFERROR(VLOOKUP($B572,'(勿動)組件目錄表'!$D$15:$R$1094,3,FALSE),"-")</f>
        <v>-</v>
      </c>
      <c r="E572" s="9" t="str">
        <f>IFERROR(VLOOKUP($B572,'(勿動)組件目錄表'!$D$15:$R$1094,4,FALSE),"-")</f>
        <v>-</v>
      </c>
      <c r="F572" s="10" t="str">
        <f>IFERROR(VLOOKUP($B572,'(勿動)組件目錄表'!$D$15:$R$1094,5,FALSE),"-")</f>
        <v>-</v>
      </c>
      <c r="G572" s="11" t="str">
        <f>IFERROR(VLOOKUP($B572,'(勿動)組件目錄表'!$D$15:$R$1094,8,FALSE),"-")</f>
        <v>-</v>
      </c>
      <c r="H572" s="11" t="str">
        <f>IFERROR(VLOOKUP($B572,'(勿動)組件目錄表'!$D$15:$R$1094,9,FALSE),"-")</f>
        <v>-</v>
      </c>
      <c r="I572" s="11" t="str">
        <f>IFERROR(VLOOKUP($B572,'(勿動)組件目錄表'!$D$15:$R$1094,10,FALSE),"-")</f>
        <v>-</v>
      </c>
      <c r="J572" s="11" t="str">
        <f>IFERROR(VLOOKUP($B572,'(勿動)組件目錄表'!$D$15:$R$1094,11,FALSE),"-")</f>
        <v>-</v>
      </c>
      <c r="K572" s="11" t="str">
        <f>IFERROR(VLOOKUP($B572,'(勿動)組件目錄表'!$D$15:$R$1094,12,FALSE),"-")</f>
        <v>-</v>
      </c>
      <c r="L572" s="11" t="str">
        <f>IFERROR(VLOOKUP($B572,'(勿動)組件目錄表'!$D$15:$R$1094,13,FALSE),"-")</f>
        <v>-</v>
      </c>
      <c r="M572" s="11" t="str">
        <f>IFERROR(VLOOKUP($B572,'(勿動)組件目錄表'!$D$15:$R$1094,14,FALSE),"-")</f>
        <v>-</v>
      </c>
      <c r="N572" s="15">
        <f t="shared" si="2"/>
        <v>0</v>
      </c>
      <c r="O572" s="16"/>
    </row>
    <row r="573" spans="1:15" ht="15.75" customHeight="1">
      <c r="A573" s="18"/>
      <c r="B573" s="7"/>
      <c r="C573" s="8" t="str">
        <f>IFERROR(VLOOKUP($B573,'(勿動)組件目錄表'!$D$15:$R$1094,2,FALSE),"-")</f>
        <v>-</v>
      </c>
      <c r="D573" s="8" t="str">
        <f>IFERROR(VLOOKUP($B573,'(勿動)組件目錄表'!$D$15:$R$1094,3,FALSE),"-")</f>
        <v>-</v>
      </c>
      <c r="E573" s="9" t="str">
        <f>IFERROR(VLOOKUP($B573,'(勿動)組件目錄表'!$D$15:$R$1094,4,FALSE),"-")</f>
        <v>-</v>
      </c>
      <c r="F573" s="10" t="str">
        <f>IFERROR(VLOOKUP($B573,'(勿動)組件目錄表'!$D$15:$R$1094,5,FALSE),"-")</f>
        <v>-</v>
      </c>
      <c r="G573" s="11" t="str">
        <f>IFERROR(VLOOKUP($B573,'(勿動)組件目錄表'!$D$15:$R$1094,8,FALSE),"-")</f>
        <v>-</v>
      </c>
      <c r="H573" s="11" t="str">
        <f>IFERROR(VLOOKUP($B573,'(勿動)組件目錄表'!$D$15:$R$1094,9,FALSE),"-")</f>
        <v>-</v>
      </c>
      <c r="I573" s="11" t="str">
        <f>IFERROR(VLOOKUP($B573,'(勿動)組件目錄表'!$D$15:$R$1094,10,FALSE),"-")</f>
        <v>-</v>
      </c>
      <c r="J573" s="11" t="str">
        <f>IFERROR(VLOOKUP($B573,'(勿動)組件目錄表'!$D$15:$R$1094,11,FALSE),"-")</f>
        <v>-</v>
      </c>
      <c r="K573" s="11" t="str">
        <f>IFERROR(VLOOKUP($B573,'(勿動)組件目錄表'!$D$15:$R$1094,12,FALSE),"-")</f>
        <v>-</v>
      </c>
      <c r="L573" s="11" t="str">
        <f>IFERROR(VLOOKUP($B573,'(勿動)組件目錄表'!$D$15:$R$1094,13,FALSE),"-")</f>
        <v>-</v>
      </c>
      <c r="M573" s="11" t="str">
        <f>IFERROR(VLOOKUP($B573,'(勿動)組件目錄表'!$D$15:$R$1094,14,FALSE),"-")</f>
        <v>-</v>
      </c>
      <c r="N573" s="15">
        <f t="shared" si="2"/>
        <v>0</v>
      </c>
      <c r="O573" s="16"/>
    </row>
    <row r="574" spans="1:15" ht="15.75" customHeight="1">
      <c r="A574" s="18"/>
      <c r="B574" s="7"/>
      <c r="C574" s="8" t="str">
        <f>IFERROR(VLOOKUP($B574,'(勿動)組件目錄表'!$D$15:$R$1094,2,FALSE),"-")</f>
        <v>-</v>
      </c>
      <c r="D574" s="8" t="str">
        <f>IFERROR(VLOOKUP($B574,'(勿動)組件目錄表'!$D$15:$R$1094,3,FALSE),"-")</f>
        <v>-</v>
      </c>
      <c r="E574" s="9" t="str">
        <f>IFERROR(VLOOKUP($B574,'(勿動)組件目錄表'!$D$15:$R$1094,4,FALSE),"-")</f>
        <v>-</v>
      </c>
      <c r="F574" s="10" t="str">
        <f>IFERROR(VLOOKUP($B574,'(勿動)組件目錄表'!$D$15:$R$1094,5,FALSE),"-")</f>
        <v>-</v>
      </c>
      <c r="G574" s="11" t="str">
        <f>IFERROR(VLOOKUP($B574,'(勿動)組件目錄表'!$D$15:$R$1094,8,FALSE),"-")</f>
        <v>-</v>
      </c>
      <c r="H574" s="11" t="str">
        <f>IFERROR(VLOOKUP($B574,'(勿動)組件目錄表'!$D$15:$R$1094,9,FALSE),"-")</f>
        <v>-</v>
      </c>
      <c r="I574" s="11" t="str">
        <f>IFERROR(VLOOKUP($B574,'(勿動)組件目錄表'!$D$15:$R$1094,10,FALSE),"-")</f>
        <v>-</v>
      </c>
      <c r="J574" s="11" t="str">
        <f>IFERROR(VLOOKUP($B574,'(勿動)組件目錄表'!$D$15:$R$1094,11,FALSE),"-")</f>
        <v>-</v>
      </c>
      <c r="K574" s="11" t="str">
        <f>IFERROR(VLOOKUP($B574,'(勿動)組件目錄表'!$D$15:$R$1094,12,FALSE),"-")</f>
        <v>-</v>
      </c>
      <c r="L574" s="11" t="str">
        <f>IFERROR(VLOOKUP($B574,'(勿動)組件目錄表'!$D$15:$R$1094,13,FALSE),"-")</f>
        <v>-</v>
      </c>
      <c r="M574" s="11" t="str">
        <f>IFERROR(VLOOKUP($B574,'(勿動)組件目錄表'!$D$15:$R$1094,14,FALSE),"-")</f>
        <v>-</v>
      </c>
      <c r="N574" s="15">
        <f t="shared" si="2"/>
        <v>0</v>
      </c>
      <c r="O574" s="16"/>
    </row>
    <row r="575" spans="1:15" ht="15.75" customHeight="1">
      <c r="A575" s="18"/>
      <c r="B575" s="7"/>
      <c r="C575" s="8" t="str">
        <f>IFERROR(VLOOKUP($B575,'(勿動)組件目錄表'!$D$15:$R$1094,2,FALSE),"-")</f>
        <v>-</v>
      </c>
      <c r="D575" s="8" t="str">
        <f>IFERROR(VLOOKUP($B575,'(勿動)組件目錄表'!$D$15:$R$1094,3,FALSE),"-")</f>
        <v>-</v>
      </c>
      <c r="E575" s="9" t="str">
        <f>IFERROR(VLOOKUP($B575,'(勿動)組件目錄表'!$D$15:$R$1094,4,FALSE),"-")</f>
        <v>-</v>
      </c>
      <c r="F575" s="10" t="str">
        <f>IFERROR(VLOOKUP($B575,'(勿動)組件目錄表'!$D$15:$R$1094,5,FALSE),"-")</f>
        <v>-</v>
      </c>
      <c r="G575" s="11" t="str">
        <f>IFERROR(VLOOKUP($B575,'(勿動)組件目錄表'!$D$15:$R$1094,8,FALSE),"-")</f>
        <v>-</v>
      </c>
      <c r="H575" s="11" t="str">
        <f>IFERROR(VLOOKUP($B575,'(勿動)組件目錄表'!$D$15:$R$1094,9,FALSE),"-")</f>
        <v>-</v>
      </c>
      <c r="I575" s="11" t="str">
        <f>IFERROR(VLOOKUP($B575,'(勿動)組件目錄表'!$D$15:$R$1094,10,FALSE),"-")</f>
        <v>-</v>
      </c>
      <c r="J575" s="11" t="str">
        <f>IFERROR(VLOOKUP($B575,'(勿動)組件目錄表'!$D$15:$R$1094,11,FALSE),"-")</f>
        <v>-</v>
      </c>
      <c r="K575" s="11" t="str">
        <f>IFERROR(VLOOKUP($B575,'(勿動)組件目錄表'!$D$15:$R$1094,12,FALSE),"-")</f>
        <v>-</v>
      </c>
      <c r="L575" s="11" t="str">
        <f>IFERROR(VLOOKUP($B575,'(勿動)組件目錄表'!$D$15:$R$1094,13,FALSE),"-")</f>
        <v>-</v>
      </c>
      <c r="M575" s="11" t="str">
        <f>IFERROR(VLOOKUP($B575,'(勿動)組件目錄表'!$D$15:$R$1094,14,FALSE),"-")</f>
        <v>-</v>
      </c>
      <c r="N575" s="15">
        <f t="shared" si="2"/>
        <v>0</v>
      </c>
      <c r="O575" s="16"/>
    </row>
    <row r="576" spans="1:15" ht="15.75" customHeight="1">
      <c r="A576" s="18"/>
      <c r="B576" s="7"/>
      <c r="C576" s="8" t="str">
        <f>IFERROR(VLOOKUP($B576,'(勿動)組件目錄表'!$D$15:$R$1094,2,FALSE),"-")</f>
        <v>-</v>
      </c>
      <c r="D576" s="8" t="str">
        <f>IFERROR(VLOOKUP($B576,'(勿動)組件目錄表'!$D$15:$R$1094,3,FALSE),"-")</f>
        <v>-</v>
      </c>
      <c r="E576" s="9" t="str">
        <f>IFERROR(VLOOKUP($B576,'(勿動)組件目錄表'!$D$15:$R$1094,4,FALSE),"-")</f>
        <v>-</v>
      </c>
      <c r="F576" s="10" t="str">
        <f>IFERROR(VLOOKUP($B576,'(勿動)組件目錄表'!$D$15:$R$1094,5,FALSE),"-")</f>
        <v>-</v>
      </c>
      <c r="G576" s="11" t="str">
        <f>IFERROR(VLOOKUP($B576,'(勿動)組件目錄表'!$D$15:$R$1094,8,FALSE),"-")</f>
        <v>-</v>
      </c>
      <c r="H576" s="11" t="str">
        <f>IFERROR(VLOOKUP($B576,'(勿動)組件目錄表'!$D$15:$R$1094,9,FALSE),"-")</f>
        <v>-</v>
      </c>
      <c r="I576" s="11" t="str">
        <f>IFERROR(VLOOKUP($B576,'(勿動)組件目錄表'!$D$15:$R$1094,10,FALSE),"-")</f>
        <v>-</v>
      </c>
      <c r="J576" s="11" t="str">
        <f>IFERROR(VLOOKUP($B576,'(勿動)組件目錄表'!$D$15:$R$1094,11,FALSE),"-")</f>
        <v>-</v>
      </c>
      <c r="K576" s="11" t="str">
        <f>IFERROR(VLOOKUP($B576,'(勿動)組件目錄表'!$D$15:$R$1094,12,FALSE),"-")</f>
        <v>-</v>
      </c>
      <c r="L576" s="11" t="str">
        <f>IFERROR(VLOOKUP($B576,'(勿動)組件目錄表'!$D$15:$R$1094,13,FALSE),"-")</f>
        <v>-</v>
      </c>
      <c r="M576" s="11" t="str">
        <f>IFERROR(VLOOKUP($B576,'(勿動)組件目錄表'!$D$15:$R$1094,14,FALSE),"-")</f>
        <v>-</v>
      </c>
      <c r="N576" s="15">
        <f t="shared" si="2"/>
        <v>0</v>
      </c>
      <c r="O576" s="16"/>
    </row>
    <row r="577" spans="1:15" ht="15.75" customHeight="1">
      <c r="A577" s="18"/>
      <c r="B577" s="7"/>
      <c r="C577" s="8" t="str">
        <f>IFERROR(VLOOKUP($B577,'(勿動)組件目錄表'!$D$15:$R$1094,2,FALSE),"-")</f>
        <v>-</v>
      </c>
      <c r="D577" s="8" t="str">
        <f>IFERROR(VLOOKUP($B577,'(勿動)組件目錄表'!$D$15:$R$1094,3,FALSE),"-")</f>
        <v>-</v>
      </c>
      <c r="E577" s="9" t="str">
        <f>IFERROR(VLOOKUP($B577,'(勿動)組件目錄表'!$D$15:$R$1094,4,FALSE),"-")</f>
        <v>-</v>
      </c>
      <c r="F577" s="10" t="str">
        <f>IFERROR(VLOOKUP($B577,'(勿動)組件目錄表'!$D$15:$R$1094,5,FALSE),"-")</f>
        <v>-</v>
      </c>
      <c r="G577" s="11" t="str">
        <f>IFERROR(VLOOKUP($B577,'(勿動)組件目錄表'!$D$15:$R$1094,8,FALSE),"-")</f>
        <v>-</v>
      </c>
      <c r="H577" s="11" t="str">
        <f>IFERROR(VLOOKUP($B577,'(勿動)組件目錄表'!$D$15:$R$1094,9,FALSE),"-")</f>
        <v>-</v>
      </c>
      <c r="I577" s="11" t="str">
        <f>IFERROR(VLOOKUP($B577,'(勿動)組件目錄表'!$D$15:$R$1094,10,FALSE),"-")</f>
        <v>-</v>
      </c>
      <c r="J577" s="11" t="str">
        <f>IFERROR(VLOOKUP($B577,'(勿動)組件目錄表'!$D$15:$R$1094,11,FALSE),"-")</f>
        <v>-</v>
      </c>
      <c r="K577" s="11" t="str">
        <f>IFERROR(VLOOKUP($B577,'(勿動)組件目錄表'!$D$15:$R$1094,12,FALSE),"-")</f>
        <v>-</v>
      </c>
      <c r="L577" s="11" t="str">
        <f>IFERROR(VLOOKUP($B577,'(勿動)組件目錄表'!$D$15:$R$1094,13,FALSE),"-")</f>
        <v>-</v>
      </c>
      <c r="M577" s="11" t="str">
        <f>IFERROR(VLOOKUP($B577,'(勿動)組件目錄表'!$D$15:$R$1094,14,FALSE),"-")</f>
        <v>-</v>
      </c>
      <c r="N577" s="15">
        <f t="shared" si="2"/>
        <v>0</v>
      </c>
      <c r="O577" s="16"/>
    </row>
    <row r="578" spans="1:15" ht="15.75" customHeight="1">
      <c r="A578" s="18"/>
      <c r="B578" s="7"/>
      <c r="C578" s="8" t="str">
        <f>IFERROR(VLOOKUP($B578,'(勿動)組件目錄表'!$D$15:$R$1094,2,FALSE),"-")</f>
        <v>-</v>
      </c>
      <c r="D578" s="8" t="str">
        <f>IFERROR(VLOOKUP($B578,'(勿動)組件目錄表'!$D$15:$R$1094,3,FALSE),"-")</f>
        <v>-</v>
      </c>
      <c r="E578" s="9" t="str">
        <f>IFERROR(VLOOKUP($B578,'(勿動)組件目錄表'!$D$15:$R$1094,4,FALSE),"-")</f>
        <v>-</v>
      </c>
      <c r="F578" s="10" t="str">
        <f>IFERROR(VLOOKUP($B578,'(勿動)組件目錄表'!$D$15:$R$1094,5,FALSE),"-")</f>
        <v>-</v>
      </c>
      <c r="G578" s="11" t="str">
        <f>IFERROR(VLOOKUP($B578,'(勿動)組件目錄表'!$D$15:$R$1094,8,FALSE),"-")</f>
        <v>-</v>
      </c>
      <c r="H578" s="11" t="str">
        <f>IFERROR(VLOOKUP($B578,'(勿動)組件目錄表'!$D$15:$R$1094,9,FALSE),"-")</f>
        <v>-</v>
      </c>
      <c r="I578" s="11" t="str">
        <f>IFERROR(VLOOKUP($B578,'(勿動)組件目錄表'!$D$15:$R$1094,10,FALSE),"-")</f>
        <v>-</v>
      </c>
      <c r="J578" s="11" t="str">
        <f>IFERROR(VLOOKUP($B578,'(勿動)組件目錄表'!$D$15:$R$1094,11,FALSE),"-")</f>
        <v>-</v>
      </c>
      <c r="K578" s="11" t="str">
        <f>IFERROR(VLOOKUP($B578,'(勿動)組件目錄表'!$D$15:$R$1094,12,FALSE),"-")</f>
        <v>-</v>
      </c>
      <c r="L578" s="11" t="str">
        <f>IFERROR(VLOOKUP($B578,'(勿動)組件目錄表'!$D$15:$R$1094,13,FALSE),"-")</f>
        <v>-</v>
      </c>
      <c r="M578" s="11" t="str">
        <f>IFERROR(VLOOKUP($B578,'(勿動)組件目錄表'!$D$15:$R$1094,14,FALSE),"-")</f>
        <v>-</v>
      </c>
      <c r="N578" s="15">
        <f t="shared" si="2"/>
        <v>0</v>
      </c>
      <c r="O578" s="16"/>
    </row>
    <row r="579" spans="1:15" ht="15.75" customHeight="1">
      <c r="A579" s="18"/>
      <c r="B579" s="7"/>
      <c r="C579" s="8" t="str">
        <f>IFERROR(VLOOKUP($B579,'(勿動)組件目錄表'!$D$15:$R$1094,2,FALSE),"-")</f>
        <v>-</v>
      </c>
      <c r="D579" s="8" t="str">
        <f>IFERROR(VLOOKUP($B579,'(勿動)組件目錄表'!$D$15:$R$1094,3,FALSE),"-")</f>
        <v>-</v>
      </c>
      <c r="E579" s="9" t="str">
        <f>IFERROR(VLOOKUP($B579,'(勿動)組件目錄表'!$D$15:$R$1094,4,FALSE),"-")</f>
        <v>-</v>
      </c>
      <c r="F579" s="10" t="str">
        <f>IFERROR(VLOOKUP($B579,'(勿動)組件目錄表'!$D$15:$R$1094,5,FALSE),"-")</f>
        <v>-</v>
      </c>
      <c r="G579" s="11" t="str">
        <f>IFERROR(VLOOKUP($B579,'(勿動)組件目錄表'!$D$15:$R$1094,8,FALSE),"-")</f>
        <v>-</v>
      </c>
      <c r="H579" s="11" t="str">
        <f>IFERROR(VLOOKUP($B579,'(勿動)組件目錄表'!$D$15:$R$1094,9,FALSE),"-")</f>
        <v>-</v>
      </c>
      <c r="I579" s="11" t="str">
        <f>IFERROR(VLOOKUP($B579,'(勿動)組件目錄表'!$D$15:$R$1094,10,FALSE),"-")</f>
        <v>-</v>
      </c>
      <c r="J579" s="11" t="str">
        <f>IFERROR(VLOOKUP($B579,'(勿動)組件目錄表'!$D$15:$R$1094,11,FALSE),"-")</f>
        <v>-</v>
      </c>
      <c r="K579" s="11" t="str">
        <f>IFERROR(VLOOKUP($B579,'(勿動)組件目錄表'!$D$15:$R$1094,12,FALSE),"-")</f>
        <v>-</v>
      </c>
      <c r="L579" s="11" t="str">
        <f>IFERROR(VLOOKUP($B579,'(勿動)組件目錄表'!$D$15:$R$1094,13,FALSE),"-")</f>
        <v>-</v>
      </c>
      <c r="M579" s="11" t="str">
        <f>IFERROR(VLOOKUP($B579,'(勿動)組件目錄表'!$D$15:$R$1094,14,FALSE),"-")</f>
        <v>-</v>
      </c>
      <c r="N579" s="15">
        <f t="shared" si="2"/>
        <v>0</v>
      </c>
      <c r="O579" s="16"/>
    </row>
    <row r="580" spans="1:15" ht="15.75" customHeight="1">
      <c r="A580" s="18"/>
      <c r="B580" s="7"/>
      <c r="C580" s="8" t="str">
        <f>IFERROR(VLOOKUP($B580,'(勿動)組件目錄表'!$D$15:$R$1094,2,FALSE),"-")</f>
        <v>-</v>
      </c>
      <c r="D580" s="8" t="str">
        <f>IFERROR(VLOOKUP($B580,'(勿動)組件目錄表'!$D$15:$R$1094,3,FALSE),"-")</f>
        <v>-</v>
      </c>
      <c r="E580" s="9" t="str">
        <f>IFERROR(VLOOKUP($B580,'(勿動)組件目錄表'!$D$15:$R$1094,4,FALSE),"-")</f>
        <v>-</v>
      </c>
      <c r="F580" s="10" t="str">
        <f>IFERROR(VLOOKUP($B580,'(勿動)組件目錄表'!$D$15:$R$1094,5,FALSE),"-")</f>
        <v>-</v>
      </c>
      <c r="G580" s="11" t="str">
        <f>IFERROR(VLOOKUP($B580,'(勿動)組件目錄表'!$D$15:$R$1094,8,FALSE),"-")</f>
        <v>-</v>
      </c>
      <c r="H580" s="11" t="str">
        <f>IFERROR(VLOOKUP($B580,'(勿動)組件目錄表'!$D$15:$R$1094,9,FALSE),"-")</f>
        <v>-</v>
      </c>
      <c r="I580" s="11" t="str">
        <f>IFERROR(VLOOKUP($B580,'(勿動)組件目錄表'!$D$15:$R$1094,10,FALSE),"-")</f>
        <v>-</v>
      </c>
      <c r="J580" s="11" t="str">
        <f>IFERROR(VLOOKUP($B580,'(勿動)組件目錄表'!$D$15:$R$1094,11,FALSE),"-")</f>
        <v>-</v>
      </c>
      <c r="K580" s="11" t="str">
        <f>IFERROR(VLOOKUP($B580,'(勿動)組件目錄表'!$D$15:$R$1094,12,FALSE),"-")</f>
        <v>-</v>
      </c>
      <c r="L580" s="11" t="str">
        <f>IFERROR(VLOOKUP($B580,'(勿動)組件目錄表'!$D$15:$R$1094,13,FALSE),"-")</f>
        <v>-</v>
      </c>
      <c r="M580" s="11" t="str">
        <f>IFERROR(VLOOKUP($B580,'(勿動)組件目錄表'!$D$15:$R$1094,14,FALSE),"-")</f>
        <v>-</v>
      </c>
      <c r="N580" s="15">
        <f t="shared" si="2"/>
        <v>0</v>
      </c>
      <c r="O580" s="16"/>
    </row>
    <row r="581" spans="1:15" ht="15.75" customHeight="1">
      <c r="A581" s="18"/>
      <c r="B581" s="7"/>
      <c r="C581" s="8" t="str">
        <f>IFERROR(VLOOKUP($B581,'(勿動)組件目錄表'!$D$15:$R$1094,2,FALSE),"-")</f>
        <v>-</v>
      </c>
      <c r="D581" s="8" t="str">
        <f>IFERROR(VLOOKUP($B581,'(勿動)組件目錄表'!$D$15:$R$1094,3,FALSE),"-")</f>
        <v>-</v>
      </c>
      <c r="E581" s="9" t="str">
        <f>IFERROR(VLOOKUP($B581,'(勿動)組件目錄表'!$D$15:$R$1094,4,FALSE),"-")</f>
        <v>-</v>
      </c>
      <c r="F581" s="10" t="str">
        <f>IFERROR(VLOOKUP($B581,'(勿動)組件目錄表'!$D$15:$R$1094,5,FALSE),"-")</f>
        <v>-</v>
      </c>
      <c r="G581" s="11" t="str">
        <f>IFERROR(VLOOKUP($B581,'(勿動)組件目錄表'!$D$15:$R$1094,8,FALSE),"-")</f>
        <v>-</v>
      </c>
      <c r="H581" s="11" t="str">
        <f>IFERROR(VLOOKUP($B581,'(勿動)組件目錄表'!$D$15:$R$1094,9,FALSE),"-")</f>
        <v>-</v>
      </c>
      <c r="I581" s="11" t="str">
        <f>IFERROR(VLOOKUP($B581,'(勿動)組件目錄表'!$D$15:$R$1094,10,FALSE),"-")</f>
        <v>-</v>
      </c>
      <c r="J581" s="11" t="str">
        <f>IFERROR(VLOOKUP($B581,'(勿動)組件目錄表'!$D$15:$R$1094,11,FALSE),"-")</f>
        <v>-</v>
      </c>
      <c r="K581" s="11" t="str">
        <f>IFERROR(VLOOKUP($B581,'(勿動)組件目錄表'!$D$15:$R$1094,12,FALSE),"-")</f>
        <v>-</v>
      </c>
      <c r="L581" s="11" t="str">
        <f>IFERROR(VLOOKUP($B581,'(勿動)組件目錄表'!$D$15:$R$1094,13,FALSE),"-")</f>
        <v>-</v>
      </c>
      <c r="M581" s="11" t="str">
        <f>IFERROR(VLOOKUP($B581,'(勿動)組件目錄表'!$D$15:$R$1094,14,FALSE),"-")</f>
        <v>-</v>
      </c>
      <c r="N581" s="15">
        <f t="shared" si="2"/>
        <v>0</v>
      </c>
      <c r="O581" s="16"/>
    </row>
    <row r="582" spans="1:15" ht="15.75" customHeight="1">
      <c r="A582" s="18"/>
      <c r="B582" s="7"/>
      <c r="C582" s="8" t="str">
        <f>IFERROR(VLOOKUP($B582,'(勿動)組件目錄表'!$D$15:$R$1094,2,FALSE),"-")</f>
        <v>-</v>
      </c>
      <c r="D582" s="8" t="str">
        <f>IFERROR(VLOOKUP($B582,'(勿動)組件目錄表'!$D$15:$R$1094,3,FALSE),"-")</f>
        <v>-</v>
      </c>
      <c r="E582" s="9" t="str">
        <f>IFERROR(VLOOKUP($B582,'(勿動)組件目錄表'!$D$15:$R$1094,4,FALSE),"-")</f>
        <v>-</v>
      </c>
      <c r="F582" s="10" t="str">
        <f>IFERROR(VLOOKUP($B582,'(勿動)組件目錄表'!$D$15:$R$1094,5,FALSE),"-")</f>
        <v>-</v>
      </c>
      <c r="G582" s="11" t="str">
        <f>IFERROR(VLOOKUP($B582,'(勿動)組件目錄表'!$D$15:$R$1094,8,FALSE),"-")</f>
        <v>-</v>
      </c>
      <c r="H582" s="11" t="str">
        <f>IFERROR(VLOOKUP($B582,'(勿動)組件目錄表'!$D$15:$R$1094,9,FALSE),"-")</f>
        <v>-</v>
      </c>
      <c r="I582" s="11" t="str">
        <f>IFERROR(VLOOKUP($B582,'(勿動)組件目錄表'!$D$15:$R$1094,10,FALSE),"-")</f>
        <v>-</v>
      </c>
      <c r="J582" s="11" t="str">
        <f>IFERROR(VLOOKUP($B582,'(勿動)組件目錄表'!$D$15:$R$1094,11,FALSE),"-")</f>
        <v>-</v>
      </c>
      <c r="K582" s="11" t="str">
        <f>IFERROR(VLOOKUP($B582,'(勿動)組件目錄表'!$D$15:$R$1094,12,FALSE),"-")</f>
        <v>-</v>
      </c>
      <c r="L582" s="11" t="str">
        <f>IFERROR(VLOOKUP($B582,'(勿動)組件目錄表'!$D$15:$R$1094,13,FALSE),"-")</f>
        <v>-</v>
      </c>
      <c r="M582" s="11" t="str">
        <f>IFERROR(VLOOKUP($B582,'(勿動)組件目錄表'!$D$15:$R$1094,14,FALSE),"-")</f>
        <v>-</v>
      </c>
      <c r="N582" s="15">
        <f t="shared" si="2"/>
        <v>0</v>
      </c>
      <c r="O582" s="16"/>
    </row>
    <row r="583" spans="1:15" ht="15.75" customHeight="1">
      <c r="A583" s="18"/>
      <c r="B583" s="7"/>
      <c r="C583" s="8" t="str">
        <f>IFERROR(VLOOKUP($B583,'(勿動)組件目錄表'!$D$15:$R$1094,2,FALSE),"-")</f>
        <v>-</v>
      </c>
      <c r="D583" s="8" t="str">
        <f>IFERROR(VLOOKUP($B583,'(勿動)組件目錄表'!$D$15:$R$1094,3,FALSE),"-")</f>
        <v>-</v>
      </c>
      <c r="E583" s="9" t="str">
        <f>IFERROR(VLOOKUP($B583,'(勿動)組件目錄表'!$D$15:$R$1094,4,FALSE),"-")</f>
        <v>-</v>
      </c>
      <c r="F583" s="10" t="str">
        <f>IFERROR(VLOOKUP($B583,'(勿動)組件目錄表'!$D$15:$R$1094,5,FALSE),"-")</f>
        <v>-</v>
      </c>
      <c r="G583" s="11" t="str">
        <f>IFERROR(VLOOKUP($B583,'(勿動)組件目錄表'!$D$15:$R$1094,8,FALSE),"-")</f>
        <v>-</v>
      </c>
      <c r="H583" s="11" t="str">
        <f>IFERROR(VLOOKUP($B583,'(勿動)組件目錄表'!$D$15:$R$1094,9,FALSE),"-")</f>
        <v>-</v>
      </c>
      <c r="I583" s="11" t="str">
        <f>IFERROR(VLOOKUP($B583,'(勿動)組件目錄表'!$D$15:$R$1094,10,FALSE),"-")</f>
        <v>-</v>
      </c>
      <c r="J583" s="11" t="str">
        <f>IFERROR(VLOOKUP($B583,'(勿動)組件目錄表'!$D$15:$R$1094,11,FALSE),"-")</f>
        <v>-</v>
      </c>
      <c r="K583" s="11" t="str">
        <f>IFERROR(VLOOKUP($B583,'(勿動)組件目錄表'!$D$15:$R$1094,12,FALSE),"-")</f>
        <v>-</v>
      </c>
      <c r="L583" s="11" t="str">
        <f>IFERROR(VLOOKUP($B583,'(勿動)組件目錄表'!$D$15:$R$1094,13,FALSE),"-")</f>
        <v>-</v>
      </c>
      <c r="M583" s="11" t="str">
        <f>IFERROR(VLOOKUP($B583,'(勿動)組件目錄表'!$D$15:$R$1094,14,FALSE),"-")</f>
        <v>-</v>
      </c>
      <c r="N583" s="15">
        <f t="shared" si="2"/>
        <v>0</v>
      </c>
      <c r="O583" s="16"/>
    </row>
    <row r="584" spans="1:15" ht="15.75" customHeight="1">
      <c r="A584" s="18"/>
      <c r="B584" s="7"/>
      <c r="C584" s="8" t="str">
        <f>IFERROR(VLOOKUP($B584,'(勿動)組件目錄表'!$D$15:$R$1094,2,FALSE),"-")</f>
        <v>-</v>
      </c>
      <c r="D584" s="8" t="str">
        <f>IFERROR(VLOOKUP($B584,'(勿動)組件目錄表'!$D$15:$R$1094,3,FALSE),"-")</f>
        <v>-</v>
      </c>
      <c r="E584" s="9" t="str">
        <f>IFERROR(VLOOKUP($B584,'(勿動)組件目錄表'!$D$15:$R$1094,4,FALSE),"-")</f>
        <v>-</v>
      </c>
      <c r="F584" s="10" t="str">
        <f>IFERROR(VLOOKUP($B584,'(勿動)組件目錄表'!$D$15:$R$1094,5,FALSE),"-")</f>
        <v>-</v>
      </c>
      <c r="G584" s="11" t="str">
        <f>IFERROR(VLOOKUP($B584,'(勿動)組件目錄表'!$D$15:$R$1094,8,FALSE),"-")</f>
        <v>-</v>
      </c>
      <c r="H584" s="11" t="str">
        <f>IFERROR(VLOOKUP($B584,'(勿動)組件目錄表'!$D$15:$R$1094,9,FALSE),"-")</f>
        <v>-</v>
      </c>
      <c r="I584" s="11" t="str">
        <f>IFERROR(VLOOKUP($B584,'(勿動)組件目錄表'!$D$15:$R$1094,10,FALSE),"-")</f>
        <v>-</v>
      </c>
      <c r="J584" s="11" t="str">
        <f>IFERROR(VLOOKUP($B584,'(勿動)組件目錄表'!$D$15:$R$1094,11,FALSE),"-")</f>
        <v>-</v>
      </c>
      <c r="K584" s="11" t="str">
        <f>IFERROR(VLOOKUP($B584,'(勿動)組件目錄表'!$D$15:$R$1094,12,FALSE),"-")</f>
        <v>-</v>
      </c>
      <c r="L584" s="11" t="str">
        <f>IFERROR(VLOOKUP($B584,'(勿動)組件目錄表'!$D$15:$R$1094,13,FALSE),"-")</f>
        <v>-</v>
      </c>
      <c r="M584" s="11" t="str">
        <f>IFERROR(VLOOKUP($B584,'(勿動)組件目錄表'!$D$15:$R$1094,14,FALSE),"-")</f>
        <v>-</v>
      </c>
      <c r="N584" s="15">
        <f t="shared" si="2"/>
        <v>0</v>
      </c>
      <c r="O584" s="16"/>
    </row>
    <row r="585" spans="1:15" ht="15.75" customHeight="1">
      <c r="A585" s="18"/>
      <c r="B585" s="7"/>
      <c r="C585" s="8" t="str">
        <f>IFERROR(VLOOKUP($B585,'(勿動)組件目錄表'!$D$15:$R$1094,2,FALSE),"-")</f>
        <v>-</v>
      </c>
      <c r="D585" s="8" t="str">
        <f>IFERROR(VLOOKUP($B585,'(勿動)組件目錄表'!$D$15:$R$1094,3,FALSE),"-")</f>
        <v>-</v>
      </c>
      <c r="E585" s="9" t="str">
        <f>IFERROR(VLOOKUP($B585,'(勿動)組件目錄表'!$D$15:$R$1094,4,FALSE),"-")</f>
        <v>-</v>
      </c>
      <c r="F585" s="10" t="str">
        <f>IFERROR(VLOOKUP($B585,'(勿動)組件目錄表'!$D$15:$R$1094,5,FALSE),"-")</f>
        <v>-</v>
      </c>
      <c r="G585" s="11" t="str">
        <f>IFERROR(VLOOKUP($B585,'(勿動)組件目錄表'!$D$15:$R$1094,8,FALSE),"-")</f>
        <v>-</v>
      </c>
      <c r="H585" s="11" t="str">
        <f>IFERROR(VLOOKUP($B585,'(勿動)組件目錄表'!$D$15:$R$1094,9,FALSE),"-")</f>
        <v>-</v>
      </c>
      <c r="I585" s="11" t="str">
        <f>IFERROR(VLOOKUP($B585,'(勿動)組件目錄表'!$D$15:$R$1094,10,FALSE),"-")</f>
        <v>-</v>
      </c>
      <c r="J585" s="11" t="str">
        <f>IFERROR(VLOOKUP($B585,'(勿動)組件目錄表'!$D$15:$R$1094,11,FALSE),"-")</f>
        <v>-</v>
      </c>
      <c r="K585" s="11" t="str">
        <f>IFERROR(VLOOKUP($B585,'(勿動)組件目錄表'!$D$15:$R$1094,12,FALSE),"-")</f>
        <v>-</v>
      </c>
      <c r="L585" s="11" t="str">
        <f>IFERROR(VLOOKUP($B585,'(勿動)組件目錄表'!$D$15:$R$1094,13,FALSE),"-")</f>
        <v>-</v>
      </c>
      <c r="M585" s="11" t="str">
        <f>IFERROR(VLOOKUP($B585,'(勿動)組件目錄表'!$D$15:$R$1094,14,FALSE),"-")</f>
        <v>-</v>
      </c>
      <c r="N585" s="15">
        <f t="shared" si="2"/>
        <v>0</v>
      </c>
      <c r="O585" s="16"/>
    </row>
    <row r="586" spans="1:15" ht="15.75" customHeight="1">
      <c r="A586" s="18"/>
      <c r="B586" s="7"/>
      <c r="C586" s="8" t="str">
        <f>IFERROR(VLOOKUP($B586,'(勿動)組件目錄表'!$D$15:$R$1094,2,FALSE),"-")</f>
        <v>-</v>
      </c>
      <c r="D586" s="8" t="str">
        <f>IFERROR(VLOOKUP($B586,'(勿動)組件目錄表'!$D$15:$R$1094,3,FALSE),"-")</f>
        <v>-</v>
      </c>
      <c r="E586" s="9" t="str">
        <f>IFERROR(VLOOKUP($B586,'(勿動)組件目錄表'!$D$15:$R$1094,4,FALSE),"-")</f>
        <v>-</v>
      </c>
      <c r="F586" s="10" t="str">
        <f>IFERROR(VLOOKUP($B586,'(勿動)組件目錄表'!$D$15:$R$1094,5,FALSE),"-")</f>
        <v>-</v>
      </c>
      <c r="G586" s="11" t="str">
        <f>IFERROR(VLOOKUP($B586,'(勿動)組件目錄表'!$D$15:$R$1094,8,FALSE),"-")</f>
        <v>-</v>
      </c>
      <c r="H586" s="11" t="str">
        <f>IFERROR(VLOOKUP($B586,'(勿動)組件目錄表'!$D$15:$R$1094,9,FALSE),"-")</f>
        <v>-</v>
      </c>
      <c r="I586" s="11" t="str">
        <f>IFERROR(VLOOKUP($B586,'(勿動)組件目錄表'!$D$15:$R$1094,10,FALSE),"-")</f>
        <v>-</v>
      </c>
      <c r="J586" s="11" t="str">
        <f>IFERROR(VLOOKUP($B586,'(勿動)組件目錄表'!$D$15:$R$1094,11,FALSE),"-")</f>
        <v>-</v>
      </c>
      <c r="K586" s="11" t="str">
        <f>IFERROR(VLOOKUP($B586,'(勿動)組件目錄表'!$D$15:$R$1094,12,FALSE),"-")</f>
        <v>-</v>
      </c>
      <c r="L586" s="11" t="str">
        <f>IFERROR(VLOOKUP($B586,'(勿動)組件目錄表'!$D$15:$R$1094,13,FALSE),"-")</f>
        <v>-</v>
      </c>
      <c r="M586" s="11" t="str">
        <f>IFERROR(VLOOKUP($B586,'(勿動)組件目錄表'!$D$15:$R$1094,14,FALSE),"-")</f>
        <v>-</v>
      </c>
      <c r="N586" s="15">
        <f t="shared" si="2"/>
        <v>0</v>
      </c>
      <c r="O586" s="16"/>
    </row>
    <row r="587" spans="1:15" ht="15.75" customHeight="1">
      <c r="A587" s="18"/>
      <c r="B587" s="7"/>
      <c r="C587" s="8" t="str">
        <f>IFERROR(VLOOKUP($B587,'(勿動)組件目錄表'!$D$15:$R$1094,2,FALSE),"-")</f>
        <v>-</v>
      </c>
      <c r="D587" s="8" t="str">
        <f>IFERROR(VLOOKUP($B587,'(勿動)組件目錄表'!$D$15:$R$1094,3,FALSE),"-")</f>
        <v>-</v>
      </c>
      <c r="E587" s="9" t="str">
        <f>IFERROR(VLOOKUP($B587,'(勿動)組件目錄表'!$D$15:$R$1094,4,FALSE),"-")</f>
        <v>-</v>
      </c>
      <c r="F587" s="10" t="str">
        <f>IFERROR(VLOOKUP($B587,'(勿動)組件目錄表'!$D$15:$R$1094,5,FALSE),"-")</f>
        <v>-</v>
      </c>
      <c r="G587" s="11" t="str">
        <f>IFERROR(VLOOKUP($B587,'(勿動)組件目錄表'!$D$15:$R$1094,8,FALSE),"-")</f>
        <v>-</v>
      </c>
      <c r="H587" s="11" t="str">
        <f>IFERROR(VLOOKUP($B587,'(勿動)組件目錄表'!$D$15:$R$1094,9,FALSE),"-")</f>
        <v>-</v>
      </c>
      <c r="I587" s="11" t="str">
        <f>IFERROR(VLOOKUP($B587,'(勿動)組件目錄表'!$D$15:$R$1094,10,FALSE),"-")</f>
        <v>-</v>
      </c>
      <c r="J587" s="11" t="str">
        <f>IFERROR(VLOOKUP($B587,'(勿動)組件目錄表'!$D$15:$R$1094,11,FALSE),"-")</f>
        <v>-</v>
      </c>
      <c r="K587" s="11" t="str">
        <f>IFERROR(VLOOKUP($B587,'(勿動)組件目錄表'!$D$15:$R$1094,12,FALSE),"-")</f>
        <v>-</v>
      </c>
      <c r="L587" s="11" t="str">
        <f>IFERROR(VLOOKUP($B587,'(勿動)組件目錄表'!$D$15:$R$1094,13,FALSE),"-")</f>
        <v>-</v>
      </c>
      <c r="M587" s="11" t="str">
        <f>IFERROR(VLOOKUP($B587,'(勿動)組件目錄表'!$D$15:$R$1094,14,FALSE),"-")</f>
        <v>-</v>
      </c>
      <c r="N587" s="15">
        <f t="shared" si="2"/>
        <v>0</v>
      </c>
      <c r="O587" s="16"/>
    </row>
    <row r="588" spans="1:15" ht="15.75" customHeight="1">
      <c r="A588" s="18"/>
      <c r="B588" s="7"/>
      <c r="C588" s="8" t="str">
        <f>IFERROR(VLOOKUP($B588,'(勿動)組件目錄表'!$D$15:$R$1094,2,FALSE),"-")</f>
        <v>-</v>
      </c>
      <c r="D588" s="8" t="str">
        <f>IFERROR(VLOOKUP($B588,'(勿動)組件目錄表'!$D$15:$R$1094,3,FALSE),"-")</f>
        <v>-</v>
      </c>
      <c r="E588" s="9" t="str">
        <f>IFERROR(VLOOKUP($B588,'(勿動)組件目錄表'!$D$15:$R$1094,4,FALSE),"-")</f>
        <v>-</v>
      </c>
      <c r="F588" s="10" t="str">
        <f>IFERROR(VLOOKUP($B588,'(勿動)組件目錄表'!$D$15:$R$1094,5,FALSE),"-")</f>
        <v>-</v>
      </c>
      <c r="G588" s="11" t="str">
        <f>IFERROR(VLOOKUP($B588,'(勿動)組件目錄表'!$D$15:$R$1094,8,FALSE),"-")</f>
        <v>-</v>
      </c>
      <c r="H588" s="11" t="str">
        <f>IFERROR(VLOOKUP($B588,'(勿動)組件目錄表'!$D$15:$R$1094,9,FALSE),"-")</f>
        <v>-</v>
      </c>
      <c r="I588" s="11" t="str">
        <f>IFERROR(VLOOKUP($B588,'(勿動)組件目錄表'!$D$15:$R$1094,10,FALSE),"-")</f>
        <v>-</v>
      </c>
      <c r="J588" s="11" t="str">
        <f>IFERROR(VLOOKUP($B588,'(勿動)組件目錄表'!$D$15:$R$1094,11,FALSE),"-")</f>
        <v>-</v>
      </c>
      <c r="K588" s="11" t="str">
        <f>IFERROR(VLOOKUP($B588,'(勿動)組件目錄表'!$D$15:$R$1094,12,FALSE),"-")</f>
        <v>-</v>
      </c>
      <c r="L588" s="11" t="str">
        <f>IFERROR(VLOOKUP($B588,'(勿動)組件目錄表'!$D$15:$R$1094,13,FALSE),"-")</f>
        <v>-</v>
      </c>
      <c r="M588" s="11" t="str">
        <f>IFERROR(VLOOKUP($B588,'(勿動)組件目錄表'!$D$15:$R$1094,14,FALSE),"-")</f>
        <v>-</v>
      </c>
      <c r="N588" s="15">
        <f t="shared" si="2"/>
        <v>0</v>
      </c>
      <c r="O588" s="16"/>
    </row>
    <row r="589" spans="1:15" ht="15.75" customHeight="1">
      <c r="A589" s="18"/>
      <c r="B589" s="7"/>
      <c r="C589" s="8" t="str">
        <f>IFERROR(VLOOKUP($B589,'(勿動)組件目錄表'!$D$15:$R$1094,2,FALSE),"-")</f>
        <v>-</v>
      </c>
      <c r="D589" s="8" t="str">
        <f>IFERROR(VLOOKUP($B589,'(勿動)組件目錄表'!$D$15:$R$1094,3,FALSE),"-")</f>
        <v>-</v>
      </c>
      <c r="E589" s="9" t="str">
        <f>IFERROR(VLOOKUP($B589,'(勿動)組件目錄表'!$D$15:$R$1094,4,FALSE),"-")</f>
        <v>-</v>
      </c>
      <c r="F589" s="10" t="str">
        <f>IFERROR(VLOOKUP($B589,'(勿動)組件目錄表'!$D$15:$R$1094,5,FALSE),"-")</f>
        <v>-</v>
      </c>
      <c r="G589" s="11" t="str">
        <f>IFERROR(VLOOKUP($B589,'(勿動)組件目錄表'!$D$15:$R$1094,8,FALSE),"-")</f>
        <v>-</v>
      </c>
      <c r="H589" s="11" t="str">
        <f>IFERROR(VLOOKUP($B589,'(勿動)組件目錄表'!$D$15:$R$1094,9,FALSE),"-")</f>
        <v>-</v>
      </c>
      <c r="I589" s="11" t="str">
        <f>IFERROR(VLOOKUP($B589,'(勿動)組件目錄表'!$D$15:$R$1094,10,FALSE),"-")</f>
        <v>-</v>
      </c>
      <c r="J589" s="11" t="str">
        <f>IFERROR(VLOOKUP($B589,'(勿動)組件目錄表'!$D$15:$R$1094,11,FALSE),"-")</f>
        <v>-</v>
      </c>
      <c r="K589" s="11" t="str">
        <f>IFERROR(VLOOKUP($B589,'(勿動)組件目錄表'!$D$15:$R$1094,12,FALSE),"-")</f>
        <v>-</v>
      </c>
      <c r="L589" s="11" t="str">
        <f>IFERROR(VLOOKUP($B589,'(勿動)組件目錄表'!$D$15:$R$1094,13,FALSE),"-")</f>
        <v>-</v>
      </c>
      <c r="M589" s="11" t="str">
        <f>IFERROR(VLOOKUP($B589,'(勿動)組件目錄表'!$D$15:$R$1094,14,FALSE),"-")</f>
        <v>-</v>
      </c>
      <c r="N589" s="15">
        <f t="shared" si="2"/>
        <v>0</v>
      </c>
      <c r="O589" s="16"/>
    </row>
    <row r="590" spans="1:15" ht="15.75" customHeight="1">
      <c r="A590" s="18"/>
      <c r="B590" s="7"/>
      <c r="C590" s="8" t="str">
        <f>IFERROR(VLOOKUP($B590,'(勿動)組件目錄表'!$D$15:$R$1094,2,FALSE),"-")</f>
        <v>-</v>
      </c>
      <c r="D590" s="8" t="str">
        <f>IFERROR(VLOOKUP($B590,'(勿動)組件目錄表'!$D$15:$R$1094,3,FALSE),"-")</f>
        <v>-</v>
      </c>
      <c r="E590" s="9" t="str">
        <f>IFERROR(VLOOKUP($B590,'(勿動)組件目錄表'!$D$15:$R$1094,4,FALSE),"-")</f>
        <v>-</v>
      </c>
      <c r="F590" s="10" t="str">
        <f>IFERROR(VLOOKUP($B590,'(勿動)組件目錄表'!$D$15:$R$1094,5,FALSE),"-")</f>
        <v>-</v>
      </c>
      <c r="G590" s="11" t="str">
        <f>IFERROR(VLOOKUP($B590,'(勿動)組件目錄表'!$D$15:$R$1094,8,FALSE),"-")</f>
        <v>-</v>
      </c>
      <c r="H590" s="11" t="str">
        <f>IFERROR(VLOOKUP($B590,'(勿動)組件目錄表'!$D$15:$R$1094,9,FALSE),"-")</f>
        <v>-</v>
      </c>
      <c r="I590" s="11" t="str">
        <f>IFERROR(VLOOKUP($B590,'(勿動)組件目錄表'!$D$15:$R$1094,10,FALSE),"-")</f>
        <v>-</v>
      </c>
      <c r="J590" s="11" t="str">
        <f>IFERROR(VLOOKUP($B590,'(勿動)組件目錄表'!$D$15:$R$1094,11,FALSE),"-")</f>
        <v>-</v>
      </c>
      <c r="K590" s="11" t="str">
        <f>IFERROR(VLOOKUP($B590,'(勿動)組件目錄表'!$D$15:$R$1094,12,FALSE),"-")</f>
        <v>-</v>
      </c>
      <c r="L590" s="11" t="str">
        <f>IFERROR(VLOOKUP($B590,'(勿動)組件目錄表'!$D$15:$R$1094,13,FALSE),"-")</f>
        <v>-</v>
      </c>
      <c r="M590" s="11" t="str">
        <f>IFERROR(VLOOKUP($B590,'(勿動)組件目錄表'!$D$15:$R$1094,14,FALSE),"-")</f>
        <v>-</v>
      </c>
      <c r="N590" s="15">
        <f t="shared" si="2"/>
        <v>0</v>
      </c>
      <c r="O590" s="16"/>
    </row>
    <row r="591" spans="1:15" ht="15.75" customHeight="1">
      <c r="A591" s="18"/>
      <c r="B591" s="7"/>
      <c r="C591" s="8" t="str">
        <f>IFERROR(VLOOKUP($B591,'(勿動)組件目錄表'!$D$15:$R$1094,2,FALSE),"-")</f>
        <v>-</v>
      </c>
      <c r="D591" s="8" t="str">
        <f>IFERROR(VLOOKUP($B591,'(勿動)組件目錄表'!$D$15:$R$1094,3,FALSE),"-")</f>
        <v>-</v>
      </c>
      <c r="E591" s="9" t="str">
        <f>IFERROR(VLOOKUP($B591,'(勿動)組件目錄表'!$D$15:$R$1094,4,FALSE),"-")</f>
        <v>-</v>
      </c>
      <c r="F591" s="10" t="str">
        <f>IFERROR(VLOOKUP($B591,'(勿動)組件目錄表'!$D$15:$R$1094,5,FALSE),"-")</f>
        <v>-</v>
      </c>
      <c r="G591" s="11" t="str">
        <f>IFERROR(VLOOKUP($B591,'(勿動)組件目錄表'!$D$15:$R$1094,8,FALSE),"-")</f>
        <v>-</v>
      </c>
      <c r="H591" s="11" t="str">
        <f>IFERROR(VLOOKUP($B591,'(勿動)組件目錄表'!$D$15:$R$1094,9,FALSE),"-")</f>
        <v>-</v>
      </c>
      <c r="I591" s="11" t="str">
        <f>IFERROR(VLOOKUP($B591,'(勿動)組件目錄表'!$D$15:$R$1094,10,FALSE),"-")</f>
        <v>-</v>
      </c>
      <c r="J591" s="11" t="str">
        <f>IFERROR(VLOOKUP($B591,'(勿動)組件目錄表'!$D$15:$R$1094,11,FALSE),"-")</f>
        <v>-</v>
      </c>
      <c r="K591" s="11" t="str">
        <f>IFERROR(VLOOKUP($B591,'(勿動)組件目錄表'!$D$15:$R$1094,12,FALSE),"-")</f>
        <v>-</v>
      </c>
      <c r="L591" s="11" t="str">
        <f>IFERROR(VLOOKUP($B591,'(勿動)組件目錄表'!$D$15:$R$1094,13,FALSE),"-")</f>
        <v>-</v>
      </c>
      <c r="M591" s="11" t="str">
        <f>IFERROR(VLOOKUP($B591,'(勿動)組件目錄表'!$D$15:$R$1094,14,FALSE),"-")</f>
        <v>-</v>
      </c>
      <c r="N591" s="15">
        <f t="shared" si="2"/>
        <v>0</v>
      </c>
      <c r="O591" s="16"/>
    </row>
    <row r="592" spans="1:15" ht="15.75" customHeight="1">
      <c r="A592" s="18"/>
      <c r="B592" s="7"/>
      <c r="C592" s="8" t="str">
        <f>IFERROR(VLOOKUP($B592,'(勿動)組件目錄表'!$D$15:$R$1094,2,FALSE),"-")</f>
        <v>-</v>
      </c>
      <c r="D592" s="8" t="str">
        <f>IFERROR(VLOOKUP($B592,'(勿動)組件目錄表'!$D$15:$R$1094,3,FALSE),"-")</f>
        <v>-</v>
      </c>
      <c r="E592" s="9" t="str">
        <f>IFERROR(VLOOKUP($B592,'(勿動)組件目錄表'!$D$15:$R$1094,4,FALSE),"-")</f>
        <v>-</v>
      </c>
      <c r="F592" s="10" t="str">
        <f>IFERROR(VLOOKUP($B592,'(勿動)組件目錄表'!$D$15:$R$1094,5,FALSE),"-")</f>
        <v>-</v>
      </c>
      <c r="G592" s="11" t="str">
        <f>IFERROR(VLOOKUP($B592,'(勿動)組件目錄表'!$D$15:$R$1094,8,FALSE),"-")</f>
        <v>-</v>
      </c>
      <c r="H592" s="11" t="str">
        <f>IFERROR(VLOOKUP($B592,'(勿動)組件目錄表'!$D$15:$R$1094,9,FALSE),"-")</f>
        <v>-</v>
      </c>
      <c r="I592" s="11" t="str">
        <f>IFERROR(VLOOKUP($B592,'(勿動)組件目錄表'!$D$15:$R$1094,10,FALSE),"-")</f>
        <v>-</v>
      </c>
      <c r="J592" s="11" t="str">
        <f>IFERROR(VLOOKUP($B592,'(勿動)組件目錄表'!$D$15:$R$1094,11,FALSE),"-")</f>
        <v>-</v>
      </c>
      <c r="K592" s="11" t="str">
        <f>IFERROR(VLOOKUP($B592,'(勿動)組件目錄表'!$D$15:$R$1094,12,FALSE),"-")</f>
        <v>-</v>
      </c>
      <c r="L592" s="11" t="str">
        <f>IFERROR(VLOOKUP($B592,'(勿動)組件目錄表'!$D$15:$R$1094,13,FALSE),"-")</f>
        <v>-</v>
      </c>
      <c r="M592" s="11" t="str">
        <f>IFERROR(VLOOKUP($B592,'(勿動)組件目錄表'!$D$15:$R$1094,14,FALSE),"-")</f>
        <v>-</v>
      </c>
      <c r="N592" s="15">
        <f t="shared" si="2"/>
        <v>0</v>
      </c>
      <c r="O592" s="16"/>
    </row>
    <row r="593" spans="1:15" ht="15.75" customHeight="1">
      <c r="A593" s="18"/>
      <c r="B593" s="7"/>
      <c r="C593" s="8" t="str">
        <f>IFERROR(VLOOKUP($B593,'(勿動)組件目錄表'!$D$15:$R$1094,2,FALSE),"-")</f>
        <v>-</v>
      </c>
      <c r="D593" s="8" t="str">
        <f>IFERROR(VLOOKUP($B593,'(勿動)組件目錄表'!$D$15:$R$1094,3,FALSE),"-")</f>
        <v>-</v>
      </c>
      <c r="E593" s="9" t="str">
        <f>IFERROR(VLOOKUP($B593,'(勿動)組件目錄表'!$D$15:$R$1094,4,FALSE),"-")</f>
        <v>-</v>
      </c>
      <c r="F593" s="10" t="str">
        <f>IFERROR(VLOOKUP($B593,'(勿動)組件目錄表'!$D$15:$R$1094,5,FALSE),"-")</f>
        <v>-</v>
      </c>
      <c r="G593" s="11" t="str">
        <f>IFERROR(VLOOKUP($B593,'(勿動)組件目錄表'!$D$15:$R$1094,8,FALSE),"-")</f>
        <v>-</v>
      </c>
      <c r="H593" s="11" t="str">
        <f>IFERROR(VLOOKUP($B593,'(勿動)組件目錄表'!$D$15:$R$1094,9,FALSE),"-")</f>
        <v>-</v>
      </c>
      <c r="I593" s="11" t="str">
        <f>IFERROR(VLOOKUP($B593,'(勿動)組件目錄表'!$D$15:$R$1094,10,FALSE),"-")</f>
        <v>-</v>
      </c>
      <c r="J593" s="11" t="str">
        <f>IFERROR(VLOOKUP($B593,'(勿動)組件目錄表'!$D$15:$R$1094,11,FALSE),"-")</f>
        <v>-</v>
      </c>
      <c r="K593" s="11" t="str">
        <f>IFERROR(VLOOKUP($B593,'(勿動)組件目錄表'!$D$15:$R$1094,12,FALSE),"-")</f>
        <v>-</v>
      </c>
      <c r="L593" s="11" t="str">
        <f>IFERROR(VLOOKUP($B593,'(勿動)組件目錄表'!$D$15:$R$1094,13,FALSE),"-")</f>
        <v>-</v>
      </c>
      <c r="M593" s="11" t="str">
        <f>IFERROR(VLOOKUP($B593,'(勿動)組件目錄表'!$D$15:$R$1094,14,FALSE),"-")</f>
        <v>-</v>
      </c>
      <c r="N593" s="15">
        <f t="shared" si="2"/>
        <v>0</v>
      </c>
      <c r="O593" s="16"/>
    </row>
    <row r="594" spans="1:15" ht="15.75" customHeight="1">
      <c r="A594" s="18"/>
      <c r="B594" s="7"/>
      <c r="C594" s="8" t="str">
        <f>IFERROR(VLOOKUP($B594,'(勿動)組件目錄表'!$D$15:$R$1094,2,FALSE),"-")</f>
        <v>-</v>
      </c>
      <c r="D594" s="8" t="str">
        <f>IFERROR(VLOOKUP($B594,'(勿動)組件目錄表'!$D$15:$R$1094,3,FALSE),"-")</f>
        <v>-</v>
      </c>
      <c r="E594" s="9" t="str">
        <f>IFERROR(VLOOKUP($B594,'(勿動)組件目錄表'!$D$15:$R$1094,4,FALSE),"-")</f>
        <v>-</v>
      </c>
      <c r="F594" s="10" t="str">
        <f>IFERROR(VLOOKUP($B594,'(勿動)組件目錄表'!$D$15:$R$1094,5,FALSE),"-")</f>
        <v>-</v>
      </c>
      <c r="G594" s="11" t="str">
        <f>IFERROR(VLOOKUP($B594,'(勿動)組件目錄表'!$D$15:$R$1094,8,FALSE),"-")</f>
        <v>-</v>
      </c>
      <c r="H594" s="11" t="str">
        <f>IFERROR(VLOOKUP($B594,'(勿動)組件目錄表'!$D$15:$R$1094,9,FALSE),"-")</f>
        <v>-</v>
      </c>
      <c r="I594" s="11" t="str">
        <f>IFERROR(VLOOKUP($B594,'(勿動)組件目錄表'!$D$15:$R$1094,10,FALSE),"-")</f>
        <v>-</v>
      </c>
      <c r="J594" s="11" t="str">
        <f>IFERROR(VLOOKUP($B594,'(勿動)組件目錄表'!$D$15:$R$1094,11,FALSE),"-")</f>
        <v>-</v>
      </c>
      <c r="K594" s="11" t="str">
        <f>IFERROR(VLOOKUP($B594,'(勿動)組件目錄表'!$D$15:$R$1094,12,FALSE),"-")</f>
        <v>-</v>
      </c>
      <c r="L594" s="11" t="str">
        <f>IFERROR(VLOOKUP($B594,'(勿動)組件目錄表'!$D$15:$R$1094,13,FALSE),"-")</f>
        <v>-</v>
      </c>
      <c r="M594" s="11" t="str">
        <f>IFERROR(VLOOKUP($B594,'(勿動)組件目錄表'!$D$15:$R$1094,14,FALSE),"-")</f>
        <v>-</v>
      </c>
      <c r="N594" s="15">
        <f t="shared" si="2"/>
        <v>0</v>
      </c>
      <c r="O594" s="16"/>
    </row>
    <row r="595" spans="1:15" ht="15.75" customHeight="1">
      <c r="A595" s="18"/>
      <c r="B595" s="7"/>
      <c r="C595" s="8" t="str">
        <f>IFERROR(VLOOKUP($B595,'(勿動)組件目錄表'!$D$15:$R$1094,2,FALSE),"-")</f>
        <v>-</v>
      </c>
      <c r="D595" s="8" t="str">
        <f>IFERROR(VLOOKUP($B595,'(勿動)組件目錄表'!$D$15:$R$1094,3,FALSE),"-")</f>
        <v>-</v>
      </c>
      <c r="E595" s="9" t="str">
        <f>IFERROR(VLOOKUP($B595,'(勿動)組件目錄表'!$D$15:$R$1094,4,FALSE),"-")</f>
        <v>-</v>
      </c>
      <c r="F595" s="10" t="str">
        <f>IFERROR(VLOOKUP($B595,'(勿動)組件目錄表'!$D$15:$R$1094,5,FALSE),"-")</f>
        <v>-</v>
      </c>
      <c r="G595" s="11" t="str">
        <f>IFERROR(VLOOKUP($B595,'(勿動)組件目錄表'!$D$15:$R$1094,8,FALSE),"-")</f>
        <v>-</v>
      </c>
      <c r="H595" s="11" t="str">
        <f>IFERROR(VLOOKUP($B595,'(勿動)組件目錄表'!$D$15:$R$1094,9,FALSE),"-")</f>
        <v>-</v>
      </c>
      <c r="I595" s="11" t="str">
        <f>IFERROR(VLOOKUP($B595,'(勿動)組件目錄表'!$D$15:$R$1094,10,FALSE),"-")</f>
        <v>-</v>
      </c>
      <c r="J595" s="11" t="str">
        <f>IFERROR(VLOOKUP($B595,'(勿動)組件目錄表'!$D$15:$R$1094,11,FALSE),"-")</f>
        <v>-</v>
      </c>
      <c r="K595" s="11" t="str">
        <f>IFERROR(VLOOKUP($B595,'(勿動)組件目錄表'!$D$15:$R$1094,12,FALSE),"-")</f>
        <v>-</v>
      </c>
      <c r="L595" s="11" t="str">
        <f>IFERROR(VLOOKUP($B595,'(勿動)組件目錄表'!$D$15:$R$1094,13,FALSE),"-")</f>
        <v>-</v>
      </c>
      <c r="M595" s="11" t="str">
        <f>IFERROR(VLOOKUP($B595,'(勿動)組件目錄表'!$D$15:$R$1094,14,FALSE),"-")</f>
        <v>-</v>
      </c>
      <c r="N595" s="15">
        <f t="shared" si="2"/>
        <v>0</v>
      </c>
      <c r="O595" s="16"/>
    </row>
    <row r="596" spans="1:15" ht="15.75" customHeight="1">
      <c r="A596" s="18"/>
      <c r="B596" s="7"/>
      <c r="C596" s="8" t="str">
        <f>IFERROR(VLOOKUP($B596,'(勿動)組件目錄表'!$D$15:$R$1094,2,FALSE),"-")</f>
        <v>-</v>
      </c>
      <c r="D596" s="8" t="str">
        <f>IFERROR(VLOOKUP($B596,'(勿動)組件目錄表'!$D$15:$R$1094,3,FALSE),"-")</f>
        <v>-</v>
      </c>
      <c r="E596" s="9" t="str">
        <f>IFERROR(VLOOKUP($B596,'(勿動)組件目錄表'!$D$15:$R$1094,4,FALSE),"-")</f>
        <v>-</v>
      </c>
      <c r="F596" s="10" t="str">
        <f>IFERROR(VLOOKUP($B596,'(勿動)組件目錄表'!$D$15:$R$1094,5,FALSE),"-")</f>
        <v>-</v>
      </c>
      <c r="G596" s="11" t="str">
        <f>IFERROR(VLOOKUP($B596,'(勿動)組件目錄表'!$D$15:$R$1094,8,FALSE),"-")</f>
        <v>-</v>
      </c>
      <c r="H596" s="11" t="str">
        <f>IFERROR(VLOOKUP($B596,'(勿動)組件目錄表'!$D$15:$R$1094,9,FALSE),"-")</f>
        <v>-</v>
      </c>
      <c r="I596" s="11" t="str">
        <f>IFERROR(VLOOKUP($B596,'(勿動)組件目錄表'!$D$15:$R$1094,10,FALSE),"-")</f>
        <v>-</v>
      </c>
      <c r="J596" s="11" t="str">
        <f>IFERROR(VLOOKUP($B596,'(勿動)組件目錄表'!$D$15:$R$1094,11,FALSE),"-")</f>
        <v>-</v>
      </c>
      <c r="K596" s="11" t="str">
        <f>IFERROR(VLOOKUP($B596,'(勿動)組件目錄表'!$D$15:$R$1094,12,FALSE),"-")</f>
        <v>-</v>
      </c>
      <c r="L596" s="11" t="str">
        <f>IFERROR(VLOOKUP($B596,'(勿動)組件目錄表'!$D$15:$R$1094,13,FALSE),"-")</f>
        <v>-</v>
      </c>
      <c r="M596" s="11" t="str">
        <f>IFERROR(VLOOKUP($B596,'(勿動)組件目錄表'!$D$15:$R$1094,14,FALSE),"-")</f>
        <v>-</v>
      </c>
      <c r="N596" s="15">
        <f t="shared" si="2"/>
        <v>0</v>
      </c>
      <c r="O596" s="16"/>
    </row>
    <row r="597" spans="1:15" ht="15.75" customHeight="1">
      <c r="A597" s="18"/>
      <c r="B597" s="7"/>
      <c r="C597" s="8" t="str">
        <f>IFERROR(VLOOKUP($B597,'(勿動)組件目錄表'!$D$15:$R$1094,2,FALSE),"-")</f>
        <v>-</v>
      </c>
      <c r="D597" s="8" t="str">
        <f>IFERROR(VLOOKUP($B597,'(勿動)組件目錄表'!$D$15:$R$1094,3,FALSE),"-")</f>
        <v>-</v>
      </c>
      <c r="E597" s="9" t="str">
        <f>IFERROR(VLOOKUP($B597,'(勿動)組件目錄表'!$D$15:$R$1094,4,FALSE),"-")</f>
        <v>-</v>
      </c>
      <c r="F597" s="10" t="str">
        <f>IFERROR(VLOOKUP($B597,'(勿動)組件目錄表'!$D$15:$R$1094,5,FALSE),"-")</f>
        <v>-</v>
      </c>
      <c r="G597" s="11" t="str">
        <f>IFERROR(VLOOKUP($B597,'(勿動)組件目錄表'!$D$15:$R$1094,8,FALSE),"-")</f>
        <v>-</v>
      </c>
      <c r="H597" s="11" t="str">
        <f>IFERROR(VLOOKUP($B597,'(勿動)組件目錄表'!$D$15:$R$1094,9,FALSE),"-")</f>
        <v>-</v>
      </c>
      <c r="I597" s="11" t="str">
        <f>IFERROR(VLOOKUP($B597,'(勿動)組件目錄表'!$D$15:$R$1094,10,FALSE),"-")</f>
        <v>-</v>
      </c>
      <c r="J597" s="11" t="str">
        <f>IFERROR(VLOOKUP($B597,'(勿動)組件目錄表'!$D$15:$R$1094,11,FALSE),"-")</f>
        <v>-</v>
      </c>
      <c r="K597" s="11" t="str">
        <f>IFERROR(VLOOKUP($B597,'(勿動)組件目錄表'!$D$15:$R$1094,12,FALSE),"-")</f>
        <v>-</v>
      </c>
      <c r="L597" s="11" t="str">
        <f>IFERROR(VLOOKUP($B597,'(勿動)組件目錄表'!$D$15:$R$1094,13,FALSE),"-")</f>
        <v>-</v>
      </c>
      <c r="M597" s="11" t="str">
        <f>IFERROR(VLOOKUP($B597,'(勿動)組件目錄表'!$D$15:$R$1094,14,FALSE),"-")</f>
        <v>-</v>
      </c>
      <c r="N597" s="15">
        <f t="shared" si="2"/>
        <v>0</v>
      </c>
      <c r="O597" s="16"/>
    </row>
    <row r="598" spans="1:15" ht="15.75" customHeight="1">
      <c r="A598" s="18"/>
      <c r="B598" s="7"/>
      <c r="C598" s="8" t="str">
        <f>IFERROR(VLOOKUP($B598,'(勿動)組件目錄表'!$D$15:$R$1094,2,FALSE),"-")</f>
        <v>-</v>
      </c>
      <c r="D598" s="8" t="str">
        <f>IFERROR(VLOOKUP($B598,'(勿動)組件目錄表'!$D$15:$R$1094,3,FALSE),"-")</f>
        <v>-</v>
      </c>
      <c r="E598" s="9" t="str">
        <f>IFERROR(VLOOKUP($B598,'(勿動)組件目錄表'!$D$15:$R$1094,4,FALSE),"-")</f>
        <v>-</v>
      </c>
      <c r="F598" s="10" t="str">
        <f>IFERROR(VLOOKUP($B598,'(勿動)組件目錄表'!$D$15:$R$1094,5,FALSE),"-")</f>
        <v>-</v>
      </c>
      <c r="G598" s="11" t="str">
        <f>IFERROR(VLOOKUP($B598,'(勿動)組件目錄表'!$D$15:$R$1094,8,FALSE),"-")</f>
        <v>-</v>
      </c>
      <c r="H598" s="11" t="str">
        <f>IFERROR(VLOOKUP($B598,'(勿動)組件目錄表'!$D$15:$R$1094,9,FALSE),"-")</f>
        <v>-</v>
      </c>
      <c r="I598" s="11" t="str">
        <f>IFERROR(VLOOKUP($B598,'(勿動)組件目錄表'!$D$15:$R$1094,10,FALSE),"-")</f>
        <v>-</v>
      </c>
      <c r="J598" s="11" t="str">
        <f>IFERROR(VLOOKUP($B598,'(勿動)組件目錄表'!$D$15:$R$1094,11,FALSE),"-")</f>
        <v>-</v>
      </c>
      <c r="K598" s="11" t="str">
        <f>IFERROR(VLOOKUP($B598,'(勿動)組件目錄表'!$D$15:$R$1094,12,FALSE),"-")</f>
        <v>-</v>
      </c>
      <c r="L598" s="11" t="str">
        <f>IFERROR(VLOOKUP($B598,'(勿動)組件目錄表'!$D$15:$R$1094,13,FALSE),"-")</f>
        <v>-</v>
      </c>
      <c r="M598" s="11" t="str">
        <f>IFERROR(VLOOKUP($B598,'(勿動)組件目錄表'!$D$15:$R$1094,14,FALSE),"-")</f>
        <v>-</v>
      </c>
      <c r="N598" s="15">
        <f t="shared" si="2"/>
        <v>0</v>
      </c>
      <c r="O598" s="16"/>
    </row>
    <row r="599" spans="1:15" ht="15.75" customHeight="1">
      <c r="A599" s="18"/>
      <c r="B599" s="7"/>
      <c r="C599" s="8" t="str">
        <f>IFERROR(VLOOKUP($B599,'(勿動)組件目錄表'!$D$15:$R$1094,2,FALSE),"-")</f>
        <v>-</v>
      </c>
      <c r="D599" s="8" t="str">
        <f>IFERROR(VLOOKUP($B599,'(勿動)組件目錄表'!$D$15:$R$1094,3,FALSE),"-")</f>
        <v>-</v>
      </c>
      <c r="E599" s="9" t="str">
        <f>IFERROR(VLOOKUP($B599,'(勿動)組件目錄表'!$D$15:$R$1094,4,FALSE),"-")</f>
        <v>-</v>
      </c>
      <c r="F599" s="10" t="str">
        <f>IFERROR(VLOOKUP($B599,'(勿動)組件目錄表'!$D$15:$R$1094,5,FALSE),"-")</f>
        <v>-</v>
      </c>
      <c r="G599" s="11" t="str">
        <f>IFERROR(VLOOKUP($B599,'(勿動)組件目錄表'!$D$15:$R$1094,8,FALSE),"-")</f>
        <v>-</v>
      </c>
      <c r="H599" s="11" t="str">
        <f>IFERROR(VLOOKUP($B599,'(勿動)組件目錄表'!$D$15:$R$1094,9,FALSE),"-")</f>
        <v>-</v>
      </c>
      <c r="I599" s="11" t="str">
        <f>IFERROR(VLOOKUP($B599,'(勿動)組件目錄表'!$D$15:$R$1094,10,FALSE),"-")</f>
        <v>-</v>
      </c>
      <c r="J599" s="11" t="str">
        <f>IFERROR(VLOOKUP($B599,'(勿動)組件目錄表'!$D$15:$R$1094,11,FALSE),"-")</f>
        <v>-</v>
      </c>
      <c r="K599" s="11" t="str">
        <f>IFERROR(VLOOKUP($B599,'(勿動)組件目錄表'!$D$15:$R$1094,12,FALSE),"-")</f>
        <v>-</v>
      </c>
      <c r="L599" s="11" t="str">
        <f>IFERROR(VLOOKUP($B599,'(勿動)組件目錄表'!$D$15:$R$1094,13,FALSE),"-")</f>
        <v>-</v>
      </c>
      <c r="M599" s="11" t="str">
        <f>IFERROR(VLOOKUP($B599,'(勿動)組件目錄表'!$D$15:$R$1094,14,FALSE),"-")</f>
        <v>-</v>
      </c>
      <c r="N599" s="15">
        <f t="shared" si="2"/>
        <v>0</v>
      </c>
      <c r="O599" s="16"/>
    </row>
    <row r="600" spans="1:15" ht="15.75" customHeight="1">
      <c r="A600" s="18"/>
      <c r="B600" s="7"/>
      <c r="C600" s="8" t="str">
        <f>IFERROR(VLOOKUP($B600,'(勿動)組件目錄表'!$D$15:$R$1094,2,FALSE),"-")</f>
        <v>-</v>
      </c>
      <c r="D600" s="8" t="str">
        <f>IFERROR(VLOOKUP($B600,'(勿動)組件目錄表'!$D$15:$R$1094,3,FALSE),"-")</f>
        <v>-</v>
      </c>
      <c r="E600" s="9" t="str">
        <f>IFERROR(VLOOKUP($B600,'(勿動)組件目錄表'!$D$15:$R$1094,4,FALSE),"-")</f>
        <v>-</v>
      </c>
      <c r="F600" s="10" t="str">
        <f>IFERROR(VLOOKUP($B600,'(勿動)組件目錄表'!$D$15:$R$1094,5,FALSE),"-")</f>
        <v>-</v>
      </c>
      <c r="G600" s="11" t="str">
        <f>IFERROR(VLOOKUP($B600,'(勿動)組件目錄表'!$D$15:$R$1094,8,FALSE),"-")</f>
        <v>-</v>
      </c>
      <c r="H600" s="11" t="str">
        <f>IFERROR(VLOOKUP($B600,'(勿動)組件目錄表'!$D$15:$R$1094,9,FALSE),"-")</f>
        <v>-</v>
      </c>
      <c r="I600" s="11" t="str">
        <f>IFERROR(VLOOKUP($B600,'(勿動)組件目錄表'!$D$15:$R$1094,10,FALSE),"-")</f>
        <v>-</v>
      </c>
      <c r="J600" s="11" t="str">
        <f>IFERROR(VLOOKUP($B600,'(勿動)組件目錄表'!$D$15:$R$1094,11,FALSE),"-")</f>
        <v>-</v>
      </c>
      <c r="K600" s="11" t="str">
        <f>IFERROR(VLOOKUP($B600,'(勿動)組件目錄表'!$D$15:$R$1094,12,FALSE),"-")</f>
        <v>-</v>
      </c>
      <c r="L600" s="11" t="str">
        <f>IFERROR(VLOOKUP($B600,'(勿動)組件目錄表'!$D$15:$R$1094,13,FALSE),"-")</f>
        <v>-</v>
      </c>
      <c r="M600" s="11" t="str">
        <f>IFERROR(VLOOKUP($B600,'(勿動)組件目錄表'!$D$15:$R$1094,14,FALSE),"-")</f>
        <v>-</v>
      </c>
      <c r="N600" s="15">
        <f t="shared" si="2"/>
        <v>0</v>
      </c>
      <c r="O600" s="16"/>
    </row>
    <row r="601" spans="1:15" ht="15.75" customHeight="1">
      <c r="A601" s="18"/>
      <c r="B601" s="7"/>
      <c r="C601" s="8" t="str">
        <f>IFERROR(VLOOKUP($B601,'(勿動)組件目錄表'!$D$15:$R$1094,2,FALSE),"-")</f>
        <v>-</v>
      </c>
      <c r="D601" s="8" t="str">
        <f>IFERROR(VLOOKUP($B601,'(勿動)組件目錄表'!$D$15:$R$1094,3,FALSE),"-")</f>
        <v>-</v>
      </c>
      <c r="E601" s="9" t="str">
        <f>IFERROR(VLOOKUP($B601,'(勿動)組件目錄表'!$D$15:$R$1094,4,FALSE),"-")</f>
        <v>-</v>
      </c>
      <c r="F601" s="10" t="str">
        <f>IFERROR(VLOOKUP($B601,'(勿動)組件目錄表'!$D$15:$R$1094,5,FALSE),"-")</f>
        <v>-</v>
      </c>
      <c r="G601" s="11" t="str">
        <f>IFERROR(VLOOKUP($B601,'(勿動)組件目錄表'!$D$15:$R$1094,8,FALSE),"-")</f>
        <v>-</v>
      </c>
      <c r="H601" s="11" t="str">
        <f>IFERROR(VLOOKUP($B601,'(勿動)組件目錄表'!$D$15:$R$1094,9,FALSE),"-")</f>
        <v>-</v>
      </c>
      <c r="I601" s="11" t="str">
        <f>IFERROR(VLOOKUP($B601,'(勿動)組件目錄表'!$D$15:$R$1094,10,FALSE),"-")</f>
        <v>-</v>
      </c>
      <c r="J601" s="11" t="str">
        <f>IFERROR(VLOOKUP($B601,'(勿動)組件目錄表'!$D$15:$R$1094,11,FALSE),"-")</f>
        <v>-</v>
      </c>
      <c r="K601" s="11" t="str">
        <f>IFERROR(VLOOKUP($B601,'(勿動)組件目錄表'!$D$15:$R$1094,12,FALSE),"-")</f>
        <v>-</v>
      </c>
      <c r="L601" s="11" t="str">
        <f>IFERROR(VLOOKUP($B601,'(勿動)組件目錄表'!$D$15:$R$1094,13,FALSE),"-")</f>
        <v>-</v>
      </c>
      <c r="M601" s="11" t="str">
        <f>IFERROR(VLOOKUP($B601,'(勿動)組件目錄表'!$D$15:$R$1094,14,FALSE),"-")</f>
        <v>-</v>
      </c>
      <c r="N601" s="15">
        <f t="shared" si="2"/>
        <v>0</v>
      </c>
      <c r="O601" s="16"/>
    </row>
    <row r="602" spans="1:15" ht="15.75" customHeight="1">
      <c r="A602" s="18"/>
      <c r="B602" s="7"/>
      <c r="C602" s="8" t="str">
        <f>IFERROR(VLOOKUP($B602,'(勿動)組件目錄表'!$D$15:$R$1094,2,FALSE),"-")</f>
        <v>-</v>
      </c>
      <c r="D602" s="8" t="str">
        <f>IFERROR(VLOOKUP($B602,'(勿動)組件目錄表'!$D$15:$R$1094,3,FALSE),"-")</f>
        <v>-</v>
      </c>
      <c r="E602" s="9" t="str">
        <f>IFERROR(VLOOKUP($B602,'(勿動)組件目錄表'!$D$15:$R$1094,4,FALSE),"-")</f>
        <v>-</v>
      </c>
      <c r="F602" s="10" t="str">
        <f>IFERROR(VLOOKUP($B602,'(勿動)組件目錄表'!$D$15:$R$1094,5,FALSE),"-")</f>
        <v>-</v>
      </c>
      <c r="G602" s="11" t="str">
        <f>IFERROR(VLOOKUP($B602,'(勿動)組件目錄表'!$D$15:$R$1094,8,FALSE),"-")</f>
        <v>-</v>
      </c>
      <c r="H602" s="11" t="str">
        <f>IFERROR(VLOOKUP($B602,'(勿動)組件目錄表'!$D$15:$R$1094,9,FALSE),"-")</f>
        <v>-</v>
      </c>
      <c r="I602" s="11" t="str">
        <f>IFERROR(VLOOKUP($B602,'(勿動)組件目錄表'!$D$15:$R$1094,10,FALSE),"-")</f>
        <v>-</v>
      </c>
      <c r="J602" s="11" t="str">
        <f>IFERROR(VLOOKUP($B602,'(勿動)組件目錄表'!$D$15:$R$1094,11,FALSE),"-")</f>
        <v>-</v>
      </c>
      <c r="K602" s="11" t="str">
        <f>IFERROR(VLOOKUP($B602,'(勿動)組件目錄表'!$D$15:$R$1094,12,FALSE),"-")</f>
        <v>-</v>
      </c>
      <c r="L602" s="11" t="str">
        <f>IFERROR(VLOOKUP($B602,'(勿動)組件目錄表'!$D$15:$R$1094,13,FALSE),"-")</f>
        <v>-</v>
      </c>
      <c r="M602" s="11" t="str">
        <f>IFERROR(VLOOKUP($B602,'(勿動)組件目錄表'!$D$15:$R$1094,14,FALSE),"-")</f>
        <v>-</v>
      </c>
      <c r="N602" s="15">
        <f t="shared" si="2"/>
        <v>0</v>
      </c>
      <c r="O602" s="16"/>
    </row>
    <row r="603" spans="1:15" ht="15.75" customHeight="1">
      <c r="A603" s="18"/>
      <c r="B603" s="7"/>
      <c r="C603" s="8" t="str">
        <f>IFERROR(VLOOKUP($B603,'(勿動)組件目錄表'!$D$15:$R$1094,2,FALSE),"-")</f>
        <v>-</v>
      </c>
      <c r="D603" s="8" t="str">
        <f>IFERROR(VLOOKUP($B603,'(勿動)組件目錄表'!$D$15:$R$1094,3,FALSE),"-")</f>
        <v>-</v>
      </c>
      <c r="E603" s="9" t="str">
        <f>IFERROR(VLOOKUP($B603,'(勿動)組件目錄表'!$D$15:$R$1094,4,FALSE),"-")</f>
        <v>-</v>
      </c>
      <c r="F603" s="10" t="str">
        <f>IFERROR(VLOOKUP($B603,'(勿動)組件目錄表'!$D$15:$R$1094,5,FALSE),"-")</f>
        <v>-</v>
      </c>
      <c r="G603" s="11" t="str">
        <f>IFERROR(VLOOKUP($B603,'(勿動)組件目錄表'!$D$15:$R$1094,8,FALSE),"-")</f>
        <v>-</v>
      </c>
      <c r="H603" s="11" t="str">
        <f>IFERROR(VLOOKUP($B603,'(勿動)組件目錄表'!$D$15:$R$1094,9,FALSE),"-")</f>
        <v>-</v>
      </c>
      <c r="I603" s="11" t="str">
        <f>IFERROR(VLOOKUP($B603,'(勿動)組件目錄表'!$D$15:$R$1094,10,FALSE),"-")</f>
        <v>-</v>
      </c>
      <c r="J603" s="11" t="str">
        <f>IFERROR(VLOOKUP($B603,'(勿動)組件目錄表'!$D$15:$R$1094,11,FALSE),"-")</f>
        <v>-</v>
      </c>
      <c r="K603" s="11" t="str">
        <f>IFERROR(VLOOKUP($B603,'(勿動)組件目錄表'!$D$15:$R$1094,12,FALSE),"-")</f>
        <v>-</v>
      </c>
      <c r="L603" s="11" t="str">
        <f>IFERROR(VLOOKUP($B603,'(勿動)組件目錄表'!$D$15:$R$1094,13,FALSE),"-")</f>
        <v>-</v>
      </c>
      <c r="M603" s="11" t="str">
        <f>IFERROR(VLOOKUP($B603,'(勿動)組件目錄表'!$D$15:$R$1094,14,FALSE),"-")</f>
        <v>-</v>
      </c>
      <c r="N603" s="15">
        <f t="shared" si="2"/>
        <v>0</v>
      </c>
      <c r="O603" s="16"/>
    </row>
    <row r="604" spans="1:15" ht="15.75" customHeight="1">
      <c r="A604" s="18"/>
      <c r="B604" s="7"/>
      <c r="C604" s="8" t="str">
        <f>IFERROR(VLOOKUP($B604,'(勿動)組件目錄表'!$D$15:$R$1094,2,FALSE),"-")</f>
        <v>-</v>
      </c>
      <c r="D604" s="8" t="str">
        <f>IFERROR(VLOOKUP($B604,'(勿動)組件目錄表'!$D$15:$R$1094,3,FALSE),"-")</f>
        <v>-</v>
      </c>
      <c r="E604" s="9" t="str">
        <f>IFERROR(VLOOKUP($B604,'(勿動)組件目錄表'!$D$15:$R$1094,4,FALSE),"-")</f>
        <v>-</v>
      </c>
      <c r="F604" s="10" t="str">
        <f>IFERROR(VLOOKUP($B604,'(勿動)組件目錄表'!$D$15:$R$1094,5,FALSE),"-")</f>
        <v>-</v>
      </c>
      <c r="G604" s="11" t="str">
        <f>IFERROR(VLOOKUP($B604,'(勿動)組件目錄表'!$D$15:$R$1094,8,FALSE),"-")</f>
        <v>-</v>
      </c>
      <c r="H604" s="11" t="str">
        <f>IFERROR(VLOOKUP($B604,'(勿動)組件目錄表'!$D$15:$R$1094,9,FALSE),"-")</f>
        <v>-</v>
      </c>
      <c r="I604" s="11" t="str">
        <f>IFERROR(VLOOKUP($B604,'(勿動)組件目錄表'!$D$15:$R$1094,10,FALSE),"-")</f>
        <v>-</v>
      </c>
      <c r="J604" s="11" t="str">
        <f>IFERROR(VLOOKUP($B604,'(勿動)組件目錄表'!$D$15:$R$1094,11,FALSE),"-")</f>
        <v>-</v>
      </c>
      <c r="K604" s="11" t="str">
        <f>IFERROR(VLOOKUP($B604,'(勿動)組件目錄表'!$D$15:$R$1094,12,FALSE),"-")</f>
        <v>-</v>
      </c>
      <c r="L604" s="11" t="str">
        <f>IFERROR(VLOOKUP($B604,'(勿動)組件目錄表'!$D$15:$R$1094,13,FALSE),"-")</f>
        <v>-</v>
      </c>
      <c r="M604" s="11" t="str">
        <f>IFERROR(VLOOKUP($B604,'(勿動)組件目錄表'!$D$15:$R$1094,14,FALSE),"-")</f>
        <v>-</v>
      </c>
      <c r="N604" s="15">
        <f t="shared" si="2"/>
        <v>0</v>
      </c>
      <c r="O604" s="16"/>
    </row>
    <row r="605" spans="1:15" ht="15.75" customHeight="1">
      <c r="A605" s="18"/>
      <c r="B605" s="7"/>
      <c r="C605" s="8" t="str">
        <f>IFERROR(VLOOKUP($B605,'(勿動)組件目錄表'!$D$15:$R$1094,2,FALSE),"-")</f>
        <v>-</v>
      </c>
      <c r="D605" s="8" t="str">
        <f>IFERROR(VLOOKUP($B605,'(勿動)組件目錄表'!$D$15:$R$1094,3,FALSE),"-")</f>
        <v>-</v>
      </c>
      <c r="E605" s="9" t="str">
        <f>IFERROR(VLOOKUP($B605,'(勿動)組件目錄表'!$D$15:$R$1094,4,FALSE),"-")</f>
        <v>-</v>
      </c>
      <c r="F605" s="10" t="str">
        <f>IFERROR(VLOOKUP($B605,'(勿動)組件目錄表'!$D$15:$R$1094,5,FALSE),"-")</f>
        <v>-</v>
      </c>
      <c r="G605" s="11" t="str">
        <f>IFERROR(VLOOKUP($B605,'(勿動)組件目錄表'!$D$15:$R$1094,8,FALSE),"-")</f>
        <v>-</v>
      </c>
      <c r="H605" s="11" t="str">
        <f>IFERROR(VLOOKUP($B605,'(勿動)組件目錄表'!$D$15:$R$1094,9,FALSE),"-")</f>
        <v>-</v>
      </c>
      <c r="I605" s="11" t="str">
        <f>IFERROR(VLOOKUP($B605,'(勿動)組件目錄表'!$D$15:$R$1094,10,FALSE),"-")</f>
        <v>-</v>
      </c>
      <c r="J605" s="11" t="str">
        <f>IFERROR(VLOOKUP($B605,'(勿動)組件目錄表'!$D$15:$R$1094,11,FALSE),"-")</f>
        <v>-</v>
      </c>
      <c r="K605" s="11" t="str">
        <f>IFERROR(VLOOKUP($B605,'(勿動)組件目錄表'!$D$15:$R$1094,12,FALSE),"-")</f>
        <v>-</v>
      </c>
      <c r="L605" s="11" t="str">
        <f>IFERROR(VLOOKUP($B605,'(勿動)組件目錄表'!$D$15:$R$1094,13,FALSE),"-")</f>
        <v>-</v>
      </c>
      <c r="M605" s="11" t="str">
        <f>IFERROR(VLOOKUP($B605,'(勿動)組件目錄表'!$D$15:$R$1094,14,FALSE),"-")</f>
        <v>-</v>
      </c>
      <c r="N605" s="15">
        <f t="shared" si="2"/>
        <v>0</v>
      </c>
      <c r="O605" s="16"/>
    </row>
    <row r="606" spans="1:15" ht="15.75" customHeight="1">
      <c r="A606" s="18"/>
      <c r="B606" s="7"/>
      <c r="C606" s="8" t="str">
        <f>IFERROR(VLOOKUP($B606,'(勿動)組件目錄表'!$D$15:$R$1094,2,FALSE),"-")</f>
        <v>-</v>
      </c>
      <c r="D606" s="8" t="str">
        <f>IFERROR(VLOOKUP($B606,'(勿動)組件目錄表'!$D$15:$R$1094,3,FALSE),"-")</f>
        <v>-</v>
      </c>
      <c r="E606" s="9" t="str">
        <f>IFERROR(VLOOKUP($B606,'(勿動)組件目錄表'!$D$15:$R$1094,4,FALSE),"-")</f>
        <v>-</v>
      </c>
      <c r="F606" s="10" t="str">
        <f>IFERROR(VLOOKUP($B606,'(勿動)組件目錄表'!$D$15:$R$1094,5,FALSE),"-")</f>
        <v>-</v>
      </c>
      <c r="G606" s="11" t="str">
        <f>IFERROR(VLOOKUP($B606,'(勿動)組件目錄表'!$D$15:$R$1094,8,FALSE),"-")</f>
        <v>-</v>
      </c>
      <c r="H606" s="11" t="str">
        <f>IFERROR(VLOOKUP($B606,'(勿動)組件目錄表'!$D$15:$R$1094,9,FALSE),"-")</f>
        <v>-</v>
      </c>
      <c r="I606" s="11" t="str">
        <f>IFERROR(VLOOKUP($B606,'(勿動)組件目錄表'!$D$15:$R$1094,10,FALSE),"-")</f>
        <v>-</v>
      </c>
      <c r="J606" s="11" t="str">
        <f>IFERROR(VLOOKUP($B606,'(勿動)組件目錄表'!$D$15:$R$1094,11,FALSE),"-")</f>
        <v>-</v>
      </c>
      <c r="K606" s="11" t="str">
        <f>IFERROR(VLOOKUP($B606,'(勿動)組件目錄表'!$D$15:$R$1094,12,FALSE),"-")</f>
        <v>-</v>
      </c>
      <c r="L606" s="11" t="str">
        <f>IFERROR(VLOOKUP($B606,'(勿動)組件目錄表'!$D$15:$R$1094,13,FALSE),"-")</f>
        <v>-</v>
      </c>
      <c r="M606" s="11" t="str">
        <f>IFERROR(VLOOKUP($B606,'(勿動)組件目錄表'!$D$15:$R$1094,14,FALSE),"-")</f>
        <v>-</v>
      </c>
      <c r="N606" s="15">
        <f t="shared" si="2"/>
        <v>0</v>
      </c>
      <c r="O606" s="16"/>
    </row>
    <row r="607" spans="1:15" ht="15.75" customHeight="1">
      <c r="A607" s="18"/>
      <c r="B607" s="7"/>
      <c r="C607" s="8" t="str">
        <f>IFERROR(VLOOKUP($B607,'(勿動)組件目錄表'!$D$15:$R$1094,2,FALSE),"-")</f>
        <v>-</v>
      </c>
      <c r="D607" s="8" t="str">
        <f>IFERROR(VLOOKUP($B607,'(勿動)組件目錄表'!$D$15:$R$1094,3,FALSE),"-")</f>
        <v>-</v>
      </c>
      <c r="E607" s="9" t="str">
        <f>IFERROR(VLOOKUP($B607,'(勿動)組件目錄表'!$D$15:$R$1094,4,FALSE),"-")</f>
        <v>-</v>
      </c>
      <c r="F607" s="10" t="str">
        <f>IFERROR(VLOOKUP($B607,'(勿動)組件目錄表'!$D$15:$R$1094,5,FALSE),"-")</f>
        <v>-</v>
      </c>
      <c r="G607" s="11" t="str">
        <f>IFERROR(VLOOKUP($B607,'(勿動)組件目錄表'!$D$15:$R$1094,8,FALSE),"-")</f>
        <v>-</v>
      </c>
      <c r="H607" s="11" t="str">
        <f>IFERROR(VLOOKUP($B607,'(勿動)組件目錄表'!$D$15:$R$1094,9,FALSE),"-")</f>
        <v>-</v>
      </c>
      <c r="I607" s="11" t="str">
        <f>IFERROR(VLOOKUP($B607,'(勿動)組件目錄表'!$D$15:$R$1094,10,FALSE),"-")</f>
        <v>-</v>
      </c>
      <c r="J607" s="11" t="str">
        <f>IFERROR(VLOOKUP($B607,'(勿動)組件目錄表'!$D$15:$R$1094,11,FALSE),"-")</f>
        <v>-</v>
      </c>
      <c r="K607" s="11" t="str">
        <f>IFERROR(VLOOKUP($B607,'(勿動)組件目錄表'!$D$15:$R$1094,12,FALSE),"-")</f>
        <v>-</v>
      </c>
      <c r="L607" s="11" t="str">
        <f>IFERROR(VLOOKUP($B607,'(勿動)組件目錄表'!$D$15:$R$1094,13,FALSE),"-")</f>
        <v>-</v>
      </c>
      <c r="M607" s="11" t="str">
        <f>IFERROR(VLOOKUP($B607,'(勿動)組件目錄表'!$D$15:$R$1094,14,FALSE),"-")</f>
        <v>-</v>
      </c>
      <c r="N607" s="15">
        <f t="shared" si="2"/>
        <v>0</v>
      </c>
      <c r="O607" s="16"/>
    </row>
    <row r="608" spans="1:15" ht="15.75" customHeight="1">
      <c r="A608" s="18"/>
      <c r="B608" s="7"/>
      <c r="C608" s="8" t="str">
        <f>IFERROR(VLOOKUP($B608,'(勿動)組件目錄表'!$D$15:$R$1094,2,FALSE),"-")</f>
        <v>-</v>
      </c>
      <c r="D608" s="8" t="str">
        <f>IFERROR(VLOOKUP($B608,'(勿動)組件目錄表'!$D$15:$R$1094,3,FALSE),"-")</f>
        <v>-</v>
      </c>
      <c r="E608" s="9" t="str">
        <f>IFERROR(VLOOKUP($B608,'(勿動)組件目錄表'!$D$15:$R$1094,4,FALSE),"-")</f>
        <v>-</v>
      </c>
      <c r="F608" s="10" t="str">
        <f>IFERROR(VLOOKUP($B608,'(勿動)組件目錄表'!$D$15:$R$1094,5,FALSE),"-")</f>
        <v>-</v>
      </c>
      <c r="G608" s="11" t="str">
        <f>IFERROR(VLOOKUP($B608,'(勿動)組件目錄表'!$D$15:$R$1094,8,FALSE),"-")</f>
        <v>-</v>
      </c>
      <c r="H608" s="11" t="str">
        <f>IFERROR(VLOOKUP($B608,'(勿動)組件目錄表'!$D$15:$R$1094,9,FALSE),"-")</f>
        <v>-</v>
      </c>
      <c r="I608" s="11" t="str">
        <f>IFERROR(VLOOKUP($B608,'(勿動)組件目錄表'!$D$15:$R$1094,10,FALSE),"-")</f>
        <v>-</v>
      </c>
      <c r="J608" s="11" t="str">
        <f>IFERROR(VLOOKUP($B608,'(勿動)組件目錄表'!$D$15:$R$1094,11,FALSE),"-")</f>
        <v>-</v>
      </c>
      <c r="K608" s="11" t="str">
        <f>IFERROR(VLOOKUP($B608,'(勿動)組件目錄表'!$D$15:$R$1094,12,FALSE),"-")</f>
        <v>-</v>
      </c>
      <c r="L608" s="11" t="str">
        <f>IFERROR(VLOOKUP($B608,'(勿動)組件目錄表'!$D$15:$R$1094,13,FALSE),"-")</f>
        <v>-</v>
      </c>
      <c r="M608" s="11" t="str">
        <f>IFERROR(VLOOKUP($B608,'(勿動)組件目錄表'!$D$15:$R$1094,14,FALSE),"-")</f>
        <v>-</v>
      </c>
      <c r="N608" s="15">
        <f t="shared" si="2"/>
        <v>0</v>
      </c>
      <c r="O608" s="16"/>
    </row>
    <row r="609" spans="1:15" ht="15.75" customHeight="1">
      <c r="A609" s="18"/>
      <c r="B609" s="7"/>
      <c r="C609" s="8" t="str">
        <f>IFERROR(VLOOKUP($B609,'(勿動)組件目錄表'!$D$15:$R$1094,2,FALSE),"-")</f>
        <v>-</v>
      </c>
      <c r="D609" s="8" t="str">
        <f>IFERROR(VLOOKUP($B609,'(勿動)組件目錄表'!$D$15:$R$1094,3,FALSE),"-")</f>
        <v>-</v>
      </c>
      <c r="E609" s="9" t="str">
        <f>IFERROR(VLOOKUP($B609,'(勿動)組件目錄表'!$D$15:$R$1094,4,FALSE),"-")</f>
        <v>-</v>
      </c>
      <c r="F609" s="10" t="str">
        <f>IFERROR(VLOOKUP($B609,'(勿動)組件目錄表'!$D$15:$R$1094,5,FALSE),"-")</f>
        <v>-</v>
      </c>
      <c r="G609" s="11" t="str">
        <f>IFERROR(VLOOKUP($B609,'(勿動)組件目錄表'!$D$15:$R$1094,8,FALSE),"-")</f>
        <v>-</v>
      </c>
      <c r="H609" s="11" t="str">
        <f>IFERROR(VLOOKUP($B609,'(勿動)組件目錄表'!$D$15:$R$1094,9,FALSE),"-")</f>
        <v>-</v>
      </c>
      <c r="I609" s="11" t="str">
        <f>IFERROR(VLOOKUP($B609,'(勿動)組件目錄表'!$D$15:$R$1094,10,FALSE),"-")</f>
        <v>-</v>
      </c>
      <c r="J609" s="11" t="str">
        <f>IFERROR(VLOOKUP($B609,'(勿動)組件目錄表'!$D$15:$R$1094,11,FALSE),"-")</f>
        <v>-</v>
      </c>
      <c r="K609" s="11" t="str">
        <f>IFERROR(VLOOKUP($B609,'(勿動)組件目錄表'!$D$15:$R$1094,12,FALSE),"-")</f>
        <v>-</v>
      </c>
      <c r="L609" s="11" t="str">
        <f>IFERROR(VLOOKUP($B609,'(勿動)組件目錄表'!$D$15:$R$1094,13,FALSE),"-")</f>
        <v>-</v>
      </c>
      <c r="M609" s="11" t="str">
        <f>IFERROR(VLOOKUP($B609,'(勿動)組件目錄表'!$D$15:$R$1094,14,FALSE),"-")</f>
        <v>-</v>
      </c>
      <c r="N609" s="15">
        <f t="shared" si="2"/>
        <v>0</v>
      </c>
      <c r="O609" s="16"/>
    </row>
    <row r="610" spans="1:15" ht="15.75" customHeight="1">
      <c r="A610" s="18"/>
      <c r="B610" s="7"/>
      <c r="C610" s="8" t="str">
        <f>IFERROR(VLOOKUP($B610,'(勿動)組件目錄表'!$D$15:$R$1094,2,FALSE),"-")</f>
        <v>-</v>
      </c>
      <c r="D610" s="8" t="str">
        <f>IFERROR(VLOOKUP($B610,'(勿動)組件目錄表'!$D$15:$R$1094,3,FALSE),"-")</f>
        <v>-</v>
      </c>
      <c r="E610" s="9" t="str">
        <f>IFERROR(VLOOKUP($B610,'(勿動)組件目錄表'!$D$15:$R$1094,4,FALSE),"-")</f>
        <v>-</v>
      </c>
      <c r="F610" s="10" t="str">
        <f>IFERROR(VLOOKUP($B610,'(勿動)組件目錄表'!$D$15:$R$1094,5,FALSE),"-")</f>
        <v>-</v>
      </c>
      <c r="G610" s="11" t="str">
        <f>IFERROR(VLOOKUP($B610,'(勿動)組件目錄表'!$D$15:$R$1094,8,FALSE),"-")</f>
        <v>-</v>
      </c>
      <c r="H610" s="11" t="str">
        <f>IFERROR(VLOOKUP($B610,'(勿動)組件目錄表'!$D$15:$R$1094,9,FALSE),"-")</f>
        <v>-</v>
      </c>
      <c r="I610" s="11" t="str">
        <f>IFERROR(VLOOKUP($B610,'(勿動)組件目錄表'!$D$15:$R$1094,10,FALSE),"-")</f>
        <v>-</v>
      </c>
      <c r="J610" s="11" t="str">
        <f>IFERROR(VLOOKUP($B610,'(勿動)組件目錄表'!$D$15:$R$1094,11,FALSE),"-")</f>
        <v>-</v>
      </c>
      <c r="K610" s="11" t="str">
        <f>IFERROR(VLOOKUP($B610,'(勿動)組件目錄表'!$D$15:$R$1094,12,FALSE),"-")</f>
        <v>-</v>
      </c>
      <c r="L610" s="11" t="str">
        <f>IFERROR(VLOOKUP($B610,'(勿動)組件目錄表'!$D$15:$R$1094,13,FALSE),"-")</f>
        <v>-</v>
      </c>
      <c r="M610" s="11" t="str">
        <f>IFERROR(VLOOKUP($B610,'(勿動)組件目錄表'!$D$15:$R$1094,14,FALSE),"-")</f>
        <v>-</v>
      </c>
      <c r="N610" s="15">
        <f t="shared" si="2"/>
        <v>0</v>
      </c>
      <c r="O610" s="16"/>
    </row>
    <row r="611" spans="1:15" ht="15.75" customHeight="1">
      <c r="A611" s="18"/>
      <c r="B611" s="7"/>
      <c r="C611" s="8" t="str">
        <f>IFERROR(VLOOKUP($B611,'(勿動)組件目錄表'!$D$15:$R$1094,2,FALSE),"-")</f>
        <v>-</v>
      </c>
      <c r="D611" s="8" t="str">
        <f>IFERROR(VLOOKUP($B611,'(勿動)組件目錄表'!$D$15:$R$1094,3,FALSE),"-")</f>
        <v>-</v>
      </c>
      <c r="E611" s="9" t="str">
        <f>IFERROR(VLOOKUP($B611,'(勿動)組件目錄表'!$D$15:$R$1094,4,FALSE),"-")</f>
        <v>-</v>
      </c>
      <c r="F611" s="10" t="str">
        <f>IFERROR(VLOOKUP($B611,'(勿動)組件目錄表'!$D$15:$R$1094,5,FALSE),"-")</f>
        <v>-</v>
      </c>
      <c r="G611" s="11" t="str">
        <f>IFERROR(VLOOKUP($B611,'(勿動)組件目錄表'!$D$15:$R$1094,8,FALSE),"-")</f>
        <v>-</v>
      </c>
      <c r="H611" s="11" t="str">
        <f>IFERROR(VLOOKUP($B611,'(勿動)組件目錄表'!$D$15:$R$1094,9,FALSE),"-")</f>
        <v>-</v>
      </c>
      <c r="I611" s="11" t="str">
        <f>IFERROR(VLOOKUP($B611,'(勿動)組件目錄表'!$D$15:$R$1094,10,FALSE),"-")</f>
        <v>-</v>
      </c>
      <c r="J611" s="11" t="str">
        <f>IFERROR(VLOOKUP($B611,'(勿動)組件目錄表'!$D$15:$R$1094,11,FALSE),"-")</f>
        <v>-</v>
      </c>
      <c r="K611" s="11" t="str">
        <f>IFERROR(VLOOKUP($B611,'(勿動)組件目錄表'!$D$15:$R$1094,12,FALSE),"-")</f>
        <v>-</v>
      </c>
      <c r="L611" s="11" t="str">
        <f>IFERROR(VLOOKUP($B611,'(勿動)組件目錄表'!$D$15:$R$1094,13,FALSE),"-")</f>
        <v>-</v>
      </c>
      <c r="M611" s="11" t="str">
        <f>IFERROR(VLOOKUP($B611,'(勿動)組件目錄表'!$D$15:$R$1094,14,FALSE),"-")</f>
        <v>-</v>
      </c>
      <c r="N611" s="15">
        <f t="shared" si="2"/>
        <v>0</v>
      </c>
      <c r="O611" s="16"/>
    </row>
    <row r="612" spans="1:15" ht="15.75" customHeight="1">
      <c r="A612" s="18"/>
      <c r="B612" s="7"/>
      <c r="C612" s="8" t="str">
        <f>IFERROR(VLOOKUP($B612,'(勿動)組件目錄表'!$D$15:$R$1094,2,FALSE),"-")</f>
        <v>-</v>
      </c>
      <c r="D612" s="8" t="str">
        <f>IFERROR(VLOOKUP($B612,'(勿動)組件目錄表'!$D$15:$R$1094,3,FALSE),"-")</f>
        <v>-</v>
      </c>
      <c r="E612" s="9" t="str">
        <f>IFERROR(VLOOKUP($B612,'(勿動)組件目錄表'!$D$15:$R$1094,4,FALSE),"-")</f>
        <v>-</v>
      </c>
      <c r="F612" s="10" t="str">
        <f>IFERROR(VLOOKUP($B612,'(勿動)組件目錄表'!$D$15:$R$1094,5,FALSE),"-")</f>
        <v>-</v>
      </c>
      <c r="G612" s="11" t="str">
        <f>IFERROR(VLOOKUP($B612,'(勿動)組件目錄表'!$D$15:$R$1094,8,FALSE),"-")</f>
        <v>-</v>
      </c>
      <c r="H612" s="11" t="str">
        <f>IFERROR(VLOOKUP($B612,'(勿動)組件目錄表'!$D$15:$R$1094,9,FALSE),"-")</f>
        <v>-</v>
      </c>
      <c r="I612" s="11" t="str">
        <f>IFERROR(VLOOKUP($B612,'(勿動)組件目錄表'!$D$15:$R$1094,10,FALSE),"-")</f>
        <v>-</v>
      </c>
      <c r="J612" s="11" t="str">
        <f>IFERROR(VLOOKUP($B612,'(勿動)組件目錄表'!$D$15:$R$1094,11,FALSE),"-")</f>
        <v>-</v>
      </c>
      <c r="K612" s="11" t="str">
        <f>IFERROR(VLOOKUP($B612,'(勿動)組件目錄表'!$D$15:$R$1094,12,FALSE),"-")</f>
        <v>-</v>
      </c>
      <c r="L612" s="11" t="str">
        <f>IFERROR(VLOOKUP($B612,'(勿動)組件目錄表'!$D$15:$R$1094,13,FALSE),"-")</f>
        <v>-</v>
      </c>
      <c r="M612" s="11" t="str">
        <f>IFERROR(VLOOKUP($B612,'(勿動)組件目錄表'!$D$15:$R$1094,14,FALSE),"-")</f>
        <v>-</v>
      </c>
      <c r="N612" s="15">
        <f t="shared" si="2"/>
        <v>0</v>
      </c>
      <c r="O612" s="16"/>
    </row>
    <row r="613" spans="1:15" ht="15.75" customHeight="1">
      <c r="A613" s="18"/>
      <c r="B613" s="7"/>
      <c r="C613" s="8" t="str">
        <f>IFERROR(VLOOKUP($B613,'(勿動)組件目錄表'!$D$15:$R$1094,2,FALSE),"-")</f>
        <v>-</v>
      </c>
      <c r="D613" s="8" t="str">
        <f>IFERROR(VLOOKUP($B613,'(勿動)組件目錄表'!$D$15:$R$1094,3,FALSE),"-")</f>
        <v>-</v>
      </c>
      <c r="E613" s="9" t="str">
        <f>IFERROR(VLOOKUP($B613,'(勿動)組件目錄表'!$D$15:$R$1094,4,FALSE),"-")</f>
        <v>-</v>
      </c>
      <c r="F613" s="10" t="str">
        <f>IFERROR(VLOOKUP($B613,'(勿動)組件目錄表'!$D$15:$R$1094,5,FALSE),"-")</f>
        <v>-</v>
      </c>
      <c r="G613" s="11" t="str">
        <f>IFERROR(VLOOKUP($B613,'(勿動)組件目錄表'!$D$15:$R$1094,8,FALSE),"-")</f>
        <v>-</v>
      </c>
      <c r="H613" s="11" t="str">
        <f>IFERROR(VLOOKUP($B613,'(勿動)組件目錄表'!$D$15:$R$1094,9,FALSE),"-")</f>
        <v>-</v>
      </c>
      <c r="I613" s="11" t="str">
        <f>IFERROR(VLOOKUP($B613,'(勿動)組件目錄表'!$D$15:$R$1094,10,FALSE),"-")</f>
        <v>-</v>
      </c>
      <c r="J613" s="11" t="str">
        <f>IFERROR(VLOOKUP($B613,'(勿動)組件目錄表'!$D$15:$R$1094,11,FALSE),"-")</f>
        <v>-</v>
      </c>
      <c r="K613" s="11" t="str">
        <f>IFERROR(VLOOKUP($B613,'(勿動)組件目錄表'!$D$15:$R$1094,12,FALSE),"-")</f>
        <v>-</v>
      </c>
      <c r="L613" s="11" t="str">
        <f>IFERROR(VLOOKUP($B613,'(勿動)組件目錄表'!$D$15:$R$1094,13,FALSE),"-")</f>
        <v>-</v>
      </c>
      <c r="M613" s="11" t="str">
        <f>IFERROR(VLOOKUP($B613,'(勿動)組件目錄表'!$D$15:$R$1094,14,FALSE),"-")</f>
        <v>-</v>
      </c>
      <c r="N613" s="15">
        <f t="shared" si="2"/>
        <v>0</v>
      </c>
      <c r="O613" s="16"/>
    </row>
    <row r="614" spans="1:15" ht="15.75" customHeight="1">
      <c r="A614" s="18"/>
      <c r="B614" s="7"/>
      <c r="C614" s="8" t="str">
        <f>IFERROR(VLOOKUP($B614,'(勿動)組件目錄表'!$D$15:$R$1094,2,FALSE),"-")</f>
        <v>-</v>
      </c>
      <c r="D614" s="8" t="str">
        <f>IFERROR(VLOOKUP($B614,'(勿動)組件目錄表'!$D$15:$R$1094,3,FALSE),"-")</f>
        <v>-</v>
      </c>
      <c r="E614" s="9" t="str">
        <f>IFERROR(VLOOKUP($B614,'(勿動)組件目錄表'!$D$15:$R$1094,4,FALSE),"-")</f>
        <v>-</v>
      </c>
      <c r="F614" s="10" t="str">
        <f>IFERROR(VLOOKUP($B614,'(勿動)組件目錄表'!$D$15:$R$1094,5,FALSE),"-")</f>
        <v>-</v>
      </c>
      <c r="G614" s="11" t="str">
        <f>IFERROR(VLOOKUP($B614,'(勿動)組件目錄表'!$D$15:$R$1094,8,FALSE),"-")</f>
        <v>-</v>
      </c>
      <c r="H614" s="11" t="str">
        <f>IFERROR(VLOOKUP($B614,'(勿動)組件目錄表'!$D$15:$R$1094,9,FALSE),"-")</f>
        <v>-</v>
      </c>
      <c r="I614" s="11" t="str">
        <f>IFERROR(VLOOKUP($B614,'(勿動)組件目錄表'!$D$15:$R$1094,10,FALSE),"-")</f>
        <v>-</v>
      </c>
      <c r="J614" s="11" t="str">
        <f>IFERROR(VLOOKUP($B614,'(勿動)組件目錄表'!$D$15:$R$1094,11,FALSE),"-")</f>
        <v>-</v>
      </c>
      <c r="K614" s="11" t="str">
        <f>IFERROR(VLOOKUP($B614,'(勿動)組件目錄表'!$D$15:$R$1094,12,FALSE),"-")</f>
        <v>-</v>
      </c>
      <c r="L614" s="11" t="str">
        <f>IFERROR(VLOOKUP($B614,'(勿動)組件目錄表'!$D$15:$R$1094,13,FALSE),"-")</f>
        <v>-</v>
      </c>
      <c r="M614" s="11" t="str">
        <f>IFERROR(VLOOKUP($B614,'(勿動)組件目錄表'!$D$15:$R$1094,14,FALSE),"-")</f>
        <v>-</v>
      </c>
      <c r="N614" s="15">
        <f t="shared" si="2"/>
        <v>0</v>
      </c>
      <c r="O614" s="16"/>
    </row>
    <row r="615" spans="1:15" ht="15.75" customHeight="1">
      <c r="A615" s="18"/>
      <c r="B615" s="7"/>
      <c r="C615" s="8" t="str">
        <f>IFERROR(VLOOKUP($B615,'(勿動)組件目錄表'!$D$15:$R$1094,2,FALSE),"-")</f>
        <v>-</v>
      </c>
      <c r="D615" s="8" t="str">
        <f>IFERROR(VLOOKUP($B615,'(勿動)組件目錄表'!$D$15:$R$1094,3,FALSE),"-")</f>
        <v>-</v>
      </c>
      <c r="E615" s="9" t="str">
        <f>IFERROR(VLOOKUP($B615,'(勿動)組件目錄表'!$D$15:$R$1094,4,FALSE),"-")</f>
        <v>-</v>
      </c>
      <c r="F615" s="10" t="str">
        <f>IFERROR(VLOOKUP($B615,'(勿動)組件目錄表'!$D$15:$R$1094,5,FALSE),"-")</f>
        <v>-</v>
      </c>
      <c r="G615" s="11" t="str">
        <f>IFERROR(VLOOKUP($B615,'(勿動)組件目錄表'!$D$15:$R$1094,8,FALSE),"-")</f>
        <v>-</v>
      </c>
      <c r="H615" s="11" t="str">
        <f>IFERROR(VLOOKUP($B615,'(勿動)組件目錄表'!$D$15:$R$1094,9,FALSE),"-")</f>
        <v>-</v>
      </c>
      <c r="I615" s="11" t="str">
        <f>IFERROR(VLOOKUP($B615,'(勿動)組件目錄表'!$D$15:$R$1094,10,FALSE),"-")</f>
        <v>-</v>
      </c>
      <c r="J615" s="11" t="str">
        <f>IFERROR(VLOOKUP($B615,'(勿動)組件目錄表'!$D$15:$R$1094,11,FALSE),"-")</f>
        <v>-</v>
      </c>
      <c r="K615" s="11" t="str">
        <f>IFERROR(VLOOKUP($B615,'(勿動)組件目錄表'!$D$15:$R$1094,12,FALSE),"-")</f>
        <v>-</v>
      </c>
      <c r="L615" s="11" t="str">
        <f>IFERROR(VLOOKUP($B615,'(勿動)組件目錄表'!$D$15:$R$1094,13,FALSE),"-")</f>
        <v>-</v>
      </c>
      <c r="M615" s="11" t="str">
        <f>IFERROR(VLOOKUP($B615,'(勿動)組件目錄表'!$D$15:$R$1094,14,FALSE),"-")</f>
        <v>-</v>
      </c>
      <c r="N615" s="15">
        <f t="shared" si="2"/>
        <v>0</v>
      </c>
      <c r="O615" s="16"/>
    </row>
    <row r="616" spans="1:15" ht="15.75" customHeight="1">
      <c r="A616" s="18"/>
      <c r="B616" s="7"/>
      <c r="C616" s="8" t="str">
        <f>IFERROR(VLOOKUP($B616,'(勿動)組件目錄表'!$D$15:$R$1094,2,FALSE),"-")</f>
        <v>-</v>
      </c>
      <c r="D616" s="8" t="str">
        <f>IFERROR(VLOOKUP($B616,'(勿動)組件目錄表'!$D$15:$R$1094,3,FALSE),"-")</f>
        <v>-</v>
      </c>
      <c r="E616" s="9" t="str">
        <f>IFERROR(VLOOKUP($B616,'(勿動)組件目錄表'!$D$15:$R$1094,4,FALSE),"-")</f>
        <v>-</v>
      </c>
      <c r="F616" s="10" t="str">
        <f>IFERROR(VLOOKUP($B616,'(勿動)組件目錄表'!$D$15:$R$1094,5,FALSE),"-")</f>
        <v>-</v>
      </c>
      <c r="G616" s="11" t="str">
        <f>IFERROR(VLOOKUP($B616,'(勿動)組件目錄表'!$D$15:$R$1094,8,FALSE),"-")</f>
        <v>-</v>
      </c>
      <c r="H616" s="11" t="str">
        <f>IFERROR(VLOOKUP($B616,'(勿動)組件目錄表'!$D$15:$R$1094,9,FALSE),"-")</f>
        <v>-</v>
      </c>
      <c r="I616" s="11" t="str">
        <f>IFERROR(VLOOKUP($B616,'(勿動)組件目錄表'!$D$15:$R$1094,10,FALSE),"-")</f>
        <v>-</v>
      </c>
      <c r="J616" s="11" t="str">
        <f>IFERROR(VLOOKUP($B616,'(勿動)組件目錄表'!$D$15:$R$1094,11,FALSE),"-")</f>
        <v>-</v>
      </c>
      <c r="K616" s="11" t="str">
        <f>IFERROR(VLOOKUP($B616,'(勿動)組件目錄表'!$D$15:$R$1094,12,FALSE),"-")</f>
        <v>-</v>
      </c>
      <c r="L616" s="11" t="str">
        <f>IFERROR(VLOOKUP($B616,'(勿動)組件目錄表'!$D$15:$R$1094,13,FALSE),"-")</f>
        <v>-</v>
      </c>
      <c r="M616" s="11" t="str">
        <f>IFERROR(VLOOKUP($B616,'(勿動)組件目錄表'!$D$15:$R$1094,14,FALSE),"-")</f>
        <v>-</v>
      </c>
      <c r="N616" s="15">
        <f t="shared" si="2"/>
        <v>0</v>
      </c>
      <c r="O616" s="16"/>
    </row>
    <row r="617" spans="1:15" ht="15.75" customHeight="1">
      <c r="A617" s="18"/>
      <c r="B617" s="7"/>
      <c r="C617" s="8" t="str">
        <f>IFERROR(VLOOKUP($B617,'(勿動)組件目錄表'!$D$15:$R$1094,2,FALSE),"-")</f>
        <v>-</v>
      </c>
      <c r="D617" s="8" t="str">
        <f>IFERROR(VLOOKUP($B617,'(勿動)組件目錄表'!$D$15:$R$1094,3,FALSE),"-")</f>
        <v>-</v>
      </c>
      <c r="E617" s="9" t="str">
        <f>IFERROR(VLOOKUP($B617,'(勿動)組件目錄表'!$D$15:$R$1094,4,FALSE),"-")</f>
        <v>-</v>
      </c>
      <c r="F617" s="10" t="str">
        <f>IFERROR(VLOOKUP($B617,'(勿動)組件目錄表'!$D$15:$R$1094,5,FALSE),"-")</f>
        <v>-</v>
      </c>
      <c r="G617" s="11" t="str">
        <f>IFERROR(VLOOKUP($B617,'(勿動)組件目錄表'!$D$15:$R$1094,8,FALSE),"-")</f>
        <v>-</v>
      </c>
      <c r="H617" s="11" t="str">
        <f>IFERROR(VLOOKUP($B617,'(勿動)組件目錄表'!$D$15:$R$1094,9,FALSE),"-")</f>
        <v>-</v>
      </c>
      <c r="I617" s="11" t="str">
        <f>IFERROR(VLOOKUP($B617,'(勿動)組件目錄表'!$D$15:$R$1094,10,FALSE),"-")</f>
        <v>-</v>
      </c>
      <c r="J617" s="11" t="str">
        <f>IFERROR(VLOOKUP($B617,'(勿動)組件目錄表'!$D$15:$R$1094,11,FALSE),"-")</f>
        <v>-</v>
      </c>
      <c r="K617" s="11" t="str">
        <f>IFERROR(VLOOKUP($B617,'(勿動)組件目錄表'!$D$15:$R$1094,12,FALSE),"-")</f>
        <v>-</v>
      </c>
      <c r="L617" s="11" t="str">
        <f>IFERROR(VLOOKUP($B617,'(勿動)組件目錄表'!$D$15:$R$1094,13,FALSE),"-")</f>
        <v>-</v>
      </c>
      <c r="M617" s="11" t="str">
        <f>IFERROR(VLOOKUP($B617,'(勿動)組件目錄表'!$D$15:$R$1094,14,FALSE),"-")</f>
        <v>-</v>
      </c>
      <c r="N617" s="15">
        <f t="shared" si="2"/>
        <v>0</v>
      </c>
      <c r="O617" s="16"/>
    </row>
    <row r="618" spans="1:15" ht="15.75" customHeight="1">
      <c r="A618" s="18"/>
      <c r="B618" s="7"/>
      <c r="C618" s="8" t="str">
        <f>IFERROR(VLOOKUP($B618,'(勿動)組件目錄表'!$D$15:$R$1094,2,FALSE),"-")</f>
        <v>-</v>
      </c>
      <c r="D618" s="8" t="str">
        <f>IFERROR(VLOOKUP($B618,'(勿動)組件目錄表'!$D$15:$R$1094,3,FALSE),"-")</f>
        <v>-</v>
      </c>
      <c r="E618" s="9" t="str">
        <f>IFERROR(VLOOKUP($B618,'(勿動)組件目錄表'!$D$15:$R$1094,4,FALSE),"-")</f>
        <v>-</v>
      </c>
      <c r="F618" s="10" t="str">
        <f>IFERROR(VLOOKUP($B618,'(勿動)組件目錄表'!$D$15:$R$1094,5,FALSE),"-")</f>
        <v>-</v>
      </c>
      <c r="G618" s="11" t="str">
        <f>IFERROR(VLOOKUP($B618,'(勿動)組件目錄表'!$D$15:$R$1094,8,FALSE),"-")</f>
        <v>-</v>
      </c>
      <c r="H618" s="11" t="str">
        <f>IFERROR(VLOOKUP($B618,'(勿動)組件目錄表'!$D$15:$R$1094,9,FALSE),"-")</f>
        <v>-</v>
      </c>
      <c r="I618" s="11" t="str">
        <f>IFERROR(VLOOKUP($B618,'(勿動)組件目錄表'!$D$15:$R$1094,10,FALSE),"-")</f>
        <v>-</v>
      </c>
      <c r="J618" s="11" t="str">
        <f>IFERROR(VLOOKUP($B618,'(勿動)組件目錄表'!$D$15:$R$1094,11,FALSE),"-")</f>
        <v>-</v>
      </c>
      <c r="K618" s="11" t="str">
        <f>IFERROR(VLOOKUP($B618,'(勿動)組件目錄表'!$D$15:$R$1094,12,FALSE),"-")</f>
        <v>-</v>
      </c>
      <c r="L618" s="11" t="str">
        <f>IFERROR(VLOOKUP($B618,'(勿動)組件目錄表'!$D$15:$R$1094,13,FALSE),"-")</f>
        <v>-</v>
      </c>
      <c r="M618" s="11" t="str">
        <f>IFERROR(VLOOKUP($B618,'(勿動)組件目錄表'!$D$15:$R$1094,14,FALSE),"-")</f>
        <v>-</v>
      </c>
      <c r="N618" s="15">
        <f t="shared" si="2"/>
        <v>0</v>
      </c>
      <c r="O618" s="16"/>
    </row>
    <row r="619" spans="1:15" ht="15.75" customHeight="1">
      <c r="A619" s="18"/>
      <c r="B619" s="7"/>
      <c r="C619" s="8" t="str">
        <f>IFERROR(VLOOKUP($B619,'(勿動)組件目錄表'!$D$15:$R$1094,2,FALSE),"-")</f>
        <v>-</v>
      </c>
      <c r="D619" s="8" t="str">
        <f>IFERROR(VLOOKUP($B619,'(勿動)組件目錄表'!$D$15:$R$1094,3,FALSE),"-")</f>
        <v>-</v>
      </c>
      <c r="E619" s="9" t="str">
        <f>IFERROR(VLOOKUP($B619,'(勿動)組件目錄表'!$D$15:$R$1094,4,FALSE),"-")</f>
        <v>-</v>
      </c>
      <c r="F619" s="10" t="str">
        <f>IFERROR(VLOOKUP($B619,'(勿動)組件目錄表'!$D$15:$R$1094,5,FALSE),"-")</f>
        <v>-</v>
      </c>
      <c r="G619" s="11" t="str">
        <f>IFERROR(VLOOKUP($B619,'(勿動)組件目錄表'!$D$15:$R$1094,8,FALSE),"-")</f>
        <v>-</v>
      </c>
      <c r="H619" s="11" t="str">
        <f>IFERROR(VLOOKUP($B619,'(勿動)組件目錄表'!$D$15:$R$1094,9,FALSE),"-")</f>
        <v>-</v>
      </c>
      <c r="I619" s="11" t="str">
        <f>IFERROR(VLOOKUP($B619,'(勿動)組件目錄表'!$D$15:$R$1094,10,FALSE),"-")</f>
        <v>-</v>
      </c>
      <c r="J619" s="11" t="str">
        <f>IFERROR(VLOOKUP($B619,'(勿動)組件目錄表'!$D$15:$R$1094,11,FALSE),"-")</f>
        <v>-</v>
      </c>
      <c r="K619" s="11" t="str">
        <f>IFERROR(VLOOKUP($B619,'(勿動)組件目錄表'!$D$15:$R$1094,12,FALSE),"-")</f>
        <v>-</v>
      </c>
      <c r="L619" s="11" t="str">
        <f>IFERROR(VLOOKUP($B619,'(勿動)組件目錄表'!$D$15:$R$1094,13,FALSE),"-")</f>
        <v>-</v>
      </c>
      <c r="M619" s="11" t="str">
        <f>IFERROR(VLOOKUP($B619,'(勿動)組件目錄表'!$D$15:$R$1094,14,FALSE),"-")</f>
        <v>-</v>
      </c>
      <c r="N619" s="15">
        <f t="shared" si="2"/>
        <v>0</v>
      </c>
      <c r="O619" s="16"/>
    </row>
    <row r="620" spans="1:15" ht="15.75" customHeight="1">
      <c r="A620" s="18"/>
      <c r="B620" s="7"/>
      <c r="C620" s="8" t="str">
        <f>IFERROR(VLOOKUP($B620,'(勿動)組件目錄表'!$D$15:$R$1094,2,FALSE),"-")</f>
        <v>-</v>
      </c>
      <c r="D620" s="8" t="str">
        <f>IFERROR(VLOOKUP($B620,'(勿動)組件目錄表'!$D$15:$R$1094,3,FALSE),"-")</f>
        <v>-</v>
      </c>
      <c r="E620" s="9" t="str">
        <f>IFERROR(VLOOKUP($B620,'(勿動)組件目錄表'!$D$15:$R$1094,4,FALSE),"-")</f>
        <v>-</v>
      </c>
      <c r="F620" s="10" t="str">
        <f>IFERROR(VLOOKUP($B620,'(勿動)組件目錄表'!$D$15:$R$1094,5,FALSE),"-")</f>
        <v>-</v>
      </c>
      <c r="G620" s="11" t="str">
        <f>IFERROR(VLOOKUP($B620,'(勿動)組件目錄表'!$D$15:$R$1094,8,FALSE),"-")</f>
        <v>-</v>
      </c>
      <c r="H620" s="11" t="str">
        <f>IFERROR(VLOOKUP($B620,'(勿動)組件目錄表'!$D$15:$R$1094,9,FALSE),"-")</f>
        <v>-</v>
      </c>
      <c r="I620" s="11" t="str">
        <f>IFERROR(VLOOKUP($B620,'(勿動)組件目錄表'!$D$15:$R$1094,10,FALSE),"-")</f>
        <v>-</v>
      </c>
      <c r="J620" s="11" t="str">
        <f>IFERROR(VLOOKUP($B620,'(勿動)組件目錄表'!$D$15:$R$1094,11,FALSE),"-")</f>
        <v>-</v>
      </c>
      <c r="K620" s="11" t="str">
        <f>IFERROR(VLOOKUP($B620,'(勿動)組件目錄表'!$D$15:$R$1094,12,FALSE),"-")</f>
        <v>-</v>
      </c>
      <c r="L620" s="11" t="str">
        <f>IFERROR(VLOOKUP($B620,'(勿動)組件目錄表'!$D$15:$R$1094,13,FALSE),"-")</f>
        <v>-</v>
      </c>
      <c r="M620" s="11" t="str">
        <f>IFERROR(VLOOKUP($B620,'(勿動)組件目錄表'!$D$15:$R$1094,14,FALSE),"-")</f>
        <v>-</v>
      </c>
      <c r="N620" s="15">
        <f t="shared" si="2"/>
        <v>0</v>
      </c>
      <c r="O620" s="16"/>
    </row>
    <row r="621" spans="1:15" ht="15.75" customHeight="1">
      <c r="A621" s="18"/>
      <c r="B621" s="7"/>
      <c r="C621" s="8" t="str">
        <f>IFERROR(VLOOKUP($B621,'(勿動)組件目錄表'!$D$15:$R$1094,2,FALSE),"-")</f>
        <v>-</v>
      </c>
      <c r="D621" s="8" t="str">
        <f>IFERROR(VLOOKUP($B621,'(勿動)組件目錄表'!$D$15:$R$1094,3,FALSE),"-")</f>
        <v>-</v>
      </c>
      <c r="E621" s="9" t="str">
        <f>IFERROR(VLOOKUP($B621,'(勿動)組件目錄表'!$D$15:$R$1094,4,FALSE),"-")</f>
        <v>-</v>
      </c>
      <c r="F621" s="10" t="str">
        <f>IFERROR(VLOOKUP($B621,'(勿動)組件目錄表'!$D$15:$R$1094,5,FALSE),"-")</f>
        <v>-</v>
      </c>
      <c r="G621" s="11" t="str">
        <f>IFERROR(VLOOKUP($B621,'(勿動)組件目錄表'!$D$15:$R$1094,8,FALSE),"-")</f>
        <v>-</v>
      </c>
      <c r="H621" s="11" t="str">
        <f>IFERROR(VLOOKUP($B621,'(勿動)組件目錄表'!$D$15:$R$1094,9,FALSE),"-")</f>
        <v>-</v>
      </c>
      <c r="I621" s="11" t="str">
        <f>IFERROR(VLOOKUP($B621,'(勿動)組件目錄表'!$D$15:$R$1094,10,FALSE),"-")</f>
        <v>-</v>
      </c>
      <c r="J621" s="11" t="str">
        <f>IFERROR(VLOOKUP($B621,'(勿動)組件目錄表'!$D$15:$R$1094,11,FALSE),"-")</f>
        <v>-</v>
      </c>
      <c r="K621" s="11" t="str">
        <f>IFERROR(VLOOKUP($B621,'(勿動)組件目錄表'!$D$15:$R$1094,12,FALSE),"-")</f>
        <v>-</v>
      </c>
      <c r="L621" s="11" t="str">
        <f>IFERROR(VLOOKUP($B621,'(勿動)組件目錄表'!$D$15:$R$1094,13,FALSE),"-")</f>
        <v>-</v>
      </c>
      <c r="M621" s="11" t="str">
        <f>IFERROR(VLOOKUP($B621,'(勿動)組件目錄表'!$D$15:$R$1094,14,FALSE),"-")</f>
        <v>-</v>
      </c>
      <c r="N621" s="15">
        <f t="shared" si="2"/>
        <v>0</v>
      </c>
      <c r="O621" s="16"/>
    </row>
    <row r="622" spans="1:15" ht="15.75" customHeight="1">
      <c r="A622" s="18"/>
      <c r="B622" s="7"/>
      <c r="C622" s="8" t="str">
        <f>IFERROR(VLOOKUP($B622,'(勿動)組件目錄表'!$D$15:$R$1094,2,FALSE),"-")</f>
        <v>-</v>
      </c>
      <c r="D622" s="8" t="str">
        <f>IFERROR(VLOOKUP($B622,'(勿動)組件目錄表'!$D$15:$R$1094,3,FALSE),"-")</f>
        <v>-</v>
      </c>
      <c r="E622" s="9" t="str">
        <f>IFERROR(VLOOKUP($B622,'(勿動)組件目錄表'!$D$15:$R$1094,4,FALSE),"-")</f>
        <v>-</v>
      </c>
      <c r="F622" s="10" t="str">
        <f>IFERROR(VLOOKUP($B622,'(勿動)組件目錄表'!$D$15:$R$1094,5,FALSE),"-")</f>
        <v>-</v>
      </c>
      <c r="G622" s="11" t="str">
        <f>IFERROR(VLOOKUP($B622,'(勿動)組件目錄表'!$D$15:$R$1094,8,FALSE),"-")</f>
        <v>-</v>
      </c>
      <c r="H622" s="11" t="str">
        <f>IFERROR(VLOOKUP($B622,'(勿動)組件目錄表'!$D$15:$R$1094,9,FALSE),"-")</f>
        <v>-</v>
      </c>
      <c r="I622" s="11" t="str">
        <f>IFERROR(VLOOKUP($B622,'(勿動)組件目錄表'!$D$15:$R$1094,10,FALSE),"-")</f>
        <v>-</v>
      </c>
      <c r="J622" s="11" t="str">
        <f>IFERROR(VLOOKUP($B622,'(勿動)組件目錄表'!$D$15:$R$1094,11,FALSE),"-")</f>
        <v>-</v>
      </c>
      <c r="K622" s="11" t="str">
        <f>IFERROR(VLOOKUP($B622,'(勿動)組件目錄表'!$D$15:$R$1094,12,FALSE),"-")</f>
        <v>-</v>
      </c>
      <c r="L622" s="11" t="str">
        <f>IFERROR(VLOOKUP($B622,'(勿動)組件目錄表'!$D$15:$R$1094,13,FALSE),"-")</f>
        <v>-</v>
      </c>
      <c r="M622" s="11" t="str">
        <f>IFERROR(VLOOKUP($B622,'(勿動)組件目錄表'!$D$15:$R$1094,14,FALSE),"-")</f>
        <v>-</v>
      </c>
      <c r="N622" s="15">
        <f t="shared" ref="N622:N876" si="3">SUMPRODUCT((G622:M622&lt;&gt;"-") * NOT(_xlfn.ISFORMULA(G622:M622)) )</f>
        <v>0</v>
      </c>
      <c r="O622" s="16"/>
    </row>
    <row r="623" spans="1:15" ht="15.75" customHeight="1">
      <c r="A623" s="18"/>
      <c r="B623" s="7"/>
      <c r="C623" s="8" t="str">
        <f>IFERROR(VLOOKUP($B623,'(勿動)組件目錄表'!$D$15:$R$1094,2,FALSE),"-")</f>
        <v>-</v>
      </c>
      <c r="D623" s="8" t="str">
        <f>IFERROR(VLOOKUP($B623,'(勿動)組件目錄表'!$D$15:$R$1094,3,FALSE),"-")</f>
        <v>-</v>
      </c>
      <c r="E623" s="9" t="str">
        <f>IFERROR(VLOOKUP($B623,'(勿動)組件目錄表'!$D$15:$R$1094,4,FALSE),"-")</f>
        <v>-</v>
      </c>
      <c r="F623" s="10" t="str">
        <f>IFERROR(VLOOKUP($B623,'(勿動)組件目錄表'!$D$15:$R$1094,5,FALSE),"-")</f>
        <v>-</v>
      </c>
      <c r="G623" s="11" t="str">
        <f>IFERROR(VLOOKUP($B623,'(勿動)組件目錄表'!$D$15:$R$1094,8,FALSE),"-")</f>
        <v>-</v>
      </c>
      <c r="H623" s="11" t="str">
        <f>IFERROR(VLOOKUP($B623,'(勿動)組件目錄表'!$D$15:$R$1094,9,FALSE),"-")</f>
        <v>-</v>
      </c>
      <c r="I623" s="11" t="str">
        <f>IFERROR(VLOOKUP($B623,'(勿動)組件目錄表'!$D$15:$R$1094,10,FALSE),"-")</f>
        <v>-</v>
      </c>
      <c r="J623" s="11" t="str">
        <f>IFERROR(VLOOKUP($B623,'(勿動)組件目錄表'!$D$15:$R$1094,11,FALSE),"-")</f>
        <v>-</v>
      </c>
      <c r="K623" s="11" t="str">
        <f>IFERROR(VLOOKUP($B623,'(勿動)組件目錄表'!$D$15:$R$1094,12,FALSE),"-")</f>
        <v>-</v>
      </c>
      <c r="L623" s="11" t="str">
        <f>IFERROR(VLOOKUP($B623,'(勿動)組件目錄表'!$D$15:$R$1094,13,FALSE),"-")</f>
        <v>-</v>
      </c>
      <c r="M623" s="11" t="str">
        <f>IFERROR(VLOOKUP($B623,'(勿動)組件目錄表'!$D$15:$R$1094,14,FALSE),"-")</f>
        <v>-</v>
      </c>
      <c r="N623" s="15">
        <f t="shared" si="3"/>
        <v>0</v>
      </c>
      <c r="O623" s="16"/>
    </row>
    <row r="624" spans="1:15" ht="15.75" customHeight="1">
      <c r="A624" s="18"/>
      <c r="B624" s="7"/>
      <c r="C624" s="8" t="str">
        <f>IFERROR(VLOOKUP($B624,'(勿動)組件目錄表'!$D$15:$R$1094,2,FALSE),"-")</f>
        <v>-</v>
      </c>
      <c r="D624" s="8" t="str">
        <f>IFERROR(VLOOKUP($B624,'(勿動)組件目錄表'!$D$15:$R$1094,3,FALSE),"-")</f>
        <v>-</v>
      </c>
      <c r="E624" s="9" t="str">
        <f>IFERROR(VLOOKUP($B624,'(勿動)組件目錄表'!$D$15:$R$1094,4,FALSE),"-")</f>
        <v>-</v>
      </c>
      <c r="F624" s="10" t="str">
        <f>IFERROR(VLOOKUP($B624,'(勿動)組件目錄表'!$D$15:$R$1094,5,FALSE),"-")</f>
        <v>-</v>
      </c>
      <c r="G624" s="11" t="str">
        <f>IFERROR(VLOOKUP($B624,'(勿動)組件目錄表'!$D$15:$R$1094,8,FALSE),"-")</f>
        <v>-</v>
      </c>
      <c r="H624" s="11" t="str">
        <f>IFERROR(VLOOKUP($B624,'(勿動)組件目錄表'!$D$15:$R$1094,9,FALSE),"-")</f>
        <v>-</v>
      </c>
      <c r="I624" s="11" t="str">
        <f>IFERROR(VLOOKUP($B624,'(勿動)組件目錄表'!$D$15:$R$1094,10,FALSE),"-")</f>
        <v>-</v>
      </c>
      <c r="J624" s="11" t="str">
        <f>IFERROR(VLOOKUP($B624,'(勿動)組件目錄表'!$D$15:$R$1094,11,FALSE),"-")</f>
        <v>-</v>
      </c>
      <c r="K624" s="11" t="str">
        <f>IFERROR(VLOOKUP($B624,'(勿動)組件目錄表'!$D$15:$R$1094,12,FALSE),"-")</f>
        <v>-</v>
      </c>
      <c r="L624" s="11" t="str">
        <f>IFERROR(VLOOKUP($B624,'(勿動)組件目錄表'!$D$15:$R$1094,13,FALSE),"-")</f>
        <v>-</v>
      </c>
      <c r="M624" s="11" t="str">
        <f>IFERROR(VLOOKUP($B624,'(勿動)組件目錄表'!$D$15:$R$1094,14,FALSE),"-")</f>
        <v>-</v>
      </c>
      <c r="N624" s="15">
        <f t="shared" si="3"/>
        <v>0</v>
      </c>
      <c r="O624" s="16"/>
    </row>
    <row r="625" spans="1:15" ht="15.75" customHeight="1">
      <c r="A625" s="18"/>
      <c r="B625" s="7"/>
      <c r="C625" s="8" t="str">
        <f>IFERROR(VLOOKUP($B625,'(勿動)組件目錄表'!$D$15:$R$1094,2,FALSE),"-")</f>
        <v>-</v>
      </c>
      <c r="D625" s="8" t="str">
        <f>IFERROR(VLOOKUP($B625,'(勿動)組件目錄表'!$D$15:$R$1094,3,FALSE),"-")</f>
        <v>-</v>
      </c>
      <c r="E625" s="9" t="str">
        <f>IFERROR(VLOOKUP($B625,'(勿動)組件目錄表'!$D$15:$R$1094,4,FALSE),"-")</f>
        <v>-</v>
      </c>
      <c r="F625" s="10" t="str">
        <f>IFERROR(VLOOKUP($B625,'(勿動)組件目錄表'!$D$15:$R$1094,5,FALSE),"-")</f>
        <v>-</v>
      </c>
      <c r="G625" s="11" t="str">
        <f>IFERROR(VLOOKUP($B625,'(勿動)組件目錄表'!$D$15:$R$1094,8,FALSE),"-")</f>
        <v>-</v>
      </c>
      <c r="H625" s="11" t="str">
        <f>IFERROR(VLOOKUP($B625,'(勿動)組件目錄表'!$D$15:$R$1094,9,FALSE),"-")</f>
        <v>-</v>
      </c>
      <c r="I625" s="11" t="str">
        <f>IFERROR(VLOOKUP($B625,'(勿動)組件目錄表'!$D$15:$R$1094,10,FALSE),"-")</f>
        <v>-</v>
      </c>
      <c r="J625" s="11" t="str">
        <f>IFERROR(VLOOKUP($B625,'(勿動)組件目錄表'!$D$15:$R$1094,11,FALSE),"-")</f>
        <v>-</v>
      </c>
      <c r="K625" s="11" t="str">
        <f>IFERROR(VLOOKUP($B625,'(勿動)組件目錄表'!$D$15:$R$1094,12,FALSE),"-")</f>
        <v>-</v>
      </c>
      <c r="L625" s="11" t="str">
        <f>IFERROR(VLOOKUP($B625,'(勿動)組件目錄表'!$D$15:$R$1094,13,FALSE),"-")</f>
        <v>-</v>
      </c>
      <c r="M625" s="11" t="str">
        <f>IFERROR(VLOOKUP($B625,'(勿動)組件目錄表'!$D$15:$R$1094,14,FALSE),"-")</f>
        <v>-</v>
      </c>
      <c r="N625" s="15">
        <f t="shared" si="3"/>
        <v>0</v>
      </c>
      <c r="O625" s="16"/>
    </row>
    <row r="626" spans="1:15" ht="15.75" customHeight="1">
      <c r="A626" s="18"/>
      <c r="B626" s="7"/>
      <c r="C626" s="8" t="str">
        <f>IFERROR(VLOOKUP($B626,'(勿動)組件目錄表'!$D$15:$R$1094,2,FALSE),"-")</f>
        <v>-</v>
      </c>
      <c r="D626" s="8" t="str">
        <f>IFERROR(VLOOKUP($B626,'(勿動)組件目錄表'!$D$15:$R$1094,3,FALSE),"-")</f>
        <v>-</v>
      </c>
      <c r="E626" s="9" t="str">
        <f>IFERROR(VLOOKUP($B626,'(勿動)組件目錄表'!$D$15:$R$1094,4,FALSE),"-")</f>
        <v>-</v>
      </c>
      <c r="F626" s="10" t="str">
        <f>IFERROR(VLOOKUP($B626,'(勿動)組件目錄表'!$D$15:$R$1094,5,FALSE),"-")</f>
        <v>-</v>
      </c>
      <c r="G626" s="11" t="str">
        <f>IFERROR(VLOOKUP($B626,'(勿動)組件目錄表'!$D$15:$R$1094,8,FALSE),"-")</f>
        <v>-</v>
      </c>
      <c r="H626" s="11" t="str">
        <f>IFERROR(VLOOKUP($B626,'(勿動)組件目錄表'!$D$15:$R$1094,9,FALSE),"-")</f>
        <v>-</v>
      </c>
      <c r="I626" s="11" t="str">
        <f>IFERROR(VLOOKUP($B626,'(勿動)組件目錄表'!$D$15:$R$1094,10,FALSE),"-")</f>
        <v>-</v>
      </c>
      <c r="J626" s="11" t="str">
        <f>IFERROR(VLOOKUP($B626,'(勿動)組件目錄表'!$D$15:$R$1094,11,FALSE),"-")</f>
        <v>-</v>
      </c>
      <c r="K626" s="11" t="str">
        <f>IFERROR(VLOOKUP($B626,'(勿動)組件目錄表'!$D$15:$R$1094,12,FALSE),"-")</f>
        <v>-</v>
      </c>
      <c r="L626" s="11" t="str">
        <f>IFERROR(VLOOKUP($B626,'(勿動)組件目錄表'!$D$15:$R$1094,13,FALSE),"-")</f>
        <v>-</v>
      </c>
      <c r="M626" s="11" t="str">
        <f>IFERROR(VLOOKUP($B626,'(勿動)組件目錄表'!$D$15:$R$1094,14,FALSE),"-")</f>
        <v>-</v>
      </c>
      <c r="N626" s="15">
        <f t="shared" si="3"/>
        <v>0</v>
      </c>
      <c r="O626" s="16"/>
    </row>
    <row r="627" spans="1:15" ht="15.75" customHeight="1">
      <c r="A627" s="18"/>
      <c r="B627" s="7"/>
      <c r="C627" s="8" t="str">
        <f>IFERROR(VLOOKUP($B627,'(勿動)組件目錄表'!$D$15:$R$1094,2,FALSE),"-")</f>
        <v>-</v>
      </c>
      <c r="D627" s="8" t="str">
        <f>IFERROR(VLOOKUP($B627,'(勿動)組件目錄表'!$D$15:$R$1094,3,FALSE),"-")</f>
        <v>-</v>
      </c>
      <c r="E627" s="9" t="str">
        <f>IFERROR(VLOOKUP($B627,'(勿動)組件目錄表'!$D$15:$R$1094,4,FALSE),"-")</f>
        <v>-</v>
      </c>
      <c r="F627" s="10" t="str">
        <f>IFERROR(VLOOKUP($B627,'(勿動)組件目錄表'!$D$15:$R$1094,5,FALSE),"-")</f>
        <v>-</v>
      </c>
      <c r="G627" s="11" t="str">
        <f>IFERROR(VLOOKUP($B627,'(勿動)組件目錄表'!$D$15:$R$1094,8,FALSE),"-")</f>
        <v>-</v>
      </c>
      <c r="H627" s="11" t="str">
        <f>IFERROR(VLOOKUP($B627,'(勿動)組件目錄表'!$D$15:$R$1094,9,FALSE),"-")</f>
        <v>-</v>
      </c>
      <c r="I627" s="11" t="str">
        <f>IFERROR(VLOOKUP($B627,'(勿動)組件目錄表'!$D$15:$R$1094,10,FALSE),"-")</f>
        <v>-</v>
      </c>
      <c r="J627" s="11" t="str">
        <f>IFERROR(VLOOKUP($B627,'(勿動)組件目錄表'!$D$15:$R$1094,11,FALSE),"-")</f>
        <v>-</v>
      </c>
      <c r="K627" s="11" t="str">
        <f>IFERROR(VLOOKUP($B627,'(勿動)組件目錄表'!$D$15:$R$1094,12,FALSE),"-")</f>
        <v>-</v>
      </c>
      <c r="L627" s="11" t="str">
        <f>IFERROR(VLOOKUP($B627,'(勿動)組件目錄表'!$D$15:$R$1094,13,FALSE),"-")</f>
        <v>-</v>
      </c>
      <c r="M627" s="11" t="str">
        <f>IFERROR(VLOOKUP($B627,'(勿動)組件目錄表'!$D$15:$R$1094,14,FALSE),"-")</f>
        <v>-</v>
      </c>
      <c r="N627" s="15">
        <f t="shared" si="3"/>
        <v>0</v>
      </c>
      <c r="O627" s="16"/>
    </row>
    <row r="628" spans="1:15" ht="15.75" customHeight="1">
      <c r="A628" s="18"/>
      <c r="B628" s="7"/>
      <c r="C628" s="8" t="str">
        <f>IFERROR(VLOOKUP($B628,'(勿動)組件目錄表'!$D$15:$R$1094,2,FALSE),"-")</f>
        <v>-</v>
      </c>
      <c r="D628" s="8" t="str">
        <f>IFERROR(VLOOKUP($B628,'(勿動)組件目錄表'!$D$15:$R$1094,3,FALSE),"-")</f>
        <v>-</v>
      </c>
      <c r="E628" s="9" t="str">
        <f>IFERROR(VLOOKUP($B628,'(勿動)組件目錄表'!$D$15:$R$1094,4,FALSE),"-")</f>
        <v>-</v>
      </c>
      <c r="F628" s="10" t="str">
        <f>IFERROR(VLOOKUP($B628,'(勿動)組件目錄表'!$D$15:$R$1094,5,FALSE),"-")</f>
        <v>-</v>
      </c>
      <c r="G628" s="11" t="str">
        <f>IFERROR(VLOOKUP($B628,'(勿動)組件目錄表'!$D$15:$R$1094,8,FALSE),"-")</f>
        <v>-</v>
      </c>
      <c r="H628" s="11" t="str">
        <f>IFERROR(VLOOKUP($B628,'(勿動)組件目錄表'!$D$15:$R$1094,9,FALSE),"-")</f>
        <v>-</v>
      </c>
      <c r="I628" s="11" t="str">
        <f>IFERROR(VLOOKUP($B628,'(勿動)組件目錄表'!$D$15:$R$1094,10,FALSE),"-")</f>
        <v>-</v>
      </c>
      <c r="J628" s="11" t="str">
        <f>IFERROR(VLOOKUP($B628,'(勿動)組件目錄表'!$D$15:$R$1094,11,FALSE),"-")</f>
        <v>-</v>
      </c>
      <c r="K628" s="11" t="str">
        <f>IFERROR(VLOOKUP($B628,'(勿動)組件目錄表'!$D$15:$R$1094,12,FALSE),"-")</f>
        <v>-</v>
      </c>
      <c r="L628" s="11" t="str">
        <f>IFERROR(VLOOKUP($B628,'(勿動)組件目錄表'!$D$15:$R$1094,13,FALSE),"-")</f>
        <v>-</v>
      </c>
      <c r="M628" s="11" t="str">
        <f>IFERROR(VLOOKUP($B628,'(勿動)組件目錄表'!$D$15:$R$1094,14,FALSE),"-")</f>
        <v>-</v>
      </c>
      <c r="N628" s="15">
        <f t="shared" si="3"/>
        <v>0</v>
      </c>
      <c r="O628" s="16"/>
    </row>
    <row r="629" spans="1:15" ht="15.75" customHeight="1">
      <c r="A629" s="18"/>
      <c r="B629" s="7"/>
      <c r="C629" s="8" t="str">
        <f>IFERROR(VLOOKUP($B629,'(勿動)組件目錄表'!$D$15:$R$1094,2,FALSE),"-")</f>
        <v>-</v>
      </c>
      <c r="D629" s="8" t="str">
        <f>IFERROR(VLOOKUP($B629,'(勿動)組件目錄表'!$D$15:$R$1094,3,FALSE),"-")</f>
        <v>-</v>
      </c>
      <c r="E629" s="9" t="str">
        <f>IFERROR(VLOOKUP($B629,'(勿動)組件目錄表'!$D$15:$R$1094,4,FALSE),"-")</f>
        <v>-</v>
      </c>
      <c r="F629" s="10" t="str">
        <f>IFERROR(VLOOKUP($B629,'(勿動)組件目錄表'!$D$15:$R$1094,5,FALSE),"-")</f>
        <v>-</v>
      </c>
      <c r="G629" s="11" t="str">
        <f>IFERROR(VLOOKUP($B629,'(勿動)組件目錄表'!$D$15:$R$1094,8,FALSE),"-")</f>
        <v>-</v>
      </c>
      <c r="H629" s="11" t="str">
        <f>IFERROR(VLOOKUP($B629,'(勿動)組件目錄表'!$D$15:$R$1094,9,FALSE),"-")</f>
        <v>-</v>
      </c>
      <c r="I629" s="11" t="str">
        <f>IFERROR(VLOOKUP($B629,'(勿動)組件目錄表'!$D$15:$R$1094,10,FALSE),"-")</f>
        <v>-</v>
      </c>
      <c r="J629" s="11" t="str">
        <f>IFERROR(VLOOKUP($B629,'(勿動)組件目錄表'!$D$15:$R$1094,11,FALSE),"-")</f>
        <v>-</v>
      </c>
      <c r="K629" s="11" t="str">
        <f>IFERROR(VLOOKUP($B629,'(勿動)組件目錄表'!$D$15:$R$1094,12,FALSE),"-")</f>
        <v>-</v>
      </c>
      <c r="L629" s="11" t="str">
        <f>IFERROR(VLOOKUP($B629,'(勿動)組件目錄表'!$D$15:$R$1094,13,FALSE),"-")</f>
        <v>-</v>
      </c>
      <c r="M629" s="11" t="str">
        <f>IFERROR(VLOOKUP($B629,'(勿動)組件目錄表'!$D$15:$R$1094,14,FALSE),"-")</f>
        <v>-</v>
      </c>
      <c r="N629" s="15">
        <f t="shared" si="3"/>
        <v>0</v>
      </c>
      <c r="O629" s="16"/>
    </row>
    <row r="630" spans="1:15" ht="15.75" customHeight="1">
      <c r="A630" s="18"/>
      <c r="B630" s="7"/>
      <c r="C630" s="8" t="str">
        <f>IFERROR(VLOOKUP($B630,'(勿動)組件目錄表'!$D$15:$R$1094,2,FALSE),"-")</f>
        <v>-</v>
      </c>
      <c r="D630" s="8" t="str">
        <f>IFERROR(VLOOKUP($B630,'(勿動)組件目錄表'!$D$15:$R$1094,3,FALSE),"-")</f>
        <v>-</v>
      </c>
      <c r="E630" s="9" t="str">
        <f>IFERROR(VLOOKUP($B630,'(勿動)組件目錄表'!$D$15:$R$1094,4,FALSE),"-")</f>
        <v>-</v>
      </c>
      <c r="F630" s="10" t="str">
        <f>IFERROR(VLOOKUP($B630,'(勿動)組件目錄表'!$D$15:$R$1094,5,FALSE),"-")</f>
        <v>-</v>
      </c>
      <c r="G630" s="11" t="str">
        <f>IFERROR(VLOOKUP($B630,'(勿動)組件目錄表'!$D$15:$R$1094,8,FALSE),"-")</f>
        <v>-</v>
      </c>
      <c r="H630" s="11" t="str">
        <f>IFERROR(VLOOKUP($B630,'(勿動)組件目錄表'!$D$15:$R$1094,9,FALSE),"-")</f>
        <v>-</v>
      </c>
      <c r="I630" s="11" t="str">
        <f>IFERROR(VLOOKUP($B630,'(勿動)組件目錄表'!$D$15:$R$1094,10,FALSE),"-")</f>
        <v>-</v>
      </c>
      <c r="J630" s="11" t="str">
        <f>IFERROR(VLOOKUP($B630,'(勿動)組件目錄表'!$D$15:$R$1094,11,FALSE),"-")</f>
        <v>-</v>
      </c>
      <c r="K630" s="11" t="str">
        <f>IFERROR(VLOOKUP($B630,'(勿動)組件目錄表'!$D$15:$R$1094,12,FALSE),"-")</f>
        <v>-</v>
      </c>
      <c r="L630" s="11" t="str">
        <f>IFERROR(VLOOKUP($B630,'(勿動)組件目錄表'!$D$15:$R$1094,13,FALSE),"-")</f>
        <v>-</v>
      </c>
      <c r="M630" s="11" t="str">
        <f>IFERROR(VLOOKUP($B630,'(勿動)組件目錄表'!$D$15:$R$1094,14,FALSE),"-")</f>
        <v>-</v>
      </c>
      <c r="N630" s="15">
        <f t="shared" si="3"/>
        <v>0</v>
      </c>
      <c r="O630" s="16"/>
    </row>
    <row r="631" spans="1:15" ht="15.75" customHeight="1">
      <c r="A631" s="18"/>
      <c r="B631" s="7"/>
      <c r="C631" s="8" t="str">
        <f>IFERROR(VLOOKUP($B631,'(勿動)組件目錄表'!$D$15:$R$1094,2,FALSE),"-")</f>
        <v>-</v>
      </c>
      <c r="D631" s="8" t="str">
        <f>IFERROR(VLOOKUP($B631,'(勿動)組件目錄表'!$D$15:$R$1094,3,FALSE),"-")</f>
        <v>-</v>
      </c>
      <c r="E631" s="9" t="str">
        <f>IFERROR(VLOOKUP($B631,'(勿動)組件目錄表'!$D$15:$R$1094,4,FALSE),"-")</f>
        <v>-</v>
      </c>
      <c r="F631" s="10" t="str">
        <f>IFERROR(VLOOKUP($B631,'(勿動)組件目錄表'!$D$15:$R$1094,5,FALSE),"-")</f>
        <v>-</v>
      </c>
      <c r="G631" s="11" t="str">
        <f>IFERROR(VLOOKUP($B631,'(勿動)組件目錄表'!$D$15:$R$1094,8,FALSE),"-")</f>
        <v>-</v>
      </c>
      <c r="H631" s="11" t="str">
        <f>IFERROR(VLOOKUP($B631,'(勿動)組件目錄表'!$D$15:$R$1094,9,FALSE),"-")</f>
        <v>-</v>
      </c>
      <c r="I631" s="11" t="str">
        <f>IFERROR(VLOOKUP($B631,'(勿動)組件目錄表'!$D$15:$R$1094,10,FALSE),"-")</f>
        <v>-</v>
      </c>
      <c r="J631" s="11" t="str">
        <f>IFERROR(VLOOKUP($B631,'(勿動)組件目錄表'!$D$15:$R$1094,11,FALSE),"-")</f>
        <v>-</v>
      </c>
      <c r="K631" s="11" t="str">
        <f>IFERROR(VLOOKUP($B631,'(勿動)組件目錄表'!$D$15:$R$1094,12,FALSE),"-")</f>
        <v>-</v>
      </c>
      <c r="L631" s="11" t="str">
        <f>IFERROR(VLOOKUP($B631,'(勿動)組件目錄表'!$D$15:$R$1094,13,FALSE),"-")</f>
        <v>-</v>
      </c>
      <c r="M631" s="11" t="str">
        <f>IFERROR(VLOOKUP($B631,'(勿動)組件目錄表'!$D$15:$R$1094,14,FALSE),"-")</f>
        <v>-</v>
      </c>
      <c r="N631" s="15">
        <f t="shared" si="3"/>
        <v>0</v>
      </c>
      <c r="O631" s="16"/>
    </row>
    <row r="632" spans="1:15" ht="15.75" customHeight="1">
      <c r="A632" s="18"/>
      <c r="B632" s="7"/>
      <c r="C632" s="8" t="str">
        <f>IFERROR(VLOOKUP($B632,'(勿動)組件目錄表'!$D$15:$R$1094,2,FALSE),"-")</f>
        <v>-</v>
      </c>
      <c r="D632" s="8" t="str">
        <f>IFERROR(VLOOKUP($B632,'(勿動)組件目錄表'!$D$15:$R$1094,3,FALSE),"-")</f>
        <v>-</v>
      </c>
      <c r="E632" s="9" t="str">
        <f>IFERROR(VLOOKUP($B632,'(勿動)組件目錄表'!$D$15:$R$1094,4,FALSE),"-")</f>
        <v>-</v>
      </c>
      <c r="F632" s="10" t="str">
        <f>IFERROR(VLOOKUP($B632,'(勿動)組件目錄表'!$D$15:$R$1094,5,FALSE),"-")</f>
        <v>-</v>
      </c>
      <c r="G632" s="11" t="str">
        <f>IFERROR(VLOOKUP($B632,'(勿動)組件目錄表'!$D$15:$R$1094,8,FALSE),"-")</f>
        <v>-</v>
      </c>
      <c r="H632" s="11" t="str">
        <f>IFERROR(VLOOKUP($B632,'(勿動)組件目錄表'!$D$15:$R$1094,9,FALSE),"-")</f>
        <v>-</v>
      </c>
      <c r="I632" s="11" t="str">
        <f>IFERROR(VLOOKUP($B632,'(勿動)組件目錄表'!$D$15:$R$1094,10,FALSE),"-")</f>
        <v>-</v>
      </c>
      <c r="J632" s="11" t="str">
        <f>IFERROR(VLOOKUP($B632,'(勿動)組件目錄表'!$D$15:$R$1094,11,FALSE),"-")</f>
        <v>-</v>
      </c>
      <c r="K632" s="11" t="str">
        <f>IFERROR(VLOOKUP($B632,'(勿動)組件目錄表'!$D$15:$R$1094,12,FALSE),"-")</f>
        <v>-</v>
      </c>
      <c r="L632" s="11" t="str">
        <f>IFERROR(VLOOKUP($B632,'(勿動)組件目錄表'!$D$15:$R$1094,13,FALSE),"-")</f>
        <v>-</v>
      </c>
      <c r="M632" s="11" t="str">
        <f>IFERROR(VLOOKUP($B632,'(勿動)組件目錄表'!$D$15:$R$1094,14,FALSE),"-")</f>
        <v>-</v>
      </c>
      <c r="N632" s="15">
        <f t="shared" si="3"/>
        <v>0</v>
      </c>
      <c r="O632" s="16"/>
    </row>
    <row r="633" spans="1:15" ht="15.75" customHeight="1">
      <c r="A633" s="18"/>
      <c r="B633" s="7"/>
      <c r="C633" s="8" t="str">
        <f>IFERROR(VLOOKUP($B633,'(勿動)組件目錄表'!$D$15:$R$1094,2,FALSE),"-")</f>
        <v>-</v>
      </c>
      <c r="D633" s="8" t="str">
        <f>IFERROR(VLOOKUP($B633,'(勿動)組件目錄表'!$D$15:$R$1094,3,FALSE),"-")</f>
        <v>-</v>
      </c>
      <c r="E633" s="9" t="str">
        <f>IFERROR(VLOOKUP($B633,'(勿動)組件目錄表'!$D$15:$R$1094,4,FALSE),"-")</f>
        <v>-</v>
      </c>
      <c r="F633" s="10" t="str">
        <f>IFERROR(VLOOKUP($B633,'(勿動)組件目錄表'!$D$15:$R$1094,5,FALSE),"-")</f>
        <v>-</v>
      </c>
      <c r="G633" s="11" t="str">
        <f>IFERROR(VLOOKUP($B633,'(勿動)組件目錄表'!$D$15:$R$1094,8,FALSE),"-")</f>
        <v>-</v>
      </c>
      <c r="H633" s="11" t="str">
        <f>IFERROR(VLOOKUP($B633,'(勿動)組件目錄表'!$D$15:$R$1094,9,FALSE),"-")</f>
        <v>-</v>
      </c>
      <c r="I633" s="11" t="str">
        <f>IFERROR(VLOOKUP($B633,'(勿動)組件目錄表'!$D$15:$R$1094,10,FALSE),"-")</f>
        <v>-</v>
      </c>
      <c r="J633" s="11" t="str">
        <f>IFERROR(VLOOKUP($B633,'(勿動)組件目錄表'!$D$15:$R$1094,11,FALSE),"-")</f>
        <v>-</v>
      </c>
      <c r="K633" s="11" t="str">
        <f>IFERROR(VLOOKUP($B633,'(勿動)組件目錄表'!$D$15:$R$1094,12,FALSE),"-")</f>
        <v>-</v>
      </c>
      <c r="L633" s="11" t="str">
        <f>IFERROR(VLOOKUP($B633,'(勿動)組件目錄表'!$D$15:$R$1094,13,FALSE),"-")</f>
        <v>-</v>
      </c>
      <c r="M633" s="11" t="str">
        <f>IFERROR(VLOOKUP($B633,'(勿動)組件目錄表'!$D$15:$R$1094,14,FALSE),"-")</f>
        <v>-</v>
      </c>
      <c r="N633" s="15">
        <f t="shared" si="3"/>
        <v>0</v>
      </c>
      <c r="O633" s="16"/>
    </row>
    <row r="634" spans="1:15" ht="15.75" customHeight="1">
      <c r="A634" s="18"/>
      <c r="B634" s="7"/>
      <c r="C634" s="8" t="str">
        <f>IFERROR(VLOOKUP($B634,'(勿動)組件目錄表'!$D$15:$R$1094,2,FALSE),"-")</f>
        <v>-</v>
      </c>
      <c r="D634" s="8" t="str">
        <f>IFERROR(VLOOKUP($B634,'(勿動)組件目錄表'!$D$15:$R$1094,3,FALSE),"-")</f>
        <v>-</v>
      </c>
      <c r="E634" s="9" t="str">
        <f>IFERROR(VLOOKUP($B634,'(勿動)組件目錄表'!$D$15:$R$1094,4,FALSE),"-")</f>
        <v>-</v>
      </c>
      <c r="F634" s="10" t="str">
        <f>IFERROR(VLOOKUP($B634,'(勿動)組件目錄表'!$D$15:$R$1094,5,FALSE),"-")</f>
        <v>-</v>
      </c>
      <c r="G634" s="11" t="str">
        <f>IFERROR(VLOOKUP($B634,'(勿動)組件目錄表'!$D$15:$R$1094,8,FALSE),"-")</f>
        <v>-</v>
      </c>
      <c r="H634" s="11" t="str">
        <f>IFERROR(VLOOKUP($B634,'(勿動)組件目錄表'!$D$15:$R$1094,9,FALSE),"-")</f>
        <v>-</v>
      </c>
      <c r="I634" s="11" t="str">
        <f>IFERROR(VLOOKUP($B634,'(勿動)組件目錄表'!$D$15:$R$1094,10,FALSE),"-")</f>
        <v>-</v>
      </c>
      <c r="J634" s="11" t="str">
        <f>IFERROR(VLOOKUP($B634,'(勿動)組件目錄表'!$D$15:$R$1094,11,FALSE),"-")</f>
        <v>-</v>
      </c>
      <c r="K634" s="11" t="str">
        <f>IFERROR(VLOOKUP($B634,'(勿動)組件目錄表'!$D$15:$R$1094,12,FALSE),"-")</f>
        <v>-</v>
      </c>
      <c r="L634" s="11" t="str">
        <f>IFERROR(VLOOKUP($B634,'(勿動)組件目錄表'!$D$15:$R$1094,13,FALSE),"-")</f>
        <v>-</v>
      </c>
      <c r="M634" s="11" t="str">
        <f>IFERROR(VLOOKUP($B634,'(勿動)組件目錄表'!$D$15:$R$1094,14,FALSE),"-")</f>
        <v>-</v>
      </c>
      <c r="N634" s="15">
        <f t="shared" si="3"/>
        <v>0</v>
      </c>
      <c r="O634" s="16"/>
    </row>
    <row r="635" spans="1:15" ht="15.75" customHeight="1">
      <c r="A635" s="18"/>
      <c r="B635" s="7"/>
      <c r="C635" s="8" t="str">
        <f>IFERROR(VLOOKUP($B635,'(勿動)組件目錄表'!$D$15:$R$1094,2,FALSE),"-")</f>
        <v>-</v>
      </c>
      <c r="D635" s="8" t="str">
        <f>IFERROR(VLOOKUP($B635,'(勿動)組件目錄表'!$D$15:$R$1094,3,FALSE),"-")</f>
        <v>-</v>
      </c>
      <c r="E635" s="9" t="str">
        <f>IFERROR(VLOOKUP($B635,'(勿動)組件目錄表'!$D$15:$R$1094,4,FALSE),"-")</f>
        <v>-</v>
      </c>
      <c r="F635" s="10" t="str">
        <f>IFERROR(VLOOKUP($B635,'(勿動)組件目錄表'!$D$15:$R$1094,5,FALSE),"-")</f>
        <v>-</v>
      </c>
      <c r="G635" s="11" t="str">
        <f>IFERROR(VLOOKUP($B635,'(勿動)組件目錄表'!$D$15:$R$1094,8,FALSE),"-")</f>
        <v>-</v>
      </c>
      <c r="H635" s="11" t="str">
        <f>IFERROR(VLOOKUP($B635,'(勿動)組件目錄表'!$D$15:$R$1094,9,FALSE),"-")</f>
        <v>-</v>
      </c>
      <c r="I635" s="11" t="str">
        <f>IFERROR(VLOOKUP($B635,'(勿動)組件目錄表'!$D$15:$R$1094,10,FALSE),"-")</f>
        <v>-</v>
      </c>
      <c r="J635" s="11" t="str">
        <f>IFERROR(VLOOKUP($B635,'(勿動)組件目錄表'!$D$15:$R$1094,11,FALSE),"-")</f>
        <v>-</v>
      </c>
      <c r="K635" s="11" t="str">
        <f>IFERROR(VLOOKUP($B635,'(勿動)組件目錄表'!$D$15:$R$1094,12,FALSE),"-")</f>
        <v>-</v>
      </c>
      <c r="L635" s="11" t="str">
        <f>IFERROR(VLOOKUP($B635,'(勿動)組件目錄表'!$D$15:$R$1094,13,FALSE),"-")</f>
        <v>-</v>
      </c>
      <c r="M635" s="11" t="str">
        <f>IFERROR(VLOOKUP($B635,'(勿動)組件目錄表'!$D$15:$R$1094,14,FALSE),"-")</f>
        <v>-</v>
      </c>
      <c r="N635" s="15">
        <f t="shared" si="3"/>
        <v>0</v>
      </c>
      <c r="O635" s="16"/>
    </row>
    <row r="636" spans="1:15" ht="15.75" customHeight="1">
      <c r="A636" s="18"/>
      <c r="B636" s="7"/>
      <c r="C636" s="8" t="str">
        <f>IFERROR(VLOOKUP($B636,'(勿動)組件目錄表'!$D$15:$R$1094,2,FALSE),"-")</f>
        <v>-</v>
      </c>
      <c r="D636" s="8" t="str">
        <f>IFERROR(VLOOKUP($B636,'(勿動)組件目錄表'!$D$15:$R$1094,3,FALSE),"-")</f>
        <v>-</v>
      </c>
      <c r="E636" s="9" t="str">
        <f>IFERROR(VLOOKUP($B636,'(勿動)組件目錄表'!$D$15:$R$1094,4,FALSE),"-")</f>
        <v>-</v>
      </c>
      <c r="F636" s="10" t="str">
        <f>IFERROR(VLOOKUP($B636,'(勿動)組件目錄表'!$D$15:$R$1094,5,FALSE),"-")</f>
        <v>-</v>
      </c>
      <c r="G636" s="11" t="str">
        <f>IFERROR(VLOOKUP($B636,'(勿動)組件目錄表'!$D$15:$R$1094,8,FALSE),"-")</f>
        <v>-</v>
      </c>
      <c r="H636" s="11" t="str">
        <f>IFERROR(VLOOKUP($B636,'(勿動)組件目錄表'!$D$15:$R$1094,9,FALSE),"-")</f>
        <v>-</v>
      </c>
      <c r="I636" s="11" t="str">
        <f>IFERROR(VLOOKUP($B636,'(勿動)組件目錄表'!$D$15:$R$1094,10,FALSE),"-")</f>
        <v>-</v>
      </c>
      <c r="J636" s="11" t="str">
        <f>IFERROR(VLOOKUP($B636,'(勿動)組件目錄表'!$D$15:$R$1094,11,FALSE),"-")</f>
        <v>-</v>
      </c>
      <c r="K636" s="11" t="str">
        <f>IFERROR(VLOOKUP($B636,'(勿動)組件目錄表'!$D$15:$R$1094,12,FALSE),"-")</f>
        <v>-</v>
      </c>
      <c r="L636" s="11" t="str">
        <f>IFERROR(VLOOKUP($B636,'(勿動)組件目錄表'!$D$15:$R$1094,13,FALSE),"-")</f>
        <v>-</v>
      </c>
      <c r="M636" s="11" t="str">
        <f>IFERROR(VLOOKUP($B636,'(勿動)組件目錄表'!$D$15:$R$1094,14,FALSE),"-")</f>
        <v>-</v>
      </c>
      <c r="N636" s="15">
        <f t="shared" si="3"/>
        <v>0</v>
      </c>
      <c r="O636" s="16"/>
    </row>
    <row r="637" spans="1:15" ht="15.75" customHeight="1">
      <c r="A637" s="18"/>
      <c r="B637" s="7"/>
      <c r="C637" s="8" t="str">
        <f>IFERROR(VLOOKUP($B637,'(勿動)組件目錄表'!$D$15:$R$1094,2,FALSE),"-")</f>
        <v>-</v>
      </c>
      <c r="D637" s="8" t="str">
        <f>IFERROR(VLOOKUP($B637,'(勿動)組件目錄表'!$D$15:$R$1094,3,FALSE),"-")</f>
        <v>-</v>
      </c>
      <c r="E637" s="9" t="str">
        <f>IFERROR(VLOOKUP($B637,'(勿動)組件目錄表'!$D$15:$R$1094,4,FALSE),"-")</f>
        <v>-</v>
      </c>
      <c r="F637" s="10" t="str">
        <f>IFERROR(VLOOKUP($B637,'(勿動)組件目錄表'!$D$15:$R$1094,5,FALSE),"-")</f>
        <v>-</v>
      </c>
      <c r="G637" s="11" t="str">
        <f>IFERROR(VLOOKUP($B637,'(勿動)組件目錄表'!$D$15:$R$1094,8,FALSE),"-")</f>
        <v>-</v>
      </c>
      <c r="H637" s="11" t="str">
        <f>IFERROR(VLOOKUP($B637,'(勿動)組件目錄表'!$D$15:$R$1094,9,FALSE),"-")</f>
        <v>-</v>
      </c>
      <c r="I637" s="11" t="str">
        <f>IFERROR(VLOOKUP($B637,'(勿動)組件目錄表'!$D$15:$R$1094,10,FALSE),"-")</f>
        <v>-</v>
      </c>
      <c r="J637" s="11" t="str">
        <f>IFERROR(VLOOKUP($B637,'(勿動)組件目錄表'!$D$15:$R$1094,11,FALSE),"-")</f>
        <v>-</v>
      </c>
      <c r="K637" s="11" t="str">
        <f>IFERROR(VLOOKUP($B637,'(勿動)組件目錄表'!$D$15:$R$1094,12,FALSE),"-")</f>
        <v>-</v>
      </c>
      <c r="L637" s="11" t="str">
        <f>IFERROR(VLOOKUP($B637,'(勿動)組件目錄表'!$D$15:$R$1094,13,FALSE),"-")</f>
        <v>-</v>
      </c>
      <c r="M637" s="11" t="str">
        <f>IFERROR(VLOOKUP($B637,'(勿動)組件目錄表'!$D$15:$R$1094,14,FALSE),"-")</f>
        <v>-</v>
      </c>
      <c r="N637" s="15">
        <f t="shared" si="3"/>
        <v>0</v>
      </c>
      <c r="O637" s="16"/>
    </row>
    <row r="638" spans="1:15" ht="15.75" customHeight="1">
      <c r="A638" s="18"/>
      <c r="B638" s="7"/>
      <c r="C638" s="8" t="str">
        <f>IFERROR(VLOOKUP($B638,'(勿動)組件目錄表'!$D$15:$R$1094,2,FALSE),"-")</f>
        <v>-</v>
      </c>
      <c r="D638" s="8" t="str">
        <f>IFERROR(VLOOKUP($B638,'(勿動)組件目錄表'!$D$15:$R$1094,3,FALSE),"-")</f>
        <v>-</v>
      </c>
      <c r="E638" s="9" t="str">
        <f>IFERROR(VLOOKUP($B638,'(勿動)組件目錄表'!$D$15:$R$1094,4,FALSE),"-")</f>
        <v>-</v>
      </c>
      <c r="F638" s="10" t="str">
        <f>IFERROR(VLOOKUP($B638,'(勿動)組件目錄表'!$D$15:$R$1094,5,FALSE),"-")</f>
        <v>-</v>
      </c>
      <c r="G638" s="11" t="str">
        <f>IFERROR(VLOOKUP($B638,'(勿動)組件目錄表'!$D$15:$R$1094,8,FALSE),"-")</f>
        <v>-</v>
      </c>
      <c r="H638" s="11" t="str">
        <f>IFERROR(VLOOKUP($B638,'(勿動)組件目錄表'!$D$15:$R$1094,9,FALSE),"-")</f>
        <v>-</v>
      </c>
      <c r="I638" s="11" t="str">
        <f>IFERROR(VLOOKUP($B638,'(勿動)組件目錄表'!$D$15:$R$1094,10,FALSE),"-")</f>
        <v>-</v>
      </c>
      <c r="J638" s="11" t="str">
        <f>IFERROR(VLOOKUP($B638,'(勿動)組件目錄表'!$D$15:$R$1094,11,FALSE),"-")</f>
        <v>-</v>
      </c>
      <c r="K638" s="11" t="str">
        <f>IFERROR(VLOOKUP($B638,'(勿動)組件目錄表'!$D$15:$R$1094,12,FALSE),"-")</f>
        <v>-</v>
      </c>
      <c r="L638" s="11" t="str">
        <f>IFERROR(VLOOKUP($B638,'(勿動)組件目錄表'!$D$15:$R$1094,13,FALSE),"-")</f>
        <v>-</v>
      </c>
      <c r="M638" s="11" t="str">
        <f>IFERROR(VLOOKUP($B638,'(勿動)組件目錄表'!$D$15:$R$1094,14,FALSE),"-")</f>
        <v>-</v>
      </c>
      <c r="N638" s="15">
        <f t="shared" si="3"/>
        <v>0</v>
      </c>
      <c r="O638" s="16"/>
    </row>
    <row r="639" spans="1:15" ht="15.75" customHeight="1">
      <c r="A639" s="18"/>
      <c r="B639" s="7"/>
      <c r="C639" s="8" t="str">
        <f>IFERROR(VLOOKUP($B639,'(勿動)組件目錄表'!$D$15:$R$1094,2,FALSE),"-")</f>
        <v>-</v>
      </c>
      <c r="D639" s="8" t="str">
        <f>IFERROR(VLOOKUP($B639,'(勿動)組件目錄表'!$D$15:$R$1094,3,FALSE),"-")</f>
        <v>-</v>
      </c>
      <c r="E639" s="9" t="str">
        <f>IFERROR(VLOOKUP($B639,'(勿動)組件目錄表'!$D$15:$R$1094,4,FALSE),"-")</f>
        <v>-</v>
      </c>
      <c r="F639" s="10" t="str">
        <f>IFERROR(VLOOKUP($B639,'(勿動)組件目錄表'!$D$15:$R$1094,5,FALSE),"-")</f>
        <v>-</v>
      </c>
      <c r="G639" s="11" t="str">
        <f>IFERROR(VLOOKUP($B639,'(勿動)組件目錄表'!$D$15:$R$1094,8,FALSE),"-")</f>
        <v>-</v>
      </c>
      <c r="H639" s="11" t="str">
        <f>IFERROR(VLOOKUP($B639,'(勿動)組件目錄表'!$D$15:$R$1094,9,FALSE),"-")</f>
        <v>-</v>
      </c>
      <c r="I639" s="11" t="str">
        <f>IFERROR(VLOOKUP($B639,'(勿動)組件目錄表'!$D$15:$R$1094,10,FALSE),"-")</f>
        <v>-</v>
      </c>
      <c r="J639" s="11" t="str">
        <f>IFERROR(VLOOKUP($B639,'(勿動)組件目錄表'!$D$15:$R$1094,11,FALSE),"-")</f>
        <v>-</v>
      </c>
      <c r="K639" s="11" t="str">
        <f>IFERROR(VLOOKUP($B639,'(勿動)組件目錄表'!$D$15:$R$1094,12,FALSE),"-")</f>
        <v>-</v>
      </c>
      <c r="L639" s="11" t="str">
        <f>IFERROR(VLOOKUP($B639,'(勿動)組件目錄表'!$D$15:$R$1094,13,FALSE),"-")</f>
        <v>-</v>
      </c>
      <c r="M639" s="11" t="str">
        <f>IFERROR(VLOOKUP($B639,'(勿動)組件目錄表'!$D$15:$R$1094,14,FALSE),"-")</f>
        <v>-</v>
      </c>
      <c r="N639" s="15">
        <f t="shared" si="3"/>
        <v>0</v>
      </c>
      <c r="O639" s="16"/>
    </row>
    <row r="640" spans="1:15" ht="15.75" customHeight="1">
      <c r="A640" s="18"/>
      <c r="B640" s="7"/>
      <c r="C640" s="8" t="str">
        <f>IFERROR(VLOOKUP($B640,'(勿動)組件目錄表'!$D$15:$R$1094,2,FALSE),"-")</f>
        <v>-</v>
      </c>
      <c r="D640" s="8" t="str">
        <f>IFERROR(VLOOKUP($B640,'(勿動)組件目錄表'!$D$15:$R$1094,3,FALSE),"-")</f>
        <v>-</v>
      </c>
      <c r="E640" s="9" t="str">
        <f>IFERROR(VLOOKUP($B640,'(勿動)組件目錄表'!$D$15:$R$1094,4,FALSE),"-")</f>
        <v>-</v>
      </c>
      <c r="F640" s="10" t="str">
        <f>IFERROR(VLOOKUP($B640,'(勿動)組件目錄表'!$D$15:$R$1094,5,FALSE),"-")</f>
        <v>-</v>
      </c>
      <c r="G640" s="11" t="str">
        <f>IFERROR(VLOOKUP($B640,'(勿動)組件目錄表'!$D$15:$R$1094,8,FALSE),"-")</f>
        <v>-</v>
      </c>
      <c r="H640" s="11" t="str">
        <f>IFERROR(VLOOKUP($B640,'(勿動)組件目錄表'!$D$15:$R$1094,9,FALSE),"-")</f>
        <v>-</v>
      </c>
      <c r="I640" s="11" t="str">
        <f>IFERROR(VLOOKUP($B640,'(勿動)組件目錄表'!$D$15:$R$1094,10,FALSE),"-")</f>
        <v>-</v>
      </c>
      <c r="J640" s="11" t="str">
        <f>IFERROR(VLOOKUP($B640,'(勿動)組件目錄表'!$D$15:$R$1094,11,FALSE),"-")</f>
        <v>-</v>
      </c>
      <c r="K640" s="11" t="str">
        <f>IFERROR(VLOOKUP($B640,'(勿動)組件目錄表'!$D$15:$R$1094,12,FALSE),"-")</f>
        <v>-</v>
      </c>
      <c r="L640" s="11" t="str">
        <f>IFERROR(VLOOKUP($B640,'(勿動)組件目錄表'!$D$15:$R$1094,13,FALSE),"-")</f>
        <v>-</v>
      </c>
      <c r="M640" s="11" t="str">
        <f>IFERROR(VLOOKUP($B640,'(勿動)組件目錄表'!$D$15:$R$1094,14,FALSE),"-")</f>
        <v>-</v>
      </c>
      <c r="N640" s="15">
        <f t="shared" si="3"/>
        <v>0</v>
      </c>
      <c r="O640" s="16"/>
    </row>
    <row r="641" spans="1:15" ht="15.75" customHeight="1">
      <c r="A641" s="18"/>
      <c r="B641" s="7"/>
      <c r="C641" s="8" t="str">
        <f>IFERROR(VLOOKUP($B641,'(勿動)組件目錄表'!$D$15:$R$1094,2,FALSE),"-")</f>
        <v>-</v>
      </c>
      <c r="D641" s="8" t="str">
        <f>IFERROR(VLOOKUP($B641,'(勿動)組件目錄表'!$D$15:$R$1094,3,FALSE),"-")</f>
        <v>-</v>
      </c>
      <c r="E641" s="9" t="str">
        <f>IFERROR(VLOOKUP($B641,'(勿動)組件目錄表'!$D$15:$R$1094,4,FALSE),"-")</f>
        <v>-</v>
      </c>
      <c r="F641" s="10" t="str">
        <f>IFERROR(VLOOKUP($B641,'(勿動)組件目錄表'!$D$15:$R$1094,5,FALSE),"-")</f>
        <v>-</v>
      </c>
      <c r="G641" s="11" t="str">
        <f>IFERROR(VLOOKUP($B641,'(勿動)組件目錄表'!$D$15:$R$1094,8,FALSE),"-")</f>
        <v>-</v>
      </c>
      <c r="H641" s="11" t="str">
        <f>IFERROR(VLOOKUP($B641,'(勿動)組件目錄表'!$D$15:$R$1094,9,FALSE),"-")</f>
        <v>-</v>
      </c>
      <c r="I641" s="11" t="str">
        <f>IFERROR(VLOOKUP($B641,'(勿動)組件目錄表'!$D$15:$R$1094,10,FALSE),"-")</f>
        <v>-</v>
      </c>
      <c r="J641" s="11" t="str">
        <f>IFERROR(VLOOKUP($B641,'(勿動)組件目錄表'!$D$15:$R$1094,11,FALSE),"-")</f>
        <v>-</v>
      </c>
      <c r="K641" s="11" t="str">
        <f>IFERROR(VLOOKUP($B641,'(勿動)組件目錄表'!$D$15:$R$1094,12,FALSE),"-")</f>
        <v>-</v>
      </c>
      <c r="L641" s="11" t="str">
        <f>IFERROR(VLOOKUP($B641,'(勿動)組件目錄表'!$D$15:$R$1094,13,FALSE),"-")</f>
        <v>-</v>
      </c>
      <c r="M641" s="11" t="str">
        <f>IFERROR(VLOOKUP($B641,'(勿動)組件目錄表'!$D$15:$R$1094,14,FALSE),"-")</f>
        <v>-</v>
      </c>
      <c r="N641" s="15">
        <f t="shared" si="3"/>
        <v>0</v>
      </c>
      <c r="O641" s="16"/>
    </row>
    <row r="642" spans="1:15" ht="15.75" customHeight="1">
      <c r="A642" s="18"/>
      <c r="B642" s="7"/>
      <c r="C642" s="8" t="str">
        <f>IFERROR(VLOOKUP($B642,'(勿動)組件目錄表'!$D$15:$R$1094,2,FALSE),"-")</f>
        <v>-</v>
      </c>
      <c r="D642" s="8" t="str">
        <f>IFERROR(VLOOKUP($B642,'(勿動)組件目錄表'!$D$15:$R$1094,3,FALSE),"-")</f>
        <v>-</v>
      </c>
      <c r="E642" s="9" t="str">
        <f>IFERROR(VLOOKUP($B642,'(勿動)組件目錄表'!$D$15:$R$1094,4,FALSE),"-")</f>
        <v>-</v>
      </c>
      <c r="F642" s="10" t="str">
        <f>IFERROR(VLOOKUP($B642,'(勿動)組件目錄表'!$D$15:$R$1094,5,FALSE),"-")</f>
        <v>-</v>
      </c>
      <c r="G642" s="11" t="str">
        <f>IFERROR(VLOOKUP($B642,'(勿動)組件目錄表'!$D$15:$R$1094,8,FALSE),"-")</f>
        <v>-</v>
      </c>
      <c r="H642" s="11" t="str">
        <f>IFERROR(VLOOKUP($B642,'(勿動)組件目錄表'!$D$15:$R$1094,9,FALSE),"-")</f>
        <v>-</v>
      </c>
      <c r="I642" s="11" t="str">
        <f>IFERROR(VLOOKUP($B642,'(勿動)組件目錄表'!$D$15:$R$1094,10,FALSE),"-")</f>
        <v>-</v>
      </c>
      <c r="J642" s="11" t="str">
        <f>IFERROR(VLOOKUP($B642,'(勿動)組件目錄表'!$D$15:$R$1094,11,FALSE),"-")</f>
        <v>-</v>
      </c>
      <c r="K642" s="11" t="str">
        <f>IFERROR(VLOOKUP($B642,'(勿動)組件目錄表'!$D$15:$R$1094,12,FALSE),"-")</f>
        <v>-</v>
      </c>
      <c r="L642" s="11" t="str">
        <f>IFERROR(VLOOKUP($B642,'(勿動)組件目錄表'!$D$15:$R$1094,13,FALSE),"-")</f>
        <v>-</v>
      </c>
      <c r="M642" s="11" t="str">
        <f>IFERROR(VLOOKUP($B642,'(勿動)組件目錄表'!$D$15:$R$1094,14,FALSE),"-")</f>
        <v>-</v>
      </c>
      <c r="N642" s="15">
        <f t="shared" si="3"/>
        <v>0</v>
      </c>
      <c r="O642" s="16"/>
    </row>
    <row r="643" spans="1:15" ht="15.75" customHeight="1">
      <c r="A643" s="18"/>
      <c r="B643" s="7"/>
      <c r="C643" s="8" t="str">
        <f>IFERROR(VLOOKUP($B643,'(勿動)組件目錄表'!$D$15:$R$1094,2,FALSE),"-")</f>
        <v>-</v>
      </c>
      <c r="D643" s="8" t="str">
        <f>IFERROR(VLOOKUP($B643,'(勿動)組件目錄表'!$D$15:$R$1094,3,FALSE),"-")</f>
        <v>-</v>
      </c>
      <c r="E643" s="9" t="str">
        <f>IFERROR(VLOOKUP($B643,'(勿動)組件目錄表'!$D$15:$R$1094,4,FALSE),"-")</f>
        <v>-</v>
      </c>
      <c r="F643" s="10" t="str">
        <f>IFERROR(VLOOKUP($B643,'(勿動)組件目錄表'!$D$15:$R$1094,5,FALSE),"-")</f>
        <v>-</v>
      </c>
      <c r="G643" s="11" t="str">
        <f>IFERROR(VLOOKUP($B643,'(勿動)組件目錄表'!$D$15:$R$1094,8,FALSE),"-")</f>
        <v>-</v>
      </c>
      <c r="H643" s="11" t="str">
        <f>IFERROR(VLOOKUP($B643,'(勿動)組件目錄表'!$D$15:$R$1094,9,FALSE),"-")</f>
        <v>-</v>
      </c>
      <c r="I643" s="11" t="str">
        <f>IFERROR(VLOOKUP($B643,'(勿動)組件目錄表'!$D$15:$R$1094,10,FALSE),"-")</f>
        <v>-</v>
      </c>
      <c r="J643" s="11" t="str">
        <f>IFERROR(VLOOKUP($B643,'(勿動)組件目錄表'!$D$15:$R$1094,11,FALSE),"-")</f>
        <v>-</v>
      </c>
      <c r="K643" s="11" t="str">
        <f>IFERROR(VLOOKUP($B643,'(勿動)組件目錄表'!$D$15:$R$1094,12,FALSE),"-")</f>
        <v>-</v>
      </c>
      <c r="L643" s="11" t="str">
        <f>IFERROR(VLOOKUP($B643,'(勿動)組件目錄表'!$D$15:$R$1094,13,FALSE),"-")</f>
        <v>-</v>
      </c>
      <c r="M643" s="11" t="str">
        <f>IFERROR(VLOOKUP($B643,'(勿動)組件目錄表'!$D$15:$R$1094,14,FALSE),"-")</f>
        <v>-</v>
      </c>
      <c r="N643" s="15">
        <f t="shared" si="3"/>
        <v>0</v>
      </c>
      <c r="O643" s="16"/>
    </row>
    <row r="644" spans="1:15" ht="15.75" customHeight="1">
      <c r="A644" s="18"/>
      <c r="B644" s="7"/>
      <c r="C644" s="8" t="str">
        <f>IFERROR(VLOOKUP($B644,'(勿動)組件目錄表'!$D$15:$R$1094,2,FALSE),"-")</f>
        <v>-</v>
      </c>
      <c r="D644" s="8" t="str">
        <f>IFERROR(VLOOKUP($B644,'(勿動)組件目錄表'!$D$15:$R$1094,3,FALSE),"-")</f>
        <v>-</v>
      </c>
      <c r="E644" s="9" t="str">
        <f>IFERROR(VLOOKUP($B644,'(勿動)組件目錄表'!$D$15:$R$1094,4,FALSE),"-")</f>
        <v>-</v>
      </c>
      <c r="F644" s="10" t="str">
        <f>IFERROR(VLOOKUP($B644,'(勿動)組件目錄表'!$D$15:$R$1094,5,FALSE),"-")</f>
        <v>-</v>
      </c>
      <c r="G644" s="11" t="str">
        <f>IFERROR(VLOOKUP($B644,'(勿動)組件目錄表'!$D$15:$R$1094,8,FALSE),"-")</f>
        <v>-</v>
      </c>
      <c r="H644" s="11" t="str">
        <f>IFERROR(VLOOKUP($B644,'(勿動)組件目錄表'!$D$15:$R$1094,9,FALSE),"-")</f>
        <v>-</v>
      </c>
      <c r="I644" s="11" t="str">
        <f>IFERROR(VLOOKUP($B644,'(勿動)組件目錄表'!$D$15:$R$1094,10,FALSE),"-")</f>
        <v>-</v>
      </c>
      <c r="J644" s="11" t="str">
        <f>IFERROR(VLOOKUP($B644,'(勿動)組件目錄表'!$D$15:$R$1094,11,FALSE),"-")</f>
        <v>-</v>
      </c>
      <c r="K644" s="11" t="str">
        <f>IFERROR(VLOOKUP($B644,'(勿動)組件目錄表'!$D$15:$R$1094,12,FALSE),"-")</f>
        <v>-</v>
      </c>
      <c r="L644" s="11" t="str">
        <f>IFERROR(VLOOKUP($B644,'(勿動)組件目錄表'!$D$15:$R$1094,13,FALSE),"-")</f>
        <v>-</v>
      </c>
      <c r="M644" s="11" t="str">
        <f>IFERROR(VLOOKUP($B644,'(勿動)組件目錄表'!$D$15:$R$1094,14,FALSE),"-")</f>
        <v>-</v>
      </c>
      <c r="N644" s="15">
        <f t="shared" si="3"/>
        <v>0</v>
      </c>
      <c r="O644" s="16"/>
    </row>
    <row r="645" spans="1:15" ht="15.75" customHeight="1">
      <c r="A645" s="18"/>
      <c r="B645" s="7"/>
      <c r="C645" s="8" t="str">
        <f>IFERROR(VLOOKUP($B645,'(勿動)組件目錄表'!$D$15:$R$1094,2,FALSE),"-")</f>
        <v>-</v>
      </c>
      <c r="D645" s="8" t="str">
        <f>IFERROR(VLOOKUP($B645,'(勿動)組件目錄表'!$D$15:$R$1094,3,FALSE),"-")</f>
        <v>-</v>
      </c>
      <c r="E645" s="9" t="str">
        <f>IFERROR(VLOOKUP($B645,'(勿動)組件目錄表'!$D$15:$R$1094,4,FALSE),"-")</f>
        <v>-</v>
      </c>
      <c r="F645" s="10" t="str">
        <f>IFERROR(VLOOKUP($B645,'(勿動)組件目錄表'!$D$15:$R$1094,5,FALSE),"-")</f>
        <v>-</v>
      </c>
      <c r="G645" s="11" t="str">
        <f>IFERROR(VLOOKUP($B645,'(勿動)組件目錄表'!$D$15:$R$1094,8,FALSE),"-")</f>
        <v>-</v>
      </c>
      <c r="H645" s="11" t="str">
        <f>IFERROR(VLOOKUP($B645,'(勿動)組件目錄表'!$D$15:$R$1094,9,FALSE),"-")</f>
        <v>-</v>
      </c>
      <c r="I645" s="11" t="str">
        <f>IFERROR(VLOOKUP($B645,'(勿動)組件目錄表'!$D$15:$R$1094,10,FALSE),"-")</f>
        <v>-</v>
      </c>
      <c r="J645" s="11" t="str">
        <f>IFERROR(VLOOKUP($B645,'(勿動)組件目錄表'!$D$15:$R$1094,11,FALSE),"-")</f>
        <v>-</v>
      </c>
      <c r="K645" s="11" t="str">
        <f>IFERROR(VLOOKUP($B645,'(勿動)組件目錄表'!$D$15:$R$1094,12,FALSE),"-")</f>
        <v>-</v>
      </c>
      <c r="L645" s="11" t="str">
        <f>IFERROR(VLOOKUP($B645,'(勿動)組件目錄表'!$D$15:$R$1094,13,FALSE),"-")</f>
        <v>-</v>
      </c>
      <c r="M645" s="11" t="str">
        <f>IFERROR(VLOOKUP($B645,'(勿動)組件目錄表'!$D$15:$R$1094,14,FALSE),"-")</f>
        <v>-</v>
      </c>
      <c r="N645" s="15">
        <f t="shared" si="3"/>
        <v>0</v>
      </c>
      <c r="O645" s="16"/>
    </row>
    <row r="646" spans="1:15" ht="15.75" customHeight="1">
      <c r="A646" s="18"/>
      <c r="B646" s="7"/>
      <c r="C646" s="8" t="str">
        <f>IFERROR(VLOOKUP($B646,'(勿動)組件目錄表'!$D$15:$R$1094,2,FALSE),"-")</f>
        <v>-</v>
      </c>
      <c r="D646" s="8" t="str">
        <f>IFERROR(VLOOKUP($B646,'(勿動)組件目錄表'!$D$15:$R$1094,3,FALSE),"-")</f>
        <v>-</v>
      </c>
      <c r="E646" s="9" t="str">
        <f>IFERROR(VLOOKUP($B646,'(勿動)組件目錄表'!$D$15:$R$1094,4,FALSE),"-")</f>
        <v>-</v>
      </c>
      <c r="F646" s="10" t="str">
        <f>IFERROR(VLOOKUP($B646,'(勿動)組件目錄表'!$D$15:$R$1094,5,FALSE),"-")</f>
        <v>-</v>
      </c>
      <c r="G646" s="11" t="str">
        <f>IFERROR(VLOOKUP($B646,'(勿動)組件目錄表'!$D$15:$R$1094,8,FALSE),"-")</f>
        <v>-</v>
      </c>
      <c r="H646" s="11" t="str">
        <f>IFERROR(VLOOKUP($B646,'(勿動)組件目錄表'!$D$15:$R$1094,9,FALSE),"-")</f>
        <v>-</v>
      </c>
      <c r="I646" s="11" t="str">
        <f>IFERROR(VLOOKUP($B646,'(勿動)組件目錄表'!$D$15:$R$1094,10,FALSE),"-")</f>
        <v>-</v>
      </c>
      <c r="J646" s="11" t="str">
        <f>IFERROR(VLOOKUP($B646,'(勿動)組件目錄表'!$D$15:$R$1094,11,FALSE),"-")</f>
        <v>-</v>
      </c>
      <c r="K646" s="11" t="str">
        <f>IFERROR(VLOOKUP($B646,'(勿動)組件目錄表'!$D$15:$R$1094,12,FALSE),"-")</f>
        <v>-</v>
      </c>
      <c r="L646" s="11" t="str">
        <f>IFERROR(VLOOKUP($B646,'(勿動)組件目錄表'!$D$15:$R$1094,13,FALSE),"-")</f>
        <v>-</v>
      </c>
      <c r="M646" s="11" t="str">
        <f>IFERROR(VLOOKUP($B646,'(勿動)組件目錄表'!$D$15:$R$1094,14,FALSE),"-")</f>
        <v>-</v>
      </c>
      <c r="N646" s="15">
        <f t="shared" si="3"/>
        <v>0</v>
      </c>
      <c r="O646" s="16"/>
    </row>
    <row r="647" spans="1:15" ht="15.75" customHeight="1">
      <c r="A647" s="18"/>
      <c r="B647" s="7"/>
      <c r="C647" s="8" t="str">
        <f>IFERROR(VLOOKUP($B647,'(勿動)組件目錄表'!$D$15:$R$1094,2,FALSE),"-")</f>
        <v>-</v>
      </c>
      <c r="D647" s="8" t="str">
        <f>IFERROR(VLOOKUP($B647,'(勿動)組件目錄表'!$D$15:$R$1094,3,FALSE),"-")</f>
        <v>-</v>
      </c>
      <c r="E647" s="9" t="str">
        <f>IFERROR(VLOOKUP($B647,'(勿動)組件目錄表'!$D$15:$R$1094,4,FALSE),"-")</f>
        <v>-</v>
      </c>
      <c r="F647" s="10" t="str">
        <f>IFERROR(VLOOKUP($B647,'(勿動)組件目錄表'!$D$15:$R$1094,5,FALSE),"-")</f>
        <v>-</v>
      </c>
      <c r="G647" s="11" t="str">
        <f>IFERROR(VLOOKUP($B647,'(勿動)組件目錄表'!$D$15:$R$1094,8,FALSE),"-")</f>
        <v>-</v>
      </c>
      <c r="H647" s="11" t="str">
        <f>IFERROR(VLOOKUP($B647,'(勿動)組件目錄表'!$D$15:$R$1094,9,FALSE),"-")</f>
        <v>-</v>
      </c>
      <c r="I647" s="11" t="str">
        <f>IFERROR(VLOOKUP($B647,'(勿動)組件目錄表'!$D$15:$R$1094,10,FALSE),"-")</f>
        <v>-</v>
      </c>
      <c r="J647" s="11" t="str">
        <f>IFERROR(VLOOKUP($B647,'(勿動)組件目錄表'!$D$15:$R$1094,11,FALSE),"-")</f>
        <v>-</v>
      </c>
      <c r="K647" s="11" t="str">
        <f>IFERROR(VLOOKUP($B647,'(勿動)組件目錄表'!$D$15:$R$1094,12,FALSE),"-")</f>
        <v>-</v>
      </c>
      <c r="L647" s="11" t="str">
        <f>IFERROR(VLOOKUP($B647,'(勿動)組件目錄表'!$D$15:$R$1094,13,FALSE),"-")</f>
        <v>-</v>
      </c>
      <c r="M647" s="11" t="str">
        <f>IFERROR(VLOOKUP($B647,'(勿動)組件目錄表'!$D$15:$R$1094,14,FALSE),"-")</f>
        <v>-</v>
      </c>
      <c r="N647" s="15">
        <f t="shared" si="3"/>
        <v>0</v>
      </c>
      <c r="O647" s="16"/>
    </row>
    <row r="648" spans="1:15" ht="15.75" customHeight="1">
      <c r="A648" s="18"/>
      <c r="B648" s="7"/>
      <c r="C648" s="8" t="str">
        <f>IFERROR(VLOOKUP($B648,'(勿動)組件目錄表'!$D$15:$R$1094,2,FALSE),"-")</f>
        <v>-</v>
      </c>
      <c r="D648" s="8" t="str">
        <f>IFERROR(VLOOKUP($B648,'(勿動)組件目錄表'!$D$15:$R$1094,3,FALSE),"-")</f>
        <v>-</v>
      </c>
      <c r="E648" s="9" t="str">
        <f>IFERROR(VLOOKUP($B648,'(勿動)組件目錄表'!$D$15:$R$1094,4,FALSE),"-")</f>
        <v>-</v>
      </c>
      <c r="F648" s="10" t="str">
        <f>IFERROR(VLOOKUP($B648,'(勿動)組件目錄表'!$D$15:$R$1094,5,FALSE),"-")</f>
        <v>-</v>
      </c>
      <c r="G648" s="11" t="str">
        <f>IFERROR(VLOOKUP($B648,'(勿動)組件目錄表'!$D$15:$R$1094,8,FALSE),"-")</f>
        <v>-</v>
      </c>
      <c r="H648" s="11" t="str">
        <f>IFERROR(VLOOKUP($B648,'(勿動)組件目錄表'!$D$15:$R$1094,9,FALSE),"-")</f>
        <v>-</v>
      </c>
      <c r="I648" s="11" t="str">
        <f>IFERROR(VLOOKUP($B648,'(勿動)組件目錄表'!$D$15:$R$1094,10,FALSE),"-")</f>
        <v>-</v>
      </c>
      <c r="J648" s="11" t="str">
        <f>IFERROR(VLOOKUP($B648,'(勿動)組件目錄表'!$D$15:$R$1094,11,FALSE),"-")</f>
        <v>-</v>
      </c>
      <c r="K648" s="11" t="str">
        <f>IFERROR(VLOOKUP($B648,'(勿動)組件目錄表'!$D$15:$R$1094,12,FALSE),"-")</f>
        <v>-</v>
      </c>
      <c r="L648" s="11" t="str">
        <f>IFERROR(VLOOKUP($B648,'(勿動)組件目錄表'!$D$15:$R$1094,13,FALSE),"-")</f>
        <v>-</v>
      </c>
      <c r="M648" s="11" t="str">
        <f>IFERROR(VLOOKUP($B648,'(勿動)組件目錄表'!$D$15:$R$1094,14,FALSE),"-")</f>
        <v>-</v>
      </c>
      <c r="N648" s="15">
        <f t="shared" si="3"/>
        <v>0</v>
      </c>
      <c r="O648" s="16"/>
    </row>
    <row r="649" spans="1:15" ht="15.75" customHeight="1">
      <c r="A649" s="18"/>
      <c r="B649" s="7"/>
      <c r="C649" s="8" t="str">
        <f>IFERROR(VLOOKUP($B649,'(勿動)組件目錄表'!$D$15:$R$1094,2,FALSE),"-")</f>
        <v>-</v>
      </c>
      <c r="D649" s="8" t="str">
        <f>IFERROR(VLOOKUP($B649,'(勿動)組件目錄表'!$D$15:$R$1094,3,FALSE),"-")</f>
        <v>-</v>
      </c>
      <c r="E649" s="9" t="str">
        <f>IFERROR(VLOOKUP($B649,'(勿動)組件目錄表'!$D$15:$R$1094,4,FALSE),"-")</f>
        <v>-</v>
      </c>
      <c r="F649" s="10" t="str">
        <f>IFERROR(VLOOKUP($B649,'(勿動)組件目錄表'!$D$15:$R$1094,5,FALSE),"-")</f>
        <v>-</v>
      </c>
      <c r="G649" s="11" t="str">
        <f>IFERROR(VLOOKUP($B649,'(勿動)組件目錄表'!$D$15:$R$1094,8,FALSE),"-")</f>
        <v>-</v>
      </c>
      <c r="H649" s="11" t="str">
        <f>IFERROR(VLOOKUP($B649,'(勿動)組件目錄表'!$D$15:$R$1094,9,FALSE),"-")</f>
        <v>-</v>
      </c>
      <c r="I649" s="11" t="str">
        <f>IFERROR(VLOOKUP($B649,'(勿動)組件目錄表'!$D$15:$R$1094,10,FALSE),"-")</f>
        <v>-</v>
      </c>
      <c r="J649" s="11" t="str">
        <f>IFERROR(VLOOKUP($B649,'(勿動)組件目錄表'!$D$15:$R$1094,11,FALSE),"-")</f>
        <v>-</v>
      </c>
      <c r="K649" s="11" t="str">
        <f>IFERROR(VLOOKUP($B649,'(勿動)組件目錄表'!$D$15:$R$1094,12,FALSE),"-")</f>
        <v>-</v>
      </c>
      <c r="L649" s="11" t="str">
        <f>IFERROR(VLOOKUP($B649,'(勿動)組件目錄表'!$D$15:$R$1094,13,FALSE),"-")</f>
        <v>-</v>
      </c>
      <c r="M649" s="11" t="str">
        <f>IFERROR(VLOOKUP($B649,'(勿動)組件目錄表'!$D$15:$R$1094,14,FALSE),"-")</f>
        <v>-</v>
      </c>
      <c r="N649" s="15">
        <f t="shared" si="3"/>
        <v>0</v>
      </c>
      <c r="O649" s="16"/>
    </row>
    <row r="650" spans="1:15" ht="15.75" customHeight="1">
      <c r="A650" s="18"/>
      <c r="B650" s="7"/>
      <c r="C650" s="8" t="str">
        <f>IFERROR(VLOOKUP($B650,'(勿動)組件目錄表'!$D$15:$R$1094,2,FALSE),"-")</f>
        <v>-</v>
      </c>
      <c r="D650" s="8" t="str">
        <f>IFERROR(VLOOKUP($B650,'(勿動)組件目錄表'!$D$15:$R$1094,3,FALSE),"-")</f>
        <v>-</v>
      </c>
      <c r="E650" s="9" t="str">
        <f>IFERROR(VLOOKUP($B650,'(勿動)組件目錄表'!$D$15:$R$1094,4,FALSE),"-")</f>
        <v>-</v>
      </c>
      <c r="F650" s="10" t="str">
        <f>IFERROR(VLOOKUP($B650,'(勿動)組件目錄表'!$D$15:$R$1094,5,FALSE),"-")</f>
        <v>-</v>
      </c>
      <c r="G650" s="11" t="str">
        <f>IFERROR(VLOOKUP($B650,'(勿動)組件目錄表'!$D$15:$R$1094,8,FALSE),"-")</f>
        <v>-</v>
      </c>
      <c r="H650" s="11" t="str">
        <f>IFERROR(VLOOKUP($B650,'(勿動)組件目錄表'!$D$15:$R$1094,9,FALSE),"-")</f>
        <v>-</v>
      </c>
      <c r="I650" s="11" t="str">
        <f>IFERROR(VLOOKUP($B650,'(勿動)組件目錄表'!$D$15:$R$1094,10,FALSE),"-")</f>
        <v>-</v>
      </c>
      <c r="J650" s="11" t="str">
        <f>IFERROR(VLOOKUP($B650,'(勿動)組件目錄表'!$D$15:$R$1094,11,FALSE),"-")</f>
        <v>-</v>
      </c>
      <c r="K650" s="11" t="str">
        <f>IFERROR(VLOOKUP($B650,'(勿動)組件目錄表'!$D$15:$R$1094,12,FALSE),"-")</f>
        <v>-</v>
      </c>
      <c r="L650" s="11" t="str">
        <f>IFERROR(VLOOKUP($B650,'(勿動)組件目錄表'!$D$15:$R$1094,13,FALSE),"-")</f>
        <v>-</v>
      </c>
      <c r="M650" s="11" t="str">
        <f>IFERROR(VLOOKUP($B650,'(勿動)組件目錄表'!$D$15:$R$1094,14,FALSE),"-")</f>
        <v>-</v>
      </c>
      <c r="N650" s="15">
        <f t="shared" si="3"/>
        <v>0</v>
      </c>
      <c r="O650" s="16"/>
    </row>
    <row r="651" spans="1:15" ht="15.75" customHeight="1">
      <c r="A651" s="18"/>
      <c r="B651" s="7"/>
      <c r="C651" s="8" t="str">
        <f>IFERROR(VLOOKUP($B651,'(勿動)組件目錄表'!$D$15:$R$1094,2,FALSE),"-")</f>
        <v>-</v>
      </c>
      <c r="D651" s="8" t="str">
        <f>IFERROR(VLOOKUP($B651,'(勿動)組件目錄表'!$D$15:$R$1094,3,FALSE),"-")</f>
        <v>-</v>
      </c>
      <c r="E651" s="9" t="str">
        <f>IFERROR(VLOOKUP($B651,'(勿動)組件目錄表'!$D$15:$R$1094,4,FALSE),"-")</f>
        <v>-</v>
      </c>
      <c r="F651" s="10" t="str">
        <f>IFERROR(VLOOKUP($B651,'(勿動)組件目錄表'!$D$15:$R$1094,5,FALSE),"-")</f>
        <v>-</v>
      </c>
      <c r="G651" s="11" t="str">
        <f>IFERROR(VLOOKUP($B651,'(勿動)組件目錄表'!$D$15:$R$1094,8,FALSE),"-")</f>
        <v>-</v>
      </c>
      <c r="H651" s="11" t="str">
        <f>IFERROR(VLOOKUP($B651,'(勿動)組件目錄表'!$D$15:$R$1094,9,FALSE),"-")</f>
        <v>-</v>
      </c>
      <c r="I651" s="11" t="str">
        <f>IFERROR(VLOOKUP($B651,'(勿動)組件目錄表'!$D$15:$R$1094,10,FALSE),"-")</f>
        <v>-</v>
      </c>
      <c r="J651" s="11" t="str">
        <f>IFERROR(VLOOKUP($B651,'(勿動)組件目錄表'!$D$15:$R$1094,11,FALSE),"-")</f>
        <v>-</v>
      </c>
      <c r="K651" s="11" t="str">
        <f>IFERROR(VLOOKUP($B651,'(勿動)組件目錄表'!$D$15:$R$1094,12,FALSE),"-")</f>
        <v>-</v>
      </c>
      <c r="L651" s="11" t="str">
        <f>IFERROR(VLOOKUP($B651,'(勿動)組件目錄表'!$D$15:$R$1094,13,FALSE),"-")</f>
        <v>-</v>
      </c>
      <c r="M651" s="11" t="str">
        <f>IFERROR(VLOOKUP($B651,'(勿動)組件目錄表'!$D$15:$R$1094,14,FALSE),"-")</f>
        <v>-</v>
      </c>
      <c r="N651" s="15">
        <f t="shared" si="3"/>
        <v>0</v>
      </c>
      <c r="O651" s="16"/>
    </row>
    <row r="652" spans="1:15" ht="15.75" customHeight="1">
      <c r="A652" s="18"/>
      <c r="B652" s="7"/>
      <c r="C652" s="8" t="str">
        <f>IFERROR(VLOOKUP($B652,'(勿動)組件目錄表'!$D$15:$R$1094,2,FALSE),"-")</f>
        <v>-</v>
      </c>
      <c r="D652" s="8" t="str">
        <f>IFERROR(VLOOKUP($B652,'(勿動)組件目錄表'!$D$15:$R$1094,3,FALSE),"-")</f>
        <v>-</v>
      </c>
      <c r="E652" s="9" t="str">
        <f>IFERROR(VLOOKUP($B652,'(勿動)組件目錄表'!$D$15:$R$1094,4,FALSE),"-")</f>
        <v>-</v>
      </c>
      <c r="F652" s="10" t="str">
        <f>IFERROR(VLOOKUP($B652,'(勿動)組件目錄表'!$D$15:$R$1094,5,FALSE),"-")</f>
        <v>-</v>
      </c>
      <c r="G652" s="11" t="str">
        <f>IFERROR(VLOOKUP($B652,'(勿動)組件目錄表'!$D$15:$R$1094,8,FALSE),"-")</f>
        <v>-</v>
      </c>
      <c r="H652" s="11" t="str">
        <f>IFERROR(VLOOKUP($B652,'(勿動)組件目錄表'!$D$15:$R$1094,9,FALSE),"-")</f>
        <v>-</v>
      </c>
      <c r="I652" s="11" t="str">
        <f>IFERROR(VLOOKUP($B652,'(勿動)組件目錄表'!$D$15:$R$1094,10,FALSE),"-")</f>
        <v>-</v>
      </c>
      <c r="J652" s="11" t="str">
        <f>IFERROR(VLOOKUP($B652,'(勿動)組件目錄表'!$D$15:$R$1094,11,FALSE),"-")</f>
        <v>-</v>
      </c>
      <c r="K652" s="11" t="str">
        <f>IFERROR(VLOOKUP($B652,'(勿動)組件目錄表'!$D$15:$R$1094,12,FALSE),"-")</f>
        <v>-</v>
      </c>
      <c r="L652" s="11" t="str">
        <f>IFERROR(VLOOKUP($B652,'(勿動)組件目錄表'!$D$15:$R$1094,13,FALSE),"-")</f>
        <v>-</v>
      </c>
      <c r="M652" s="11" t="str">
        <f>IFERROR(VLOOKUP($B652,'(勿動)組件目錄表'!$D$15:$R$1094,14,FALSE),"-")</f>
        <v>-</v>
      </c>
      <c r="N652" s="15">
        <f t="shared" si="3"/>
        <v>0</v>
      </c>
      <c r="O652" s="16"/>
    </row>
    <row r="653" spans="1:15" ht="15.75" customHeight="1">
      <c r="A653" s="18"/>
      <c r="B653" s="7"/>
      <c r="C653" s="8" t="str">
        <f>IFERROR(VLOOKUP($B653,'(勿動)組件目錄表'!$D$15:$R$1094,2,FALSE),"-")</f>
        <v>-</v>
      </c>
      <c r="D653" s="8" t="str">
        <f>IFERROR(VLOOKUP($B653,'(勿動)組件目錄表'!$D$15:$R$1094,3,FALSE),"-")</f>
        <v>-</v>
      </c>
      <c r="E653" s="9" t="str">
        <f>IFERROR(VLOOKUP($B653,'(勿動)組件目錄表'!$D$15:$R$1094,4,FALSE),"-")</f>
        <v>-</v>
      </c>
      <c r="F653" s="10" t="str">
        <f>IFERROR(VLOOKUP($B653,'(勿動)組件目錄表'!$D$15:$R$1094,5,FALSE),"-")</f>
        <v>-</v>
      </c>
      <c r="G653" s="11" t="str">
        <f>IFERROR(VLOOKUP($B653,'(勿動)組件目錄表'!$D$15:$R$1094,8,FALSE),"-")</f>
        <v>-</v>
      </c>
      <c r="H653" s="11" t="str">
        <f>IFERROR(VLOOKUP($B653,'(勿動)組件目錄表'!$D$15:$R$1094,9,FALSE),"-")</f>
        <v>-</v>
      </c>
      <c r="I653" s="11" t="str">
        <f>IFERROR(VLOOKUP($B653,'(勿動)組件目錄表'!$D$15:$R$1094,10,FALSE),"-")</f>
        <v>-</v>
      </c>
      <c r="J653" s="11" t="str">
        <f>IFERROR(VLOOKUP($B653,'(勿動)組件目錄表'!$D$15:$R$1094,11,FALSE),"-")</f>
        <v>-</v>
      </c>
      <c r="K653" s="11" t="str">
        <f>IFERROR(VLOOKUP($B653,'(勿動)組件目錄表'!$D$15:$R$1094,12,FALSE),"-")</f>
        <v>-</v>
      </c>
      <c r="L653" s="11" t="str">
        <f>IFERROR(VLOOKUP($B653,'(勿動)組件目錄表'!$D$15:$R$1094,13,FALSE),"-")</f>
        <v>-</v>
      </c>
      <c r="M653" s="11" t="str">
        <f>IFERROR(VLOOKUP($B653,'(勿動)組件目錄表'!$D$15:$R$1094,14,FALSE),"-")</f>
        <v>-</v>
      </c>
      <c r="N653" s="15">
        <f t="shared" si="3"/>
        <v>0</v>
      </c>
      <c r="O653" s="16"/>
    </row>
    <row r="654" spans="1:15" ht="15.75" customHeight="1">
      <c r="A654" s="18"/>
      <c r="B654" s="7"/>
      <c r="C654" s="8" t="str">
        <f>IFERROR(VLOOKUP($B654,'(勿動)組件目錄表'!$D$15:$R$1094,2,FALSE),"-")</f>
        <v>-</v>
      </c>
      <c r="D654" s="8" t="str">
        <f>IFERROR(VLOOKUP($B654,'(勿動)組件目錄表'!$D$15:$R$1094,3,FALSE),"-")</f>
        <v>-</v>
      </c>
      <c r="E654" s="9" t="str">
        <f>IFERROR(VLOOKUP($B654,'(勿動)組件目錄表'!$D$15:$R$1094,4,FALSE),"-")</f>
        <v>-</v>
      </c>
      <c r="F654" s="10" t="str">
        <f>IFERROR(VLOOKUP($B654,'(勿動)組件目錄表'!$D$15:$R$1094,5,FALSE),"-")</f>
        <v>-</v>
      </c>
      <c r="G654" s="11" t="str">
        <f>IFERROR(VLOOKUP($B654,'(勿動)組件目錄表'!$D$15:$R$1094,8,FALSE),"-")</f>
        <v>-</v>
      </c>
      <c r="H654" s="11" t="str">
        <f>IFERROR(VLOOKUP($B654,'(勿動)組件目錄表'!$D$15:$R$1094,9,FALSE),"-")</f>
        <v>-</v>
      </c>
      <c r="I654" s="11" t="str">
        <f>IFERROR(VLOOKUP($B654,'(勿動)組件目錄表'!$D$15:$R$1094,10,FALSE),"-")</f>
        <v>-</v>
      </c>
      <c r="J654" s="11" t="str">
        <f>IFERROR(VLOOKUP($B654,'(勿動)組件目錄表'!$D$15:$R$1094,11,FALSE),"-")</f>
        <v>-</v>
      </c>
      <c r="K654" s="11" t="str">
        <f>IFERROR(VLOOKUP($B654,'(勿動)組件目錄表'!$D$15:$R$1094,12,FALSE),"-")</f>
        <v>-</v>
      </c>
      <c r="L654" s="11" t="str">
        <f>IFERROR(VLOOKUP($B654,'(勿動)組件目錄表'!$D$15:$R$1094,13,FALSE),"-")</f>
        <v>-</v>
      </c>
      <c r="M654" s="11" t="str">
        <f>IFERROR(VLOOKUP($B654,'(勿動)組件目錄表'!$D$15:$R$1094,14,FALSE),"-")</f>
        <v>-</v>
      </c>
      <c r="N654" s="15">
        <f t="shared" si="3"/>
        <v>0</v>
      </c>
      <c r="O654" s="16"/>
    </row>
    <row r="655" spans="1:15" ht="15.75" customHeight="1">
      <c r="A655" s="18"/>
      <c r="B655" s="7"/>
      <c r="C655" s="8" t="str">
        <f>IFERROR(VLOOKUP($B655,'(勿動)組件目錄表'!$D$15:$R$1094,2,FALSE),"-")</f>
        <v>-</v>
      </c>
      <c r="D655" s="8" t="str">
        <f>IFERROR(VLOOKUP($B655,'(勿動)組件目錄表'!$D$15:$R$1094,3,FALSE),"-")</f>
        <v>-</v>
      </c>
      <c r="E655" s="9" t="str">
        <f>IFERROR(VLOOKUP($B655,'(勿動)組件目錄表'!$D$15:$R$1094,4,FALSE),"-")</f>
        <v>-</v>
      </c>
      <c r="F655" s="10" t="str">
        <f>IFERROR(VLOOKUP($B655,'(勿動)組件目錄表'!$D$15:$R$1094,5,FALSE),"-")</f>
        <v>-</v>
      </c>
      <c r="G655" s="11" t="str">
        <f>IFERROR(VLOOKUP($B655,'(勿動)組件目錄表'!$D$15:$R$1094,8,FALSE),"-")</f>
        <v>-</v>
      </c>
      <c r="H655" s="11" t="str">
        <f>IFERROR(VLOOKUP($B655,'(勿動)組件目錄表'!$D$15:$R$1094,9,FALSE),"-")</f>
        <v>-</v>
      </c>
      <c r="I655" s="11" t="str">
        <f>IFERROR(VLOOKUP($B655,'(勿動)組件目錄表'!$D$15:$R$1094,10,FALSE),"-")</f>
        <v>-</v>
      </c>
      <c r="J655" s="11" t="str">
        <f>IFERROR(VLOOKUP($B655,'(勿動)組件目錄表'!$D$15:$R$1094,11,FALSE),"-")</f>
        <v>-</v>
      </c>
      <c r="K655" s="11" t="str">
        <f>IFERROR(VLOOKUP($B655,'(勿動)組件目錄表'!$D$15:$R$1094,12,FALSE),"-")</f>
        <v>-</v>
      </c>
      <c r="L655" s="11" t="str">
        <f>IFERROR(VLOOKUP($B655,'(勿動)組件目錄表'!$D$15:$R$1094,13,FALSE),"-")</f>
        <v>-</v>
      </c>
      <c r="M655" s="11" t="str">
        <f>IFERROR(VLOOKUP($B655,'(勿動)組件目錄表'!$D$15:$R$1094,14,FALSE),"-")</f>
        <v>-</v>
      </c>
      <c r="N655" s="15">
        <f t="shared" si="3"/>
        <v>0</v>
      </c>
      <c r="O655" s="16"/>
    </row>
    <row r="656" spans="1:15" ht="15.75" customHeight="1">
      <c r="A656" s="18"/>
      <c r="B656" s="7"/>
      <c r="C656" s="8" t="str">
        <f>IFERROR(VLOOKUP($B656,'(勿動)組件目錄表'!$D$15:$R$1094,2,FALSE),"-")</f>
        <v>-</v>
      </c>
      <c r="D656" s="8" t="str">
        <f>IFERROR(VLOOKUP($B656,'(勿動)組件目錄表'!$D$15:$R$1094,3,FALSE),"-")</f>
        <v>-</v>
      </c>
      <c r="E656" s="9" t="str">
        <f>IFERROR(VLOOKUP($B656,'(勿動)組件目錄表'!$D$15:$R$1094,4,FALSE),"-")</f>
        <v>-</v>
      </c>
      <c r="F656" s="10" t="str">
        <f>IFERROR(VLOOKUP($B656,'(勿動)組件目錄表'!$D$15:$R$1094,5,FALSE),"-")</f>
        <v>-</v>
      </c>
      <c r="G656" s="11" t="str">
        <f>IFERROR(VLOOKUP($B656,'(勿動)組件目錄表'!$D$15:$R$1094,8,FALSE),"-")</f>
        <v>-</v>
      </c>
      <c r="H656" s="11" t="str">
        <f>IFERROR(VLOOKUP($B656,'(勿動)組件目錄表'!$D$15:$R$1094,9,FALSE),"-")</f>
        <v>-</v>
      </c>
      <c r="I656" s="11" t="str">
        <f>IFERROR(VLOOKUP($B656,'(勿動)組件目錄表'!$D$15:$R$1094,10,FALSE),"-")</f>
        <v>-</v>
      </c>
      <c r="J656" s="11" t="str">
        <f>IFERROR(VLOOKUP($B656,'(勿動)組件目錄表'!$D$15:$R$1094,11,FALSE),"-")</f>
        <v>-</v>
      </c>
      <c r="K656" s="11" t="str">
        <f>IFERROR(VLOOKUP($B656,'(勿動)組件目錄表'!$D$15:$R$1094,12,FALSE),"-")</f>
        <v>-</v>
      </c>
      <c r="L656" s="11" t="str">
        <f>IFERROR(VLOOKUP($B656,'(勿動)組件目錄表'!$D$15:$R$1094,13,FALSE),"-")</f>
        <v>-</v>
      </c>
      <c r="M656" s="11" t="str">
        <f>IFERROR(VLOOKUP($B656,'(勿動)組件目錄表'!$D$15:$R$1094,14,FALSE),"-")</f>
        <v>-</v>
      </c>
      <c r="N656" s="15">
        <f t="shared" si="3"/>
        <v>0</v>
      </c>
      <c r="O656" s="16"/>
    </row>
    <row r="657" spans="1:15" ht="15.75" customHeight="1">
      <c r="A657" s="18"/>
      <c r="B657" s="7"/>
      <c r="C657" s="8" t="str">
        <f>IFERROR(VLOOKUP($B657,'(勿動)組件目錄表'!$D$15:$R$1094,2,FALSE),"-")</f>
        <v>-</v>
      </c>
      <c r="D657" s="8" t="str">
        <f>IFERROR(VLOOKUP($B657,'(勿動)組件目錄表'!$D$15:$R$1094,3,FALSE),"-")</f>
        <v>-</v>
      </c>
      <c r="E657" s="9" t="str">
        <f>IFERROR(VLOOKUP($B657,'(勿動)組件目錄表'!$D$15:$R$1094,4,FALSE),"-")</f>
        <v>-</v>
      </c>
      <c r="F657" s="10" t="str">
        <f>IFERROR(VLOOKUP($B657,'(勿動)組件目錄表'!$D$15:$R$1094,5,FALSE),"-")</f>
        <v>-</v>
      </c>
      <c r="G657" s="11" t="str">
        <f>IFERROR(VLOOKUP($B657,'(勿動)組件目錄表'!$D$15:$R$1094,8,FALSE),"-")</f>
        <v>-</v>
      </c>
      <c r="H657" s="11" t="str">
        <f>IFERROR(VLOOKUP($B657,'(勿動)組件目錄表'!$D$15:$R$1094,9,FALSE),"-")</f>
        <v>-</v>
      </c>
      <c r="I657" s="11" t="str">
        <f>IFERROR(VLOOKUP($B657,'(勿動)組件目錄表'!$D$15:$R$1094,10,FALSE),"-")</f>
        <v>-</v>
      </c>
      <c r="J657" s="11" t="str">
        <f>IFERROR(VLOOKUP($B657,'(勿動)組件目錄表'!$D$15:$R$1094,11,FALSE),"-")</f>
        <v>-</v>
      </c>
      <c r="K657" s="11" t="str">
        <f>IFERROR(VLOOKUP($B657,'(勿動)組件目錄表'!$D$15:$R$1094,12,FALSE),"-")</f>
        <v>-</v>
      </c>
      <c r="L657" s="11" t="str">
        <f>IFERROR(VLOOKUP($B657,'(勿動)組件目錄表'!$D$15:$R$1094,13,FALSE),"-")</f>
        <v>-</v>
      </c>
      <c r="M657" s="11" t="str">
        <f>IFERROR(VLOOKUP($B657,'(勿動)組件目錄表'!$D$15:$R$1094,14,FALSE),"-")</f>
        <v>-</v>
      </c>
      <c r="N657" s="15">
        <f t="shared" si="3"/>
        <v>0</v>
      </c>
      <c r="O657" s="16"/>
    </row>
    <row r="658" spans="1:15" ht="15.75" customHeight="1">
      <c r="A658" s="18"/>
      <c r="B658" s="7"/>
      <c r="C658" s="8" t="str">
        <f>IFERROR(VLOOKUP($B658,'(勿動)組件目錄表'!$D$15:$R$1094,2,FALSE),"-")</f>
        <v>-</v>
      </c>
      <c r="D658" s="8" t="str">
        <f>IFERROR(VLOOKUP($B658,'(勿動)組件目錄表'!$D$15:$R$1094,3,FALSE),"-")</f>
        <v>-</v>
      </c>
      <c r="E658" s="9" t="str">
        <f>IFERROR(VLOOKUP($B658,'(勿動)組件目錄表'!$D$15:$R$1094,4,FALSE),"-")</f>
        <v>-</v>
      </c>
      <c r="F658" s="10" t="str">
        <f>IFERROR(VLOOKUP($B658,'(勿動)組件目錄表'!$D$15:$R$1094,5,FALSE),"-")</f>
        <v>-</v>
      </c>
      <c r="G658" s="11" t="str">
        <f>IFERROR(VLOOKUP($B658,'(勿動)組件目錄表'!$D$15:$R$1094,8,FALSE),"-")</f>
        <v>-</v>
      </c>
      <c r="H658" s="11" t="str">
        <f>IFERROR(VLOOKUP($B658,'(勿動)組件目錄表'!$D$15:$R$1094,9,FALSE),"-")</f>
        <v>-</v>
      </c>
      <c r="I658" s="11" t="str">
        <f>IFERROR(VLOOKUP($B658,'(勿動)組件目錄表'!$D$15:$R$1094,10,FALSE),"-")</f>
        <v>-</v>
      </c>
      <c r="J658" s="11" t="str">
        <f>IFERROR(VLOOKUP($B658,'(勿動)組件目錄表'!$D$15:$R$1094,11,FALSE),"-")</f>
        <v>-</v>
      </c>
      <c r="K658" s="11" t="str">
        <f>IFERROR(VLOOKUP($B658,'(勿動)組件目錄表'!$D$15:$R$1094,12,FALSE),"-")</f>
        <v>-</v>
      </c>
      <c r="L658" s="11" t="str">
        <f>IFERROR(VLOOKUP($B658,'(勿動)組件目錄表'!$D$15:$R$1094,13,FALSE),"-")</f>
        <v>-</v>
      </c>
      <c r="M658" s="11" t="str">
        <f>IFERROR(VLOOKUP($B658,'(勿動)組件目錄表'!$D$15:$R$1094,14,FALSE),"-")</f>
        <v>-</v>
      </c>
      <c r="N658" s="15">
        <f t="shared" si="3"/>
        <v>0</v>
      </c>
      <c r="O658" s="16"/>
    </row>
    <row r="659" spans="1:15" ht="15.75" customHeight="1">
      <c r="A659" s="18"/>
      <c r="B659" s="7"/>
      <c r="C659" s="8" t="str">
        <f>IFERROR(VLOOKUP($B659,'(勿動)組件目錄表'!$D$15:$R$1094,2,FALSE),"-")</f>
        <v>-</v>
      </c>
      <c r="D659" s="8" t="str">
        <f>IFERROR(VLOOKUP($B659,'(勿動)組件目錄表'!$D$15:$R$1094,3,FALSE),"-")</f>
        <v>-</v>
      </c>
      <c r="E659" s="9" t="str">
        <f>IFERROR(VLOOKUP($B659,'(勿動)組件目錄表'!$D$15:$R$1094,4,FALSE),"-")</f>
        <v>-</v>
      </c>
      <c r="F659" s="10" t="str">
        <f>IFERROR(VLOOKUP($B659,'(勿動)組件目錄表'!$D$15:$R$1094,5,FALSE),"-")</f>
        <v>-</v>
      </c>
      <c r="G659" s="11" t="str">
        <f>IFERROR(VLOOKUP($B659,'(勿動)組件目錄表'!$D$15:$R$1094,8,FALSE),"-")</f>
        <v>-</v>
      </c>
      <c r="H659" s="11" t="str">
        <f>IFERROR(VLOOKUP($B659,'(勿動)組件目錄表'!$D$15:$R$1094,9,FALSE),"-")</f>
        <v>-</v>
      </c>
      <c r="I659" s="11" t="str">
        <f>IFERROR(VLOOKUP($B659,'(勿動)組件目錄表'!$D$15:$R$1094,10,FALSE),"-")</f>
        <v>-</v>
      </c>
      <c r="J659" s="11" t="str">
        <f>IFERROR(VLOOKUP($B659,'(勿動)組件目錄表'!$D$15:$R$1094,11,FALSE),"-")</f>
        <v>-</v>
      </c>
      <c r="K659" s="11" t="str">
        <f>IFERROR(VLOOKUP($B659,'(勿動)組件目錄表'!$D$15:$R$1094,12,FALSE),"-")</f>
        <v>-</v>
      </c>
      <c r="L659" s="11" t="str">
        <f>IFERROR(VLOOKUP($B659,'(勿動)組件目錄表'!$D$15:$R$1094,13,FALSE),"-")</f>
        <v>-</v>
      </c>
      <c r="M659" s="11" t="str">
        <f>IFERROR(VLOOKUP($B659,'(勿動)組件目錄表'!$D$15:$R$1094,14,FALSE),"-")</f>
        <v>-</v>
      </c>
      <c r="N659" s="15">
        <f t="shared" si="3"/>
        <v>0</v>
      </c>
      <c r="O659" s="16"/>
    </row>
    <row r="660" spans="1:15" ht="15.75" customHeight="1">
      <c r="A660" s="18"/>
      <c r="B660" s="7"/>
      <c r="C660" s="8" t="str">
        <f>IFERROR(VLOOKUP($B660,'(勿動)組件目錄表'!$D$15:$R$1094,2,FALSE),"-")</f>
        <v>-</v>
      </c>
      <c r="D660" s="8" t="str">
        <f>IFERROR(VLOOKUP($B660,'(勿動)組件目錄表'!$D$15:$R$1094,3,FALSE),"-")</f>
        <v>-</v>
      </c>
      <c r="E660" s="9" t="str">
        <f>IFERROR(VLOOKUP($B660,'(勿動)組件目錄表'!$D$15:$R$1094,4,FALSE),"-")</f>
        <v>-</v>
      </c>
      <c r="F660" s="10" t="str">
        <f>IFERROR(VLOOKUP($B660,'(勿動)組件目錄表'!$D$15:$R$1094,5,FALSE),"-")</f>
        <v>-</v>
      </c>
      <c r="G660" s="11" t="str">
        <f>IFERROR(VLOOKUP($B660,'(勿動)組件目錄表'!$D$15:$R$1094,8,FALSE),"-")</f>
        <v>-</v>
      </c>
      <c r="H660" s="11" t="str">
        <f>IFERROR(VLOOKUP($B660,'(勿動)組件目錄表'!$D$15:$R$1094,9,FALSE),"-")</f>
        <v>-</v>
      </c>
      <c r="I660" s="11" t="str">
        <f>IFERROR(VLOOKUP($B660,'(勿動)組件目錄表'!$D$15:$R$1094,10,FALSE),"-")</f>
        <v>-</v>
      </c>
      <c r="J660" s="11" t="str">
        <f>IFERROR(VLOOKUP($B660,'(勿動)組件目錄表'!$D$15:$R$1094,11,FALSE),"-")</f>
        <v>-</v>
      </c>
      <c r="K660" s="11" t="str">
        <f>IFERROR(VLOOKUP($B660,'(勿動)組件目錄表'!$D$15:$R$1094,12,FALSE),"-")</f>
        <v>-</v>
      </c>
      <c r="L660" s="11" t="str">
        <f>IFERROR(VLOOKUP($B660,'(勿動)組件目錄表'!$D$15:$R$1094,13,FALSE),"-")</f>
        <v>-</v>
      </c>
      <c r="M660" s="11" t="str">
        <f>IFERROR(VLOOKUP($B660,'(勿動)組件目錄表'!$D$15:$R$1094,14,FALSE),"-")</f>
        <v>-</v>
      </c>
      <c r="N660" s="15">
        <f t="shared" si="3"/>
        <v>0</v>
      </c>
      <c r="O660" s="16"/>
    </row>
    <row r="661" spans="1:15" ht="15.75" customHeight="1">
      <c r="A661" s="18"/>
      <c r="B661" s="7"/>
      <c r="C661" s="8" t="str">
        <f>IFERROR(VLOOKUP($B661,'(勿動)組件目錄表'!$D$15:$R$1094,2,FALSE),"-")</f>
        <v>-</v>
      </c>
      <c r="D661" s="8" t="str">
        <f>IFERROR(VLOOKUP($B661,'(勿動)組件目錄表'!$D$15:$R$1094,3,FALSE),"-")</f>
        <v>-</v>
      </c>
      <c r="E661" s="9" t="str">
        <f>IFERROR(VLOOKUP($B661,'(勿動)組件目錄表'!$D$15:$R$1094,4,FALSE),"-")</f>
        <v>-</v>
      </c>
      <c r="F661" s="10" t="str">
        <f>IFERROR(VLOOKUP($B661,'(勿動)組件目錄表'!$D$15:$R$1094,5,FALSE),"-")</f>
        <v>-</v>
      </c>
      <c r="G661" s="11" t="str">
        <f>IFERROR(VLOOKUP($B661,'(勿動)組件目錄表'!$D$15:$R$1094,8,FALSE),"-")</f>
        <v>-</v>
      </c>
      <c r="H661" s="11" t="str">
        <f>IFERROR(VLOOKUP($B661,'(勿動)組件目錄表'!$D$15:$R$1094,9,FALSE),"-")</f>
        <v>-</v>
      </c>
      <c r="I661" s="11" t="str">
        <f>IFERROR(VLOOKUP($B661,'(勿動)組件目錄表'!$D$15:$R$1094,10,FALSE),"-")</f>
        <v>-</v>
      </c>
      <c r="J661" s="11" t="str">
        <f>IFERROR(VLOOKUP($B661,'(勿動)組件目錄表'!$D$15:$R$1094,11,FALSE),"-")</f>
        <v>-</v>
      </c>
      <c r="K661" s="11" t="str">
        <f>IFERROR(VLOOKUP($B661,'(勿動)組件目錄表'!$D$15:$R$1094,12,FALSE),"-")</f>
        <v>-</v>
      </c>
      <c r="L661" s="11" t="str">
        <f>IFERROR(VLOOKUP($B661,'(勿動)組件目錄表'!$D$15:$R$1094,13,FALSE),"-")</f>
        <v>-</v>
      </c>
      <c r="M661" s="11" t="str">
        <f>IFERROR(VLOOKUP($B661,'(勿動)組件目錄表'!$D$15:$R$1094,14,FALSE),"-")</f>
        <v>-</v>
      </c>
      <c r="N661" s="15">
        <f t="shared" si="3"/>
        <v>0</v>
      </c>
      <c r="O661" s="16"/>
    </row>
    <row r="662" spans="1:15" ht="15.75" customHeight="1">
      <c r="A662" s="18"/>
      <c r="B662" s="7"/>
      <c r="C662" s="8" t="str">
        <f>IFERROR(VLOOKUP($B662,'(勿動)組件目錄表'!$D$15:$R$1094,2,FALSE),"-")</f>
        <v>-</v>
      </c>
      <c r="D662" s="8" t="str">
        <f>IFERROR(VLOOKUP($B662,'(勿動)組件目錄表'!$D$15:$R$1094,3,FALSE),"-")</f>
        <v>-</v>
      </c>
      <c r="E662" s="9" t="str">
        <f>IFERROR(VLOOKUP($B662,'(勿動)組件目錄表'!$D$15:$R$1094,4,FALSE),"-")</f>
        <v>-</v>
      </c>
      <c r="F662" s="10" t="str">
        <f>IFERROR(VLOOKUP($B662,'(勿動)組件目錄表'!$D$15:$R$1094,5,FALSE),"-")</f>
        <v>-</v>
      </c>
      <c r="G662" s="11" t="str">
        <f>IFERROR(VLOOKUP($B662,'(勿動)組件目錄表'!$D$15:$R$1094,8,FALSE),"-")</f>
        <v>-</v>
      </c>
      <c r="H662" s="11" t="str">
        <f>IFERROR(VLOOKUP($B662,'(勿動)組件目錄表'!$D$15:$R$1094,9,FALSE),"-")</f>
        <v>-</v>
      </c>
      <c r="I662" s="11" t="str">
        <f>IFERROR(VLOOKUP($B662,'(勿動)組件目錄表'!$D$15:$R$1094,10,FALSE),"-")</f>
        <v>-</v>
      </c>
      <c r="J662" s="11" t="str">
        <f>IFERROR(VLOOKUP($B662,'(勿動)組件目錄表'!$D$15:$R$1094,11,FALSE),"-")</f>
        <v>-</v>
      </c>
      <c r="K662" s="11" t="str">
        <f>IFERROR(VLOOKUP($B662,'(勿動)組件目錄表'!$D$15:$R$1094,12,FALSE),"-")</f>
        <v>-</v>
      </c>
      <c r="L662" s="11" t="str">
        <f>IFERROR(VLOOKUP($B662,'(勿動)組件目錄表'!$D$15:$R$1094,13,FALSE),"-")</f>
        <v>-</v>
      </c>
      <c r="M662" s="11" t="str">
        <f>IFERROR(VLOOKUP($B662,'(勿動)組件目錄表'!$D$15:$R$1094,14,FALSE),"-")</f>
        <v>-</v>
      </c>
      <c r="N662" s="15">
        <f t="shared" si="3"/>
        <v>0</v>
      </c>
      <c r="O662" s="16"/>
    </row>
    <row r="663" spans="1:15" ht="15.75" customHeight="1">
      <c r="A663" s="18"/>
      <c r="B663" s="7"/>
      <c r="C663" s="8" t="str">
        <f>IFERROR(VLOOKUP($B663,'(勿動)組件目錄表'!$D$15:$R$1094,2,FALSE),"-")</f>
        <v>-</v>
      </c>
      <c r="D663" s="8" t="str">
        <f>IFERROR(VLOOKUP($B663,'(勿動)組件目錄表'!$D$15:$R$1094,3,FALSE),"-")</f>
        <v>-</v>
      </c>
      <c r="E663" s="9" t="str">
        <f>IFERROR(VLOOKUP($B663,'(勿動)組件目錄表'!$D$15:$R$1094,4,FALSE),"-")</f>
        <v>-</v>
      </c>
      <c r="F663" s="10" t="str">
        <f>IFERROR(VLOOKUP($B663,'(勿動)組件目錄表'!$D$15:$R$1094,5,FALSE),"-")</f>
        <v>-</v>
      </c>
      <c r="G663" s="11" t="str">
        <f>IFERROR(VLOOKUP($B663,'(勿動)組件目錄表'!$D$15:$R$1094,8,FALSE),"-")</f>
        <v>-</v>
      </c>
      <c r="H663" s="11" t="str">
        <f>IFERROR(VLOOKUP($B663,'(勿動)組件目錄表'!$D$15:$R$1094,9,FALSE),"-")</f>
        <v>-</v>
      </c>
      <c r="I663" s="11" t="str">
        <f>IFERROR(VLOOKUP($B663,'(勿動)組件目錄表'!$D$15:$R$1094,10,FALSE),"-")</f>
        <v>-</v>
      </c>
      <c r="J663" s="11" t="str">
        <f>IFERROR(VLOOKUP($B663,'(勿動)組件目錄表'!$D$15:$R$1094,11,FALSE),"-")</f>
        <v>-</v>
      </c>
      <c r="K663" s="11" t="str">
        <f>IFERROR(VLOOKUP($B663,'(勿動)組件目錄表'!$D$15:$R$1094,12,FALSE),"-")</f>
        <v>-</v>
      </c>
      <c r="L663" s="11" t="str">
        <f>IFERROR(VLOOKUP($B663,'(勿動)組件目錄表'!$D$15:$R$1094,13,FALSE),"-")</f>
        <v>-</v>
      </c>
      <c r="M663" s="11" t="str">
        <f>IFERROR(VLOOKUP($B663,'(勿動)組件目錄表'!$D$15:$R$1094,14,FALSE),"-")</f>
        <v>-</v>
      </c>
      <c r="N663" s="15">
        <f t="shared" si="3"/>
        <v>0</v>
      </c>
      <c r="O663" s="16"/>
    </row>
    <row r="664" spans="1:15" ht="15.75" customHeight="1">
      <c r="A664" s="18"/>
      <c r="B664" s="7"/>
      <c r="C664" s="8" t="str">
        <f>IFERROR(VLOOKUP($B664,'(勿動)組件目錄表'!$D$15:$R$1094,2,FALSE),"-")</f>
        <v>-</v>
      </c>
      <c r="D664" s="8" t="str">
        <f>IFERROR(VLOOKUP($B664,'(勿動)組件目錄表'!$D$15:$R$1094,3,FALSE),"-")</f>
        <v>-</v>
      </c>
      <c r="E664" s="9" t="str">
        <f>IFERROR(VLOOKUP($B664,'(勿動)組件目錄表'!$D$15:$R$1094,4,FALSE),"-")</f>
        <v>-</v>
      </c>
      <c r="F664" s="10" t="str">
        <f>IFERROR(VLOOKUP($B664,'(勿動)組件目錄表'!$D$15:$R$1094,5,FALSE),"-")</f>
        <v>-</v>
      </c>
      <c r="G664" s="11" t="str">
        <f>IFERROR(VLOOKUP($B664,'(勿動)組件目錄表'!$D$15:$R$1094,8,FALSE),"-")</f>
        <v>-</v>
      </c>
      <c r="H664" s="11" t="str">
        <f>IFERROR(VLOOKUP($B664,'(勿動)組件目錄表'!$D$15:$R$1094,9,FALSE),"-")</f>
        <v>-</v>
      </c>
      <c r="I664" s="11" t="str">
        <f>IFERROR(VLOOKUP($B664,'(勿動)組件目錄表'!$D$15:$R$1094,10,FALSE),"-")</f>
        <v>-</v>
      </c>
      <c r="J664" s="11" t="str">
        <f>IFERROR(VLOOKUP($B664,'(勿動)組件目錄表'!$D$15:$R$1094,11,FALSE),"-")</f>
        <v>-</v>
      </c>
      <c r="K664" s="11" t="str">
        <f>IFERROR(VLOOKUP($B664,'(勿動)組件目錄表'!$D$15:$R$1094,12,FALSE),"-")</f>
        <v>-</v>
      </c>
      <c r="L664" s="11" t="str">
        <f>IFERROR(VLOOKUP($B664,'(勿動)組件目錄表'!$D$15:$R$1094,13,FALSE),"-")</f>
        <v>-</v>
      </c>
      <c r="M664" s="11" t="str">
        <f>IFERROR(VLOOKUP($B664,'(勿動)組件目錄表'!$D$15:$R$1094,14,FALSE),"-")</f>
        <v>-</v>
      </c>
      <c r="N664" s="15">
        <f t="shared" si="3"/>
        <v>0</v>
      </c>
      <c r="O664" s="16"/>
    </row>
    <row r="665" spans="1:15" ht="15.75" customHeight="1">
      <c r="A665" s="18"/>
      <c r="B665" s="7"/>
      <c r="C665" s="8" t="str">
        <f>IFERROR(VLOOKUP($B665,'(勿動)組件目錄表'!$D$15:$R$1094,2,FALSE),"-")</f>
        <v>-</v>
      </c>
      <c r="D665" s="8" t="str">
        <f>IFERROR(VLOOKUP($B665,'(勿動)組件目錄表'!$D$15:$R$1094,3,FALSE),"-")</f>
        <v>-</v>
      </c>
      <c r="E665" s="9" t="str">
        <f>IFERROR(VLOOKUP($B665,'(勿動)組件目錄表'!$D$15:$R$1094,4,FALSE),"-")</f>
        <v>-</v>
      </c>
      <c r="F665" s="10" t="str">
        <f>IFERROR(VLOOKUP($B665,'(勿動)組件目錄表'!$D$15:$R$1094,5,FALSE),"-")</f>
        <v>-</v>
      </c>
      <c r="G665" s="11" t="str">
        <f>IFERROR(VLOOKUP($B665,'(勿動)組件目錄表'!$D$15:$R$1094,8,FALSE),"-")</f>
        <v>-</v>
      </c>
      <c r="H665" s="11" t="str">
        <f>IFERROR(VLOOKUP($B665,'(勿動)組件目錄表'!$D$15:$R$1094,9,FALSE),"-")</f>
        <v>-</v>
      </c>
      <c r="I665" s="11" t="str">
        <f>IFERROR(VLOOKUP($B665,'(勿動)組件目錄表'!$D$15:$R$1094,10,FALSE),"-")</f>
        <v>-</v>
      </c>
      <c r="J665" s="11" t="str">
        <f>IFERROR(VLOOKUP($B665,'(勿動)組件目錄表'!$D$15:$R$1094,11,FALSE),"-")</f>
        <v>-</v>
      </c>
      <c r="K665" s="11" t="str">
        <f>IFERROR(VLOOKUP($B665,'(勿動)組件目錄表'!$D$15:$R$1094,12,FALSE),"-")</f>
        <v>-</v>
      </c>
      <c r="L665" s="11" t="str">
        <f>IFERROR(VLOOKUP($B665,'(勿動)組件目錄表'!$D$15:$R$1094,13,FALSE),"-")</f>
        <v>-</v>
      </c>
      <c r="M665" s="11" t="str">
        <f>IFERROR(VLOOKUP($B665,'(勿動)組件目錄表'!$D$15:$R$1094,14,FALSE),"-")</f>
        <v>-</v>
      </c>
      <c r="N665" s="15">
        <f t="shared" si="3"/>
        <v>0</v>
      </c>
      <c r="O665" s="16"/>
    </row>
    <row r="666" spans="1:15" ht="15.75" customHeight="1">
      <c r="A666" s="18"/>
      <c r="B666" s="7"/>
      <c r="C666" s="8" t="str">
        <f>IFERROR(VLOOKUP($B666,'(勿動)組件目錄表'!$D$15:$R$1094,2,FALSE),"-")</f>
        <v>-</v>
      </c>
      <c r="D666" s="8" t="str">
        <f>IFERROR(VLOOKUP($B666,'(勿動)組件目錄表'!$D$15:$R$1094,3,FALSE),"-")</f>
        <v>-</v>
      </c>
      <c r="E666" s="9" t="str">
        <f>IFERROR(VLOOKUP($B666,'(勿動)組件目錄表'!$D$15:$R$1094,4,FALSE),"-")</f>
        <v>-</v>
      </c>
      <c r="F666" s="10" t="str">
        <f>IFERROR(VLOOKUP($B666,'(勿動)組件目錄表'!$D$15:$R$1094,5,FALSE),"-")</f>
        <v>-</v>
      </c>
      <c r="G666" s="11" t="str">
        <f>IFERROR(VLOOKUP($B666,'(勿動)組件目錄表'!$D$15:$R$1094,8,FALSE),"-")</f>
        <v>-</v>
      </c>
      <c r="H666" s="11" t="str">
        <f>IFERROR(VLOOKUP($B666,'(勿動)組件目錄表'!$D$15:$R$1094,9,FALSE),"-")</f>
        <v>-</v>
      </c>
      <c r="I666" s="11" t="str">
        <f>IFERROR(VLOOKUP($B666,'(勿動)組件目錄表'!$D$15:$R$1094,10,FALSE),"-")</f>
        <v>-</v>
      </c>
      <c r="J666" s="11" t="str">
        <f>IFERROR(VLOOKUP($B666,'(勿動)組件目錄表'!$D$15:$R$1094,11,FALSE),"-")</f>
        <v>-</v>
      </c>
      <c r="K666" s="11" t="str">
        <f>IFERROR(VLOOKUP($B666,'(勿動)組件目錄表'!$D$15:$R$1094,12,FALSE),"-")</f>
        <v>-</v>
      </c>
      <c r="L666" s="11" t="str">
        <f>IFERROR(VLOOKUP($B666,'(勿動)組件目錄表'!$D$15:$R$1094,13,FALSE),"-")</f>
        <v>-</v>
      </c>
      <c r="M666" s="11" t="str">
        <f>IFERROR(VLOOKUP($B666,'(勿動)組件目錄表'!$D$15:$R$1094,14,FALSE),"-")</f>
        <v>-</v>
      </c>
      <c r="N666" s="15">
        <f t="shared" si="3"/>
        <v>0</v>
      </c>
      <c r="O666" s="16"/>
    </row>
    <row r="667" spans="1:15" ht="15.75" customHeight="1">
      <c r="A667" s="18"/>
      <c r="B667" s="7"/>
      <c r="C667" s="8" t="str">
        <f>IFERROR(VLOOKUP($B667,'(勿動)組件目錄表'!$D$15:$R$1094,2,FALSE),"-")</f>
        <v>-</v>
      </c>
      <c r="D667" s="8" t="str">
        <f>IFERROR(VLOOKUP($B667,'(勿動)組件目錄表'!$D$15:$R$1094,3,FALSE),"-")</f>
        <v>-</v>
      </c>
      <c r="E667" s="9" t="str">
        <f>IFERROR(VLOOKUP($B667,'(勿動)組件目錄表'!$D$15:$R$1094,4,FALSE),"-")</f>
        <v>-</v>
      </c>
      <c r="F667" s="10" t="str">
        <f>IFERROR(VLOOKUP($B667,'(勿動)組件目錄表'!$D$15:$R$1094,5,FALSE),"-")</f>
        <v>-</v>
      </c>
      <c r="G667" s="11" t="str">
        <f>IFERROR(VLOOKUP($B667,'(勿動)組件目錄表'!$D$15:$R$1094,8,FALSE),"-")</f>
        <v>-</v>
      </c>
      <c r="H667" s="11" t="str">
        <f>IFERROR(VLOOKUP($B667,'(勿動)組件目錄表'!$D$15:$R$1094,9,FALSE),"-")</f>
        <v>-</v>
      </c>
      <c r="I667" s="11" t="str">
        <f>IFERROR(VLOOKUP($B667,'(勿動)組件目錄表'!$D$15:$R$1094,10,FALSE),"-")</f>
        <v>-</v>
      </c>
      <c r="J667" s="11" t="str">
        <f>IFERROR(VLOOKUP($B667,'(勿動)組件目錄表'!$D$15:$R$1094,11,FALSE),"-")</f>
        <v>-</v>
      </c>
      <c r="K667" s="11" t="str">
        <f>IFERROR(VLOOKUP($B667,'(勿動)組件目錄表'!$D$15:$R$1094,12,FALSE),"-")</f>
        <v>-</v>
      </c>
      <c r="L667" s="11" t="str">
        <f>IFERROR(VLOOKUP($B667,'(勿動)組件目錄表'!$D$15:$R$1094,13,FALSE),"-")</f>
        <v>-</v>
      </c>
      <c r="M667" s="11" t="str">
        <f>IFERROR(VLOOKUP($B667,'(勿動)組件目錄表'!$D$15:$R$1094,14,FALSE),"-")</f>
        <v>-</v>
      </c>
      <c r="N667" s="15">
        <f t="shared" si="3"/>
        <v>0</v>
      </c>
      <c r="O667" s="16"/>
    </row>
    <row r="668" spans="1:15" ht="15.75" customHeight="1">
      <c r="A668" s="18"/>
      <c r="B668" s="7"/>
      <c r="C668" s="8" t="str">
        <f>IFERROR(VLOOKUP($B668,'(勿動)組件目錄表'!$D$15:$R$1094,2,FALSE),"-")</f>
        <v>-</v>
      </c>
      <c r="D668" s="8" t="str">
        <f>IFERROR(VLOOKUP($B668,'(勿動)組件目錄表'!$D$15:$R$1094,3,FALSE),"-")</f>
        <v>-</v>
      </c>
      <c r="E668" s="9" t="str">
        <f>IFERROR(VLOOKUP($B668,'(勿動)組件目錄表'!$D$15:$R$1094,4,FALSE),"-")</f>
        <v>-</v>
      </c>
      <c r="F668" s="10" t="str">
        <f>IFERROR(VLOOKUP($B668,'(勿動)組件目錄表'!$D$15:$R$1094,5,FALSE),"-")</f>
        <v>-</v>
      </c>
      <c r="G668" s="11" t="str">
        <f>IFERROR(VLOOKUP($B668,'(勿動)組件目錄表'!$D$15:$R$1094,8,FALSE),"-")</f>
        <v>-</v>
      </c>
      <c r="H668" s="11" t="str">
        <f>IFERROR(VLOOKUP($B668,'(勿動)組件目錄表'!$D$15:$R$1094,9,FALSE),"-")</f>
        <v>-</v>
      </c>
      <c r="I668" s="11" t="str">
        <f>IFERROR(VLOOKUP($B668,'(勿動)組件目錄表'!$D$15:$R$1094,10,FALSE),"-")</f>
        <v>-</v>
      </c>
      <c r="J668" s="11" t="str">
        <f>IFERROR(VLOOKUP($B668,'(勿動)組件目錄表'!$D$15:$R$1094,11,FALSE),"-")</f>
        <v>-</v>
      </c>
      <c r="K668" s="11" t="str">
        <f>IFERROR(VLOOKUP($B668,'(勿動)組件目錄表'!$D$15:$R$1094,12,FALSE),"-")</f>
        <v>-</v>
      </c>
      <c r="L668" s="11" t="str">
        <f>IFERROR(VLOOKUP($B668,'(勿動)組件目錄表'!$D$15:$R$1094,13,FALSE),"-")</f>
        <v>-</v>
      </c>
      <c r="M668" s="11" t="str">
        <f>IFERROR(VLOOKUP($B668,'(勿動)組件目錄表'!$D$15:$R$1094,14,FALSE),"-")</f>
        <v>-</v>
      </c>
      <c r="N668" s="15">
        <f t="shared" si="3"/>
        <v>0</v>
      </c>
      <c r="O668" s="16"/>
    </row>
    <row r="669" spans="1:15" ht="15.75" customHeight="1">
      <c r="A669" s="18"/>
      <c r="B669" s="7"/>
      <c r="C669" s="8" t="str">
        <f>IFERROR(VLOOKUP($B669,'(勿動)組件目錄表'!$D$15:$R$1094,2,FALSE),"-")</f>
        <v>-</v>
      </c>
      <c r="D669" s="8" t="str">
        <f>IFERROR(VLOOKUP($B669,'(勿動)組件目錄表'!$D$15:$R$1094,3,FALSE),"-")</f>
        <v>-</v>
      </c>
      <c r="E669" s="9" t="str">
        <f>IFERROR(VLOOKUP($B669,'(勿動)組件目錄表'!$D$15:$R$1094,4,FALSE),"-")</f>
        <v>-</v>
      </c>
      <c r="F669" s="10" t="str">
        <f>IFERROR(VLOOKUP($B669,'(勿動)組件目錄表'!$D$15:$R$1094,5,FALSE),"-")</f>
        <v>-</v>
      </c>
      <c r="G669" s="11" t="str">
        <f>IFERROR(VLOOKUP($B669,'(勿動)組件目錄表'!$D$15:$R$1094,8,FALSE),"-")</f>
        <v>-</v>
      </c>
      <c r="H669" s="11" t="str">
        <f>IFERROR(VLOOKUP($B669,'(勿動)組件目錄表'!$D$15:$R$1094,9,FALSE),"-")</f>
        <v>-</v>
      </c>
      <c r="I669" s="11" t="str">
        <f>IFERROR(VLOOKUP($B669,'(勿動)組件目錄表'!$D$15:$R$1094,10,FALSE),"-")</f>
        <v>-</v>
      </c>
      <c r="J669" s="11" t="str">
        <f>IFERROR(VLOOKUP($B669,'(勿動)組件目錄表'!$D$15:$R$1094,11,FALSE),"-")</f>
        <v>-</v>
      </c>
      <c r="K669" s="11" t="str">
        <f>IFERROR(VLOOKUP($B669,'(勿動)組件目錄表'!$D$15:$R$1094,12,FALSE),"-")</f>
        <v>-</v>
      </c>
      <c r="L669" s="11" t="str">
        <f>IFERROR(VLOOKUP($B669,'(勿動)組件目錄表'!$D$15:$R$1094,13,FALSE),"-")</f>
        <v>-</v>
      </c>
      <c r="M669" s="11" t="str">
        <f>IFERROR(VLOOKUP($B669,'(勿動)組件目錄表'!$D$15:$R$1094,14,FALSE),"-")</f>
        <v>-</v>
      </c>
      <c r="N669" s="15">
        <f t="shared" si="3"/>
        <v>0</v>
      </c>
      <c r="O669" s="16"/>
    </row>
    <row r="670" spans="1:15" ht="15.75" customHeight="1">
      <c r="A670" s="18"/>
      <c r="B670" s="7"/>
      <c r="C670" s="8" t="str">
        <f>IFERROR(VLOOKUP($B670,'(勿動)組件目錄表'!$D$15:$R$1094,2,FALSE),"-")</f>
        <v>-</v>
      </c>
      <c r="D670" s="8" t="str">
        <f>IFERROR(VLOOKUP($B670,'(勿動)組件目錄表'!$D$15:$R$1094,3,FALSE),"-")</f>
        <v>-</v>
      </c>
      <c r="E670" s="9" t="str">
        <f>IFERROR(VLOOKUP($B670,'(勿動)組件目錄表'!$D$15:$R$1094,4,FALSE),"-")</f>
        <v>-</v>
      </c>
      <c r="F670" s="10" t="str">
        <f>IFERROR(VLOOKUP($B670,'(勿動)組件目錄表'!$D$15:$R$1094,5,FALSE),"-")</f>
        <v>-</v>
      </c>
      <c r="G670" s="11" t="str">
        <f>IFERROR(VLOOKUP($B670,'(勿動)組件目錄表'!$D$15:$R$1094,8,FALSE),"-")</f>
        <v>-</v>
      </c>
      <c r="H670" s="11" t="str">
        <f>IFERROR(VLOOKUP($B670,'(勿動)組件目錄表'!$D$15:$R$1094,9,FALSE),"-")</f>
        <v>-</v>
      </c>
      <c r="I670" s="11" t="str">
        <f>IFERROR(VLOOKUP($B670,'(勿動)組件目錄表'!$D$15:$R$1094,10,FALSE),"-")</f>
        <v>-</v>
      </c>
      <c r="J670" s="11" t="str">
        <f>IFERROR(VLOOKUP($B670,'(勿動)組件目錄表'!$D$15:$R$1094,11,FALSE),"-")</f>
        <v>-</v>
      </c>
      <c r="K670" s="11" t="str">
        <f>IFERROR(VLOOKUP($B670,'(勿動)組件目錄表'!$D$15:$R$1094,12,FALSE),"-")</f>
        <v>-</v>
      </c>
      <c r="L670" s="11" t="str">
        <f>IFERROR(VLOOKUP($B670,'(勿動)組件目錄表'!$D$15:$R$1094,13,FALSE),"-")</f>
        <v>-</v>
      </c>
      <c r="M670" s="11" t="str">
        <f>IFERROR(VLOOKUP($B670,'(勿動)組件目錄表'!$D$15:$R$1094,14,FALSE),"-")</f>
        <v>-</v>
      </c>
      <c r="N670" s="15">
        <f t="shared" si="3"/>
        <v>0</v>
      </c>
      <c r="O670" s="16"/>
    </row>
    <row r="671" spans="1:15" ht="15.75" customHeight="1">
      <c r="A671" s="18"/>
      <c r="B671" s="7"/>
      <c r="C671" s="8" t="str">
        <f>IFERROR(VLOOKUP($B671,'(勿動)組件目錄表'!$D$15:$R$1094,2,FALSE),"-")</f>
        <v>-</v>
      </c>
      <c r="D671" s="8" t="str">
        <f>IFERROR(VLOOKUP($B671,'(勿動)組件目錄表'!$D$15:$R$1094,3,FALSE),"-")</f>
        <v>-</v>
      </c>
      <c r="E671" s="9" t="str">
        <f>IFERROR(VLOOKUP($B671,'(勿動)組件目錄表'!$D$15:$R$1094,4,FALSE),"-")</f>
        <v>-</v>
      </c>
      <c r="F671" s="10" t="str">
        <f>IFERROR(VLOOKUP($B671,'(勿動)組件目錄表'!$D$15:$R$1094,5,FALSE),"-")</f>
        <v>-</v>
      </c>
      <c r="G671" s="11" t="str">
        <f>IFERROR(VLOOKUP($B671,'(勿動)組件目錄表'!$D$15:$R$1094,8,FALSE),"-")</f>
        <v>-</v>
      </c>
      <c r="H671" s="11" t="str">
        <f>IFERROR(VLOOKUP($B671,'(勿動)組件目錄表'!$D$15:$R$1094,9,FALSE),"-")</f>
        <v>-</v>
      </c>
      <c r="I671" s="11" t="str">
        <f>IFERROR(VLOOKUP($B671,'(勿動)組件目錄表'!$D$15:$R$1094,10,FALSE),"-")</f>
        <v>-</v>
      </c>
      <c r="J671" s="11" t="str">
        <f>IFERROR(VLOOKUP($B671,'(勿動)組件目錄表'!$D$15:$R$1094,11,FALSE),"-")</f>
        <v>-</v>
      </c>
      <c r="K671" s="11" t="str">
        <f>IFERROR(VLOOKUP($B671,'(勿動)組件目錄表'!$D$15:$R$1094,12,FALSE),"-")</f>
        <v>-</v>
      </c>
      <c r="L671" s="11" t="str">
        <f>IFERROR(VLOOKUP($B671,'(勿動)組件目錄表'!$D$15:$R$1094,13,FALSE),"-")</f>
        <v>-</v>
      </c>
      <c r="M671" s="11" t="str">
        <f>IFERROR(VLOOKUP($B671,'(勿動)組件目錄表'!$D$15:$R$1094,14,FALSE),"-")</f>
        <v>-</v>
      </c>
      <c r="N671" s="15">
        <f t="shared" si="3"/>
        <v>0</v>
      </c>
      <c r="O671" s="16"/>
    </row>
    <row r="672" spans="1:15" ht="15.75" customHeight="1">
      <c r="A672" s="18"/>
      <c r="B672" s="7"/>
      <c r="C672" s="8" t="str">
        <f>IFERROR(VLOOKUP($B672,'(勿動)組件目錄表'!$D$15:$R$1094,2,FALSE),"-")</f>
        <v>-</v>
      </c>
      <c r="D672" s="8" t="str">
        <f>IFERROR(VLOOKUP($B672,'(勿動)組件目錄表'!$D$15:$R$1094,3,FALSE),"-")</f>
        <v>-</v>
      </c>
      <c r="E672" s="9" t="str">
        <f>IFERROR(VLOOKUP($B672,'(勿動)組件目錄表'!$D$15:$R$1094,4,FALSE),"-")</f>
        <v>-</v>
      </c>
      <c r="F672" s="10" t="str">
        <f>IFERROR(VLOOKUP($B672,'(勿動)組件目錄表'!$D$15:$R$1094,5,FALSE),"-")</f>
        <v>-</v>
      </c>
      <c r="G672" s="11" t="str">
        <f>IFERROR(VLOOKUP($B672,'(勿動)組件目錄表'!$D$15:$R$1094,8,FALSE),"-")</f>
        <v>-</v>
      </c>
      <c r="H672" s="11" t="str">
        <f>IFERROR(VLOOKUP($B672,'(勿動)組件目錄表'!$D$15:$R$1094,9,FALSE),"-")</f>
        <v>-</v>
      </c>
      <c r="I672" s="11" t="str">
        <f>IFERROR(VLOOKUP($B672,'(勿動)組件目錄表'!$D$15:$R$1094,10,FALSE),"-")</f>
        <v>-</v>
      </c>
      <c r="J672" s="11" t="str">
        <f>IFERROR(VLOOKUP($B672,'(勿動)組件目錄表'!$D$15:$R$1094,11,FALSE),"-")</f>
        <v>-</v>
      </c>
      <c r="K672" s="11" t="str">
        <f>IFERROR(VLOOKUP($B672,'(勿動)組件目錄表'!$D$15:$R$1094,12,FALSE),"-")</f>
        <v>-</v>
      </c>
      <c r="L672" s="11" t="str">
        <f>IFERROR(VLOOKUP($B672,'(勿動)組件目錄表'!$D$15:$R$1094,13,FALSE),"-")</f>
        <v>-</v>
      </c>
      <c r="M672" s="11" t="str">
        <f>IFERROR(VLOOKUP($B672,'(勿動)組件目錄表'!$D$15:$R$1094,14,FALSE),"-")</f>
        <v>-</v>
      </c>
      <c r="N672" s="15">
        <f t="shared" si="3"/>
        <v>0</v>
      </c>
      <c r="O672" s="16"/>
    </row>
    <row r="673" spans="1:15" ht="15.75" customHeight="1">
      <c r="A673" s="18"/>
      <c r="B673" s="7"/>
      <c r="C673" s="8" t="str">
        <f>IFERROR(VLOOKUP($B673,'(勿動)組件目錄表'!$D$15:$R$1094,2,FALSE),"-")</f>
        <v>-</v>
      </c>
      <c r="D673" s="8" t="str">
        <f>IFERROR(VLOOKUP($B673,'(勿動)組件目錄表'!$D$15:$R$1094,3,FALSE),"-")</f>
        <v>-</v>
      </c>
      <c r="E673" s="9" t="str">
        <f>IFERROR(VLOOKUP($B673,'(勿動)組件目錄表'!$D$15:$R$1094,4,FALSE),"-")</f>
        <v>-</v>
      </c>
      <c r="F673" s="10" t="str">
        <f>IFERROR(VLOOKUP($B673,'(勿動)組件目錄表'!$D$15:$R$1094,5,FALSE),"-")</f>
        <v>-</v>
      </c>
      <c r="G673" s="11" t="str">
        <f>IFERROR(VLOOKUP($B673,'(勿動)組件目錄表'!$D$15:$R$1094,8,FALSE),"-")</f>
        <v>-</v>
      </c>
      <c r="H673" s="11" t="str">
        <f>IFERROR(VLOOKUP($B673,'(勿動)組件目錄表'!$D$15:$R$1094,9,FALSE),"-")</f>
        <v>-</v>
      </c>
      <c r="I673" s="11" t="str">
        <f>IFERROR(VLOOKUP($B673,'(勿動)組件目錄表'!$D$15:$R$1094,10,FALSE),"-")</f>
        <v>-</v>
      </c>
      <c r="J673" s="11" t="str">
        <f>IFERROR(VLOOKUP($B673,'(勿動)組件目錄表'!$D$15:$R$1094,11,FALSE),"-")</f>
        <v>-</v>
      </c>
      <c r="K673" s="11" t="str">
        <f>IFERROR(VLOOKUP($B673,'(勿動)組件目錄表'!$D$15:$R$1094,12,FALSE),"-")</f>
        <v>-</v>
      </c>
      <c r="L673" s="11" t="str">
        <f>IFERROR(VLOOKUP($B673,'(勿動)組件目錄表'!$D$15:$R$1094,13,FALSE),"-")</f>
        <v>-</v>
      </c>
      <c r="M673" s="11" t="str">
        <f>IFERROR(VLOOKUP($B673,'(勿動)組件目錄表'!$D$15:$R$1094,14,FALSE),"-")</f>
        <v>-</v>
      </c>
      <c r="N673" s="15">
        <f t="shared" si="3"/>
        <v>0</v>
      </c>
      <c r="O673" s="16"/>
    </row>
    <row r="674" spans="1:15" ht="15.75" customHeight="1">
      <c r="A674" s="18"/>
      <c r="B674" s="7"/>
      <c r="C674" s="8" t="str">
        <f>IFERROR(VLOOKUP($B674,'(勿動)組件目錄表'!$D$15:$R$1094,2,FALSE),"-")</f>
        <v>-</v>
      </c>
      <c r="D674" s="8" t="str">
        <f>IFERROR(VLOOKUP($B674,'(勿動)組件目錄表'!$D$15:$R$1094,3,FALSE),"-")</f>
        <v>-</v>
      </c>
      <c r="E674" s="9" t="str">
        <f>IFERROR(VLOOKUP($B674,'(勿動)組件目錄表'!$D$15:$R$1094,4,FALSE),"-")</f>
        <v>-</v>
      </c>
      <c r="F674" s="10" t="str">
        <f>IFERROR(VLOOKUP($B674,'(勿動)組件目錄表'!$D$15:$R$1094,5,FALSE),"-")</f>
        <v>-</v>
      </c>
      <c r="G674" s="11" t="str">
        <f>IFERROR(VLOOKUP($B674,'(勿動)組件目錄表'!$D$15:$R$1094,8,FALSE),"-")</f>
        <v>-</v>
      </c>
      <c r="H674" s="11" t="str">
        <f>IFERROR(VLOOKUP($B674,'(勿動)組件目錄表'!$D$15:$R$1094,9,FALSE),"-")</f>
        <v>-</v>
      </c>
      <c r="I674" s="11" t="str">
        <f>IFERROR(VLOOKUP($B674,'(勿動)組件目錄表'!$D$15:$R$1094,10,FALSE),"-")</f>
        <v>-</v>
      </c>
      <c r="J674" s="11" t="str">
        <f>IFERROR(VLOOKUP($B674,'(勿動)組件目錄表'!$D$15:$R$1094,11,FALSE),"-")</f>
        <v>-</v>
      </c>
      <c r="K674" s="11" t="str">
        <f>IFERROR(VLOOKUP($B674,'(勿動)組件目錄表'!$D$15:$R$1094,12,FALSE),"-")</f>
        <v>-</v>
      </c>
      <c r="L674" s="11" t="str">
        <f>IFERROR(VLOOKUP($B674,'(勿動)組件目錄表'!$D$15:$R$1094,13,FALSE),"-")</f>
        <v>-</v>
      </c>
      <c r="M674" s="11" t="str">
        <f>IFERROR(VLOOKUP($B674,'(勿動)組件目錄表'!$D$15:$R$1094,14,FALSE),"-")</f>
        <v>-</v>
      </c>
      <c r="N674" s="15">
        <f t="shared" si="3"/>
        <v>0</v>
      </c>
      <c r="O674" s="16"/>
    </row>
    <row r="675" spans="1:15" ht="15.75" customHeight="1">
      <c r="A675" s="18"/>
      <c r="B675" s="7"/>
      <c r="C675" s="8" t="str">
        <f>IFERROR(VLOOKUP($B675,'(勿動)組件目錄表'!$D$15:$R$1094,2,FALSE),"-")</f>
        <v>-</v>
      </c>
      <c r="D675" s="8" t="str">
        <f>IFERROR(VLOOKUP($B675,'(勿動)組件目錄表'!$D$15:$R$1094,3,FALSE),"-")</f>
        <v>-</v>
      </c>
      <c r="E675" s="9" t="str">
        <f>IFERROR(VLOOKUP($B675,'(勿動)組件目錄表'!$D$15:$R$1094,4,FALSE),"-")</f>
        <v>-</v>
      </c>
      <c r="F675" s="10" t="str">
        <f>IFERROR(VLOOKUP($B675,'(勿動)組件目錄表'!$D$15:$R$1094,5,FALSE),"-")</f>
        <v>-</v>
      </c>
      <c r="G675" s="11" t="str">
        <f>IFERROR(VLOOKUP($B675,'(勿動)組件目錄表'!$D$15:$R$1094,8,FALSE),"-")</f>
        <v>-</v>
      </c>
      <c r="H675" s="11" t="str">
        <f>IFERROR(VLOOKUP($B675,'(勿動)組件目錄表'!$D$15:$R$1094,9,FALSE),"-")</f>
        <v>-</v>
      </c>
      <c r="I675" s="11" t="str">
        <f>IFERROR(VLOOKUP($B675,'(勿動)組件目錄表'!$D$15:$R$1094,10,FALSE),"-")</f>
        <v>-</v>
      </c>
      <c r="J675" s="11" t="str">
        <f>IFERROR(VLOOKUP($B675,'(勿動)組件目錄表'!$D$15:$R$1094,11,FALSE),"-")</f>
        <v>-</v>
      </c>
      <c r="K675" s="11" t="str">
        <f>IFERROR(VLOOKUP($B675,'(勿動)組件目錄表'!$D$15:$R$1094,12,FALSE),"-")</f>
        <v>-</v>
      </c>
      <c r="L675" s="11" t="str">
        <f>IFERROR(VLOOKUP($B675,'(勿動)組件目錄表'!$D$15:$R$1094,13,FALSE),"-")</f>
        <v>-</v>
      </c>
      <c r="M675" s="11" t="str">
        <f>IFERROR(VLOOKUP($B675,'(勿動)組件目錄表'!$D$15:$R$1094,14,FALSE),"-")</f>
        <v>-</v>
      </c>
      <c r="N675" s="15">
        <f t="shared" si="3"/>
        <v>0</v>
      </c>
      <c r="O675" s="16"/>
    </row>
    <row r="676" spans="1:15" ht="15.75" customHeight="1">
      <c r="A676" s="18"/>
      <c r="B676" s="7"/>
      <c r="C676" s="8" t="str">
        <f>IFERROR(VLOOKUP($B676,'(勿動)組件目錄表'!$D$15:$R$1094,2,FALSE),"-")</f>
        <v>-</v>
      </c>
      <c r="D676" s="8" t="str">
        <f>IFERROR(VLOOKUP($B676,'(勿動)組件目錄表'!$D$15:$R$1094,3,FALSE),"-")</f>
        <v>-</v>
      </c>
      <c r="E676" s="9" t="str">
        <f>IFERROR(VLOOKUP($B676,'(勿動)組件目錄表'!$D$15:$R$1094,4,FALSE),"-")</f>
        <v>-</v>
      </c>
      <c r="F676" s="10" t="str">
        <f>IFERROR(VLOOKUP($B676,'(勿動)組件目錄表'!$D$15:$R$1094,5,FALSE),"-")</f>
        <v>-</v>
      </c>
      <c r="G676" s="11" t="str">
        <f>IFERROR(VLOOKUP($B676,'(勿動)組件目錄表'!$D$15:$R$1094,8,FALSE),"-")</f>
        <v>-</v>
      </c>
      <c r="H676" s="11" t="str">
        <f>IFERROR(VLOOKUP($B676,'(勿動)組件目錄表'!$D$15:$R$1094,9,FALSE),"-")</f>
        <v>-</v>
      </c>
      <c r="I676" s="11" t="str">
        <f>IFERROR(VLOOKUP($B676,'(勿動)組件目錄表'!$D$15:$R$1094,10,FALSE),"-")</f>
        <v>-</v>
      </c>
      <c r="J676" s="11" t="str">
        <f>IFERROR(VLOOKUP($B676,'(勿動)組件目錄表'!$D$15:$R$1094,11,FALSE),"-")</f>
        <v>-</v>
      </c>
      <c r="K676" s="11" t="str">
        <f>IFERROR(VLOOKUP($B676,'(勿動)組件目錄表'!$D$15:$R$1094,12,FALSE),"-")</f>
        <v>-</v>
      </c>
      <c r="L676" s="11" t="str">
        <f>IFERROR(VLOOKUP($B676,'(勿動)組件目錄表'!$D$15:$R$1094,13,FALSE),"-")</f>
        <v>-</v>
      </c>
      <c r="M676" s="11" t="str">
        <f>IFERROR(VLOOKUP($B676,'(勿動)組件目錄表'!$D$15:$R$1094,14,FALSE),"-")</f>
        <v>-</v>
      </c>
      <c r="N676" s="15">
        <f t="shared" si="3"/>
        <v>0</v>
      </c>
      <c r="O676" s="16"/>
    </row>
    <row r="677" spans="1:15" ht="15.75" customHeight="1">
      <c r="A677" s="18"/>
      <c r="B677" s="7"/>
      <c r="C677" s="8" t="str">
        <f>IFERROR(VLOOKUP($B677,'(勿動)組件目錄表'!$D$15:$R$1094,2,FALSE),"-")</f>
        <v>-</v>
      </c>
      <c r="D677" s="8" t="str">
        <f>IFERROR(VLOOKUP($B677,'(勿動)組件目錄表'!$D$15:$R$1094,3,FALSE),"-")</f>
        <v>-</v>
      </c>
      <c r="E677" s="9" t="str">
        <f>IFERROR(VLOOKUP($B677,'(勿動)組件目錄表'!$D$15:$R$1094,4,FALSE),"-")</f>
        <v>-</v>
      </c>
      <c r="F677" s="10" t="str">
        <f>IFERROR(VLOOKUP($B677,'(勿動)組件目錄表'!$D$15:$R$1094,5,FALSE),"-")</f>
        <v>-</v>
      </c>
      <c r="G677" s="11" t="str">
        <f>IFERROR(VLOOKUP($B677,'(勿動)組件目錄表'!$D$15:$R$1094,8,FALSE),"-")</f>
        <v>-</v>
      </c>
      <c r="H677" s="11" t="str">
        <f>IFERROR(VLOOKUP($B677,'(勿動)組件目錄表'!$D$15:$R$1094,9,FALSE),"-")</f>
        <v>-</v>
      </c>
      <c r="I677" s="11" t="str">
        <f>IFERROR(VLOOKUP($B677,'(勿動)組件目錄表'!$D$15:$R$1094,10,FALSE),"-")</f>
        <v>-</v>
      </c>
      <c r="J677" s="11" t="str">
        <f>IFERROR(VLOOKUP($B677,'(勿動)組件目錄表'!$D$15:$R$1094,11,FALSE),"-")</f>
        <v>-</v>
      </c>
      <c r="K677" s="11" t="str">
        <f>IFERROR(VLOOKUP($B677,'(勿動)組件目錄表'!$D$15:$R$1094,12,FALSE),"-")</f>
        <v>-</v>
      </c>
      <c r="L677" s="11" t="str">
        <f>IFERROR(VLOOKUP($B677,'(勿動)組件目錄表'!$D$15:$R$1094,13,FALSE),"-")</f>
        <v>-</v>
      </c>
      <c r="M677" s="11" t="str">
        <f>IFERROR(VLOOKUP($B677,'(勿動)組件目錄表'!$D$15:$R$1094,14,FALSE),"-")</f>
        <v>-</v>
      </c>
      <c r="N677" s="15">
        <f t="shared" si="3"/>
        <v>0</v>
      </c>
      <c r="O677" s="16"/>
    </row>
    <row r="678" spans="1:15" ht="15.75" customHeight="1">
      <c r="A678" s="18"/>
      <c r="B678" s="7"/>
      <c r="C678" s="8" t="str">
        <f>IFERROR(VLOOKUP($B678,'(勿動)組件目錄表'!$D$15:$R$1094,2,FALSE),"-")</f>
        <v>-</v>
      </c>
      <c r="D678" s="8" t="str">
        <f>IFERROR(VLOOKUP($B678,'(勿動)組件目錄表'!$D$15:$R$1094,3,FALSE),"-")</f>
        <v>-</v>
      </c>
      <c r="E678" s="9" t="str">
        <f>IFERROR(VLOOKUP($B678,'(勿動)組件目錄表'!$D$15:$R$1094,4,FALSE),"-")</f>
        <v>-</v>
      </c>
      <c r="F678" s="10" t="str">
        <f>IFERROR(VLOOKUP($B678,'(勿動)組件目錄表'!$D$15:$R$1094,5,FALSE),"-")</f>
        <v>-</v>
      </c>
      <c r="G678" s="11" t="str">
        <f>IFERROR(VLOOKUP($B678,'(勿動)組件目錄表'!$D$15:$R$1094,8,FALSE),"-")</f>
        <v>-</v>
      </c>
      <c r="H678" s="11" t="str">
        <f>IFERROR(VLOOKUP($B678,'(勿動)組件目錄表'!$D$15:$R$1094,9,FALSE),"-")</f>
        <v>-</v>
      </c>
      <c r="I678" s="11" t="str">
        <f>IFERROR(VLOOKUP($B678,'(勿動)組件目錄表'!$D$15:$R$1094,10,FALSE),"-")</f>
        <v>-</v>
      </c>
      <c r="J678" s="11" t="str">
        <f>IFERROR(VLOOKUP($B678,'(勿動)組件目錄表'!$D$15:$R$1094,11,FALSE),"-")</f>
        <v>-</v>
      </c>
      <c r="K678" s="11" t="str">
        <f>IFERROR(VLOOKUP($B678,'(勿動)組件目錄表'!$D$15:$R$1094,12,FALSE),"-")</f>
        <v>-</v>
      </c>
      <c r="L678" s="11" t="str">
        <f>IFERROR(VLOOKUP($B678,'(勿動)組件目錄表'!$D$15:$R$1094,13,FALSE),"-")</f>
        <v>-</v>
      </c>
      <c r="M678" s="11" t="str">
        <f>IFERROR(VLOOKUP($B678,'(勿動)組件目錄表'!$D$15:$R$1094,14,FALSE),"-")</f>
        <v>-</v>
      </c>
      <c r="N678" s="15">
        <f t="shared" si="3"/>
        <v>0</v>
      </c>
      <c r="O678" s="16"/>
    </row>
    <row r="679" spans="1:15" ht="15.75" customHeight="1">
      <c r="A679" s="18"/>
      <c r="B679" s="7"/>
      <c r="C679" s="8" t="str">
        <f>IFERROR(VLOOKUP($B679,'(勿動)組件目錄表'!$D$15:$R$1094,2,FALSE),"-")</f>
        <v>-</v>
      </c>
      <c r="D679" s="8" t="str">
        <f>IFERROR(VLOOKUP($B679,'(勿動)組件目錄表'!$D$15:$R$1094,3,FALSE),"-")</f>
        <v>-</v>
      </c>
      <c r="E679" s="9" t="str">
        <f>IFERROR(VLOOKUP($B679,'(勿動)組件目錄表'!$D$15:$R$1094,4,FALSE),"-")</f>
        <v>-</v>
      </c>
      <c r="F679" s="10" t="str">
        <f>IFERROR(VLOOKUP($B679,'(勿動)組件目錄表'!$D$15:$R$1094,5,FALSE),"-")</f>
        <v>-</v>
      </c>
      <c r="G679" s="11" t="str">
        <f>IFERROR(VLOOKUP($B679,'(勿動)組件目錄表'!$D$15:$R$1094,8,FALSE),"-")</f>
        <v>-</v>
      </c>
      <c r="H679" s="11" t="str">
        <f>IFERROR(VLOOKUP($B679,'(勿動)組件目錄表'!$D$15:$R$1094,9,FALSE),"-")</f>
        <v>-</v>
      </c>
      <c r="I679" s="11" t="str">
        <f>IFERROR(VLOOKUP($B679,'(勿動)組件目錄表'!$D$15:$R$1094,10,FALSE),"-")</f>
        <v>-</v>
      </c>
      <c r="J679" s="11" t="str">
        <f>IFERROR(VLOOKUP($B679,'(勿動)組件目錄表'!$D$15:$R$1094,11,FALSE),"-")</f>
        <v>-</v>
      </c>
      <c r="K679" s="11" t="str">
        <f>IFERROR(VLOOKUP($B679,'(勿動)組件目錄表'!$D$15:$R$1094,12,FALSE),"-")</f>
        <v>-</v>
      </c>
      <c r="L679" s="11" t="str">
        <f>IFERROR(VLOOKUP($B679,'(勿動)組件目錄表'!$D$15:$R$1094,13,FALSE),"-")</f>
        <v>-</v>
      </c>
      <c r="M679" s="11" t="str">
        <f>IFERROR(VLOOKUP($B679,'(勿動)組件目錄表'!$D$15:$R$1094,14,FALSE),"-")</f>
        <v>-</v>
      </c>
      <c r="N679" s="15">
        <f t="shared" si="3"/>
        <v>0</v>
      </c>
      <c r="O679" s="16"/>
    </row>
    <row r="680" spans="1:15" ht="15.75" customHeight="1">
      <c r="A680" s="18"/>
      <c r="B680" s="7"/>
      <c r="C680" s="8" t="str">
        <f>IFERROR(VLOOKUP($B680,'(勿動)組件目錄表'!$D$15:$R$1094,2,FALSE),"-")</f>
        <v>-</v>
      </c>
      <c r="D680" s="8" t="str">
        <f>IFERROR(VLOOKUP($B680,'(勿動)組件目錄表'!$D$15:$R$1094,3,FALSE),"-")</f>
        <v>-</v>
      </c>
      <c r="E680" s="9" t="str">
        <f>IFERROR(VLOOKUP($B680,'(勿動)組件目錄表'!$D$15:$R$1094,4,FALSE),"-")</f>
        <v>-</v>
      </c>
      <c r="F680" s="10" t="str">
        <f>IFERROR(VLOOKUP($B680,'(勿動)組件目錄表'!$D$15:$R$1094,5,FALSE),"-")</f>
        <v>-</v>
      </c>
      <c r="G680" s="11" t="str">
        <f>IFERROR(VLOOKUP($B680,'(勿動)組件目錄表'!$D$15:$R$1094,8,FALSE),"-")</f>
        <v>-</v>
      </c>
      <c r="H680" s="11" t="str">
        <f>IFERROR(VLOOKUP($B680,'(勿動)組件目錄表'!$D$15:$R$1094,9,FALSE),"-")</f>
        <v>-</v>
      </c>
      <c r="I680" s="11" t="str">
        <f>IFERROR(VLOOKUP($B680,'(勿動)組件目錄表'!$D$15:$R$1094,10,FALSE),"-")</f>
        <v>-</v>
      </c>
      <c r="J680" s="11" t="str">
        <f>IFERROR(VLOOKUP($B680,'(勿動)組件目錄表'!$D$15:$R$1094,11,FALSE),"-")</f>
        <v>-</v>
      </c>
      <c r="K680" s="11" t="str">
        <f>IFERROR(VLOOKUP($B680,'(勿動)組件目錄表'!$D$15:$R$1094,12,FALSE),"-")</f>
        <v>-</v>
      </c>
      <c r="L680" s="11" t="str">
        <f>IFERROR(VLOOKUP($B680,'(勿動)組件目錄表'!$D$15:$R$1094,13,FALSE),"-")</f>
        <v>-</v>
      </c>
      <c r="M680" s="11" t="str">
        <f>IFERROR(VLOOKUP($B680,'(勿動)組件目錄表'!$D$15:$R$1094,14,FALSE),"-")</f>
        <v>-</v>
      </c>
      <c r="N680" s="15">
        <f t="shared" si="3"/>
        <v>0</v>
      </c>
      <c r="O680" s="16"/>
    </row>
    <row r="681" spans="1:15" ht="15.75" customHeight="1">
      <c r="A681" s="18"/>
      <c r="B681" s="7"/>
      <c r="C681" s="8" t="str">
        <f>IFERROR(VLOOKUP($B681,'(勿動)組件目錄表'!$D$15:$R$1094,2,FALSE),"-")</f>
        <v>-</v>
      </c>
      <c r="D681" s="8" t="str">
        <f>IFERROR(VLOOKUP($B681,'(勿動)組件目錄表'!$D$15:$R$1094,3,FALSE),"-")</f>
        <v>-</v>
      </c>
      <c r="E681" s="9" t="str">
        <f>IFERROR(VLOOKUP($B681,'(勿動)組件目錄表'!$D$15:$R$1094,4,FALSE),"-")</f>
        <v>-</v>
      </c>
      <c r="F681" s="10" t="str">
        <f>IFERROR(VLOOKUP($B681,'(勿動)組件目錄表'!$D$15:$R$1094,5,FALSE),"-")</f>
        <v>-</v>
      </c>
      <c r="G681" s="11" t="str">
        <f>IFERROR(VLOOKUP($B681,'(勿動)組件目錄表'!$D$15:$R$1094,8,FALSE),"-")</f>
        <v>-</v>
      </c>
      <c r="H681" s="11" t="str">
        <f>IFERROR(VLOOKUP($B681,'(勿動)組件目錄表'!$D$15:$R$1094,9,FALSE),"-")</f>
        <v>-</v>
      </c>
      <c r="I681" s="11" t="str">
        <f>IFERROR(VLOOKUP($B681,'(勿動)組件目錄表'!$D$15:$R$1094,10,FALSE),"-")</f>
        <v>-</v>
      </c>
      <c r="J681" s="11" t="str">
        <f>IFERROR(VLOOKUP($B681,'(勿動)組件目錄表'!$D$15:$R$1094,11,FALSE),"-")</f>
        <v>-</v>
      </c>
      <c r="K681" s="11" t="str">
        <f>IFERROR(VLOOKUP($B681,'(勿動)組件目錄表'!$D$15:$R$1094,12,FALSE),"-")</f>
        <v>-</v>
      </c>
      <c r="L681" s="11" t="str">
        <f>IFERROR(VLOOKUP($B681,'(勿動)組件目錄表'!$D$15:$R$1094,13,FALSE),"-")</f>
        <v>-</v>
      </c>
      <c r="M681" s="11" t="str">
        <f>IFERROR(VLOOKUP($B681,'(勿動)組件目錄表'!$D$15:$R$1094,14,FALSE),"-")</f>
        <v>-</v>
      </c>
      <c r="N681" s="15">
        <f t="shared" si="3"/>
        <v>0</v>
      </c>
      <c r="O681" s="16"/>
    </row>
    <row r="682" spans="1:15" ht="15.75" customHeight="1">
      <c r="A682" s="18"/>
      <c r="B682" s="7"/>
      <c r="C682" s="8" t="str">
        <f>IFERROR(VLOOKUP($B682,'(勿動)組件目錄表'!$D$15:$R$1094,2,FALSE),"-")</f>
        <v>-</v>
      </c>
      <c r="D682" s="8" t="str">
        <f>IFERROR(VLOOKUP($B682,'(勿動)組件目錄表'!$D$15:$R$1094,3,FALSE),"-")</f>
        <v>-</v>
      </c>
      <c r="E682" s="9" t="str">
        <f>IFERROR(VLOOKUP($B682,'(勿動)組件目錄表'!$D$15:$R$1094,4,FALSE),"-")</f>
        <v>-</v>
      </c>
      <c r="F682" s="10" t="str">
        <f>IFERROR(VLOOKUP($B682,'(勿動)組件目錄表'!$D$15:$R$1094,5,FALSE),"-")</f>
        <v>-</v>
      </c>
      <c r="G682" s="11" t="str">
        <f>IFERROR(VLOOKUP($B682,'(勿動)組件目錄表'!$D$15:$R$1094,8,FALSE),"-")</f>
        <v>-</v>
      </c>
      <c r="H682" s="11" t="str">
        <f>IFERROR(VLOOKUP($B682,'(勿動)組件目錄表'!$D$15:$R$1094,9,FALSE),"-")</f>
        <v>-</v>
      </c>
      <c r="I682" s="11" t="str">
        <f>IFERROR(VLOOKUP($B682,'(勿動)組件目錄表'!$D$15:$R$1094,10,FALSE),"-")</f>
        <v>-</v>
      </c>
      <c r="J682" s="11" t="str">
        <f>IFERROR(VLOOKUP($B682,'(勿動)組件目錄表'!$D$15:$R$1094,11,FALSE),"-")</f>
        <v>-</v>
      </c>
      <c r="K682" s="11" t="str">
        <f>IFERROR(VLOOKUP($B682,'(勿動)組件目錄表'!$D$15:$R$1094,12,FALSE),"-")</f>
        <v>-</v>
      </c>
      <c r="L682" s="11" t="str">
        <f>IFERROR(VLOOKUP($B682,'(勿動)組件目錄表'!$D$15:$R$1094,13,FALSE),"-")</f>
        <v>-</v>
      </c>
      <c r="M682" s="11" t="str">
        <f>IFERROR(VLOOKUP($B682,'(勿動)組件目錄表'!$D$15:$R$1094,14,FALSE),"-")</f>
        <v>-</v>
      </c>
      <c r="N682" s="15">
        <f t="shared" si="3"/>
        <v>0</v>
      </c>
      <c r="O682" s="16"/>
    </row>
    <row r="683" spans="1:15" ht="15.75" customHeight="1">
      <c r="A683" s="18"/>
      <c r="B683" s="7"/>
      <c r="C683" s="8" t="str">
        <f>IFERROR(VLOOKUP($B683,'(勿動)組件目錄表'!$D$15:$R$1094,2,FALSE),"-")</f>
        <v>-</v>
      </c>
      <c r="D683" s="8" t="str">
        <f>IFERROR(VLOOKUP($B683,'(勿動)組件目錄表'!$D$15:$R$1094,3,FALSE),"-")</f>
        <v>-</v>
      </c>
      <c r="E683" s="9" t="str">
        <f>IFERROR(VLOOKUP($B683,'(勿動)組件目錄表'!$D$15:$R$1094,4,FALSE),"-")</f>
        <v>-</v>
      </c>
      <c r="F683" s="10" t="str">
        <f>IFERROR(VLOOKUP($B683,'(勿動)組件目錄表'!$D$15:$R$1094,5,FALSE),"-")</f>
        <v>-</v>
      </c>
      <c r="G683" s="11" t="str">
        <f>IFERROR(VLOOKUP($B683,'(勿動)組件目錄表'!$D$15:$R$1094,8,FALSE),"-")</f>
        <v>-</v>
      </c>
      <c r="H683" s="11" t="str">
        <f>IFERROR(VLOOKUP($B683,'(勿動)組件目錄表'!$D$15:$R$1094,9,FALSE),"-")</f>
        <v>-</v>
      </c>
      <c r="I683" s="11" t="str">
        <f>IFERROR(VLOOKUP($B683,'(勿動)組件目錄表'!$D$15:$R$1094,10,FALSE),"-")</f>
        <v>-</v>
      </c>
      <c r="J683" s="11" t="str">
        <f>IFERROR(VLOOKUP($B683,'(勿動)組件目錄表'!$D$15:$R$1094,11,FALSE),"-")</f>
        <v>-</v>
      </c>
      <c r="K683" s="11" t="str">
        <f>IFERROR(VLOOKUP($B683,'(勿動)組件目錄表'!$D$15:$R$1094,12,FALSE),"-")</f>
        <v>-</v>
      </c>
      <c r="L683" s="11" t="str">
        <f>IFERROR(VLOOKUP($B683,'(勿動)組件目錄表'!$D$15:$R$1094,13,FALSE),"-")</f>
        <v>-</v>
      </c>
      <c r="M683" s="11" t="str">
        <f>IFERROR(VLOOKUP($B683,'(勿動)組件目錄表'!$D$15:$R$1094,14,FALSE),"-")</f>
        <v>-</v>
      </c>
      <c r="N683" s="15">
        <f t="shared" si="3"/>
        <v>0</v>
      </c>
      <c r="O683" s="16"/>
    </row>
    <row r="684" spans="1:15" ht="15.75" customHeight="1">
      <c r="A684" s="18"/>
      <c r="B684" s="7"/>
      <c r="C684" s="8" t="str">
        <f>IFERROR(VLOOKUP($B684,'(勿動)組件目錄表'!$D$15:$R$1094,2,FALSE),"-")</f>
        <v>-</v>
      </c>
      <c r="D684" s="8" t="str">
        <f>IFERROR(VLOOKUP($B684,'(勿動)組件目錄表'!$D$15:$R$1094,3,FALSE),"-")</f>
        <v>-</v>
      </c>
      <c r="E684" s="9" t="str">
        <f>IFERROR(VLOOKUP($B684,'(勿動)組件目錄表'!$D$15:$R$1094,4,FALSE),"-")</f>
        <v>-</v>
      </c>
      <c r="F684" s="10" t="str">
        <f>IFERROR(VLOOKUP($B684,'(勿動)組件目錄表'!$D$15:$R$1094,5,FALSE),"-")</f>
        <v>-</v>
      </c>
      <c r="G684" s="11" t="str">
        <f>IFERROR(VLOOKUP($B684,'(勿動)組件目錄表'!$D$15:$R$1094,8,FALSE),"-")</f>
        <v>-</v>
      </c>
      <c r="H684" s="11" t="str">
        <f>IFERROR(VLOOKUP($B684,'(勿動)組件目錄表'!$D$15:$R$1094,9,FALSE),"-")</f>
        <v>-</v>
      </c>
      <c r="I684" s="11" t="str">
        <f>IFERROR(VLOOKUP($B684,'(勿動)組件目錄表'!$D$15:$R$1094,10,FALSE),"-")</f>
        <v>-</v>
      </c>
      <c r="J684" s="11" t="str">
        <f>IFERROR(VLOOKUP($B684,'(勿動)組件目錄表'!$D$15:$R$1094,11,FALSE),"-")</f>
        <v>-</v>
      </c>
      <c r="K684" s="11" t="str">
        <f>IFERROR(VLOOKUP($B684,'(勿動)組件目錄表'!$D$15:$R$1094,12,FALSE),"-")</f>
        <v>-</v>
      </c>
      <c r="L684" s="11" t="str">
        <f>IFERROR(VLOOKUP($B684,'(勿動)組件目錄表'!$D$15:$R$1094,13,FALSE),"-")</f>
        <v>-</v>
      </c>
      <c r="M684" s="11" t="str">
        <f>IFERROR(VLOOKUP($B684,'(勿動)組件目錄表'!$D$15:$R$1094,14,FALSE),"-")</f>
        <v>-</v>
      </c>
      <c r="N684" s="15">
        <f t="shared" si="3"/>
        <v>0</v>
      </c>
      <c r="O684" s="16"/>
    </row>
    <row r="685" spans="1:15" ht="15.75" customHeight="1">
      <c r="A685" s="18"/>
      <c r="B685" s="7"/>
      <c r="C685" s="8" t="str">
        <f>IFERROR(VLOOKUP($B685,'(勿動)組件目錄表'!$D$15:$R$1094,2,FALSE),"-")</f>
        <v>-</v>
      </c>
      <c r="D685" s="8" t="str">
        <f>IFERROR(VLOOKUP($B685,'(勿動)組件目錄表'!$D$15:$R$1094,3,FALSE),"-")</f>
        <v>-</v>
      </c>
      <c r="E685" s="9" t="str">
        <f>IFERROR(VLOOKUP($B685,'(勿動)組件目錄表'!$D$15:$R$1094,4,FALSE),"-")</f>
        <v>-</v>
      </c>
      <c r="F685" s="10" t="str">
        <f>IFERROR(VLOOKUP($B685,'(勿動)組件目錄表'!$D$15:$R$1094,5,FALSE),"-")</f>
        <v>-</v>
      </c>
      <c r="G685" s="11" t="str">
        <f>IFERROR(VLOOKUP($B685,'(勿動)組件目錄表'!$D$15:$R$1094,8,FALSE),"-")</f>
        <v>-</v>
      </c>
      <c r="H685" s="11" t="str">
        <f>IFERROR(VLOOKUP($B685,'(勿動)組件目錄表'!$D$15:$R$1094,9,FALSE),"-")</f>
        <v>-</v>
      </c>
      <c r="I685" s="11" t="str">
        <f>IFERROR(VLOOKUP($B685,'(勿動)組件目錄表'!$D$15:$R$1094,10,FALSE),"-")</f>
        <v>-</v>
      </c>
      <c r="J685" s="11" t="str">
        <f>IFERROR(VLOOKUP($B685,'(勿動)組件目錄表'!$D$15:$R$1094,11,FALSE),"-")</f>
        <v>-</v>
      </c>
      <c r="K685" s="11" t="str">
        <f>IFERROR(VLOOKUP($B685,'(勿動)組件目錄表'!$D$15:$R$1094,12,FALSE),"-")</f>
        <v>-</v>
      </c>
      <c r="L685" s="11" t="str">
        <f>IFERROR(VLOOKUP($B685,'(勿動)組件目錄表'!$D$15:$R$1094,13,FALSE),"-")</f>
        <v>-</v>
      </c>
      <c r="M685" s="11" t="str">
        <f>IFERROR(VLOOKUP($B685,'(勿動)組件目錄表'!$D$15:$R$1094,14,FALSE),"-")</f>
        <v>-</v>
      </c>
      <c r="N685" s="15">
        <f t="shared" si="3"/>
        <v>0</v>
      </c>
      <c r="O685" s="16"/>
    </row>
    <row r="686" spans="1:15" ht="15.75" customHeight="1">
      <c r="A686" s="18"/>
      <c r="B686" s="7"/>
      <c r="C686" s="8" t="str">
        <f>IFERROR(VLOOKUP($B686,'(勿動)組件目錄表'!$D$15:$R$1094,2,FALSE),"-")</f>
        <v>-</v>
      </c>
      <c r="D686" s="8" t="str">
        <f>IFERROR(VLOOKUP($B686,'(勿動)組件目錄表'!$D$15:$R$1094,3,FALSE),"-")</f>
        <v>-</v>
      </c>
      <c r="E686" s="9" t="str">
        <f>IFERROR(VLOOKUP($B686,'(勿動)組件目錄表'!$D$15:$R$1094,4,FALSE),"-")</f>
        <v>-</v>
      </c>
      <c r="F686" s="10" t="str">
        <f>IFERROR(VLOOKUP($B686,'(勿動)組件目錄表'!$D$15:$R$1094,5,FALSE),"-")</f>
        <v>-</v>
      </c>
      <c r="G686" s="11" t="str">
        <f>IFERROR(VLOOKUP($B686,'(勿動)組件目錄表'!$D$15:$R$1094,8,FALSE),"-")</f>
        <v>-</v>
      </c>
      <c r="H686" s="11" t="str">
        <f>IFERROR(VLOOKUP($B686,'(勿動)組件目錄表'!$D$15:$R$1094,9,FALSE),"-")</f>
        <v>-</v>
      </c>
      <c r="I686" s="11" t="str">
        <f>IFERROR(VLOOKUP($B686,'(勿動)組件目錄表'!$D$15:$R$1094,10,FALSE),"-")</f>
        <v>-</v>
      </c>
      <c r="J686" s="11" t="str">
        <f>IFERROR(VLOOKUP($B686,'(勿動)組件目錄表'!$D$15:$R$1094,11,FALSE),"-")</f>
        <v>-</v>
      </c>
      <c r="K686" s="11" t="str">
        <f>IFERROR(VLOOKUP($B686,'(勿動)組件目錄表'!$D$15:$R$1094,12,FALSE),"-")</f>
        <v>-</v>
      </c>
      <c r="L686" s="11" t="str">
        <f>IFERROR(VLOOKUP($B686,'(勿動)組件目錄表'!$D$15:$R$1094,13,FALSE),"-")</f>
        <v>-</v>
      </c>
      <c r="M686" s="11" t="str">
        <f>IFERROR(VLOOKUP($B686,'(勿動)組件目錄表'!$D$15:$R$1094,14,FALSE),"-")</f>
        <v>-</v>
      </c>
      <c r="N686" s="15">
        <f t="shared" si="3"/>
        <v>0</v>
      </c>
      <c r="O686" s="16"/>
    </row>
    <row r="687" spans="1:15" ht="15.75" customHeight="1">
      <c r="A687" s="18"/>
      <c r="B687" s="7"/>
      <c r="C687" s="8" t="str">
        <f>IFERROR(VLOOKUP($B687,'(勿動)組件目錄表'!$D$15:$R$1094,2,FALSE),"-")</f>
        <v>-</v>
      </c>
      <c r="D687" s="8" t="str">
        <f>IFERROR(VLOOKUP($B687,'(勿動)組件目錄表'!$D$15:$R$1094,3,FALSE),"-")</f>
        <v>-</v>
      </c>
      <c r="E687" s="9" t="str">
        <f>IFERROR(VLOOKUP($B687,'(勿動)組件目錄表'!$D$15:$R$1094,4,FALSE),"-")</f>
        <v>-</v>
      </c>
      <c r="F687" s="10" t="str">
        <f>IFERROR(VLOOKUP($B687,'(勿動)組件目錄表'!$D$15:$R$1094,5,FALSE),"-")</f>
        <v>-</v>
      </c>
      <c r="G687" s="11" t="str">
        <f>IFERROR(VLOOKUP($B687,'(勿動)組件目錄表'!$D$15:$R$1094,8,FALSE),"-")</f>
        <v>-</v>
      </c>
      <c r="H687" s="11" t="str">
        <f>IFERROR(VLOOKUP($B687,'(勿動)組件目錄表'!$D$15:$R$1094,9,FALSE),"-")</f>
        <v>-</v>
      </c>
      <c r="I687" s="11" t="str">
        <f>IFERROR(VLOOKUP($B687,'(勿動)組件目錄表'!$D$15:$R$1094,10,FALSE),"-")</f>
        <v>-</v>
      </c>
      <c r="J687" s="11" t="str">
        <f>IFERROR(VLOOKUP($B687,'(勿動)組件目錄表'!$D$15:$R$1094,11,FALSE),"-")</f>
        <v>-</v>
      </c>
      <c r="K687" s="11" t="str">
        <f>IFERROR(VLOOKUP($B687,'(勿動)組件目錄表'!$D$15:$R$1094,12,FALSE),"-")</f>
        <v>-</v>
      </c>
      <c r="L687" s="11" t="str">
        <f>IFERROR(VLOOKUP($B687,'(勿動)組件目錄表'!$D$15:$R$1094,13,FALSE),"-")</f>
        <v>-</v>
      </c>
      <c r="M687" s="11" t="str">
        <f>IFERROR(VLOOKUP($B687,'(勿動)組件目錄表'!$D$15:$R$1094,14,FALSE),"-")</f>
        <v>-</v>
      </c>
      <c r="N687" s="15">
        <f t="shared" si="3"/>
        <v>0</v>
      </c>
      <c r="O687" s="16"/>
    </row>
    <row r="688" spans="1:15" ht="15.75" customHeight="1">
      <c r="A688" s="18"/>
      <c r="B688" s="7"/>
      <c r="C688" s="8" t="str">
        <f>IFERROR(VLOOKUP($B688,'(勿動)組件目錄表'!$D$15:$R$1094,2,FALSE),"-")</f>
        <v>-</v>
      </c>
      <c r="D688" s="8" t="str">
        <f>IFERROR(VLOOKUP($B688,'(勿動)組件目錄表'!$D$15:$R$1094,3,FALSE),"-")</f>
        <v>-</v>
      </c>
      <c r="E688" s="9" t="str">
        <f>IFERROR(VLOOKUP($B688,'(勿動)組件目錄表'!$D$15:$R$1094,4,FALSE),"-")</f>
        <v>-</v>
      </c>
      <c r="F688" s="10" t="str">
        <f>IFERROR(VLOOKUP($B688,'(勿動)組件目錄表'!$D$15:$R$1094,5,FALSE),"-")</f>
        <v>-</v>
      </c>
      <c r="G688" s="11" t="str">
        <f>IFERROR(VLOOKUP($B688,'(勿動)組件目錄表'!$D$15:$R$1094,8,FALSE),"-")</f>
        <v>-</v>
      </c>
      <c r="H688" s="11" t="str">
        <f>IFERROR(VLOOKUP($B688,'(勿動)組件目錄表'!$D$15:$R$1094,9,FALSE),"-")</f>
        <v>-</v>
      </c>
      <c r="I688" s="11" t="str">
        <f>IFERROR(VLOOKUP($B688,'(勿動)組件目錄表'!$D$15:$R$1094,10,FALSE),"-")</f>
        <v>-</v>
      </c>
      <c r="J688" s="11" t="str">
        <f>IFERROR(VLOOKUP($B688,'(勿動)組件目錄表'!$D$15:$R$1094,11,FALSE),"-")</f>
        <v>-</v>
      </c>
      <c r="K688" s="11" t="str">
        <f>IFERROR(VLOOKUP($B688,'(勿動)組件目錄表'!$D$15:$R$1094,12,FALSE),"-")</f>
        <v>-</v>
      </c>
      <c r="L688" s="11" t="str">
        <f>IFERROR(VLOOKUP($B688,'(勿動)組件目錄表'!$D$15:$R$1094,13,FALSE),"-")</f>
        <v>-</v>
      </c>
      <c r="M688" s="11" t="str">
        <f>IFERROR(VLOOKUP($B688,'(勿動)組件目錄表'!$D$15:$R$1094,14,FALSE),"-")</f>
        <v>-</v>
      </c>
      <c r="N688" s="15">
        <f t="shared" si="3"/>
        <v>0</v>
      </c>
      <c r="O688" s="16"/>
    </row>
    <row r="689" spans="1:15" ht="15.75" customHeight="1">
      <c r="A689" s="18"/>
      <c r="B689" s="7"/>
      <c r="C689" s="8" t="str">
        <f>IFERROR(VLOOKUP($B689,'(勿動)組件目錄表'!$D$15:$R$1094,2,FALSE),"-")</f>
        <v>-</v>
      </c>
      <c r="D689" s="8" t="str">
        <f>IFERROR(VLOOKUP($B689,'(勿動)組件目錄表'!$D$15:$R$1094,3,FALSE),"-")</f>
        <v>-</v>
      </c>
      <c r="E689" s="9" t="str">
        <f>IFERROR(VLOOKUP($B689,'(勿動)組件目錄表'!$D$15:$R$1094,4,FALSE),"-")</f>
        <v>-</v>
      </c>
      <c r="F689" s="10" t="str">
        <f>IFERROR(VLOOKUP($B689,'(勿動)組件目錄表'!$D$15:$R$1094,5,FALSE),"-")</f>
        <v>-</v>
      </c>
      <c r="G689" s="11" t="str">
        <f>IFERROR(VLOOKUP($B689,'(勿動)組件目錄表'!$D$15:$R$1094,8,FALSE),"-")</f>
        <v>-</v>
      </c>
      <c r="H689" s="11" t="str">
        <f>IFERROR(VLOOKUP($B689,'(勿動)組件目錄表'!$D$15:$R$1094,9,FALSE),"-")</f>
        <v>-</v>
      </c>
      <c r="I689" s="11" t="str">
        <f>IFERROR(VLOOKUP($B689,'(勿動)組件目錄表'!$D$15:$R$1094,10,FALSE),"-")</f>
        <v>-</v>
      </c>
      <c r="J689" s="11" t="str">
        <f>IFERROR(VLOOKUP($B689,'(勿動)組件目錄表'!$D$15:$R$1094,11,FALSE),"-")</f>
        <v>-</v>
      </c>
      <c r="K689" s="11" t="str">
        <f>IFERROR(VLOOKUP($B689,'(勿動)組件目錄表'!$D$15:$R$1094,12,FALSE),"-")</f>
        <v>-</v>
      </c>
      <c r="L689" s="11" t="str">
        <f>IFERROR(VLOOKUP($B689,'(勿動)組件目錄表'!$D$15:$R$1094,13,FALSE),"-")</f>
        <v>-</v>
      </c>
      <c r="M689" s="11" t="str">
        <f>IFERROR(VLOOKUP($B689,'(勿動)組件目錄表'!$D$15:$R$1094,14,FALSE),"-")</f>
        <v>-</v>
      </c>
      <c r="N689" s="15">
        <f t="shared" si="3"/>
        <v>0</v>
      </c>
      <c r="O689" s="16"/>
    </row>
    <row r="690" spans="1:15" ht="15.75" customHeight="1">
      <c r="A690" s="18"/>
      <c r="B690" s="7"/>
      <c r="C690" s="8" t="str">
        <f>IFERROR(VLOOKUP($B690,'(勿動)組件目錄表'!$D$15:$R$1094,2,FALSE),"-")</f>
        <v>-</v>
      </c>
      <c r="D690" s="8" t="str">
        <f>IFERROR(VLOOKUP($B690,'(勿動)組件目錄表'!$D$15:$R$1094,3,FALSE),"-")</f>
        <v>-</v>
      </c>
      <c r="E690" s="9" t="str">
        <f>IFERROR(VLOOKUP($B690,'(勿動)組件目錄表'!$D$15:$R$1094,4,FALSE),"-")</f>
        <v>-</v>
      </c>
      <c r="F690" s="10" t="str">
        <f>IFERROR(VLOOKUP($B690,'(勿動)組件目錄表'!$D$15:$R$1094,5,FALSE),"-")</f>
        <v>-</v>
      </c>
      <c r="G690" s="11" t="str">
        <f>IFERROR(VLOOKUP($B690,'(勿動)組件目錄表'!$D$15:$R$1094,8,FALSE),"-")</f>
        <v>-</v>
      </c>
      <c r="H690" s="11" t="str">
        <f>IFERROR(VLOOKUP($B690,'(勿動)組件目錄表'!$D$15:$R$1094,9,FALSE),"-")</f>
        <v>-</v>
      </c>
      <c r="I690" s="11" t="str">
        <f>IFERROR(VLOOKUP($B690,'(勿動)組件目錄表'!$D$15:$R$1094,10,FALSE),"-")</f>
        <v>-</v>
      </c>
      <c r="J690" s="11" t="str">
        <f>IFERROR(VLOOKUP($B690,'(勿動)組件目錄表'!$D$15:$R$1094,11,FALSE),"-")</f>
        <v>-</v>
      </c>
      <c r="K690" s="11" t="str">
        <f>IFERROR(VLOOKUP($B690,'(勿動)組件目錄表'!$D$15:$R$1094,12,FALSE),"-")</f>
        <v>-</v>
      </c>
      <c r="L690" s="11" t="str">
        <f>IFERROR(VLOOKUP($B690,'(勿動)組件目錄表'!$D$15:$R$1094,13,FALSE),"-")</f>
        <v>-</v>
      </c>
      <c r="M690" s="11" t="str">
        <f>IFERROR(VLOOKUP($B690,'(勿動)組件目錄表'!$D$15:$R$1094,14,FALSE),"-")</f>
        <v>-</v>
      </c>
      <c r="N690" s="15">
        <f t="shared" si="3"/>
        <v>0</v>
      </c>
      <c r="O690" s="16"/>
    </row>
    <row r="691" spans="1:15" ht="15.75" customHeight="1">
      <c r="A691" s="18"/>
      <c r="B691" s="7"/>
      <c r="C691" s="8" t="str">
        <f>IFERROR(VLOOKUP($B691,'(勿動)組件目錄表'!$D$15:$R$1094,2,FALSE),"-")</f>
        <v>-</v>
      </c>
      <c r="D691" s="8" t="str">
        <f>IFERROR(VLOOKUP($B691,'(勿動)組件目錄表'!$D$15:$R$1094,3,FALSE),"-")</f>
        <v>-</v>
      </c>
      <c r="E691" s="9" t="str">
        <f>IFERROR(VLOOKUP($B691,'(勿動)組件目錄表'!$D$15:$R$1094,4,FALSE),"-")</f>
        <v>-</v>
      </c>
      <c r="F691" s="10" t="str">
        <f>IFERROR(VLOOKUP($B691,'(勿動)組件目錄表'!$D$15:$R$1094,5,FALSE),"-")</f>
        <v>-</v>
      </c>
      <c r="G691" s="11" t="str">
        <f>IFERROR(VLOOKUP($B691,'(勿動)組件目錄表'!$D$15:$R$1094,8,FALSE),"-")</f>
        <v>-</v>
      </c>
      <c r="H691" s="11" t="str">
        <f>IFERROR(VLOOKUP($B691,'(勿動)組件目錄表'!$D$15:$R$1094,9,FALSE),"-")</f>
        <v>-</v>
      </c>
      <c r="I691" s="11" t="str">
        <f>IFERROR(VLOOKUP($B691,'(勿動)組件目錄表'!$D$15:$R$1094,10,FALSE),"-")</f>
        <v>-</v>
      </c>
      <c r="J691" s="11" t="str">
        <f>IFERROR(VLOOKUP($B691,'(勿動)組件目錄表'!$D$15:$R$1094,11,FALSE),"-")</f>
        <v>-</v>
      </c>
      <c r="K691" s="11" t="str">
        <f>IFERROR(VLOOKUP($B691,'(勿動)組件目錄表'!$D$15:$R$1094,12,FALSE),"-")</f>
        <v>-</v>
      </c>
      <c r="L691" s="11" t="str">
        <f>IFERROR(VLOOKUP($B691,'(勿動)組件目錄表'!$D$15:$R$1094,13,FALSE),"-")</f>
        <v>-</v>
      </c>
      <c r="M691" s="11" t="str">
        <f>IFERROR(VLOOKUP($B691,'(勿動)組件目錄表'!$D$15:$R$1094,14,FALSE),"-")</f>
        <v>-</v>
      </c>
      <c r="N691" s="15">
        <f t="shared" si="3"/>
        <v>0</v>
      </c>
      <c r="O691" s="16"/>
    </row>
    <row r="692" spans="1:15" ht="15.75" customHeight="1">
      <c r="A692" s="18"/>
      <c r="B692" s="7"/>
      <c r="C692" s="8" t="str">
        <f>IFERROR(VLOOKUP($B692,'(勿動)組件目錄表'!$D$15:$R$1094,2,FALSE),"-")</f>
        <v>-</v>
      </c>
      <c r="D692" s="8" t="str">
        <f>IFERROR(VLOOKUP($B692,'(勿動)組件目錄表'!$D$15:$R$1094,3,FALSE),"-")</f>
        <v>-</v>
      </c>
      <c r="E692" s="9" t="str">
        <f>IFERROR(VLOOKUP($B692,'(勿動)組件目錄表'!$D$15:$R$1094,4,FALSE),"-")</f>
        <v>-</v>
      </c>
      <c r="F692" s="10" t="str">
        <f>IFERROR(VLOOKUP($B692,'(勿動)組件目錄表'!$D$15:$R$1094,5,FALSE),"-")</f>
        <v>-</v>
      </c>
      <c r="G692" s="11" t="str">
        <f>IFERROR(VLOOKUP($B692,'(勿動)組件目錄表'!$D$15:$R$1094,8,FALSE),"-")</f>
        <v>-</v>
      </c>
      <c r="H692" s="11" t="str">
        <f>IFERROR(VLOOKUP($B692,'(勿動)組件目錄表'!$D$15:$R$1094,9,FALSE),"-")</f>
        <v>-</v>
      </c>
      <c r="I692" s="11" t="str">
        <f>IFERROR(VLOOKUP($B692,'(勿動)組件目錄表'!$D$15:$R$1094,10,FALSE),"-")</f>
        <v>-</v>
      </c>
      <c r="J692" s="11" t="str">
        <f>IFERROR(VLOOKUP($B692,'(勿動)組件目錄表'!$D$15:$R$1094,11,FALSE),"-")</f>
        <v>-</v>
      </c>
      <c r="K692" s="11" t="str">
        <f>IFERROR(VLOOKUP($B692,'(勿動)組件目錄表'!$D$15:$R$1094,12,FALSE),"-")</f>
        <v>-</v>
      </c>
      <c r="L692" s="11" t="str">
        <f>IFERROR(VLOOKUP($B692,'(勿動)組件目錄表'!$D$15:$R$1094,13,FALSE),"-")</f>
        <v>-</v>
      </c>
      <c r="M692" s="11" t="str">
        <f>IFERROR(VLOOKUP($B692,'(勿動)組件目錄表'!$D$15:$R$1094,14,FALSE),"-")</f>
        <v>-</v>
      </c>
      <c r="N692" s="15">
        <f t="shared" si="3"/>
        <v>0</v>
      </c>
      <c r="O692" s="16"/>
    </row>
    <row r="693" spans="1:15" ht="15.75" customHeight="1">
      <c r="A693" s="18"/>
      <c r="B693" s="7"/>
      <c r="C693" s="8" t="str">
        <f>IFERROR(VLOOKUP($B693,'(勿動)組件目錄表'!$D$15:$R$1094,2,FALSE),"-")</f>
        <v>-</v>
      </c>
      <c r="D693" s="8" t="str">
        <f>IFERROR(VLOOKUP($B693,'(勿動)組件目錄表'!$D$15:$R$1094,3,FALSE),"-")</f>
        <v>-</v>
      </c>
      <c r="E693" s="9" t="str">
        <f>IFERROR(VLOOKUP($B693,'(勿動)組件目錄表'!$D$15:$R$1094,4,FALSE),"-")</f>
        <v>-</v>
      </c>
      <c r="F693" s="10" t="str">
        <f>IFERROR(VLOOKUP($B693,'(勿動)組件目錄表'!$D$15:$R$1094,5,FALSE),"-")</f>
        <v>-</v>
      </c>
      <c r="G693" s="11" t="str">
        <f>IFERROR(VLOOKUP($B693,'(勿動)組件目錄表'!$D$15:$R$1094,8,FALSE),"-")</f>
        <v>-</v>
      </c>
      <c r="H693" s="11" t="str">
        <f>IFERROR(VLOOKUP($B693,'(勿動)組件目錄表'!$D$15:$R$1094,9,FALSE),"-")</f>
        <v>-</v>
      </c>
      <c r="I693" s="11" t="str">
        <f>IFERROR(VLOOKUP($B693,'(勿動)組件目錄表'!$D$15:$R$1094,10,FALSE),"-")</f>
        <v>-</v>
      </c>
      <c r="J693" s="11" t="str">
        <f>IFERROR(VLOOKUP($B693,'(勿動)組件目錄表'!$D$15:$R$1094,11,FALSE),"-")</f>
        <v>-</v>
      </c>
      <c r="K693" s="11" t="str">
        <f>IFERROR(VLOOKUP($B693,'(勿動)組件目錄表'!$D$15:$R$1094,12,FALSE),"-")</f>
        <v>-</v>
      </c>
      <c r="L693" s="11" t="str">
        <f>IFERROR(VLOOKUP($B693,'(勿動)組件目錄表'!$D$15:$R$1094,13,FALSE),"-")</f>
        <v>-</v>
      </c>
      <c r="M693" s="11" t="str">
        <f>IFERROR(VLOOKUP($B693,'(勿動)組件目錄表'!$D$15:$R$1094,14,FALSE),"-")</f>
        <v>-</v>
      </c>
      <c r="N693" s="15">
        <f t="shared" si="3"/>
        <v>0</v>
      </c>
      <c r="O693" s="16"/>
    </row>
    <row r="694" spans="1:15" ht="15.75" customHeight="1">
      <c r="A694" s="18"/>
      <c r="B694" s="7"/>
      <c r="C694" s="8" t="str">
        <f>IFERROR(VLOOKUP($B694,'(勿動)組件目錄表'!$D$15:$R$1094,2,FALSE),"-")</f>
        <v>-</v>
      </c>
      <c r="D694" s="8" t="str">
        <f>IFERROR(VLOOKUP($B694,'(勿動)組件目錄表'!$D$15:$R$1094,3,FALSE),"-")</f>
        <v>-</v>
      </c>
      <c r="E694" s="9" t="str">
        <f>IFERROR(VLOOKUP($B694,'(勿動)組件目錄表'!$D$15:$R$1094,4,FALSE),"-")</f>
        <v>-</v>
      </c>
      <c r="F694" s="10" t="str">
        <f>IFERROR(VLOOKUP($B694,'(勿動)組件目錄表'!$D$15:$R$1094,5,FALSE),"-")</f>
        <v>-</v>
      </c>
      <c r="G694" s="11" t="str">
        <f>IFERROR(VLOOKUP($B694,'(勿動)組件目錄表'!$D$15:$R$1094,8,FALSE),"-")</f>
        <v>-</v>
      </c>
      <c r="H694" s="11" t="str">
        <f>IFERROR(VLOOKUP($B694,'(勿動)組件目錄表'!$D$15:$R$1094,9,FALSE),"-")</f>
        <v>-</v>
      </c>
      <c r="I694" s="11" t="str">
        <f>IFERROR(VLOOKUP($B694,'(勿動)組件目錄表'!$D$15:$R$1094,10,FALSE),"-")</f>
        <v>-</v>
      </c>
      <c r="J694" s="11" t="str">
        <f>IFERROR(VLOOKUP($B694,'(勿動)組件目錄表'!$D$15:$R$1094,11,FALSE),"-")</f>
        <v>-</v>
      </c>
      <c r="K694" s="11" t="str">
        <f>IFERROR(VLOOKUP($B694,'(勿動)組件目錄表'!$D$15:$R$1094,12,FALSE),"-")</f>
        <v>-</v>
      </c>
      <c r="L694" s="11" t="str">
        <f>IFERROR(VLOOKUP($B694,'(勿動)組件目錄表'!$D$15:$R$1094,13,FALSE),"-")</f>
        <v>-</v>
      </c>
      <c r="M694" s="11" t="str">
        <f>IFERROR(VLOOKUP($B694,'(勿動)組件目錄表'!$D$15:$R$1094,14,FALSE),"-")</f>
        <v>-</v>
      </c>
      <c r="N694" s="15">
        <f t="shared" si="3"/>
        <v>0</v>
      </c>
      <c r="O694" s="16"/>
    </row>
    <row r="695" spans="1:15" ht="15.75" customHeight="1">
      <c r="A695" s="18"/>
      <c r="B695" s="7"/>
      <c r="C695" s="8" t="str">
        <f>IFERROR(VLOOKUP($B695,'(勿動)組件目錄表'!$D$15:$R$1094,2,FALSE),"-")</f>
        <v>-</v>
      </c>
      <c r="D695" s="8" t="str">
        <f>IFERROR(VLOOKUP($B695,'(勿動)組件目錄表'!$D$15:$R$1094,3,FALSE),"-")</f>
        <v>-</v>
      </c>
      <c r="E695" s="9" t="str">
        <f>IFERROR(VLOOKUP($B695,'(勿動)組件目錄表'!$D$15:$R$1094,4,FALSE),"-")</f>
        <v>-</v>
      </c>
      <c r="F695" s="10" t="str">
        <f>IFERROR(VLOOKUP($B695,'(勿動)組件目錄表'!$D$15:$R$1094,5,FALSE),"-")</f>
        <v>-</v>
      </c>
      <c r="G695" s="11" t="str">
        <f>IFERROR(VLOOKUP($B695,'(勿動)組件目錄表'!$D$15:$R$1094,8,FALSE),"-")</f>
        <v>-</v>
      </c>
      <c r="H695" s="11" t="str">
        <f>IFERROR(VLOOKUP($B695,'(勿動)組件目錄表'!$D$15:$R$1094,9,FALSE),"-")</f>
        <v>-</v>
      </c>
      <c r="I695" s="11" t="str">
        <f>IFERROR(VLOOKUP($B695,'(勿動)組件目錄表'!$D$15:$R$1094,10,FALSE),"-")</f>
        <v>-</v>
      </c>
      <c r="J695" s="11" t="str">
        <f>IFERROR(VLOOKUP($B695,'(勿動)組件目錄表'!$D$15:$R$1094,11,FALSE),"-")</f>
        <v>-</v>
      </c>
      <c r="K695" s="11" t="str">
        <f>IFERROR(VLOOKUP($B695,'(勿動)組件目錄表'!$D$15:$R$1094,12,FALSE),"-")</f>
        <v>-</v>
      </c>
      <c r="L695" s="11" t="str">
        <f>IFERROR(VLOOKUP($B695,'(勿動)組件目錄表'!$D$15:$R$1094,13,FALSE),"-")</f>
        <v>-</v>
      </c>
      <c r="M695" s="11" t="str">
        <f>IFERROR(VLOOKUP($B695,'(勿動)組件目錄表'!$D$15:$R$1094,14,FALSE),"-")</f>
        <v>-</v>
      </c>
      <c r="N695" s="15">
        <f t="shared" si="3"/>
        <v>0</v>
      </c>
      <c r="O695" s="16"/>
    </row>
    <row r="696" spans="1:15" ht="15.75" customHeight="1">
      <c r="A696" s="18"/>
      <c r="B696" s="7"/>
      <c r="C696" s="8" t="str">
        <f>IFERROR(VLOOKUP($B696,'(勿動)組件目錄表'!$D$15:$R$1094,2,FALSE),"-")</f>
        <v>-</v>
      </c>
      <c r="D696" s="8" t="str">
        <f>IFERROR(VLOOKUP($B696,'(勿動)組件目錄表'!$D$15:$R$1094,3,FALSE),"-")</f>
        <v>-</v>
      </c>
      <c r="E696" s="9" t="str">
        <f>IFERROR(VLOOKUP($B696,'(勿動)組件目錄表'!$D$15:$R$1094,4,FALSE),"-")</f>
        <v>-</v>
      </c>
      <c r="F696" s="10" t="str">
        <f>IFERROR(VLOOKUP($B696,'(勿動)組件目錄表'!$D$15:$R$1094,5,FALSE),"-")</f>
        <v>-</v>
      </c>
      <c r="G696" s="11" t="str">
        <f>IFERROR(VLOOKUP($B696,'(勿動)組件目錄表'!$D$15:$R$1094,8,FALSE),"-")</f>
        <v>-</v>
      </c>
      <c r="H696" s="11" t="str">
        <f>IFERROR(VLOOKUP($B696,'(勿動)組件目錄表'!$D$15:$R$1094,9,FALSE),"-")</f>
        <v>-</v>
      </c>
      <c r="I696" s="11" t="str">
        <f>IFERROR(VLOOKUP($B696,'(勿動)組件目錄表'!$D$15:$R$1094,10,FALSE),"-")</f>
        <v>-</v>
      </c>
      <c r="J696" s="11" t="str">
        <f>IFERROR(VLOOKUP($B696,'(勿動)組件目錄表'!$D$15:$R$1094,11,FALSE),"-")</f>
        <v>-</v>
      </c>
      <c r="K696" s="11" t="str">
        <f>IFERROR(VLOOKUP($B696,'(勿動)組件目錄表'!$D$15:$R$1094,12,FALSE),"-")</f>
        <v>-</v>
      </c>
      <c r="L696" s="11" t="str">
        <f>IFERROR(VLOOKUP($B696,'(勿動)組件目錄表'!$D$15:$R$1094,13,FALSE),"-")</f>
        <v>-</v>
      </c>
      <c r="M696" s="11" t="str">
        <f>IFERROR(VLOOKUP($B696,'(勿動)組件目錄表'!$D$15:$R$1094,14,FALSE),"-")</f>
        <v>-</v>
      </c>
      <c r="N696" s="15">
        <f t="shared" si="3"/>
        <v>0</v>
      </c>
      <c r="O696" s="16"/>
    </row>
    <row r="697" spans="1:15" ht="15.75" customHeight="1">
      <c r="A697" s="18"/>
      <c r="B697" s="7"/>
      <c r="C697" s="8" t="str">
        <f>IFERROR(VLOOKUP($B697,'(勿動)組件目錄表'!$D$15:$R$1094,2,FALSE),"-")</f>
        <v>-</v>
      </c>
      <c r="D697" s="8" t="str">
        <f>IFERROR(VLOOKUP($B697,'(勿動)組件目錄表'!$D$15:$R$1094,3,FALSE),"-")</f>
        <v>-</v>
      </c>
      <c r="E697" s="9" t="str">
        <f>IFERROR(VLOOKUP($B697,'(勿動)組件目錄表'!$D$15:$R$1094,4,FALSE),"-")</f>
        <v>-</v>
      </c>
      <c r="F697" s="10" t="str">
        <f>IFERROR(VLOOKUP($B697,'(勿動)組件目錄表'!$D$15:$R$1094,5,FALSE),"-")</f>
        <v>-</v>
      </c>
      <c r="G697" s="11" t="str">
        <f>IFERROR(VLOOKUP($B697,'(勿動)組件目錄表'!$D$15:$R$1094,8,FALSE),"-")</f>
        <v>-</v>
      </c>
      <c r="H697" s="11" t="str">
        <f>IFERROR(VLOOKUP($B697,'(勿動)組件目錄表'!$D$15:$R$1094,9,FALSE),"-")</f>
        <v>-</v>
      </c>
      <c r="I697" s="11" t="str">
        <f>IFERROR(VLOOKUP($B697,'(勿動)組件目錄表'!$D$15:$R$1094,10,FALSE),"-")</f>
        <v>-</v>
      </c>
      <c r="J697" s="11" t="str">
        <f>IFERROR(VLOOKUP($B697,'(勿動)組件目錄表'!$D$15:$R$1094,11,FALSE),"-")</f>
        <v>-</v>
      </c>
      <c r="K697" s="11" t="str">
        <f>IFERROR(VLOOKUP($B697,'(勿動)組件目錄表'!$D$15:$R$1094,12,FALSE),"-")</f>
        <v>-</v>
      </c>
      <c r="L697" s="11" t="str">
        <f>IFERROR(VLOOKUP($B697,'(勿動)組件目錄表'!$D$15:$R$1094,13,FALSE),"-")</f>
        <v>-</v>
      </c>
      <c r="M697" s="11" t="str">
        <f>IFERROR(VLOOKUP($B697,'(勿動)組件目錄表'!$D$15:$R$1094,14,FALSE),"-")</f>
        <v>-</v>
      </c>
      <c r="N697" s="15">
        <f t="shared" si="3"/>
        <v>0</v>
      </c>
      <c r="O697" s="16"/>
    </row>
    <row r="698" spans="1:15" ht="15.75" customHeight="1">
      <c r="A698" s="18"/>
      <c r="B698" s="7"/>
      <c r="C698" s="8" t="str">
        <f>IFERROR(VLOOKUP($B698,'(勿動)組件目錄表'!$D$15:$R$1094,2,FALSE),"-")</f>
        <v>-</v>
      </c>
      <c r="D698" s="8" t="str">
        <f>IFERROR(VLOOKUP($B698,'(勿動)組件目錄表'!$D$15:$R$1094,3,FALSE),"-")</f>
        <v>-</v>
      </c>
      <c r="E698" s="9" t="str">
        <f>IFERROR(VLOOKUP($B698,'(勿動)組件目錄表'!$D$15:$R$1094,4,FALSE),"-")</f>
        <v>-</v>
      </c>
      <c r="F698" s="10" t="str">
        <f>IFERROR(VLOOKUP($B698,'(勿動)組件目錄表'!$D$15:$R$1094,5,FALSE),"-")</f>
        <v>-</v>
      </c>
      <c r="G698" s="11" t="str">
        <f>IFERROR(VLOOKUP($B698,'(勿動)組件目錄表'!$D$15:$R$1094,8,FALSE),"-")</f>
        <v>-</v>
      </c>
      <c r="H698" s="11" t="str">
        <f>IFERROR(VLOOKUP($B698,'(勿動)組件目錄表'!$D$15:$R$1094,9,FALSE),"-")</f>
        <v>-</v>
      </c>
      <c r="I698" s="11" t="str">
        <f>IFERROR(VLOOKUP($B698,'(勿動)組件目錄表'!$D$15:$R$1094,10,FALSE),"-")</f>
        <v>-</v>
      </c>
      <c r="J698" s="11" t="str">
        <f>IFERROR(VLOOKUP($B698,'(勿動)組件目錄表'!$D$15:$R$1094,11,FALSE),"-")</f>
        <v>-</v>
      </c>
      <c r="K698" s="11" t="str">
        <f>IFERROR(VLOOKUP($B698,'(勿動)組件目錄表'!$D$15:$R$1094,12,FALSE),"-")</f>
        <v>-</v>
      </c>
      <c r="L698" s="11" t="str">
        <f>IFERROR(VLOOKUP($B698,'(勿動)組件目錄表'!$D$15:$R$1094,13,FALSE),"-")</f>
        <v>-</v>
      </c>
      <c r="M698" s="11" t="str">
        <f>IFERROR(VLOOKUP($B698,'(勿動)組件目錄表'!$D$15:$R$1094,14,FALSE),"-")</f>
        <v>-</v>
      </c>
      <c r="N698" s="15">
        <f t="shared" si="3"/>
        <v>0</v>
      </c>
      <c r="O698" s="16"/>
    </row>
    <row r="699" spans="1:15" ht="15.75" customHeight="1">
      <c r="A699" s="18"/>
      <c r="B699" s="7"/>
      <c r="C699" s="8" t="str">
        <f>IFERROR(VLOOKUP($B699,'(勿動)組件目錄表'!$D$15:$R$1094,2,FALSE),"-")</f>
        <v>-</v>
      </c>
      <c r="D699" s="8" t="str">
        <f>IFERROR(VLOOKUP($B699,'(勿動)組件目錄表'!$D$15:$R$1094,3,FALSE),"-")</f>
        <v>-</v>
      </c>
      <c r="E699" s="9" t="str">
        <f>IFERROR(VLOOKUP($B699,'(勿動)組件目錄表'!$D$15:$R$1094,4,FALSE),"-")</f>
        <v>-</v>
      </c>
      <c r="F699" s="10" t="str">
        <f>IFERROR(VLOOKUP($B699,'(勿動)組件目錄表'!$D$15:$R$1094,5,FALSE),"-")</f>
        <v>-</v>
      </c>
      <c r="G699" s="11" t="str">
        <f>IFERROR(VLOOKUP($B699,'(勿動)組件目錄表'!$D$15:$R$1094,8,FALSE),"-")</f>
        <v>-</v>
      </c>
      <c r="H699" s="11" t="str">
        <f>IFERROR(VLOOKUP($B699,'(勿動)組件目錄表'!$D$15:$R$1094,9,FALSE),"-")</f>
        <v>-</v>
      </c>
      <c r="I699" s="11" t="str">
        <f>IFERROR(VLOOKUP($B699,'(勿動)組件目錄表'!$D$15:$R$1094,10,FALSE),"-")</f>
        <v>-</v>
      </c>
      <c r="J699" s="11" t="str">
        <f>IFERROR(VLOOKUP($B699,'(勿動)組件目錄表'!$D$15:$R$1094,11,FALSE),"-")</f>
        <v>-</v>
      </c>
      <c r="K699" s="11" t="str">
        <f>IFERROR(VLOOKUP($B699,'(勿動)組件目錄表'!$D$15:$R$1094,12,FALSE),"-")</f>
        <v>-</v>
      </c>
      <c r="L699" s="11" t="str">
        <f>IFERROR(VLOOKUP($B699,'(勿動)組件目錄表'!$D$15:$R$1094,13,FALSE),"-")</f>
        <v>-</v>
      </c>
      <c r="M699" s="11" t="str">
        <f>IFERROR(VLOOKUP($B699,'(勿動)組件目錄表'!$D$15:$R$1094,14,FALSE),"-")</f>
        <v>-</v>
      </c>
      <c r="N699" s="15">
        <f t="shared" si="3"/>
        <v>0</v>
      </c>
      <c r="O699" s="16"/>
    </row>
    <row r="700" spans="1:15" ht="15.75" customHeight="1">
      <c r="A700" s="18"/>
      <c r="B700" s="7"/>
      <c r="C700" s="8" t="str">
        <f>IFERROR(VLOOKUP($B700,'(勿動)組件目錄表'!$D$15:$R$1094,2,FALSE),"-")</f>
        <v>-</v>
      </c>
      <c r="D700" s="8" t="str">
        <f>IFERROR(VLOOKUP($B700,'(勿動)組件目錄表'!$D$15:$R$1094,3,FALSE),"-")</f>
        <v>-</v>
      </c>
      <c r="E700" s="9" t="str">
        <f>IFERROR(VLOOKUP($B700,'(勿動)組件目錄表'!$D$15:$R$1094,4,FALSE),"-")</f>
        <v>-</v>
      </c>
      <c r="F700" s="10" t="str">
        <f>IFERROR(VLOOKUP($B700,'(勿動)組件目錄表'!$D$15:$R$1094,5,FALSE),"-")</f>
        <v>-</v>
      </c>
      <c r="G700" s="11" t="str">
        <f>IFERROR(VLOOKUP($B700,'(勿動)組件目錄表'!$D$15:$R$1094,8,FALSE),"-")</f>
        <v>-</v>
      </c>
      <c r="H700" s="11" t="str">
        <f>IFERROR(VLOOKUP($B700,'(勿動)組件目錄表'!$D$15:$R$1094,9,FALSE),"-")</f>
        <v>-</v>
      </c>
      <c r="I700" s="11" t="str">
        <f>IFERROR(VLOOKUP($B700,'(勿動)組件目錄表'!$D$15:$R$1094,10,FALSE),"-")</f>
        <v>-</v>
      </c>
      <c r="J700" s="11" t="str">
        <f>IFERROR(VLOOKUP($B700,'(勿動)組件目錄表'!$D$15:$R$1094,11,FALSE),"-")</f>
        <v>-</v>
      </c>
      <c r="K700" s="11" t="str">
        <f>IFERROR(VLOOKUP($B700,'(勿動)組件目錄表'!$D$15:$R$1094,12,FALSE),"-")</f>
        <v>-</v>
      </c>
      <c r="L700" s="11" t="str">
        <f>IFERROR(VLOOKUP($B700,'(勿動)組件目錄表'!$D$15:$R$1094,13,FALSE),"-")</f>
        <v>-</v>
      </c>
      <c r="M700" s="11" t="str">
        <f>IFERROR(VLOOKUP($B700,'(勿動)組件目錄表'!$D$15:$R$1094,14,FALSE),"-")</f>
        <v>-</v>
      </c>
      <c r="N700" s="15">
        <f t="shared" si="3"/>
        <v>0</v>
      </c>
      <c r="O700" s="16"/>
    </row>
    <row r="701" spans="1:15" ht="15.75" customHeight="1">
      <c r="A701" s="18"/>
      <c r="B701" s="7"/>
      <c r="C701" s="8" t="str">
        <f>IFERROR(VLOOKUP($B701,'(勿動)組件目錄表'!$D$15:$R$1094,2,FALSE),"-")</f>
        <v>-</v>
      </c>
      <c r="D701" s="8" t="str">
        <f>IFERROR(VLOOKUP($B701,'(勿動)組件目錄表'!$D$15:$R$1094,3,FALSE),"-")</f>
        <v>-</v>
      </c>
      <c r="E701" s="9" t="str">
        <f>IFERROR(VLOOKUP($B701,'(勿動)組件目錄表'!$D$15:$R$1094,4,FALSE),"-")</f>
        <v>-</v>
      </c>
      <c r="F701" s="10" t="str">
        <f>IFERROR(VLOOKUP($B701,'(勿動)組件目錄表'!$D$15:$R$1094,5,FALSE),"-")</f>
        <v>-</v>
      </c>
      <c r="G701" s="11" t="str">
        <f>IFERROR(VLOOKUP($B701,'(勿動)組件目錄表'!$D$15:$R$1094,8,FALSE),"-")</f>
        <v>-</v>
      </c>
      <c r="H701" s="11" t="str">
        <f>IFERROR(VLOOKUP($B701,'(勿動)組件目錄表'!$D$15:$R$1094,9,FALSE),"-")</f>
        <v>-</v>
      </c>
      <c r="I701" s="11" t="str">
        <f>IFERROR(VLOOKUP($B701,'(勿動)組件目錄表'!$D$15:$R$1094,10,FALSE),"-")</f>
        <v>-</v>
      </c>
      <c r="J701" s="11" t="str">
        <f>IFERROR(VLOOKUP($B701,'(勿動)組件目錄表'!$D$15:$R$1094,11,FALSE),"-")</f>
        <v>-</v>
      </c>
      <c r="K701" s="11" t="str">
        <f>IFERROR(VLOOKUP($B701,'(勿動)組件目錄表'!$D$15:$R$1094,12,FALSE),"-")</f>
        <v>-</v>
      </c>
      <c r="L701" s="11" t="str">
        <f>IFERROR(VLOOKUP($B701,'(勿動)組件目錄表'!$D$15:$R$1094,13,FALSE),"-")</f>
        <v>-</v>
      </c>
      <c r="M701" s="11" t="str">
        <f>IFERROR(VLOOKUP($B701,'(勿動)組件目錄表'!$D$15:$R$1094,14,FALSE),"-")</f>
        <v>-</v>
      </c>
      <c r="N701" s="15">
        <f t="shared" si="3"/>
        <v>0</v>
      </c>
      <c r="O701" s="16"/>
    </row>
    <row r="702" spans="1:15" ht="15.75" customHeight="1">
      <c r="A702" s="18"/>
      <c r="B702" s="7"/>
      <c r="C702" s="8" t="str">
        <f>IFERROR(VLOOKUP($B702,'(勿動)組件目錄表'!$D$15:$R$1094,2,FALSE),"-")</f>
        <v>-</v>
      </c>
      <c r="D702" s="8" t="str">
        <f>IFERROR(VLOOKUP($B702,'(勿動)組件目錄表'!$D$15:$R$1094,3,FALSE),"-")</f>
        <v>-</v>
      </c>
      <c r="E702" s="9" t="str">
        <f>IFERROR(VLOOKUP($B702,'(勿動)組件目錄表'!$D$15:$R$1094,4,FALSE),"-")</f>
        <v>-</v>
      </c>
      <c r="F702" s="10" t="str">
        <f>IFERROR(VLOOKUP($B702,'(勿動)組件目錄表'!$D$15:$R$1094,5,FALSE),"-")</f>
        <v>-</v>
      </c>
      <c r="G702" s="11" t="str">
        <f>IFERROR(VLOOKUP($B702,'(勿動)組件目錄表'!$D$15:$R$1094,8,FALSE),"-")</f>
        <v>-</v>
      </c>
      <c r="H702" s="11" t="str">
        <f>IFERROR(VLOOKUP($B702,'(勿動)組件目錄表'!$D$15:$R$1094,9,FALSE),"-")</f>
        <v>-</v>
      </c>
      <c r="I702" s="11" t="str">
        <f>IFERROR(VLOOKUP($B702,'(勿動)組件目錄表'!$D$15:$R$1094,10,FALSE),"-")</f>
        <v>-</v>
      </c>
      <c r="J702" s="11" t="str">
        <f>IFERROR(VLOOKUP($B702,'(勿動)組件目錄表'!$D$15:$R$1094,11,FALSE),"-")</f>
        <v>-</v>
      </c>
      <c r="K702" s="11" t="str">
        <f>IFERROR(VLOOKUP($B702,'(勿動)組件目錄表'!$D$15:$R$1094,12,FALSE),"-")</f>
        <v>-</v>
      </c>
      <c r="L702" s="11" t="str">
        <f>IFERROR(VLOOKUP($B702,'(勿動)組件目錄表'!$D$15:$R$1094,13,FALSE),"-")</f>
        <v>-</v>
      </c>
      <c r="M702" s="11" t="str">
        <f>IFERROR(VLOOKUP($B702,'(勿動)組件目錄表'!$D$15:$R$1094,14,FALSE),"-")</f>
        <v>-</v>
      </c>
      <c r="N702" s="15">
        <f t="shared" si="3"/>
        <v>0</v>
      </c>
      <c r="O702" s="16"/>
    </row>
    <row r="703" spans="1:15" ht="15.75" customHeight="1">
      <c r="A703" s="18"/>
      <c r="B703" s="7"/>
      <c r="C703" s="8" t="str">
        <f>IFERROR(VLOOKUP($B703,'(勿動)組件目錄表'!$D$15:$R$1094,2,FALSE),"-")</f>
        <v>-</v>
      </c>
      <c r="D703" s="8" t="str">
        <f>IFERROR(VLOOKUP($B703,'(勿動)組件目錄表'!$D$15:$R$1094,3,FALSE),"-")</f>
        <v>-</v>
      </c>
      <c r="E703" s="9" t="str">
        <f>IFERROR(VLOOKUP($B703,'(勿動)組件目錄表'!$D$15:$R$1094,4,FALSE),"-")</f>
        <v>-</v>
      </c>
      <c r="F703" s="10" t="str">
        <f>IFERROR(VLOOKUP($B703,'(勿動)組件目錄表'!$D$15:$R$1094,5,FALSE),"-")</f>
        <v>-</v>
      </c>
      <c r="G703" s="11" t="str">
        <f>IFERROR(VLOOKUP($B703,'(勿動)組件目錄表'!$D$15:$R$1094,8,FALSE),"-")</f>
        <v>-</v>
      </c>
      <c r="H703" s="11" t="str">
        <f>IFERROR(VLOOKUP($B703,'(勿動)組件目錄表'!$D$15:$R$1094,9,FALSE),"-")</f>
        <v>-</v>
      </c>
      <c r="I703" s="11" t="str">
        <f>IFERROR(VLOOKUP($B703,'(勿動)組件目錄表'!$D$15:$R$1094,10,FALSE),"-")</f>
        <v>-</v>
      </c>
      <c r="J703" s="11" t="str">
        <f>IFERROR(VLOOKUP($B703,'(勿動)組件目錄表'!$D$15:$R$1094,11,FALSE),"-")</f>
        <v>-</v>
      </c>
      <c r="K703" s="11" t="str">
        <f>IFERROR(VLOOKUP($B703,'(勿動)組件目錄表'!$D$15:$R$1094,12,FALSE),"-")</f>
        <v>-</v>
      </c>
      <c r="L703" s="11" t="str">
        <f>IFERROR(VLOOKUP($B703,'(勿動)組件目錄表'!$D$15:$R$1094,13,FALSE),"-")</f>
        <v>-</v>
      </c>
      <c r="M703" s="11" t="str">
        <f>IFERROR(VLOOKUP($B703,'(勿動)組件目錄表'!$D$15:$R$1094,14,FALSE),"-")</f>
        <v>-</v>
      </c>
      <c r="N703" s="15">
        <f t="shared" si="3"/>
        <v>0</v>
      </c>
      <c r="O703" s="16"/>
    </row>
    <row r="704" spans="1:15" ht="15.75" customHeight="1">
      <c r="A704" s="18"/>
      <c r="B704" s="7"/>
      <c r="C704" s="8" t="str">
        <f>IFERROR(VLOOKUP($B704,'(勿動)組件目錄表'!$D$15:$R$1094,2,FALSE),"-")</f>
        <v>-</v>
      </c>
      <c r="D704" s="8" t="str">
        <f>IFERROR(VLOOKUP($B704,'(勿動)組件目錄表'!$D$15:$R$1094,3,FALSE),"-")</f>
        <v>-</v>
      </c>
      <c r="E704" s="9" t="str">
        <f>IFERROR(VLOOKUP($B704,'(勿動)組件目錄表'!$D$15:$R$1094,4,FALSE),"-")</f>
        <v>-</v>
      </c>
      <c r="F704" s="10" t="str">
        <f>IFERROR(VLOOKUP($B704,'(勿動)組件目錄表'!$D$15:$R$1094,5,FALSE),"-")</f>
        <v>-</v>
      </c>
      <c r="G704" s="11" t="str">
        <f>IFERROR(VLOOKUP($B704,'(勿動)組件目錄表'!$D$15:$R$1094,8,FALSE),"-")</f>
        <v>-</v>
      </c>
      <c r="H704" s="11" t="str">
        <f>IFERROR(VLOOKUP($B704,'(勿動)組件目錄表'!$D$15:$R$1094,9,FALSE),"-")</f>
        <v>-</v>
      </c>
      <c r="I704" s="11" t="str">
        <f>IFERROR(VLOOKUP($B704,'(勿動)組件目錄表'!$D$15:$R$1094,10,FALSE),"-")</f>
        <v>-</v>
      </c>
      <c r="J704" s="11" t="str">
        <f>IFERROR(VLOOKUP($B704,'(勿動)組件目錄表'!$D$15:$R$1094,11,FALSE),"-")</f>
        <v>-</v>
      </c>
      <c r="K704" s="11" t="str">
        <f>IFERROR(VLOOKUP($B704,'(勿動)組件目錄表'!$D$15:$R$1094,12,FALSE),"-")</f>
        <v>-</v>
      </c>
      <c r="L704" s="11" t="str">
        <f>IFERROR(VLOOKUP($B704,'(勿動)組件目錄表'!$D$15:$R$1094,13,FALSE),"-")</f>
        <v>-</v>
      </c>
      <c r="M704" s="11" t="str">
        <f>IFERROR(VLOOKUP($B704,'(勿動)組件目錄表'!$D$15:$R$1094,14,FALSE),"-")</f>
        <v>-</v>
      </c>
      <c r="N704" s="15">
        <f t="shared" si="3"/>
        <v>0</v>
      </c>
      <c r="O704" s="16"/>
    </row>
    <row r="705" spans="1:15" ht="15.75" customHeight="1">
      <c r="A705" s="18"/>
      <c r="B705" s="7"/>
      <c r="C705" s="8" t="str">
        <f>IFERROR(VLOOKUP($B705,'(勿動)組件目錄表'!$D$15:$R$1094,2,FALSE),"-")</f>
        <v>-</v>
      </c>
      <c r="D705" s="8" t="str">
        <f>IFERROR(VLOOKUP($B705,'(勿動)組件目錄表'!$D$15:$R$1094,3,FALSE),"-")</f>
        <v>-</v>
      </c>
      <c r="E705" s="9" t="str">
        <f>IFERROR(VLOOKUP($B705,'(勿動)組件目錄表'!$D$15:$R$1094,4,FALSE),"-")</f>
        <v>-</v>
      </c>
      <c r="F705" s="10" t="str">
        <f>IFERROR(VLOOKUP($B705,'(勿動)組件目錄表'!$D$15:$R$1094,5,FALSE),"-")</f>
        <v>-</v>
      </c>
      <c r="G705" s="11" t="str">
        <f>IFERROR(VLOOKUP($B705,'(勿動)組件目錄表'!$D$15:$R$1094,8,FALSE),"-")</f>
        <v>-</v>
      </c>
      <c r="H705" s="11" t="str">
        <f>IFERROR(VLOOKUP($B705,'(勿動)組件目錄表'!$D$15:$R$1094,9,FALSE),"-")</f>
        <v>-</v>
      </c>
      <c r="I705" s="11" t="str">
        <f>IFERROR(VLOOKUP($B705,'(勿動)組件目錄表'!$D$15:$R$1094,10,FALSE),"-")</f>
        <v>-</v>
      </c>
      <c r="J705" s="11" t="str">
        <f>IFERROR(VLOOKUP($B705,'(勿動)組件目錄表'!$D$15:$R$1094,11,FALSE),"-")</f>
        <v>-</v>
      </c>
      <c r="K705" s="11" t="str">
        <f>IFERROR(VLOOKUP($B705,'(勿動)組件目錄表'!$D$15:$R$1094,12,FALSE),"-")</f>
        <v>-</v>
      </c>
      <c r="L705" s="11" t="str">
        <f>IFERROR(VLOOKUP($B705,'(勿動)組件目錄表'!$D$15:$R$1094,13,FALSE),"-")</f>
        <v>-</v>
      </c>
      <c r="M705" s="11" t="str">
        <f>IFERROR(VLOOKUP($B705,'(勿動)組件目錄表'!$D$15:$R$1094,14,FALSE),"-")</f>
        <v>-</v>
      </c>
      <c r="N705" s="15">
        <f t="shared" si="3"/>
        <v>0</v>
      </c>
      <c r="O705" s="16"/>
    </row>
    <row r="706" spans="1:15" ht="15.75" customHeight="1">
      <c r="A706" s="18"/>
      <c r="B706" s="7"/>
      <c r="C706" s="8" t="str">
        <f>IFERROR(VLOOKUP($B706,'(勿動)組件目錄表'!$D$15:$R$1094,2,FALSE),"-")</f>
        <v>-</v>
      </c>
      <c r="D706" s="8" t="str">
        <f>IFERROR(VLOOKUP($B706,'(勿動)組件目錄表'!$D$15:$R$1094,3,FALSE),"-")</f>
        <v>-</v>
      </c>
      <c r="E706" s="9" t="str">
        <f>IFERROR(VLOOKUP($B706,'(勿動)組件目錄表'!$D$15:$R$1094,4,FALSE),"-")</f>
        <v>-</v>
      </c>
      <c r="F706" s="10" t="str">
        <f>IFERROR(VLOOKUP($B706,'(勿動)組件目錄表'!$D$15:$R$1094,5,FALSE),"-")</f>
        <v>-</v>
      </c>
      <c r="G706" s="11" t="str">
        <f>IFERROR(VLOOKUP($B706,'(勿動)組件目錄表'!$D$15:$R$1094,8,FALSE),"-")</f>
        <v>-</v>
      </c>
      <c r="H706" s="11" t="str">
        <f>IFERROR(VLOOKUP($B706,'(勿動)組件目錄表'!$D$15:$R$1094,9,FALSE),"-")</f>
        <v>-</v>
      </c>
      <c r="I706" s="11" t="str">
        <f>IFERROR(VLOOKUP($B706,'(勿動)組件目錄表'!$D$15:$R$1094,10,FALSE),"-")</f>
        <v>-</v>
      </c>
      <c r="J706" s="11" t="str">
        <f>IFERROR(VLOOKUP($B706,'(勿動)組件目錄表'!$D$15:$R$1094,11,FALSE),"-")</f>
        <v>-</v>
      </c>
      <c r="K706" s="11" t="str">
        <f>IFERROR(VLOOKUP($B706,'(勿動)組件目錄表'!$D$15:$R$1094,12,FALSE),"-")</f>
        <v>-</v>
      </c>
      <c r="L706" s="11" t="str">
        <f>IFERROR(VLOOKUP($B706,'(勿動)組件目錄表'!$D$15:$R$1094,13,FALSE),"-")</f>
        <v>-</v>
      </c>
      <c r="M706" s="11" t="str">
        <f>IFERROR(VLOOKUP($B706,'(勿動)組件目錄表'!$D$15:$R$1094,14,FALSE),"-")</f>
        <v>-</v>
      </c>
      <c r="N706" s="15">
        <f t="shared" si="3"/>
        <v>0</v>
      </c>
      <c r="O706" s="16"/>
    </row>
    <row r="707" spans="1:15" ht="15.75" customHeight="1">
      <c r="A707" s="18"/>
      <c r="B707" s="7"/>
      <c r="C707" s="8" t="str">
        <f>IFERROR(VLOOKUP($B707,'(勿動)組件目錄表'!$D$15:$R$1094,2,FALSE),"-")</f>
        <v>-</v>
      </c>
      <c r="D707" s="8" t="str">
        <f>IFERROR(VLOOKUP($B707,'(勿動)組件目錄表'!$D$15:$R$1094,3,FALSE),"-")</f>
        <v>-</v>
      </c>
      <c r="E707" s="9" t="str">
        <f>IFERROR(VLOOKUP($B707,'(勿動)組件目錄表'!$D$15:$R$1094,4,FALSE),"-")</f>
        <v>-</v>
      </c>
      <c r="F707" s="10" t="str">
        <f>IFERROR(VLOOKUP($B707,'(勿動)組件目錄表'!$D$15:$R$1094,5,FALSE),"-")</f>
        <v>-</v>
      </c>
      <c r="G707" s="11" t="str">
        <f>IFERROR(VLOOKUP($B707,'(勿動)組件目錄表'!$D$15:$R$1094,8,FALSE),"-")</f>
        <v>-</v>
      </c>
      <c r="H707" s="11" t="str">
        <f>IFERROR(VLOOKUP($B707,'(勿動)組件目錄表'!$D$15:$R$1094,9,FALSE),"-")</f>
        <v>-</v>
      </c>
      <c r="I707" s="11" t="str">
        <f>IFERROR(VLOOKUP($B707,'(勿動)組件目錄表'!$D$15:$R$1094,10,FALSE),"-")</f>
        <v>-</v>
      </c>
      <c r="J707" s="11" t="str">
        <f>IFERROR(VLOOKUP($B707,'(勿動)組件目錄表'!$D$15:$R$1094,11,FALSE),"-")</f>
        <v>-</v>
      </c>
      <c r="K707" s="11" t="str">
        <f>IFERROR(VLOOKUP($B707,'(勿動)組件目錄表'!$D$15:$R$1094,12,FALSE),"-")</f>
        <v>-</v>
      </c>
      <c r="L707" s="11" t="str">
        <f>IFERROR(VLOOKUP($B707,'(勿動)組件目錄表'!$D$15:$R$1094,13,FALSE),"-")</f>
        <v>-</v>
      </c>
      <c r="M707" s="11" t="str">
        <f>IFERROR(VLOOKUP($B707,'(勿動)組件目錄表'!$D$15:$R$1094,14,FALSE),"-")</f>
        <v>-</v>
      </c>
      <c r="N707" s="15">
        <f t="shared" si="3"/>
        <v>0</v>
      </c>
      <c r="O707" s="16"/>
    </row>
    <row r="708" spans="1:15" ht="15.75" customHeight="1">
      <c r="A708" s="18"/>
      <c r="B708" s="7"/>
      <c r="C708" s="8" t="str">
        <f>IFERROR(VLOOKUP($B708,'(勿動)組件目錄表'!$D$15:$R$1094,2,FALSE),"-")</f>
        <v>-</v>
      </c>
      <c r="D708" s="8" t="str">
        <f>IFERROR(VLOOKUP($B708,'(勿動)組件目錄表'!$D$15:$R$1094,3,FALSE),"-")</f>
        <v>-</v>
      </c>
      <c r="E708" s="9" t="str">
        <f>IFERROR(VLOOKUP($B708,'(勿動)組件目錄表'!$D$15:$R$1094,4,FALSE),"-")</f>
        <v>-</v>
      </c>
      <c r="F708" s="10" t="str">
        <f>IFERROR(VLOOKUP($B708,'(勿動)組件目錄表'!$D$15:$R$1094,5,FALSE),"-")</f>
        <v>-</v>
      </c>
      <c r="G708" s="11" t="str">
        <f>IFERROR(VLOOKUP($B708,'(勿動)組件目錄表'!$D$15:$R$1094,8,FALSE),"-")</f>
        <v>-</v>
      </c>
      <c r="H708" s="11" t="str">
        <f>IFERROR(VLOOKUP($B708,'(勿動)組件目錄表'!$D$15:$R$1094,9,FALSE),"-")</f>
        <v>-</v>
      </c>
      <c r="I708" s="11" t="str">
        <f>IFERROR(VLOOKUP($B708,'(勿動)組件目錄表'!$D$15:$R$1094,10,FALSE),"-")</f>
        <v>-</v>
      </c>
      <c r="J708" s="11" t="str">
        <f>IFERROR(VLOOKUP($B708,'(勿動)組件目錄表'!$D$15:$R$1094,11,FALSE),"-")</f>
        <v>-</v>
      </c>
      <c r="K708" s="11" t="str">
        <f>IFERROR(VLOOKUP($B708,'(勿動)組件目錄表'!$D$15:$R$1094,12,FALSE),"-")</f>
        <v>-</v>
      </c>
      <c r="L708" s="11" t="str">
        <f>IFERROR(VLOOKUP($B708,'(勿動)組件目錄表'!$D$15:$R$1094,13,FALSE),"-")</f>
        <v>-</v>
      </c>
      <c r="M708" s="11" t="str">
        <f>IFERROR(VLOOKUP($B708,'(勿動)組件目錄表'!$D$15:$R$1094,14,FALSE),"-")</f>
        <v>-</v>
      </c>
      <c r="N708" s="15">
        <f t="shared" si="3"/>
        <v>0</v>
      </c>
      <c r="O708" s="16"/>
    </row>
    <row r="709" spans="1:15" ht="15.75" customHeight="1">
      <c r="A709" s="18"/>
      <c r="B709" s="7"/>
      <c r="C709" s="8" t="str">
        <f>IFERROR(VLOOKUP($B709,'(勿動)組件目錄表'!$D$15:$R$1094,2,FALSE),"-")</f>
        <v>-</v>
      </c>
      <c r="D709" s="8" t="str">
        <f>IFERROR(VLOOKUP($B709,'(勿動)組件目錄表'!$D$15:$R$1094,3,FALSE),"-")</f>
        <v>-</v>
      </c>
      <c r="E709" s="9" t="str">
        <f>IFERROR(VLOOKUP($B709,'(勿動)組件目錄表'!$D$15:$R$1094,4,FALSE),"-")</f>
        <v>-</v>
      </c>
      <c r="F709" s="10" t="str">
        <f>IFERROR(VLOOKUP($B709,'(勿動)組件目錄表'!$D$15:$R$1094,5,FALSE),"-")</f>
        <v>-</v>
      </c>
      <c r="G709" s="11" t="str">
        <f>IFERROR(VLOOKUP($B709,'(勿動)組件目錄表'!$D$15:$R$1094,8,FALSE),"-")</f>
        <v>-</v>
      </c>
      <c r="H709" s="11" t="str">
        <f>IFERROR(VLOOKUP($B709,'(勿動)組件目錄表'!$D$15:$R$1094,9,FALSE),"-")</f>
        <v>-</v>
      </c>
      <c r="I709" s="11" t="str">
        <f>IFERROR(VLOOKUP($B709,'(勿動)組件目錄表'!$D$15:$R$1094,10,FALSE),"-")</f>
        <v>-</v>
      </c>
      <c r="J709" s="11" t="str">
        <f>IFERROR(VLOOKUP($B709,'(勿動)組件目錄表'!$D$15:$R$1094,11,FALSE),"-")</f>
        <v>-</v>
      </c>
      <c r="K709" s="11" t="str">
        <f>IFERROR(VLOOKUP($B709,'(勿動)組件目錄表'!$D$15:$R$1094,12,FALSE),"-")</f>
        <v>-</v>
      </c>
      <c r="L709" s="11" t="str">
        <f>IFERROR(VLOOKUP($B709,'(勿動)組件目錄表'!$D$15:$R$1094,13,FALSE),"-")</f>
        <v>-</v>
      </c>
      <c r="M709" s="11" t="str">
        <f>IFERROR(VLOOKUP($B709,'(勿動)組件目錄表'!$D$15:$R$1094,14,FALSE),"-")</f>
        <v>-</v>
      </c>
      <c r="N709" s="15">
        <f t="shared" si="3"/>
        <v>0</v>
      </c>
      <c r="O709" s="16"/>
    </row>
    <row r="710" spans="1:15" ht="15.75" customHeight="1">
      <c r="A710" s="18"/>
      <c r="B710" s="7"/>
      <c r="C710" s="8" t="str">
        <f>IFERROR(VLOOKUP($B710,'(勿動)組件目錄表'!$D$15:$R$1094,2,FALSE),"-")</f>
        <v>-</v>
      </c>
      <c r="D710" s="8" t="str">
        <f>IFERROR(VLOOKUP($B710,'(勿動)組件目錄表'!$D$15:$R$1094,3,FALSE),"-")</f>
        <v>-</v>
      </c>
      <c r="E710" s="9" t="str">
        <f>IFERROR(VLOOKUP($B710,'(勿動)組件目錄表'!$D$15:$R$1094,4,FALSE),"-")</f>
        <v>-</v>
      </c>
      <c r="F710" s="10" t="str">
        <f>IFERROR(VLOOKUP($B710,'(勿動)組件目錄表'!$D$15:$R$1094,5,FALSE),"-")</f>
        <v>-</v>
      </c>
      <c r="G710" s="11" t="str">
        <f>IFERROR(VLOOKUP($B710,'(勿動)組件目錄表'!$D$15:$R$1094,8,FALSE),"-")</f>
        <v>-</v>
      </c>
      <c r="H710" s="11" t="str">
        <f>IFERROR(VLOOKUP($B710,'(勿動)組件目錄表'!$D$15:$R$1094,9,FALSE),"-")</f>
        <v>-</v>
      </c>
      <c r="I710" s="11" t="str">
        <f>IFERROR(VLOOKUP($B710,'(勿動)組件目錄表'!$D$15:$R$1094,10,FALSE),"-")</f>
        <v>-</v>
      </c>
      <c r="J710" s="11" t="str">
        <f>IFERROR(VLOOKUP($B710,'(勿動)組件目錄表'!$D$15:$R$1094,11,FALSE),"-")</f>
        <v>-</v>
      </c>
      <c r="K710" s="11" t="str">
        <f>IFERROR(VLOOKUP($B710,'(勿動)組件目錄表'!$D$15:$R$1094,12,FALSE),"-")</f>
        <v>-</v>
      </c>
      <c r="L710" s="11" t="str">
        <f>IFERROR(VLOOKUP($B710,'(勿動)組件目錄表'!$D$15:$R$1094,13,FALSE),"-")</f>
        <v>-</v>
      </c>
      <c r="M710" s="11" t="str">
        <f>IFERROR(VLOOKUP($B710,'(勿動)組件目錄表'!$D$15:$R$1094,14,FALSE),"-")</f>
        <v>-</v>
      </c>
      <c r="N710" s="15">
        <f t="shared" si="3"/>
        <v>0</v>
      </c>
      <c r="O710" s="16"/>
    </row>
    <row r="711" spans="1:15" ht="15.75" customHeight="1">
      <c r="A711" s="18"/>
      <c r="B711" s="7"/>
      <c r="C711" s="8" t="str">
        <f>IFERROR(VLOOKUP($B711,'(勿動)組件目錄表'!$D$15:$R$1094,2,FALSE),"-")</f>
        <v>-</v>
      </c>
      <c r="D711" s="8" t="str">
        <f>IFERROR(VLOOKUP($B711,'(勿動)組件目錄表'!$D$15:$R$1094,3,FALSE),"-")</f>
        <v>-</v>
      </c>
      <c r="E711" s="9" t="str">
        <f>IFERROR(VLOOKUP($B711,'(勿動)組件目錄表'!$D$15:$R$1094,4,FALSE),"-")</f>
        <v>-</v>
      </c>
      <c r="F711" s="10" t="str">
        <f>IFERROR(VLOOKUP($B711,'(勿動)組件目錄表'!$D$15:$R$1094,5,FALSE),"-")</f>
        <v>-</v>
      </c>
      <c r="G711" s="11" t="str">
        <f>IFERROR(VLOOKUP($B711,'(勿動)組件目錄表'!$D$15:$R$1094,8,FALSE),"-")</f>
        <v>-</v>
      </c>
      <c r="H711" s="11" t="str">
        <f>IFERROR(VLOOKUP($B711,'(勿動)組件目錄表'!$D$15:$R$1094,9,FALSE),"-")</f>
        <v>-</v>
      </c>
      <c r="I711" s="11" t="str">
        <f>IFERROR(VLOOKUP($B711,'(勿動)組件目錄表'!$D$15:$R$1094,10,FALSE),"-")</f>
        <v>-</v>
      </c>
      <c r="J711" s="11" t="str">
        <f>IFERROR(VLOOKUP($B711,'(勿動)組件目錄表'!$D$15:$R$1094,11,FALSE),"-")</f>
        <v>-</v>
      </c>
      <c r="K711" s="11" t="str">
        <f>IFERROR(VLOOKUP($B711,'(勿動)組件目錄表'!$D$15:$R$1094,12,FALSE),"-")</f>
        <v>-</v>
      </c>
      <c r="L711" s="11" t="str">
        <f>IFERROR(VLOOKUP($B711,'(勿動)組件目錄表'!$D$15:$R$1094,13,FALSE),"-")</f>
        <v>-</v>
      </c>
      <c r="M711" s="11" t="str">
        <f>IFERROR(VLOOKUP($B711,'(勿動)組件目錄表'!$D$15:$R$1094,14,FALSE),"-")</f>
        <v>-</v>
      </c>
      <c r="N711" s="15">
        <f t="shared" si="3"/>
        <v>0</v>
      </c>
      <c r="O711" s="16"/>
    </row>
    <row r="712" spans="1:15" ht="15.75" customHeight="1">
      <c r="A712" s="18"/>
      <c r="B712" s="7"/>
      <c r="C712" s="8" t="str">
        <f>IFERROR(VLOOKUP($B712,'(勿動)組件目錄表'!$D$15:$R$1094,2,FALSE),"-")</f>
        <v>-</v>
      </c>
      <c r="D712" s="8" t="str">
        <f>IFERROR(VLOOKUP($B712,'(勿動)組件目錄表'!$D$15:$R$1094,3,FALSE),"-")</f>
        <v>-</v>
      </c>
      <c r="E712" s="9" t="str">
        <f>IFERROR(VLOOKUP($B712,'(勿動)組件目錄表'!$D$15:$R$1094,4,FALSE),"-")</f>
        <v>-</v>
      </c>
      <c r="F712" s="10" t="str">
        <f>IFERROR(VLOOKUP($B712,'(勿動)組件目錄表'!$D$15:$R$1094,5,FALSE),"-")</f>
        <v>-</v>
      </c>
      <c r="G712" s="11" t="str">
        <f>IFERROR(VLOOKUP($B712,'(勿動)組件目錄表'!$D$15:$R$1094,8,FALSE),"-")</f>
        <v>-</v>
      </c>
      <c r="H712" s="11" t="str">
        <f>IFERROR(VLOOKUP($B712,'(勿動)組件目錄表'!$D$15:$R$1094,9,FALSE),"-")</f>
        <v>-</v>
      </c>
      <c r="I712" s="11" t="str">
        <f>IFERROR(VLOOKUP($B712,'(勿動)組件目錄表'!$D$15:$R$1094,10,FALSE),"-")</f>
        <v>-</v>
      </c>
      <c r="J712" s="11" t="str">
        <f>IFERROR(VLOOKUP($B712,'(勿動)組件目錄表'!$D$15:$R$1094,11,FALSE),"-")</f>
        <v>-</v>
      </c>
      <c r="K712" s="11" t="str">
        <f>IFERROR(VLOOKUP($B712,'(勿動)組件目錄表'!$D$15:$R$1094,12,FALSE),"-")</f>
        <v>-</v>
      </c>
      <c r="L712" s="11" t="str">
        <f>IFERROR(VLOOKUP($B712,'(勿動)組件目錄表'!$D$15:$R$1094,13,FALSE),"-")</f>
        <v>-</v>
      </c>
      <c r="M712" s="11" t="str">
        <f>IFERROR(VLOOKUP($B712,'(勿動)組件目錄表'!$D$15:$R$1094,14,FALSE),"-")</f>
        <v>-</v>
      </c>
      <c r="N712" s="15">
        <f t="shared" si="3"/>
        <v>0</v>
      </c>
      <c r="O712" s="16"/>
    </row>
    <row r="713" spans="1:15" ht="15.75" customHeight="1">
      <c r="A713" s="18"/>
      <c r="B713" s="7"/>
      <c r="C713" s="8" t="str">
        <f>IFERROR(VLOOKUP($B713,'(勿動)組件目錄表'!$D$15:$R$1094,2,FALSE),"-")</f>
        <v>-</v>
      </c>
      <c r="D713" s="8" t="str">
        <f>IFERROR(VLOOKUP($B713,'(勿動)組件目錄表'!$D$15:$R$1094,3,FALSE),"-")</f>
        <v>-</v>
      </c>
      <c r="E713" s="9" t="str">
        <f>IFERROR(VLOOKUP($B713,'(勿動)組件目錄表'!$D$15:$R$1094,4,FALSE),"-")</f>
        <v>-</v>
      </c>
      <c r="F713" s="10" t="str">
        <f>IFERROR(VLOOKUP($B713,'(勿動)組件目錄表'!$D$15:$R$1094,5,FALSE),"-")</f>
        <v>-</v>
      </c>
      <c r="G713" s="11" t="str">
        <f>IFERROR(VLOOKUP($B713,'(勿動)組件目錄表'!$D$15:$R$1094,8,FALSE),"-")</f>
        <v>-</v>
      </c>
      <c r="H713" s="11" t="str">
        <f>IFERROR(VLOOKUP($B713,'(勿動)組件目錄表'!$D$15:$R$1094,9,FALSE),"-")</f>
        <v>-</v>
      </c>
      <c r="I713" s="11" t="str">
        <f>IFERROR(VLOOKUP($B713,'(勿動)組件目錄表'!$D$15:$R$1094,10,FALSE),"-")</f>
        <v>-</v>
      </c>
      <c r="J713" s="11" t="str">
        <f>IFERROR(VLOOKUP($B713,'(勿動)組件目錄表'!$D$15:$R$1094,11,FALSE),"-")</f>
        <v>-</v>
      </c>
      <c r="K713" s="11" t="str">
        <f>IFERROR(VLOOKUP($B713,'(勿動)組件目錄表'!$D$15:$R$1094,12,FALSE),"-")</f>
        <v>-</v>
      </c>
      <c r="L713" s="11" t="str">
        <f>IFERROR(VLOOKUP($B713,'(勿動)組件目錄表'!$D$15:$R$1094,13,FALSE),"-")</f>
        <v>-</v>
      </c>
      <c r="M713" s="11" t="str">
        <f>IFERROR(VLOOKUP($B713,'(勿動)組件目錄表'!$D$15:$R$1094,14,FALSE),"-")</f>
        <v>-</v>
      </c>
      <c r="N713" s="15">
        <f t="shared" si="3"/>
        <v>0</v>
      </c>
      <c r="O713" s="16"/>
    </row>
    <row r="714" spans="1:15" ht="15.75" customHeight="1">
      <c r="A714" s="18"/>
      <c r="B714" s="7"/>
      <c r="C714" s="8" t="str">
        <f>IFERROR(VLOOKUP($B714,'(勿動)組件目錄表'!$D$15:$R$1094,2,FALSE),"-")</f>
        <v>-</v>
      </c>
      <c r="D714" s="8" t="str">
        <f>IFERROR(VLOOKUP($B714,'(勿動)組件目錄表'!$D$15:$R$1094,3,FALSE),"-")</f>
        <v>-</v>
      </c>
      <c r="E714" s="9" t="str">
        <f>IFERROR(VLOOKUP($B714,'(勿動)組件目錄表'!$D$15:$R$1094,4,FALSE),"-")</f>
        <v>-</v>
      </c>
      <c r="F714" s="10" t="str">
        <f>IFERROR(VLOOKUP($B714,'(勿動)組件目錄表'!$D$15:$R$1094,5,FALSE),"-")</f>
        <v>-</v>
      </c>
      <c r="G714" s="11" t="str">
        <f>IFERROR(VLOOKUP($B714,'(勿動)組件目錄表'!$D$15:$R$1094,8,FALSE),"-")</f>
        <v>-</v>
      </c>
      <c r="H714" s="11" t="str">
        <f>IFERROR(VLOOKUP($B714,'(勿動)組件目錄表'!$D$15:$R$1094,9,FALSE),"-")</f>
        <v>-</v>
      </c>
      <c r="I714" s="11" t="str">
        <f>IFERROR(VLOOKUP($B714,'(勿動)組件目錄表'!$D$15:$R$1094,10,FALSE),"-")</f>
        <v>-</v>
      </c>
      <c r="J714" s="11" t="str">
        <f>IFERROR(VLOOKUP($B714,'(勿動)組件目錄表'!$D$15:$R$1094,11,FALSE),"-")</f>
        <v>-</v>
      </c>
      <c r="K714" s="11" t="str">
        <f>IFERROR(VLOOKUP($B714,'(勿動)組件目錄表'!$D$15:$R$1094,12,FALSE),"-")</f>
        <v>-</v>
      </c>
      <c r="L714" s="11" t="str">
        <f>IFERROR(VLOOKUP($B714,'(勿動)組件目錄表'!$D$15:$R$1094,13,FALSE),"-")</f>
        <v>-</v>
      </c>
      <c r="M714" s="11" t="str">
        <f>IFERROR(VLOOKUP($B714,'(勿動)組件目錄表'!$D$15:$R$1094,14,FALSE),"-")</f>
        <v>-</v>
      </c>
      <c r="N714" s="15">
        <f t="shared" si="3"/>
        <v>0</v>
      </c>
      <c r="O714" s="16"/>
    </row>
    <row r="715" spans="1:15" ht="15.75" customHeight="1">
      <c r="A715" s="18"/>
      <c r="B715" s="7"/>
      <c r="C715" s="8" t="str">
        <f>IFERROR(VLOOKUP($B715,'(勿動)組件目錄表'!$D$15:$R$1094,2,FALSE),"-")</f>
        <v>-</v>
      </c>
      <c r="D715" s="8" t="str">
        <f>IFERROR(VLOOKUP($B715,'(勿動)組件目錄表'!$D$15:$R$1094,3,FALSE),"-")</f>
        <v>-</v>
      </c>
      <c r="E715" s="9" t="str">
        <f>IFERROR(VLOOKUP($B715,'(勿動)組件目錄表'!$D$15:$R$1094,4,FALSE),"-")</f>
        <v>-</v>
      </c>
      <c r="F715" s="10" t="str">
        <f>IFERROR(VLOOKUP($B715,'(勿動)組件目錄表'!$D$15:$R$1094,5,FALSE),"-")</f>
        <v>-</v>
      </c>
      <c r="G715" s="11" t="str">
        <f>IFERROR(VLOOKUP($B715,'(勿動)組件目錄表'!$D$15:$R$1094,8,FALSE),"-")</f>
        <v>-</v>
      </c>
      <c r="H715" s="11" t="str">
        <f>IFERROR(VLOOKUP($B715,'(勿動)組件目錄表'!$D$15:$R$1094,9,FALSE),"-")</f>
        <v>-</v>
      </c>
      <c r="I715" s="11" t="str">
        <f>IFERROR(VLOOKUP($B715,'(勿動)組件目錄表'!$D$15:$R$1094,10,FALSE),"-")</f>
        <v>-</v>
      </c>
      <c r="J715" s="11" t="str">
        <f>IFERROR(VLOOKUP($B715,'(勿動)組件目錄表'!$D$15:$R$1094,11,FALSE),"-")</f>
        <v>-</v>
      </c>
      <c r="K715" s="11" t="str">
        <f>IFERROR(VLOOKUP($B715,'(勿動)組件目錄表'!$D$15:$R$1094,12,FALSE),"-")</f>
        <v>-</v>
      </c>
      <c r="L715" s="11" t="str">
        <f>IFERROR(VLOOKUP($B715,'(勿動)組件目錄表'!$D$15:$R$1094,13,FALSE),"-")</f>
        <v>-</v>
      </c>
      <c r="M715" s="11" t="str">
        <f>IFERROR(VLOOKUP($B715,'(勿動)組件目錄表'!$D$15:$R$1094,14,FALSE),"-")</f>
        <v>-</v>
      </c>
      <c r="N715" s="15">
        <f t="shared" si="3"/>
        <v>0</v>
      </c>
      <c r="O715" s="16"/>
    </row>
    <row r="716" spans="1:15" ht="15.75" customHeight="1">
      <c r="A716" s="18"/>
      <c r="B716" s="7"/>
      <c r="C716" s="8" t="str">
        <f>IFERROR(VLOOKUP($B716,'(勿動)組件目錄表'!$D$15:$R$1094,2,FALSE),"-")</f>
        <v>-</v>
      </c>
      <c r="D716" s="8" t="str">
        <f>IFERROR(VLOOKUP($B716,'(勿動)組件目錄表'!$D$15:$R$1094,3,FALSE),"-")</f>
        <v>-</v>
      </c>
      <c r="E716" s="9" t="str">
        <f>IFERROR(VLOOKUP($B716,'(勿動)組件目錄表'!$D$15:$R$1094,4,FALSE),"-")</f>
        <v>-</v>
      </c>
      <c r="F716" s="10" t="str">
        <f>IFERROR(VLOOKUP($B716,'(勿動)組件目錄表'!$D$15:$R$1094,5,FALSE),"-")</f>
        <v>-</v>
      </c>
      <c r="G716" s="11" t="str">
        <f>IFERROR(VLOOKUP($B716,'(勿動)組件目錄表'!$D$15:$R$1094,8,FALSE),"-")</f>
        <v>-</v>
      </c>
      <c r="H716" s="11" t="str">
        <f>IFERROR(VLOOKUP($B716,'(勿動)組件目錄表'!$D$15:$R$1094,9,FALSE),"-")</f>
        <v>-</v>
      </c>
      <c r="I716" s="11" t="str">
        <f>IFERROR(VLOOKUP($B716,'(勿動)組件目錄表'!$D$15:$R$1094,10,FALSE),"-")</f>
        <v>-</v>
      </c>
      <c r="J716" s="11" t="str">
        <f>IFERROR(VLOOKUP($B716,'(勿動)組件目錄表'!$D$15:$R$1094,11,FALSE),"-")</f>
        <v>-</v>
      </c>
      <c r="K716" s="11" t="str">
        <f>IFERROR(VLOOKUP($B716,'(勿動)組件目錄表'!$D$15:$R$1094,12,FALSE),"-")</f>
        <v>-</v>
      </c>
      <c r="L716" s="11" t="str">
        <f>IFERROR(VLOOKUP($B716,'(勿動)組件目錄表'!$D$15:$R$1094,13,FALSE),"-")</f>
        <v>-</v>
      </c>
      <c r="M716" s="11" t="str">
        <f>IFERROR(VLOOKUP($B716,'(勿動)組件目錄表'!$D$15:$R$1094,14,FALSE),"-")</f>
        <v>-</v>
      </c>
      <c r="N716" s="15">
        <f t="shared" si="3"/>
        <v>0</v>
      </c>
      <c r="O716" s="16"/>
    </row>
    <row r="717" spans="1:15" ht="15.75" customHeight="1">
      <c r="A717" s="18"/>
      <c r="B717" s="7"/>
      <c r="C717" s="8" t="str">
        <f>IFERROR(VLOOKUP($B717,'(勿動)組件目錄表'!$D$15:$R$1094,2,FALSE),"-")</f>
        <v>-</v>
      </c>
      <c r="D717" s="8" t="str">
        <f>IFERROR(VLOOKUP($B717,'(勿動)組件目錄表'!$D$15:$R$1094,3,FALSE),"-")</f>
        <v>-</v>
      </c>
      <c r="E717" s="9" t="str">
        <f>IFERROR(VLOOKUP($B717,'(勿動)組件目錄表'!$D$15:$R$1094,4,FALSE),"-")</f>
        <v>-</v>
      </c>
      <c r="F717" s="10" t="str">
        <f>IFERROR(VLOOKUP($B717,'(勿動)組件目錄表'!$D$15:$R$1094,5,FALSE),"-")</f>
        <v>-</v>
      </c>
      <c r="G717" s="11" t="str">
        <f>IFERROR(VLOOKUP($B717,'(勿動)組件目錄表'!$D$15:$R$1094,8,FALSE),"-")</f>
        <v>-</v>
      </c>
      <c r="H717" s="11" t="str">
        <f>IFERROR(VLOOKUP($B717,'(勿動)組件目錄表'!$D$15:$R$1094,9,FALSE),"-")</f>
        <v>-</v>
      </c>
      <c r="I717" s="11" t="str">
        <f>IFERROR(VLOOKUP($B717,'(勿動)組件目錄表'!$D$15:$R$1094,10,FALSE),"-")</f>
        <v>-</v>
      </c>
      <c r="J717" s="11" t="str">
        <f>IFERROR(VLOOKUP($B717,'(勿動)組件目錄表'!$D$15:$R$1094,11,FALSE),"-")</f>
        <v>-</v>
      </c>
      <c r="K717" s="11" t="str">
        <f>IFERROR(VLOOKUP($B717,'(勿動)組件目錄表'!$D$15:$R$1094,12,FALSE),"-")</f>
        <v>-</v>
      </c>
      <c r="L717" s="11" t="str">
        <f>IFERROR(VLOOKUP($B717,'(勿動)組件目錄表'!$D$15:$R$1094,13,FALSE),"-")</f>
        <v>-</v>
      </c>
      <c r="M717" s="11" t="str">
        <f>IFERROR(VLOOKUP($B717,'(勿動)組件目錄表'!$D$15:$R$1094,14,FALSE),"-")</f>
        <v>-</v>
      </c>
      <c r="N717" s="15">
        <f t="shared" si="3"/>
        <v>0</v>
      </c>
      <c r="O717" s="16"/>
    </row>
    <row r="718" spans="1:15" ht="15.75" customHeight="1">
      <c r="A718" s="18"/>
      <c r="B718" s="7"/>
      <c r="C718" s="8" t="str">
        <f>IFERROR(VLOOKUP($B718,'(勿動)組件目錄表'!$D$15:$R$1094,2,FALSE),"-")</f>
        <v>-</v>
      </c>
      <c r="D718" s="8" t="str">
        <f>IFERROR(VLOOKUP($B718,'(勿動)組件目錄表'!$D$15:$R$1094,3,FALSE),"-")</f>
        <v>-</v>
      </c>
      <c r="E718" s="9" t="str">
        <f>IFERROR(VLOOKUP($B718,'(勿動)組件目錄表'!$D$15:$R$1094,4,FALSE),"-")</f>
        <v>-</v>
      </c>
      <c r="F718" s="10" t="str">
        <f>IFERROR(VLOOKUP($B718,'(勿動)組件目錄表'!$D$15:$R$1094,5,FALSE),"-")</f>
        <v>-</v>
      </c>
      <c r="G718" s="11" t="str">
        <f>IFERROR(VLOOKUP($B718,'(勿動)組件目錄表'!$D$15:$R$1094,8,FALSE),"-")</f>
        <v>-</v>
      </c>
      <c r="H718" s="11" t="str">
        <f>IFERROR(VLOOKUP($B718,'(勿動)組件目錄表'!$D$15:$R$1094,9,FALSE),"-")</f>
        <v>-</v>
      </c>
      <c r="I718" s="11" t="str">
        <f>IFERROR(VLOOKUP($B718,'(勿動)組件目錄表'!$D$15:$R$1094,10,FALSE),"-")</f>
        <v>-</v>
      </c>
      <c r="J718" s="11" t="str">
        <f>IFERROR(VLOOKUP($B718,'(勿動)組件目錄表'!$D$15:$R$1094,11,FALSE),"-")</f>
        <v>-</v>
      </c>
      <c r="K718" s="11" t="str">
        <f>IFERROR(VLOOKUP($B718,'(勿動)組件目錄表'!$D$15:$R$1094,12,FALSE),"-")</f>
        <v>-</v>
      </c>
      <c r="L718" s="11" t="str">
        <f>IFERROR(VLOOKUP($B718,'(勿動)組件目錄表'!$D$15:$R$1094,13,FALSE),"-")</f>
        <v>-</v>
      </c>
      <c r="M718" s="11" t="str">
        <f>IFERROR(VLOOKUP($B718,'(勿動)組件目錄表'!$D$15:$R$1094,14,FALSE),"-")</f>
        <v>-</v>
      </c>
      <c r="N718" s="15">
        <f t="shared" si="3"/>
        <v>0</v>
      </c>
      <c r="O718" s="16"/>
    </row>
    <row r="719" spans="1:15" ht="15.75" customHeight="1">
      <c r="A719" s="18"/>
      <c r="B719" s="7"/>
      <c r="C719" s="8" t="str">
        <f>IFERROR(VLOOKUP($B719,'(勿動)組件目錄表'!$D$15:$R$1094,2,FALSE),"-")</f>
        <v>-</v>
      </c>
      <c r="D719" s="8" t="str">
        <f>IFERROR(VLOOKUP($B719,'(勿動)組件目錄表'!$D$15:$R$1094,3,FALSE),"-")</f>
        <v>-</v>
      </c>
      <c r="E719" s="9" t="str">
        <f>IFERROR(VLOOKUP($B719,'(勿動)組件目錄表'!$D$15:$R$1094,4,FALSE),"-")</f>
        <v>-</v>
      </c>
      <c r="F719" s="10" t="str">
        <f>IFERROR(VLOOKUP($B719,'(勿動)組件目錄表'!$D$15:$R$1094,5,FALSE),"-")</f>
        <v>-</v>
      </c>
      <c r="G719" s="11" t="str">
        <f>IFERROR(VLOOKUP($B719,'(勿動)組件目錄表'!$D$15:$R$1094,8,FALSE),"-")</f>
        <v>-</v>
      </c>
      <c r="H719" s="11" t="str">
        <f>IFERROR(VLOOKUP($B719,'(勿動)組件目錄表'!$D$15:$R$1094,9,FALSE),"-")</f>
        <v>-</v>
      </c>
      <c r="I719" s="11" t="str">
        <f>IFERROR(VLOOKUP($B719,'(勿動)組件目錄表'!$D$15:$R$1094,10,FALSE),"-")</f>
        <v>-</v>
      </c>
      <c r="J719" s="11" t="str">
        <f>IFERROR(VLOOKUP($B719,'(勿動)組件目錄表'!$D$15:$R$1094,11,FALSE),"-")</f>
        <v>-</v>
      </c>
      <c r="K719" s="11" t="str">
        <f>IFERROR(VLOOKUP($B719,'(勿動)組件目錄表'!$D$15:$R$1094,12,FALSE),"-")</f>
        <v>-</v>
      </c>
      <c r="L719" s="11" t="str">
        <f>IFERROR(VLOOKUP($B719,'(勿動)組件目錄表'!$D$15:$R$1094,13,FALSE),"-")</f>
        <v>-</v>
      </c>
      <c r="M719" s="11" t="str">
        <f>IFERROR(VLOOKUP($B719,'(勿動)組件目錄表'!$D$15:$R$1094,14,FALSE),"-")</f>
        <v>-</v>
      </c>
      <c r="N719" s="15">
        <f t="shared" si="3"/>
        <v>0</v>
      </c>
      <c r="O719" s="16"/>
    </row>
    <row r="720" spans="1:15" ht="15.75" customHeight="1">
      <c r="A720" s="18"/>
      <c r="B720" s="7"/>
      <c r="C720" s="8" t="str">
        <f>IFERROR(VLOOKUP($B720,'(勿動)組件目錄表'!$D$15:$R$1094,2,FALSE),"-")</f>
        <v>-</v>
      </c>
      <c r="D720" s="8" t="str">
        <f>IFERROR(VLOOKUP($B720,'(勿動)組件目錄表'!$D$15:$R$1094,3,FALSE),"-")</f>
        <v>-</v>
      </c>
      <c r="E720" s="9" t="str">
        <f>IFERROR(VLOOKUP($B720,'(勿動)組件目錄表'!$D$15:$R$1094,4,FALSE),"-")</f>
        <v>-</v>
      </c>
      <c r="F720" s="10" t="str">
        <f>IFERROR(VLOOKUP($B720,'(勿動)組件目錄表'!$D$15:$R$1094,5,FALSE),"-")</f>
        <v>-</v>
      </c>
      <c r="G720" s="11" t="str">
        <f>IFERROR(VLOOKUP($B720,'(勿動)組件目錄表'!$D$15:$R$1094,8,FALSE),"-")</f>
        <v>-</v>
      </c>
      <c r="H720" s="11" t="str">
        <f>IFERROR(VLOOKUP($B720,'(勿動)組件目錄表'!$D$15:$R$1094,9,FALSE),"-")</f>
        <v>-</v>
      </c>
      <c r="I720" s="11" t="str">
        <f>IFERROR(VLOOKUP($B720,'(勿動)組件目錄表'!$D$15:$R$1094,10,FALSE),"-")</f>
        <v>-</v>
      </c>
      <c r="J720" s="11" t="str">
        <f>IFERROR(VLOOKUP($B720,'(勿動)組件目錄表'!$D$15:$R$1094,11,FALSE),"-")</f>
        <v>-</v>
      </c>
      <c r="K720" s="11" t="str">
        <f>IFERROR(VLOOKUP($B720,'(勿動)組件目錄表'!$D$15:$R$1094,12,FALSE),"-")</f>
        <v>-</v>
      </c>
      <c r="L720" s="11" t="str">
        <f>IFERROR(VLOOKUP($B720,'(勿動)組件目錄表'!$D$15:$R$1094,13,FALSE),"-")</f>
        <v>-</v>
      </c>
      <c r="M720" s="11" t="str">
        <f>IFERROR(VLOOKUP($B720,'(勿動)組件目錄表'!$D$15:$R$1094,14,FALSE),"-")</f>
        <v>-</v>
      </c>
      <c r="N720" s="15">
        <f t="shared" si="3"/>
        <v>0</v>
      </c>
      <c r="O720" s="16"/>
    </row>
    <row r="721" spans="1:15" ht="15.75" customHeight="1">
      <c r="A721" s="18"/>
      <c r="B721" s="7"/>
      <c r="C721" s="8" t="str">
        <f>IFERROR(VLOOKUP($B721,'(勿動)組件目錄表'!$D$15:$R$1094,2,FALSE),"-")</f>
        <v>-</v>
      </c>
      <c r="D721" s="8" t="str">
        <f>IFERROR(VLOOKUP($B721,'(勿動)組件目錄表'!$D$15:$R$1094,3,FALSE),"-")</f>
        <v>-</v>
      </c>
      <c r="E721" s="9" t="str">
        <f>IFERROR(VLOOKUP($B721,'(勿動)組件目錄表'!$D$15:$R$1094,4,FALSE),"-")</f>
        <v>-</v>
      </c>
      <c r="F721" s="10" t="str">
        <f>IFERROR(VLOOKUP($B721,'(勿動)組件目錄表'!$D$15:$R$1094,5,FALSE),"-")</f>
        <v>-</v>
      </c>
      <c r="G721" s="11" t="str">
        <f>IFERROR(VLOOKUP($B721,'(勿動)組件目錄表'!$D$15:$R$1094,8,FALSE),"-")</f>
        <v>-</v>
      </c>
      <c r="H721" s="11" t="str">
        <f>IFERROR(VLOOKUP($B721,'(勿動)組件目錄表'!$D$15:$R$1094,9,FALSE),"-")</f>
        <v>-</v>
      </c>
      <c r="I721" s="11" t="str">
        <f>IFERROR(VLOOKUP($B721,'(勿動)組件目錄表'!$D$15:$R$1094,10,FALSE),"-")</f>
        <v>-</v>
      </c>
      <c r="J721" s="11" t="str">
        <f>IFERROR(VLOOKUP($B721,'(勿動)組件目錄表'!$D$15:$R$1094,11,FALSE),"-")</f>
        <v>-</v>
      </c>
      <c r="K721" s="11" t="str">
        <f>IFERROR(VLOOKUP($B721,'(勿動)組件目錄表'!$D$15:$R$1094,12,FALSE),"-")</f>
        <v>-</v>
      </c>
      <c r="L721" s="11" t="str">
        <f>IFERROR(VLOOKUP($B721,'(勿動)組件目錄表'!$D$15:$R$1094,13,FALSE),"-")</f>
        <v>-</v>
      </c>
      <c r="M721" s="11" t="str">
        <f>IFERROR(VLOOKUP($B721,'(勿動)組件目錄表'!$D$15:$R$1094,14,FALSE),"-")</f>
        <v>-</v>
      </c>
      <c r="N721" s="15">
        <f t="shared" si="3"/>
        <v>0</v>
      </c>
      <c r="O721" s="16"/>
    </row>
    <row r="722" spans="1:15" ht="15.75" customHeight="1">
      <c r="A722" s="18"/>
      <c r="B722" s="7"/>
      <c r="C722" s="8" t="str">
        <f>IFERROR(VLOOKUP($B722,'(勿動)組件目錄表'!$D$15:$R$1094,2,FALSE),"-")</f>
        <v>-</v>
      </c>
      <c r="D722" s="8" t="str">
        <f>IFERROR(VLOOKUP($B722,'(勿動)組件目錄表'!$D$15:$R$1094,3,FALSE),"-")</f>
        <v>-</v>
      </c>
      <c r="E722" s="9" t="str">
        <f>IFERROR(VLOOKUP($B722,'(勿動)組件目錄表'!$D$15:$R$1094,4,FALSE),"-")</f>
        <v>-</v>
      </c>
      <c r="F722" s="10" t="str">
        <f>IFERROR(VLOOKUP($B722,'(勿動)組件目錄表'!$D$15:$R$1094,5,FALSE),"-")</f>
        <v>-</v>
      </c>
      <c r="G722" s="11" t="str">
        <f>IFERROR(VLOOKUP($B722,'(勿動)組件目錄表'!$D$15:$R$1094,8,FALSE),"-")</f>
        <v>-</v>
      </c>
      <c r="H722" s="11" t="str">
        <f>IFERROR(VLOOKUP($B722,'(勿動)組件目錄表'!$D$15:$R$1094,9,FALSE),"-")</f>
        <v>-</v>
      </c>
      <c r="I722" s="11" t="str">
        <f>IFERROR(VLOOKUP($B722,'(勿動)組件目錄表'!$D$15:$R$1094,10,FALSE),"-")</f>
        <v>-</v>
      </c>
      <c r="J722" s="11" t="str">
        <f>IFERROR(VLOOKUP($B722,'(勿動)組件目錄表'!$D$15:$R$1094,11,FALSE),"-")</f>
        <v>-</v>
      </c>
      <c r="K722" s="11" t="str">
        <f>IFERROR(VLOOKUP($B722,'(勿動)組件目錄表'!$D$15:$R$1094,12,FALSE),"-")</f>
        <v>-</v>
      </c>
      <c r="L722" s="11" t="str">
        <f>IFERROR(VLOOKUP($B722,'(勿動)組件目錄表'!$D$15:$R$1094,13,FALSE),"-")</f>
        <v>-</v>
      </c>
      <c r="M722" s="11" t="str">
        <f>IFERROR(VLOOKUP($B722,'(勿動)組件目錄表'!$D$15:$R$1094,14,FALSE),"-")</f>
        <v>-</v>
      </c>
      <c r="N722" s="15">
        <f t="shared" si="3"/>
        <v>0</v>
      </c>
      <c r="O722" s="16"/>
    </row>
    <row r="723" spans="1:15" ht="15.75" customHeight="1">
      <c r="A723" s="18"/>
      <c r="B723" s="7"/>
      <c r="C723" s="8" t="str">
        <f>IFERROR(VLOOKUP($B723,'(勿動)組件目錄表'!$D$15:$R$1094,2,FALSE),"-")</f>
        <v>-</v>
      </c>
      <c r="D723" s="8" t="str">
        <f>IFERROR(VLOOKUP($B723,'(勿動)組件目錄表'!$D$15:$R$1094,3,FALSE),"-")</f>
        <v>-</v>
      </c>
      <c r="E723" s="9" t="str">
        <f>IFERROR(VLOOKUP($B723,'(勿動)組件目錄表'!$D$15:$R$1094,4,FALSE),"-")</f>
        <v>-</v>
      </c>
      <c r="F723" s="10" t="str">
        <f>IFERROR(VLOOKUP($B723,'(勿動)組件目錄表'!$D$15:$R$1094,5,FALSE),"-")</f>
        <v>-</v>
      </c>
      <c r="G723" s="11" t="str">
        <f>IFERROR(VLOOKUP($B723,'(勿動)組件目錄表'!$D$15:$R$1094,8,FALSE),"-")</f>
        <v>-</v>
      </c>
      <c r="H723" s="11" t="str">
        <f>IFERROR(VLOOKUP($B723,'(勿動)組件目錄表'!$D$15:$R$1094,9,FALSE),"-")</f>
        <v>-</v>
      </c>
      <c r="I723" s="11" t="str">
        <f>IFERROR(VLOOKUP($B723,'(勿動)組件目錄表'!$D$15:$R$1094,10,FALSE),"-")</f>
        <v>-</v>
      </c>
      <c r="J723" s="11" t="str">
        <f>IFERROR(VLOOKUP($B723,'(勿動)組件目錄表'!$D$15:$R$1094,11,FALSE),"-")</f>
        <v>-</v>
      </c>
      <c r="K723" s="11" t="str">
        <f>IFERROR(VLOOKUP($B723,'(勿動)組件目錄表'!$D$15:$R$1094,12,FALSE),"-")</f>
        <v>-</v>
      </c>
      <c r="L723" s="11" t="str">
        <f>IFERROR(VLOOKUP($B723,'(勿動)組件目錄表'!$D$15:$R$1094,13,FALSE),"-")</f>
        <v>-</v>
      </c>
      <c r="M723" s="11" t="str">
        <f>IFERROR(VLOOKUP($B723,'(勿動)組件目錄表'!$D$15:$R$1094,14,FALSE),"-")</f>
        <v>-</v>
      </c>
      <c r="N723" s="15">
        <f t="shared" si="3"/>
        <v>0</v>
      </c>
      <c r="O723" s="16"/>
    </row>
    <row r="724" spans="1:15" ht="15.75" customHeight="1">
      <c r="A724" s="18"/>
      <c r="B724" s="7"/>
      <c r="C724" s="8" t="str">
        <f>IFERROR(VLOOKUP($B724,'(勿動)組件目錄表'!$D$15:$R$1094,2,FALSE),"-")</f>
        <v>-</v>
      </c>
      <c r="D724" s="8" t="str">
        <f>IFERROR(VLOOKUP($B724,'(勿動)組件目錄表'!$D$15:$R$1094,3,FALSE),"-")</f>
        <v>-</v>
      </c>
      <c r="E724" s="9" t="str">
        <f>IFERROR(VLOOKUP($B724,'(勿動)組件目錄表'!$D$15:$R$1094,4,FALSE),"-")</f>
        <v>-</v>
      </c>
      <c r="F724" s="10" t="str">
        <f>IFERROR(VLOOKUP($B724,'(勿動)組件目錄表'!$D$15:$R$1094,5,FALSE),"-")</f>
        <v>-</v>
      </c>
      <c r="G724" s="11" t="str">
        <f>IFERROR(VLOOKUP($B724,'(勿動)組件目錄表'!$D$15:$R$1094,8,FALSE),"-")</f>
        <v>-</v>
      </c>
      <c r="H724" s="11" t="str">
        <f>IFERROR(VLOOKUP($B724,'(勿動)組件目錄表'!$D$15:$R$1094,9,FALSE),"-")</f>
        <v>-</v>
      </c>
      <c r="I724" s="11" t="str">
        <f>IFERROR(VLOOKUP($B724,'(勿動)組件目錄表'!$D$15:$R$1094,10,FALSE),"-")</f>
        <v>-</v>
      </c>
      <c r="J724" s="11" t="str">
        <f>IFERROR(VLOOKUP($B724,'(勿動)組件目錄表'!$D$15:$R$1094,11,FALSE),"-")</f>
        <v>-</v>
      </c>
      <c r="K724" s="11" t="str">
        <f>IFERROR(VLOOKUP($B724,'(勿動)組件目錄表'!$D$15:$R$1094,12,FALSE),"-")</f>
        <v>-</v>
      </c>
      <c r="L724" s="11" t="str">
        <f>IFERROR(VLOOKUP($B724,'(勿動)組件目錄表'!$D$15:$R$1094,13,FALSE),"-")</f>
        <v>-</v>
      </c>
      <c r="M724" s="11" t="str">
        <f>IFERROR(VLOOKUP($B724,'(勿動)組件目錄表'!$D$15:$R$1094,14,FALSE),"-")</f>
        <v>-</v>
      </c>
      <c r="N724" s="15">
        <f t="shared" si="3"/>
        <v>0</v>
      </c>
      <c r="O724" s="16"/>
    </row>
    <row r="725" spans="1:15" ht="15.75" customHeight="1">
      <c r="A725" s="18"/>
      <c r="B725" s="7"/>
      <c r="C725" s="8" t="str">
        <f>IFERROR(VLOOKUP($B725,'(勿動)組件目錄表'!$D$15:$R$1094,2,FALSE),"-")</f>
        <v>-</v>
      </c>
      <c r="D725" s="8" t="str">
        <f>IFERROR(VLOOKUP($B725,'(勿動)組件目錄表'!$D$15:$R$1094,3,FALSE),"-")</f>
        <v>-</v>
      </c>
      <c r="E725" s="9" t="str">
        <f>IFERROR(VLOOKUP($B725,'(勿動)組件目錄表'!$D$15:$R$1094,4,FALSE),"-")</f>
        <v>-</v>
      </c>
      <c r="F725" s="10" t="str">
        <f>IFERROR(VLOOKUP($B725,'(勿動)組件目錄表'!$D$15:$R$1094,5,FALSE),"-")</f>
        <v>-</v>
      </c>
      <c r="G725" s="11" t="str">
        <f>IFERROR(VLOOKUP($B725,'(勿動)組件目錄表'!$D$15:$R$1094,8,FALSE),"-")</f>
        <v>-</v>
      </c>
      <c r="H725" s="11" t="str">
        <f>IFERROR(VLOOKUP($B725,'(勿動)組件目錄表'!$D$15:$R$1094,9,FALSE),"-")</f>
        <v>-</v>
      </c>
      <c r="I725" s="11" t="str">
        <f>IFERROR(VLOOKUP($B725,'(勿動)組件目錄表'!$D$15:$R$1094,10,FALSE),"-")</f>
        <v>-</v>
      </c>
      <c r="J725" s="11" t="str">
        <f>IFERROR(VLOOKUP($B725,'(勿動)組件目錄表'!$D$15:$R$1094,11,FALSE),"-")</f>
        <v>-</v>
      </c>
      <c r="K725" s="11" t="str">
        <f>IFERROR(VLOOKUP($B725,'(勿動)組件目錄表'!$D$15:$R$1094,12,FALSE),"-")</f>
        <v>-</v>
      </c>
      <c r="L725" s="11" t="str">
        <f>IFERROR(VLOOKUP($B725,'(勿動)組件目錄表'!$D$15:$R$1094,13,FALSE),"-")</f>
        <v>-</v>
      </c>
      <c r="M725" s="11" t="str">
        <f>IFERROR(VLOOKUP($B725,'(勿動)組件目錄表'!$D$15:$R$1094,14,FALSE),"-")</f>
        <v>-</v>
      </c>
      <c r="N725" s="15">
        <f t="shared" si="3"/>
        <v>0</v>
      </c>
      <c r="O725" s="16"/>
    </row>
    <row r="726" spans="1:15" ht="15.75" customHeight="1">
      <c r="A726" s="18"/>
      <c r="B726" s="7"/>
      <c r="C726" s="8" t="str">
        <f>IFERROR(VLOOKUP($B726,'(勿動)組件目錄表'!$D$15:$R$1094,2,FALSE),"-")</f>
        <v>-</v>
      </c>
      <c r="D726" s="8" t="str">
        <f>IFERROR(VLOOKUP($B726,'(勿動)組件目錄表'!$D$15:$R$1094,3,FALSE),"-")</f>
        <v>-</v>
      </c>
      <c r="E726" s="9" t="str">
        <f>IFERROR(VLOOKUP($B726,'(勿動)組件目錄表'!$D$15:$R$1094,4,FALSE),"-")</f>
        <v>-</v>
      </c>
      <c r="F726" s="10" t="str">
        <f>IFERROR(VLOOKUP($B726,'(勿動)組件目錄表'!$D$15:$R$1094,5,FALSE),"-")</f>
        <v>-</v>
      </c>
      <c r="G726" s="11" t="str">
        <f>IFERROR(VLOOKUP($B726,'(勿動)組件目錄表'!$D$15:$R$1094,8,FALSE),"-")</f>
        <v>-</v>
      </c>
      <c r="H726" s="11" t="str">
        <f>IFERROR(VLOOKUP($B726,'(勿動)組件目錄表'!$D$15:$R$1094,9,FALSE),"-")</f>
        <v>-</v>
      </c>
      <c r="I726" s="11" t="str">
        <f>IFERROR(VLOOKUP($B726,'(勿動)組件目錄表'!$D$15:$R$1094,10,FALSE),"-")</f>
        <v>-</v>
      </c>
      <c r="J726" s="11" t="str">
        <f>IFERROR(VLOOKUP($B726,'(勿動)組件目錄表'!$D$15:$R$1094,11,FALSE),"-")</f>
        <v>-</v>
      </c>
      <c r="K726" s="11" t="str">
        <f>IFERROR(VLOOKUP($B726,'(勿動)組件目錄表'!$D$15:$R$1094,12,FALSE),"-")</f>
        <v>-</v>
      </c>
      <c r="L726" s="11" t="str">
        <f>IFERROR(VLOOKUP($B726,'(勿動)組件目錄表'!$D$15:$R$1094,13,FALSE),"-")</f>
        <v>-</v>
      </c>
      <c r="M726" s="11" t="str">
        <f>IFERROR(VLOOKUP($B726,'(勿動)組件目錄表'!$D$15:$R$1094,14,FALSE),"-")</f>
        <v>-</v>
      </c>
      <c r="N726" s="15">
        <f t="shared" si="3"/>
        <v>0</v>
      </c>
      <c r="O726" s="16"/>
    </row>
    <row r="727" spans="1:15" ht="15.75" customHeight="1">
      <c r="A727" s="18"/>
      <c r="B727" s="7"/>
      <c r="C727" s="8" t="str">
        <f>IFERROR(VLOOKUP($B727,'(勿動)組件目錄表'!$D$15:$R$1094,2,FALSE),"-")</f>
        <v>-</v>
      </c>
      <c r="D727" s="8" t="str">
        <f>IFERROR(VLOOKUP($B727,'(勿動)組件目錄表'!$D$15:$R$1094,3,FALSE),"-")</f>
        <v>-</v>
      </c>
      <c r="E727" s="9" t="str">
        <f>IFERROR(VLOOKUP($B727,'(勿動)組件目錄表'!$D$15:$R$1094,4,FALSE),"-")</f>
        <v>-</v>
      </c>
      <c r="F727" s="10" t="str">
        <f>IFERROR(VLOOKUP($B727,'(勿動)組件目錄表'!$D$15:$R$1094,5,FALSE),"-")</f>
        <v>-</v>
      </c>
      <c r="G727" s="11" t="str">
        <f>IFERROR(VLOOKUP($B727,'(勿動)組件目錄表'!$D$15:$R$1094,8,FALSE),"-")</f>
        <v>-</v>
      </c>
      <c r="H727" s="11" t="str">
        <f>IFERROR(VLOOKUP($B727,'(勿動)組件目錄表'!$D$15:$R$1094,9,FALSE),"-")</f>
        <v>-</v>
      </c>
      <c r="I727" s="11" t="str">
        <f>IFERROR(VLOOKUP($B727,'(勿動)組件目錄表'!$D$15:$R$1094,10,FALSE),"-")</f>
        <v>-</v>
      </c>
      <c r="J727" s="11" t="str">
        <f>IFERROR(VLOOKUP($B727,'(勿動)組件目錄表'!$D$15:$R$1094,11,FALSE),"-")</f>
        <v>-</v>
      </c>
      <c r="K727" s="11" t="str">
        <f>IFERROR(VLOOKUP($B727,'(勿動)組件目錄表'!$D$15:$R$1094,12,FALSE),"-")</f>
        <v>-</v>
      </c>
      <c r="L727" s="11" t="str">
        <f>IFERROR(VLOOKUP($B727,'(勿動)組件目錄表'!$D$15:$R$1094,13,FALSE),"-")</f>
        <v>-</v>
      </c>
      <c r="M727" s="11" t="str">
        <f>IFERROR(VLOOKUP($B727,'(勿動)組件目錄表'!$D$15:$R$1094,14,FALSE),"-")</f>
        <v>-</v>
      </c>
      <c r="N727" s="15">
        <f t="shared" si="3"/>
        <v>0</v>
      </c>
      <c r="O727" s="16"/>
    </row>
    <row r="728" spans="1:15" ht="15.75" customHeight="1">
      <c r="A728" s="18"/>
      <c r="B728" s="7"/>
      <c r="C728" s="8" t="str">
        <f>IFERROR(VLOOKUP($B728,'(勿動)組件目錄表'!$D$15:$R$1094,2,FALSE),"-")</f>
        <v>-</v>
      </c>
      <c r="D728" s="8" t="str">
        <f>IFERROR(VLOOKUP($B728,'(勿動)組件目錄表'!$D$15:$R$1094,3,FALSE),"-")</f>
        <v>-</v>
      </c>
      <c r="E728" s="9" t="str">
        <f>IFERROR(VLOOKUP($B728,'(勿動)組件目錄表'!$D$15:$R$1094,4,FALSE),"-")</f>
        <v>-</v>
      </c>
      <c r="F728" s="10" t="str">
        <f>IFERROR(VLOOKUP($B728,'(勿動)組件目錄表'!$D$15:$R$1094,5,FALSE),"-")</f>
        <v>-</v>
      </c>
      <c r="G728" s="11" t="str">
        <f>IFERROR(VLOOKUP($B728,'(勿動)組件目錄表'!$D$15:$R$1094,8,FALSE),"-")</f>
        <v>-</v>
      </c>
      <c r="H728" s="11" t="str">
        <f>IFERROR(VLOOKUP($B728,'(勿動)組件目錄表'!$D$15:$R$1094,9,FALSE),"-")</f>
        <v>-</v>
      </c>
      <c r="I728" s="11" t="str">
        <f>IFERROR(VLOOKUP($B728,'(勿動)組件目錄表'!$D$15:$R$1094,10,FALSE),"-")</f>
        <v>-</v>
      </c>
      <c r="J728" s="11" t="str">
        <f>IFERROR(VLOOKUP($B728,'(勿動)組件目錄表'!$D$15:$R$1094,11,FALSE),"-")</f>
        <v>-</v>
      </c>
      <c r="K728" s="11" t="str">
        <f>IFERROR(VLOOKUP($B728,'(勿動)組件目錄表'!$D$15:$R$1094,12,FALSE),"-")</f>
        <v>-</v>
      </c>
      <c r="L728" s="11" t="str">
        <f>IFERROR(VLOOKUP($B728,'(勿動)組件目錄表'!$D$15:$R$1094,13,FALSE),"-")</f>
        <v>-</v>
      </c>
      <c r="M728" s="11" t="str">
        <f>IFERROR(VLOOKUP($B728,'(勿動)組件目錄表'!$D$15:$R$1094,14,FALSE),"-")</f>
        <v>-</v>
      </c>
      <c r="N728" s="15">
        <f t="shared" si="3"/>
        <v>0</v>
      </c>
      <c r="O728" s="16"/>
    </row>
    <row r="729" spans="1:15" ht="15.75" customHeight="1">
      <c r="A729" s="18"/>
      <c r="B729" s="7"/>
      <c r="C729" s="8" t="str">
        <f>IFERROR(VLOOKUP($B729,'(勿動)組件目錄表'!$D$15:$R$1094,2,FALSE),"-")</f>
        <v>-</v>
      </c>
      <c r="D729" s="8" t="str">
        <f>IFERROR(VLOOKUP($B729,'(勿動)組件目錄表'!$D$15:$R$1094,3,FALSE),"-")</f>
        <v>-</v>
      </c>
      <c r="E729" s="9" t="str">
        <f>IFERROR(VLOOKUP($B729,'(勿動)組件目錄表'!$D$15:$R$1094,4,FALSE),"-")</f>
        <v>-</v>
      </c>
      <c r="F729" s="10" t="str">
        <f>IFERROR(VLOOKUP($B729,'(勿動)組件目錄表'!$D$15:$R$1094,5,FALSE),"-")</f>
        <v>-</v>
      </c>
      <c r="G729" s="11" t="str">
        <f>IFERROR(VLOOKUP($B729,'(勿動)組件目錄表'!$D$15:$R$1094,8,FALSE),"-")</f>
        <v>-</v>
      </c>
      <c r="H729" s="11" t="str">
        <f>IFERROR(VLOOKUP($B729,'(勿動)組件目錄表'!$D$15:$R$1094,9,FALSE),"-")</f>
        <v>-</v>
      </c>
      <c r="I729" s="11" t="str">
        <f>IFERROR(VLOOKUP($B729,'(勿動)組件目錄表'!$D$15:$R$1094,10,FALSE),"-")</f>
        <v>-</v>
      </c>
      <c r="J729" s="11" t="str">
        <f>IFERROR(VLOOKUP($B729,'(勿動)組件目錄表'!$D$15:$R$1094,11,FALSE),"-")</f>
        <v>-</v>
      </c>
      <c r="K729" s="11" t="str">
        <f>IFERROR(VLOOKUP($B729,'(勿動)組件目錄表'!$D$15:$R$1094,12,FALSE),"-")</f>
        <v>-</v>
      </c>
      <c r="L729" s="11" t="str">
        <f>IFERROR(VLOOKUP($B729,'(勿動)組件目錄表'!$D$15:$R$1094,13,FALSE),"-")</f>
        <v>-</v>
      </c>
      <c r="M729" s="11" t="str">
        <f>IFERROR(VLOOKUP($B729,'(勿動)組件目錄表'!$D$15:$R$1094,14,FALSE),"-")</f>
        <v>-</v>
      </c>
      <c r="N729" s="15">
        <f t="shared" si="3"/>
        <v>0</v>
      </c>
      <c r="O729" s="16"/>
    </row>
    <row r="730" spans="1:15" ht="15.75" customHeight="1">
      <c r="A730" s="18"/>
      <c r="B730" s="7"/>
      <c r="C730" s="8" t="str">
        <f>IFERROR(VLOOKUP($B730,'(勿動)組件目錄表'!$D$15:$R$1094,2,FALSE),"-")</f>
        <v>-</v>
      </c>
      <c r="D730" s="8" t="str">
        <f>IFERROR(VLOOKUP($B730,'(勿動)組件目錄表'!$D$15:$R$1094,3,FALSE),"-")</f>
        <v>-</v>
      </c>
      <c r="E730" s="9" t="str">
        <f>IFERROR(VLOOKUP($B730,'(勿動)組件目錄表'!$D$15:$R$1094,4,FALSE),"-")</f>
        <v>-</v>
      </c>
      <c r="F730" s="10" t="str">
        <f>IFERROR(VLOOKUP($B730,'(勿動)組件目錄表'!$D$15:$R$1094,5,FALSE),"-")</f>
        <v>-</v>
      </c>
      <c r="G730" s="11" t="str">
        <f>IFERROR(VLOOKUP($B730,'(勿動)組件目錄表'!$D$15:$R$1094,8,FALSE),"-")</f>
        <v>-</v>
      </c>
      <c r="H730" s="11" t="str">
        <f>IFERROR(VLOOKUP($B730,'(勿動)組件目錄表'!$D$15:$R$1094,9,FALSE),"-")</f>
        <v>-</v>
      </c>
      <c r="I730" s="11" t="str">
        <f>IFERROR(VLOOKUP($B730,'(勿動)組件目錄表'!$D$15:$R$1094,10,FALSE),"-")</f>
        <v>-</v>
      </c>
      <c r="J730" s="11" t="str">
        <f>IFERROR(VLOOKUP($B730,'(勿動)組件目錄表'!$D$15:$R$1094,11,FALSE),"-")</f>
        <v>-</v>
      </c>
      <c r="K730" s="11" t="str">
        <f>IFERROR(VLOOKUP($B730,'(勿動)組件目錄表'!$D$15:$R$1094,12,FALSE),"-")</f>
        <v>-</v>
      </c>
      <c r="L730" s="11" t="str">
        <f>IFERROR(VLOOKUP($B730,'(勿動)組件目錄表'!$D$15:$R$1094,13,FALSE),"-")</f>
        <v>-</v>
      </c>
      <c r="M730" s="11" t="str">
        <f>IFERROR(VLOOKUP($B730,'(勿動)組件目錄表'!$D$15:$R$1094,14,FALSE),"-")</f>
        <v>-</v>
      </c>
      <c r="N730" s="15">
        <f t="shared" si="3"/>
        <v>0</v>
      </c>
      <c r="O730" s="16"/>
    </row>
    <row r="731" spans="1:15" ht="15.75" customHeight="1">
      <c r="A731" s="18"/>
      <c r="B731" s="7"/>
      <c r="C731" s="8" t="str">
        <f>IFERROR(VLOOKUP($B731,'(勿動)組件目錄表'!$D$15:$R$1094,2,FALSE),"-")</f>
        <v>-</v>
      </c>
      <c r="D731" s="8" t="str">
        <f>IFERROR(VLOOKUP($B731,'(勿動)組件目錄表'!$D$15:$R$1094,3,FALSE),"-")</f>
        <v>-</v>
      </c>
      <c r="E731" s="9" t="str">
        <f>IFERROR(VLOOKUP($B731,'(勿動)組件目錄表'!$D$15:$R$1094,4,FALSE),"-")</f>
        <v>-</v>
      </c>
      <c r="F731" s="10" t="str">
        <f>IFERROR(VLOOKUP($B731,'(勿動)組件目錄表'!$D$15:$R$1094,5,FALSE),"-")</f>
        <v>-</v>
      </c>
      <c r="G731" s="11" t="str">
        <f>IFERROR(VLOOKUP($B731,'(勿動)組件目錄表'!$D$15:$R$1094,8,FALSE),"-")</f>
        <v>-</v>
      </c>
      <c r="H731" s="11" t="str">
        <f>IFERROR(VLOOKUP($B731,'(勿動)組件目錄表'!$D$15:$R$1094,9,FALSE),"-")</f>
        <v>-</v>
      </c>
      <c r="I731" s="11" t="str">
        <f>IFERROR(VLOOKUP($B731,'(勿動)組件目錄表'!$D$15:$R$1094,10,FALSE),"-")</f>
        <v>-</v>
      </c>
      <c r="J731" s="11" t="str">
        <f>IFERROR(VLOOKUP($B731,'(勿動)組件目錄表'!$D$15:$R$1094,11,FALSE),"-")</f>
        <v>-</v>
      </c>
      <c r="K731" s="11" t="str">
        <f>IFERROR(VLOOKUP($B731,'(勿動)組件目錄表'!$D$15:$R$1094,12,FALSE),"-")</f>
        <v>-</v>
      </c>
      <c r="L731" s="11" t="str">
        <f>IFERROR(VLOOKUP($B731,'(勿動)組件目錄表'!$D$15:$R$1094,13,FALSE),"-")</f>
        <v>-</v>
      </c>
      <c r="M731" s="11" t="str">
        <f>IFERROR(VLOOKUP($B731,'(勿動)組件目錄表'!$D$15:$R$1094,14,FALSE),"-")</f>
        <v>-</v>
      </c>
      <c r="N731" s="15">
        <f t="shared" si="3"/>
        <v>0</v>
      </c>
      <c r="O731" s="16"/>
    </row>
    <row r="732" spans="1:15" ht="15.75" customHeight="1">
      <c r="A732" s="18"/>
      <c r="B732" s="7"/>
      <c r="C732" s="8" t="str">
        <f>IFERROR(VLOOKUP($B732,'(勿動)組件目錄表'!$D$15:$R$1094,2,FALSE),"-")</f>
        <v>-</v>
      </c>
      <c r="D732" s="8" t="str">
        <f>IFERROR(VLOOKUP($B732,'(勿動)組件目錄表'!$D$15:$R$1094,3,FALSE),"-")</f>
        <v>-</v>
      </c>
      <c r="E732" s="9" t="str">
        <f>IFERROR(VLOOKUP($B732,'(勿動)組件目錄表'!$D$15:$R$1094,4,FALSE),"-")</f>
        <v>-</v>
      </c>
      <c r="F732" s="10" t="str">
        <f>IFERROR(VLOOKUP($B732,'(勿動)組件目錄表'!$D$15:$R$1094,5,FALSE),"-")</f>
        <v>-</v>
      </c>
      <c r="G732" s="11" t="str">
        <f>IFERROR(VLOOKUP($B732,'(勿動)組件目錄表'!$D$15:$R$1094,8,FALSE),"-")</f>
        <v>-</v>
      </c>
      <c r="H732" s="11" t="str">
        <f>IFERROR(VLOOKUP($B732,'(勿動)組件目錄表'!$D$15:$R$1094,9,FALSE),"-")</f>
        <v>-</v>
      </c>
      <c r="I732" s="11" t="str">
        <f>IFERROR(VLOOKUP($B732,'(勿動)組件目錄表'!$D$15:$R$1094,10,FALSE),"-")</f>
        <v>-</v>
      </c>
      <c r="J732" s="11" t="str">
        <f>IFERROR(VLOOKUP($B732,'(勿動)組件目錄表'!$D$15:$R$1094,11,FALSE),"-")</f>
        <v>-</v>
      </c>
      <c r="K732" s="11" t="str">
        <f>IFERROR(VLOOKUP($B732,'(勿動)組件目錄表'!$D$15:$R$1094,12,FALSE),"-")</f>
        <v>-</v>
      </c>
      <c r="L732" s="11" t="str">
        <f>IFERROR(VLOOKUP($B732,'(勿動)組件目錄表'!$D$15:$R$1094,13,FALSE),"-")</f>
        <v>-</v>
      </c>
      <c r="M732" s="11" t="str">
        <f>IFERROR(VLOOKUP($B732,'(勿動)組件目錄表'!$D$15:$R$1094,14,FALSE),"-")</f>
        <v>-</v>
      </c>
      <c r="N732" s="15">
        <f t="shared" si="3"/>
        <v>0</v>
      </c>
      <c r="O732" s="16"/>
    </row>
    <row r="733" spans="1:15" ht="15.75" customHeight="1">
      <c r="A733" s="18"/>
      <c r="B733" s="7"/>
      <c r="C733" s="8" t="str">
        <f>IFERROR(VLOOKUP($B733,'(勿動)組件目錄表'!$D$15:$R$1094,2,FALSE),"-")</f>
        <v>-</v>
      </c>
      <c r="D733" s="8" t="str">
        <f>IFERROR(VLOOKUP($B733,'(勿動)組件目錄表'!$D$15:$R$1094,3,FALSE),"-")</f>
        <v>-</v>
      </c>
      <c r="E733" s="9" t="str">
        <f>IFERROR(VLOOKUP($B733,'(勿動)組件目錄表'!$D$15:$R$1094,4,FALSE),"-")</f>
        <v>-</v>
      </c>
      <c r="F733" s="10" t="str">
        <f>IFERROR(VLOOKUP($B733,'(勿動)組件目錄表'!$D$15:$R$1094,5,FALSE),"-")</f>
        <v>-</v>
      </c>
      <c r="G733" s="11" t="str">
        <f>IFERROR(VLOOKUP($B733,'(勿動)組件目錄表'!$D$15:$R$1094,8,FALSE),"-")</f>
        <v>-</v>
      </c>
      <c r="H733" s="11" t="str">
        <f>IFERROR(VLOOKUP($B733,'(勿動)組件目錄表'!$D$15:$R$1094,9,FALSE),"-")</f>
        <v>-</v>
      </c>
      <c r="I733" s="11" t="str">
        <f>IFERROR(VLOOKUP($B733,'(勿動)組件目錄表'!$D$15:$R$1094,10,FALSE),"-")</f>
        <v>-</v>
      </c>
      <c r="J733" s="11" t="str">
        <f>IFERROR(VLOOKUP($B733,'(勿動)組件目錄表'!$D$15:$R$1094,11,FALSE),"-")</f>
        <v>-</v>
      </c>
      <c r="K733" s="11" t="str">
        <f>IFERROR(VLOOKUP($B733,'(勿動)組件目錄表'!$D$15:$R$1094,12,FALSE),"-")</f>
        <v>-</v>
      </c>
      <c r="L733" s="11" t="str">
        <f>IFERROR(VLOOKUP($B733,'(勿動)組件目錄表'!$D$15:$R$1094,13,FALSE),"-")</f>
        <v>-</v>
      </c>
      <c r="M733" s="11" t="str">
        <f>IFERROR(VLOOKUP($B733,'(勿動)組件目錄表'!$D$15:$R$1094,14,FALSE),"-")</f>
        <v>-</v>
      </c>
      <c r="N733" s="15">
        <f t="shared" si="3"/>
        <v>0</v>
      </c>
      <c r="O733" s="16"/>
    </row>
    <row r="734" spans="1:15" ht="15.75" customHeight="1">
      <c r="A734" s="18"/>
      <c r="B734" s="7"/>
      <c r="C734" s="8" t="str">
        <f>IFERROR(VLOOKUP($B734,'(勿動)組件目錄表'!$D$15:$R$1094,2,FALSE),"-")</f>
        <v>-</v>
      </c>
      <c r="D734" s="8" t="str">
        <f>IFERROR(VLOOKUP($B734,'(勿動)組件目錄表'!$D$15:$R$1094,3,FALSE),"-")</f>
        <v>-</v>
      </c>
      <c r="E734" s="9" t="str">
        <f>IFERROR(VLOOKUP($B734,'(勿動)組件目錄表'!$D$15:$R$1094,4,FALSE),"-")</f>
        <v>-</v>
      </c>
      <c r="F734" s="10" t="str">
        <f>IFERROR(VLOOKUP($B734,'(勿動)組件目錄表'!$D$15:$R$1094,5,FALSE),"-")</f>
        <v>-</v>
      </c>
      <c r="G734" s="11" t="str">
        <f>IFERROR(VLOOKUP($B734,'(勿動)組件目錄表'!$D$15:$R$1094,8,FALSE),"-")</f>
        <v>-</v>
      </c>
      <c r="H734" s="11" t="str">
        <f>IFERROR(VLOOKUP($B734,'(勿動)組件目錄表'!$D$15:$R$1094,9,FALSE),"-")</f>
        <v>-</v>
      </c>
      <c r="I734" s="11" t="str">
        <f>IFERROR(VLOOKUP($B734,'(勿動)組件目錄表'!$D$15:$R$1094,10,FALSE),"-")</f>
        <v>-</v>
      </c>
      <c r="J734" s="11" t="str">
        <f>IFERROR(VLOOKUP($B734,'(勿動)組件目錄表'!$D$15:$R$1094,11,FALSE),"-")</f>
        <v>-</v>
      </c>
      <c r="K734" s="11" t="str">
        <f>IFERROR(VLOOKUP($B734,'(勿動)組件目錄表'!$D$15:$R$1094,12,FALSE),"-")</f>
        <v>-</v>
      </c>
      <c r="L734" s="11" t="str">
        <f>IFERROR(VLOOKUP($B734,'(勿動)組件目錄表'!$D$15:$R$1094,13,FALSE),"-")</f>
        <v>-</v>
      </c>
      <c r="M734" s="11" t="str">
        <f>IFERROR(VLOOKUP($B734,'(勿動)組件目錄表'!$D$15:$R$1094,14,FALSE),"-")</f>
        <v>-</v>
      </c>
      <c r="N734" s="15">
        <f t="shared" si="3"/>
        <v>0</v>
      </c>
      <c r="O734" s="16"/>
    </row>
    <row r="735" spans="1:15" ht="15.75" customHeight="1">
      <c r="A735" s="18"/>
      <c r="B735" s="7"/>
      <c r="C735" s="8" t="str">
        <f>IFERROR(VLOOKUP($B735,'(勿動)組件目錄表'!$D$15:$R$1094,2,FALSE),"-")</f>
        <v>-</v>
      </c>
      <c r="D735" s="8" t="str">
        <f>IFERROR(VLOOKUP($B735,'(勿動)組件目錄表'!$D$15:$R$1094,3,FALSE),"-")</f>
        <v>-</v>
      </c>
      <c r="E735" s="9" t="str">
        <f>IFERROR(VLOOKUP($B735,'(勿動)組件目錄表'!$D$15:$R$1094,4,FALSE),"-")</f>
        <v>-</v>
      </c>
      <c r="F735" s="10" t="str">
        <f>IFERROR(VLOOKUP($B735,'(勿動)組件目錄表'!$D$15:$R$1094,5,FALSE),"-")</f>
        <v>-</v>
      </c>
      <c r="G735" s="11" t="str">
        <f>IFERROR(VLOOKUP($B735,'(勿動)組件目錄表'!$D$15:$R$1094,8,FALSE),"-")</f>
        <v>-</v>
      </c>
      <c r="H735" s="11" t="str">
        <f>IFERROR(VLOOKUP($B735,'(勿動)組件目錄表'!$D$15:$R$1094,9,FALSE),"-")</f>
        <v>-</v>
      </c>
      <c r="I735" s="11" t="str">
        <f>IFERROR(VLOOKUP($B735,'(勿動)組件目錄表'!$D$15:$R$1094,10,FALSE),"-")</f>
        <v>-</v>
      </c>
      <c r="J735" s="11" t="str">
        <f>IFERROR(VLOOKUP($B735,'(勿動)組件目錄表'!$D$15:$R$1094,11,FALSE),"-")</f>
        <v>-</v>
      </c>
      <c r="K735" s="11" t="str">
        <f>IFERROR(VLOOKUP($B735,'(勿動)組件目錄表'!$D$15:$R$1094,12,FALSE),"-")</f>
        <v>-</v>
      </c>
      <c r="L735" s="11" t="str">
        <f>IFERROR(VLOOKUP($B735,'(勿動)組件目錄表'!$D$15:$R$1094,13,FALSE),"-")</f>
        <v>-</v>
      </c>
      <c r="M735" s="11" t="str">
        <f>IFERROR(VLOOKUP($B735,'(勿動)組件目錄表'!$D$15:$R$1094,14,FALSE),"-")</f>
        <v>-</v>
      </c>
      <c r="N735" s="15">
        <f t="shared" si="3"/>
        <v>0</v>
      </c>
      <c r="O735" s="16"/>
    </row>
    <row r="736" spans="1:15" ht="15.75" customHeight="1">
      <c r="A736" s="18"/>
      <c r="B736" s="7"/>
      <c r="C736" s="8" t="str">
        <f>IFERROR(VLOOKUP($B736,'(勿動)組件目錄表'!$D$15:$R$1094,2,FALSE),"-")</f>
        <v>-</v>
      </c>
      <c r="D736" s="8" t="str">
        <f>IFERROR(VLOOKUP($B736,'(勿動)組件目錄表'!$D$15:$R$1094,3,FALSE),"-")</f>
        <v>-</v>
      </c>
      <c r="E736" s="9" t="str">
        <f>IFERROR(VLOOKUP($B736,'(勿動)組件目錄表'!$D$15:$R$1094,4,FALSE),"-")</f>
        <v>-</v>
      </c>
      <c r="F736" s="10" t="str">
        <f>IFERROR(VLOOKUP($B736,'(勿動)組件目錄表'!$D$15:$R$1094,5,FALSE),"-")</f>
        <v>-</v>
      </c>
      <c r="G736" s="11" t="str">
        <f>IFERROR(VLOOKUP($B736,'(勿動)組件目錄表'!$D$15:$R$1094,8,FALSE),"-")</f>
        <v>-</v>
      </c>
      <c r="H736" s="11" t="str">
        <f>IFERROR(VLOOKUP($B736,'(勿動)組件目錄表'!$D$15:$R$1094,9,FALSE),"-")</f>
        <v>-</v>
      </c>
      <c r="I736" s="11" t="str">
        <f>IFERROR(VLOOKUP($B736,'(勿動)組件目錄表'!$D$15:$R$1094,10,FALSE),"-")</f>
        <v>-</v>
      </c>
      <c r="J736" s="11" t="str">
        <f>IFERROR(VLOOKUP($B736,'(勿動)組件目錄表'!$D$15:$R$1094,11,FALSE),"-")</f>
        <v>-</v>
      </c>
      <c r="K736" s="11" t="str">
        <f>IFERROR(VLOOKUP($B736,'(勿動)組件目錄表'!$D$15:$R$1094,12,FALSE),"-")</f>
        <v>-</v>
      </c>
      <c r="L736" s="11" t="str">
        <f>IFERROR(VLOOKUP($B736,'(勿動)組件目錄表'!$D$15:$R$1094,13,FALSE),"-")</f>
        <v>-</v>
      </c>
      <c r="M736" s="11" t="str">
        <f>IFERROR(VLOOKUP($B736,'(勿動)組件目錄表'!$D$15:$R$1094,14,FALSE),"-")</f>
        <v>-</v>
      </c>
      <c r="N736" s="15">
        <f t="shared" si="3"/>
        <v>0</v>
      </c>
      <c r="O736" s="16"/>
    </row>
    <row r="737" spans="1:15" ht="15.75" customHeight="1">
      <c r="A737" s="18"/>
      <c r="B737" s="7"/>
      <c r="C737" s="8" t="str">
        <f>IFERROR(VLOOKUP($B737,'(勿動)組件目錄表'!$D$15:$R$1094,2,FALSE),"-")</f>
        <v>-</v>
      </c>
      <c r="D737" s="8" t="str">
        <f>IFERROR(VLOOKUP($B737,'(勿動)組件目錄表'!$D$15:$R$1094,3,FALSE),"-")</f>
        <v>-</v>
      </c>
      <c r="E737" s="9" t="str">
        <f>IFERROR(VLOOKUP($B737,'(勿動)組件目錄表'!$D$15:$R$1094,4,FALSE),"-")</f>
        <v>-</v>
      </c>
      <c r="F737" s="10" t="str">
        <f>IFERROR(VLOOKUP($B737,'(勿動)組件目錄表'!$D$15:$R$1094,5,FALSE),"-")</f>
        <v>-</v>
      </c>
      <c r="G737" s="11" t="str">
        <f>IFERROR(VLOOKUP($B737,'(勿動)組件目錄表'!$D$15:$R$1094,8,FALSE),"-")</f>
        <v>-</v>
      </c>
      <c r="H737" s="11" t="str">
        <f>IFERROR(VLOOKUP($B737,'(勿動)組件目錄表'!$D$15:$R$1094,9,FALSE),"-")</f>
        <v>-</v>
      </c>
      <c r="I737" s="11" t="str">
        <f>IFERROR(VLOOKUP($B737,'(勿動)組件目錄表'!$D$15:$R$1094,10,FALSE),"-")</f>
        <v>-</v>
      </c>
      <c r="J737" s="11" t="str">
        <f>IFERROR(VLOOKUP($B737,'(勿動)組件目錄表'!$D$15:$R$1094,11,FALSE),"-")</f>
        <v>-</v>
      </c>
      <c r="K737" s="11" t="str">
        <f>IFERROR(VLOOKUP($B737,'(勿動)組件目錄表'!$D$15:$R$1094,12,FALSE),"-")</f>
        <v>-</v>
      </c>
      <c r="L737" s="11" t="str">
        <f>IFERROR(VLOOKUP($B737,'(勿動)組件目錄表'!$D$15:$R$1094,13,FALSE),"-")</f>
        <v>-</v>
      </c>
      <c r="M737" s="11" t="str">
        <f>IFERROR(VLOOKUP($B737,'(勿動)組件目錄表'!$D$15:$R$1094,14,FALSE),"-")</f>
        <v>-</v>
      </c>
      <c r="N737" s="15">
        <f t="shared" si="3"/>
        <v>0</v>
      </c>
      <c r="O737" s="16"/>
    </row>
    <row r="738" spans="1:15" ht="15.75" customHeight="1">
      <c r="A738" s="18"/>
      <c r="B738" s="7"/>
      <c r="C738" s="8" t="str">
        <f>IFERROR(VLOOKUP($B738,'(勿動)組件目錄表'!$D$15:$R$1094,2,FALSE),"-")</f>
        <v>-</v>
      </c>
      <c r="D738" s="8" t="str">
        <f>IFERROR(VLOOKUP($B738,'(勿動)組件目錄表'!$D$15:$R$1094,3,FALSE),"-")</f>
        <v>-</v>
      </c>
      <c r="E738" s="9" t="str">
        <f>IFERROR(VLOOKUP($B738,'(勿動)組件目錄表'!$D$15:$R$1094,4,FALSE),"-")</f>
        <v>-</v>
      </c>
      <c r="F738" s="10" t="str">
        <f>IFERROR(VLOOKUP($B738,'(勿動)組件目錄表'!$D$15:$R$1094,5,FALSE),"-")</f>
        <v>-</v>
      </c>
      <c r="G738" s="11" t="str">
        <f>IFERROR(VLOOKUP($B738,'(勿動)組件目錄表'!$D$15:$R$1094,8,FALSE),"-")</f>
        <v>-</v>
      </c>
      <c r="H738" s="11" t="str">
        <f>IFERROR(VLOOKUP($B738,'(勿動)組件目錄表'!$D$15:$R$1094,9,FALSE),"-")</f>
        <v>-</v>
      </c>
      <c r="I738" s="11" t="str">
        <f>IFERROR(VLOOKUP($B738,'(勿動)組件目錄表'!$D$15:$R$1094,10,FALSE),"-")</f>
        <v>-</v>
      </c>
      <c r="J738" s="11" t="str">
        <f>IFERROR(VLOOKUP($B738,'(勿動)組件目錄表'!$D$15:$R$1094,11,FALSE),"-")</f>
        <v>-</v>
      </c>
      <c r="K738" s="11" t="str">
        <f>IFERROR(VLOOKUP($B738,'(勿動)組件目錄表'!$D$15:$R$1094,12,FALSE),"-")</f>
        <v>-</v>
      </c>
      <c r="L738" s="11" t="str">
        <f>IFERROR(VLOOKUP($B738,'(勿動)組件目錄表'!$D$15:$R$1094,13,FALSE),"-")</f>
        <v>-</v>
      </c>
      <c r="M738" s="11" t="str">
        <f>IFERROR(VLOOKUP($B738,'(勿動)組件目錄表'!$D$15:$R$1094,14,FALSE),"-")</f>
        <v>-</v>
      </c>
      <c r="N738" s="15">
        <f t="shared" si="3"/>
        <v>0</v>
      </c>
      <c r="O738" s="16"/>
    </row>
    <row r="739" spans="1:15" ht="15.75" customHeight="1">
      <c r="A739" s="18"/>
      <c r="B739" s="7"/>
      <c r="C739" s="8" t="str">
        <f>IFERROR(VLOOKUP($B739,'(勿動)組件目錄表'!$D$15:$R$1094,2,FALSE),"-")</f>
        <v>-</v>
      </c>
      <c r="D739" s="8" t="str">
        <f>IFERROR(VLOOKUP($B739,'(勿動)組件目錄表'!$D$15:$R$1094,3,FALSE),"-")</f>
        <v>-</v>
      </c>
      <c r="E739" s="9" t="str">
        <f>IFERROR(VLOOKUP($B739,'(勿動)組件目錄表'!$D$15:$R$1094,4,FALSE),"-")</f>
        <v>-</v>
      </c>
      <c r="F739" s="10" t="str">
        <f>IFERROR(VLOOKUP($B739,'(勿動)組件目錄表'!$D$15:$R$1094,5,FALSE),"-")</f>
        <v>-</v>
      </c>
      <c r="G739" s="11" t="str">
        <f>IFERROR(VLOOKUP($B739,'(勿動)組件目錄表'!$D$15:$R$1094,8,FALSE),"-")</f>
        <v>-</v>
      </c>
      <c r="H739" s="11" t="str">
        <f>IFERROR(VLOOKUP($B739,'(勿動)組件目錄表'!$D$15:$R$1094,9,FALSE),"-")</f>
        <v>-</v>
      </c>
      <c r="I739" s="11" t="str">
        <f>IFERROR(VLOOKUP($B739,'(勿動)組件目錄表'!$D$15:$R$1094,10,FALSE),"-")</f>
        <v>-</v>
      </c>
      <c r="J739" s="11" t="str">
        <f>IFERROR(VLOOKUP($B739,'(勿動)組件目錄表'!$D$15:$R$1094,11,FALSE),"-")</f>
        <v>-</v>
      </c>
      <c r="K739" s="11" t="str">
        <f>IFERROR(VLOOKUP($B739,'(勿動)組件目錄表'!$D$15:$R$1094,12,FALSE),"-")</f>
        <v>-</v>
      </c>
      <c r="L739" s="11" t="str">
        <f>IFERROR(VLOOKUP($B739,'(勿動)組件目錄表'!$D$15:$R$1094,13,FALSE),"-")</f>
        <v>-</v>
      </c>
      <c r="M739" s="11" t="str">
        <f>IFERROR(VLOOKUP($B739,'(勿動)組件目錄表'!$D$15:$R$1094,14,FALSE),"-")</f>
        <v>-</v>
      </c>
      <c r="N739" s="15">
        <f t="shared" si="3"/>
        <v>0</v>
      </c>
      <c r="O739" s="16"/>
    </row>
    <row r="740" spans="1:15" ht="15.75" customHeight="1">
      <c r="A740" s="18"/>
      <c r="B740" s="7"/>
      <c r="C740" s="8" t="str">
        <f>IFERROR(VLOOKUP($B740,'(勿動)組件目錄表'!$D$15:$R$1094,2,FALSE),"-")</f>
        <v>-</v>
      </c>
      <c r="D740" s="8" t="str">
        <f>IFERROR(VLOOKUP($B740,'(勿動)組件目錄表'!$D$15:$R$1094,3,FALSE),"-")</f>
        <v>-</v>
      </c>
      <c r="E740" s="9" t="str">
        <f>IFERROR(VLOOKUP($B740,'(勿動)組件目錄表'!$D$15:$R$1094,4,FALSE),"-")</f>
        <v>-</v>
      </c>
      <c r="F740" s="10" t="str">
        <f>IFERROR(VLOOKUP($B740,'(勿動)組件目錄表'!$D$15:$R$1094,5,FALSE),"-")</f>
        <v>-</v>
      </c>
      <c r="G740" s="11" t="str">
        <f>IFERROR(VLOOKUP($B740,'(勿動)組件目錄表'!$D$15:$R$1094,8,FALSE),"-")</f>
        <v>-</v>
      </c>
      <c r="H740" s="11" t="str">
        <f>IFERROR(VLOOKUP($B740,'(勿動)組件目錄表'!$D$15:$R$1094,9,FALSE),"-")</f>
        <v>-</v>
      </c>
      <c r="I740" s="11" t="str">
        <f>IFERROR(VLOOKUP($B740,'(勿動)組件目錄表'!$D$15:$R$1094,10,FALSE),"-")</f>
        <v>-</v>
      </c>
      <c r="J740" s="11" t="str">
        <f>IFERROR(VLOOKUP($B740,'(勿動)組件目錄表'!$D$15:$R$1094,11,FALSE),"-")</f>
        <v>-</v>
      </c>
      <c r="K740" s="11" t="str">
        <f>IFERROR(VLOOKUP($B740,'(勿動)組件目錄表'!$D$15:$R$1094,12,FALSE),"-")</f>
        <v>-</v>
      </c>
      <c r="L740" s="11" t="str">
        <f>IFERROR(VLOOKUP($B740,'(勿動)組件目錄表'!$D$15:$R$1094,13,FALSE),"-")</f>
        <v>-</v>
      </c>
      <c r="M740" s="11" t="str">
        <f>IFERROR(VLOOKUP($B740,'(勿動)組件目錄表'!$D$15:$R$1094,14,FALSE),"-")</f>
        <v>-</v>
      </c>
      <c r="N740" s="15">
        <f t="shared" si="3"/>
        <v>0</v>
      </c>
      <c r="O740" s="16"/>
    </row>
    <row r="741" spans="1:15" ht="15.75" customHeight="1">
      <c r="A741" s="18"/>
      <c r="B741" s="7"/>
      <c r="C741" s="8" t="str">
        <f>IFERROR(VLOOKUP($B741,'(勿動)組件目錄表'!$D$15:$R$1094,2,FALSE),"-")</f>
        <v>-</v>
      </c>
      <c r="D741" s="8" t="str">
        <f>IFERROR(VLOOKUP($B741,'(勿動)組件目錄表'!$D$15:$R$1094,3,FALSE),"-")</f>
        <v>-</v>
      </c>
      <c r="E741" s="9" t="str">
        <f>IFERROR(VLOOKUP($B741,'(勿動)組件目錄表'!$D$15:$R$1094,4,FALSE),"-")</f>
        <v>-</v>
      </c>
      <c r="F741" s="10" t="str">
        <f>IFERROR(VLOOKUP($B741,'(勿動)組件目錄表'!$D$15:$R$1094,5,FALSE),"-")</f>
        <v>-</v>
      </c>
      <c r="G741" s="11" t="str">
        <f>IFERROR(VLOOKUP($B741,'(勿動)組件目錄表'!$D$15:$R$1094,8,FALSE),"-")</f>
        <v>-</v>
      </c>
      <c r="H741" s="11" t="str">
        <f>IFERROR(VLOOKUP($B741,'(勿動)組件目錄表'!$D$15:$R$1094,9,FALSE),"-")</f>
        <v>-</v>
      </c>
      <c r="I741" s="11" t="str">
        <f>IFERROR(VLOOKUP($B741,'(勿動)組件目錄表'!$D$15:$R$1094,10,FALSE),"-")</f>
        <v>-</v>
      </c>
      <c r="J741" s="11" t="str">
        <f>IFERROR(VLOOKUP($B741,'(勿動)組件目錄表'!$D$15:$R$1094,11,FALSE),"-")</f>
        <v>-</v>
      </c>
      <c r="K741" s="11" t="str">
        <f>IFERROR(VLOOKUP($B741,'(勿動)組件目錄表'!$D$15:$R$1094,12,FALSE),"-")</f>
        <v>-</v>
      </c>
      <c r="L741" s="11" t="str">
        <f>IFERROR(VLOOKUP($B741,'(勿動)組件目錄表'!$D$15:$R$1094,13,FALSE),"-")</f>
        <v>-</v>
      </c>
      <c r="M741" s="11" t="str">
        <f>IFERROR(VLOOKUP($B741,'(勿動)組件目錄表'!$D$15:$R$1094,14,FALSE),"-")</f>
        <v>-</v>
      </c>
      <c r="N741" s="15">
        <f t="shared" si="3"/>
        <v>0</v>
      </c>
      <c r="O741" s="16"/>
    </row>
    <row r="742" spans="1:15" ht="15.75" customHeight="1">
      <c r="A742" s="18"/>
      <c r="B742" s="7"/>
      <c r="C742" s="8" t="str">
        <f>IFERROR(VLOOKUP($B742,'(勿動)組件目錄表'!$D$15:$R$1094,2,FALSE),"-")</f>
        <v>-</v>
      </c>
      <c r="D742" s="8" t="str">
        <f>IFERROR(VLOOKUP($B742,'(勿動)組件目錄表'!$D$15:$R$1094,3,FALSE),"-")</f>
        <v>-</v>
      </c>
      <c r="E742" s="9" t="str">
        <f>IFERROR(VLOOKUP($B742,'(勿動)組件目錄表'!$D$15:$R$1094,4,FALSE),"-")</f>
        <v>-</v>
      </c>
      <c r="F742" s="10" t="str">
        <f>IFERROR(VLOOKUP($B742,'(勿動)組件目錄表'!$D$15:$R$1094,5,FALSE),"-")</f>
        <v>-</v>
      </c>
      <c r="G742" s="11" t="str">
        <f>IFERROR(VLOOKUP($B742,'(勿動)組件目錄表'!$D$15:$R$1094,8,FALSE),"-")</f>
        <v>-</v>
      </c>
      <c r="H742" s="11" t="str">
        <f>IFERROR(VLOOKUP($B742,'(勿動)組件目錄表'!$D$15:$R$1094,9,FALSE),"-")</f>
        <v>-</v>
      </c>
      <c r="I742" s="11" t="str">
        <f>IFERROR(VLOOKUP($B742,'(勿動)組件目錄表'!$D$15:$R$1094,10,FALSE),"-")</f>
        <v>-</v>
      </c>
      <c r="J742" s="11" t="str">
        <f>IFERROR(VLOOKUP($B742,'(勿動)組件目錄表'!$D$15:$R$1094,11,FALSE),"-")</f>
        <v>-</v>
      </c>
      <c r="K742" s="11" t="str">
        <f>IFERROR(VLOOKUP($B742,'(勿動)組件目錄表'!$D$15:$R$1094,12,FALSE),"-")</f>
        <v>-</v>
      </c>
      <c r="L742" s="11" t="str">
        <f>IFERROR(VLOOKUP($B742,'(勿動)組件目錄表'!$D$15:$R$1094,13,FALSE),"-")</f>
        <v>-</v>
      </c>
      <c r="M742" s="11" t="str">
        <f>IFERROR(VLOOKUP($B742,'(勿動)組件目錄表'!$D$15:$R$1094,14,FALSE),"-")</f>
        <v>-</v>
      </c>
      <c r="N742" s="15">
        <f t="shared" si="3"/>
        <v>0</v>
      </c>
      <c r="O742" s="16"/>
    </row>
    <row r="743" spans="1:15" ht="15.75" customHeight="1">
      <c r="A743" s="18"/>
      <c r="B743" s="7"/>
      <c r="C743" s="8" t="str">
        <f>IFERROR(VLOOKUP($B743,'(勿動)組件目錄表'!$D$15:$R$1094,2,FALSE),"-")</f>
        <v>-</v>
      </c>
      <c r="D743" s="8" t="str">
        <f>IFERROR(VLOOKUP($B743,'(勿動)組件目錄表'!$D$15:$R$1094,3,FALSE),"-")</f>
        <v>-</v>
      </c>
      <c r="E743" s="9" t="str">
        <f>IFERROR(VLOOKUP($B743,'(勿動)組件目錄表'!$D$15:$R$1094,4,FALSE),"-")</f>
        <v>-</v>
      </c>
      <c r="F743" s="10" t="str">
        <f>IFERROR(VLOOKUP($B743,'(勿動)組件目錄表'!$D$15:$R$1094,5,FALSE),"-")</f>
        <v>-</v>
      </c>
      <c r="G743" s="11" t="str">
        <f>IFERROR(VLOOKUP($B743,'(勿動)組件目錄表'!$D$15:$R$1094,8,FALSE),"-")</f>
        <v>-</v>
      </c>
      <c r="H743" s="11" t="str">
        <f>IFERROR(VLOOKUP($B743,'(勿動)組件目錄表'!$D$15:$R$1094,9,FALSE),"-")</f>
        <v>-</v>
      </c>
      <c r="I743" s="11" t="str">
        <f>IFERROR(VLOOKUP($B743,'(勿動)組件目錄表'!$D$15:$R$1094,10,FALSE),"-")</f>
        <v>-</v>
      </c>
      <c r="J743" s="11" t="str">
        <f>IFERROR(VLOOKUP($B743,'(勿動)組件目錄表'!$D$15:$R$1094,11,FALSE),"-")</f>
        <v>-</v>
      </c>
      <c r="K743" s="11" t="str">
        <f>IFERROR(VLOOKUP($B743,'(勿動)組件目錄表'!$D$15:$R$1094,12,FALSE),"-")</f>
        <v>-</v>
      </c>
      <c r="L743" s="11" t="str">
        <f>IFERROR(VLOOKUP($B743,'(勿動)組件目錄表'!$D$15:$R$1094,13,FALSE),"-")</f>
        <v>-</v>
      </c>
      <c r="M743" s="11" t="str">
        <f>IFERROR(VLOOKUP($B743,'(勿動)組件目錄表'!$D$15:$R$1094,14,FALSE),"-")</f>
        <v>-</v>
      </c>
      <c r="N743" s="15">
        <f t="shared" si="3"/>
        <v>0</v>
      </c>
      <c r="O743" s="16"/>
    </row>
    <row r="744" spans="1:15" ht="15.75" customHeight="1">
      <c r="A744" s="18"/>
      <c r="B744" s="7"/>
      <c r="C744" s="8" t="str">
        <f>IFERROR(VLOOKUP($B744,'(勿動)組件目錄表'!$D$15:$R$1094,2,FALSE),"-")</f>
        <v>-</v>
      </c>
      <c r="D744" s="8" t="str">
        <f>IFERROR(VLOOKUP($B744,'(勿動)組件目錄表'!$D$15:$R$1094,3,FALSE),"-")</f>
        <v>-</v>
      </c>
      <c r="E744" s="9" t="str">
        <f>IFERROR(VLOOKUP($B744,'(勿動)組件目錄表'!$D$15:$R$1094,4,FALSE),"-")</f>
        <v>-</v>
      </c>
      <c r="F744" s="10" t="str">
        <f>IFERROR(VLOOKUP($B744,'(勿動)組件目錄表'!$D$15:$R$1094,5,FALSE),"-")</f>
        <v>-</v>
      </c>
      <c r="G744" s="11" t="str">
        <f>IFERROR(VLOOKUP($B744,'(勿動)組件目錄表'!$D$15:$R$1094,8,FALSE),"-")</f>
        <v>-</v>
      </c>
      <c r="H744" s="11" t="str">
        <f>IFERROR(VLOOKUP($B744,'(勿動)組件目錄表'!$D$15:$R$1094,9,FALSE),"-")</f>
        <v>-</v>
      </c>
      <c r="I744" s="11" t="str">
        <f>IFERROR(VLOOKUP($B744,'(勿動)組件目錄表'!$D$15:$R$1094,10,FALSE),"-")</f>
        <v>-</v>
      </c>
      <c r="J744" s="11" t="str">
        <f>IFERROR(VLOOKUP($B744,'(勿動)組件目錄表'!$D$15:$R$1094,11,FALSE),"-")</f>
        <v>-</v>
      </c>
      <c r="K744" s="11" t="str">
        <f>IFERROR(VLOOKUP($B744,'(勿動)組件目錄表'!$D$15:$R$1094,12,FALSE),"-")</f>
        <v>-</v>
      </c>
      <c r="L744" s="11" t="str">
        <f>IFERROR(VLOOKUP($B744,'(勿動)組件目錄表'!$D$15:$R$1094,13,FALSE),"-")</f>
        <v>-</v>
      </c>
      <c r="M744" s="11" t="str">
        <f>IFERROR(VLOOKUP($B744,'(勿動)組件目錄表'!$D$15:$R$1094,14,FALSE),"-")</f>
        <v>-</v>
      </c>
      <c r="N744" s="15">
        <f t="shared" si="3"/>
        <v>0</v>
      </c>
      <c r="O744" s="16"/>
    </row>
    <row r="745" spans="1:15" ht="15.75" customHeight="1">
      <c r="A745" s="18"/>
      <c r="B745" s="7"/>
      <c r="C745" s="8" t="str">
        <f>IFERROR(VLOOKUP($B745,'(勿動)組件目錄表'!$D$15:$R$1094,2,FALSE),"-")</f>
        <v>-</v>
      </c>
      <c r="D745" s="8" t="str">
        <f>IFERROR(VLOOKUP($B745,'(勿動)組件目錄表'!$D$15:$R$1094,3,FALSE),"-")</f>
        <v>-</v>
      </c>
      <c r="E745" s="9" t="str">
        <f>IFERROR(VLOOKUP($B745,'(勿動)組件目錄表'!$D$15:$R$1094,4,FALSE),"-")</f>
        <v>-</v>
      </c>
      <c r="F745" s="10" t="str">
        <f>IFERROR(VLOOKUP($B745,'(勿動)組件目錄表'!$D$15:$R$1094,5,FALSE),"-")</f>
        <v>-</v>
      </c>
      <c r="G745" s="11" t="str">
        <f>IFERROR(VLOOKUP($B745,'(勿動)組件目錄表'!$D$15:$R$1094,8,FALSE),"-")</f>
        <v>-</v>
      </c>
      <c r="H745" s="11" t="str">
        <f>IFERROR(VLOOKUP($B745,'(勿動)組件目錄表'!$D$15:$R$1094,9,FALSE),"-")</f>
        <v>-</v>
      </c>
      <c r="I745" s="11" t="str">
        <f>IFERROR(VLOOKUP($B745,'(勿動)組件目錄表'!$D$15:$R$1094,10,FALSE),"-")</f>
        <v>-</v>
      </c>
      <c r="J745" s="11" t="str">
        <f>IFERROR(VLOOKUP($B745,'(勿動)組件目錄表'!$D$15:$R$1094,11,FALSE),"-")</f>
        <v>-</v>
      </c>
      <c r="K745" s="11" t="str">
        <f>IFERROR(VLOOKUP($B745,'(勿動)組件目錄表'!$D$15:$R$1094,12,FALSE),"-")</f>
        <v>-</v>
      </c>
      <c r="L745" s="11" t="str">
        <f>IFERROR(VLOOKUP($B745,'(勿動)組件目錄表'!$D$15:$R$1094,13,FALSE),"-")</f>
        <v>-</v>
      </c>
      <c r="M745" s="11" t="str">
        <f>IFERROR(VLOOKUP($B745,'(勿動)組件目錄表'!$D$15:$R$1094,14,FALSE),"-")</f>
        <v>-</v>
      </c>
      <c r="N745" s="15">
        <f t="shared" si="3"/>
        <v>0</v>
      </c>
      <c r="O745" s="16"/>
    </row>
    <row r="746" spans="1:15" ht="15.75" customHeight="1">
      <c r="A746" s="18"/>
      <c r="B746" s="7"/>
      <c r="C746" s="8" t="str">
        <f>IFERROR(VLOOKUP($B746,'(勿動)組件目錄表'!$D$15:$R$1094,2,FALSE),"-")</f>
        <v>-</v>
      </c>
      <c r="D746" s="8" t="str">
        <f>IFERROR(VLOOKUP($B746,'(勿動)組件目錄表'!$D$15:$R$1094,3,FALSE),"-")</f>
        <v>-</v>
      </c>
      <c r="E746" s="9" t="str">
        <f>IFERROR(VLOOKUP($B746,'(勿動)組件目錄表'!$D$15:$R$1094,4,FALSE),"-")</f>
        <v>-</v>
      </c>
      <c r="F746" s="10" t="str">
        <f>IFERROR(VLOOKUP($B746,'(勿動)組件目錄表'!$D$15:$R$1094,5,FALSE),"-")</f>
        <v>-</v>
      </c>
      <c r="G746" s="11" t="str">
        <f>IFERROR(VLOOKUP($B746,'(勿動)組件目錄表'!$D$15:$R$1094,8,FALSE),"-")</f>
        <v>-</v>
      </c>
      <c r="H746" s="11" t="str">
        <f>IFERROR(VLOOKUP($B746,'(勿動)組件目錄表'!$D$15:$R$1094,9,FALSE),"-")</f>
        <v>-</v>
      </c>
      <c r="I746" s="11" t="str">
        <f>IFERROR(VLOOKUP($B746,'(勿動)組件目錄表'!$D$15:$R$1094,10,FALSE),"-")</f>
        <v>-</v>
      </c>
      <c r="J746" s="11" t="str">
        <f>IFERROR(VLOOKUP($B746,'(勿動)組件目錄表'!$D$15:$R$1094,11,FALSE),"-")</f>
        <v>-</v>
      </c>
      <c r="K746" s="11" t="str">
        <f>IFERROR(VLOOKUP($B746,'(勿動)組件目錄表'!$D$15:$R$1094,12,FALSE),"-")</f>
        <v>-</v>
      </c>
      <c r="L746" s="11" t="str">
        <f>IFERROR(VLOOKUP($B746,'(勿動)組件目錄表'!$D$15:$R$1094,13,FALSE),"-")</f>
        <v>-</v>
      </c>
      <c r="M746" s="11" t="str">
        <f>IFERROR(VLOOKUP($B746,'(勿動)組件目錄表'!$D$15:$R$1094,14,FALSE),"-")</f>
        <v>-</v>
      </c>
      <c r="N746" s="15">
        <f t="shared" si="3"/>
        <v>0</v>
      </c>
      <c r="O746" s="16"/>
    </row>
    <row r="747" spans="1:15" ht="15.75" customHeight="1">
      <c r="A747" s="18"/>
      <c r="B747" s="7"/>
      <c r="C747" s="8" t="str">
        <f>IFERROR(VLOOKUP($B747,'(勿動)組件目錄表'!$D$15:$R$1094,2,FALSE),"-")</f>
        <v>-</v>
      </c>
      <c r="D747" s="8" t="str">
        <f>IFERROR(VLOOKUP($B747,'(勿動)組件目錄表'!$D$15:$R$1094,3,FALSE),"-")</f>
        <v>-</v>
      </c>
      <c r="E747" s="9" t="str">
        <f>IFERROR(VLOOKUP($B747,'(勿動)組件目錄表'!$D$15:$R$1094,4,FALSE),"-")</f>
        <v>-</v>
      </c>
      <c r="F747" s="10" t="str">
        <f>IFERROR(VLOOKUP($B747,'(勿動)組件目錄表'!$D$15:$R$1094,5,FALSE),"-")</f>
        <v>-</v>
      </c>
      <c r="G747" s="11" t="str">
        <f>IFERROR(VLOOKUP($B747,'(勿動)組件目錄表'!$D$15:$R$1094,8,FALSE),"-")</f>
        <v>-</v>
      </c>
      <c r="H747" s="11" t="str">
        <f>IFERROR(VLOOKUP($B747,'(勿動)組件目錄表'!$D$15:$R$1094,9,FALSE),"-")</f>
        <v>-</v>
      </c>
      <c r="I747" s="11" t="str">
        <f>IFERROR(VLOOKUP($B747,'(勿動)組件目錄表'!$D$15:$R$1094,10,FALSE),"-")</f>
        <v>-</v>
      </c>
      <c r="J747" s="11" t="str">
        <f>IFERROR(VLOOKUP($B747,'(勿動)組件目錄表'!$D$15:$R$1094,11,FALSE),"-")</f>
        <v>-</v>
      </c>
      <c r="K747" s="11" t="str">
        <f>IFERROR(VLOOKUP($B747,'(勿動)組件目錄表'!$D$15:$R$1094,12,FALSE),"-")</f>
        <v>-</v>
      </c>
      <c r="L747" s="11" t="str">
        <f>IFERROR(VLOOKUP($B747,'(勿動)組件目錄表'!$D$15:$R$1094,13,FALSE),"-")</f>
        <v>-</v>
      </c>
      <c r="M747" s="11" t="str">
        <f>IFERROR(VLOOKUP($B747,'(勿動)組件目錄表'!$D$15:$R$1094,14,FALSE),"-")</f>
        <v>-</v>
      </c>
      <c r="N747" s="15">
        <f t="shared" si="3"/>
        <v>0</v>
      </c>
      <c r="O747" s="16"/>
    </row>
    <row r="748" spans="1:15" ht="15.75" customHeight="1">
      <c r="A748" s="18"/>
      <c r="B748" s="7"/>
      <c r="C748" s="8" t="str">
        <f>IFERROR(VLOOKUP($B748,'(勿動)組件目錄表'!$D$15:$R$1094,2,FALSE),"-")</f>
        <v>-</v>
      </c>
      <c r="D748" s="8" t="str">
        <f>IFERROR(VLOOKUP($B748,'(勿動)組件目錄表'!$D$15:$R$1094,3,FALSE),"-")</f>
        <v>-</v>
      </c>
      <c r="E748" s="9" t="str">
        <f>IFERROR(VLOOKUP($B748,'(勿動)組件目錄表'!$D$15:$R$1094,4,FALSE),"-")</f>
        <v>-</v>
      </c>
      <c r="F748" s="10" t="str">
        <f>IFERROR(VLOOKUP($B748,'(勿動)組件目錄表'!$D$15:$R$1094,5,FALSE),"-")</f>
        <v>-</v>
      </c>
      <c r="G748" s="11" t="str">
        <f>IFERROR(VLOOKUP($B748,'(勿動)組件目錄表'!$D$15:$R$1094,8,FALSE),"-")</f>
        <v>-</v>
      </c>
      <c r="H748" s="11" t="str">
        <f>IFERROR(VLOOKUP($B748,'(勿動)組件目錄表'!$D$15:$R$1094,9,FALSE),"-")</f>
        <v>-</v>
      </c>
      <c r="I748" s="11" t="str">
        <f>IFERROR(VLOOKUP($B748,'(勿動)組件目錄表'!$D$15:$R$1094,10,FALSE),"-")</f>
        <v>-</v>
      </c>
      <c r="J748" s="11" t="str">
        <f>IFERROR(VLOOKUP($B748,'(勿動)組件目錄表'!$D$15:$R$1094,11,FALSE),"-")</f>
        <v>-</v>
      </c>
      <c r="K748" s="11" t="str">
        <f>IFERROR(VLOOKUP($B748,'(勿動)組件目錄表'!$D$15:$R$1094,12,FALSE),"-")</f>
        <v>-</v>
      </c>
      <c r="L748" s="11" t="str">
        <f>IFERROR(VLOOKUP($B748,'(勿動)組件目錄表'!$D$15:$R$1094,13,FALSE),"-")</f>
        <v>-</v>
      </c>
      <c r="M748" s="11" t="str">
        <f>IFERROR(VLOOKUP($B748,'(勿動)組件目錄表'!$D$15:$R$1094,14,FALSE),"-")</f>
        <v>-</v>
      </c>
      <c r="N748" s="15">
        <f t="shared" si="3"/>
        <v>0</v>
      </c>
      <c r="O748" s="16"/>
    </row>
    <row r="749" spans="1:15" ht="15.75" customHeight="1">
      <c r="A749" s="18"/>
      <c r="B749" s="7"/>
      <c r="C749" s="8" t="str">
        <f>IFERROR(VLOOKUP($B749,'(勿動)組件目錄表'!$D$15:$R$1094,2,FALSE),"-")</f>
        <v>-</v>
      </c>
      <c r="D749" s="8" t="str">
        <f>IFERROR(VLOOKUP($B749,'(勿動)組件目錄表'!$D$15:$R$1094,3,FALSE),"-")</f>
        <v>-</v>
      </c>
      <c r="E749" s="9" t="str">
        <f>IFERROR(VLOOKUP($B749,'(勿動)組件目錄表'!$D$15:$R$1094,4,FALSE),"-")</f>
        <v>-</v>
      </c>
      <c r="F749" s="10" t="str">
        <f>IFERROR(VLOOKUP($B749,'(勿動)組件目錄表'!$D$15:$R$1094,5,FALSE),"-")</f>
        <v>-</v>
      </c>
      <c r="G749" s="11" t="str">
        <f>IFERROR(VLOOKUP($B749,'(勿動)組件目錄表'!$D$15:$R$1094,8,FALSE),"-")</f>
        <v>-</v>
      </c>
      <c r="H749" s="11" t="str">
        <f>IFERROR(VLOOKUP($B749,'(勿動)組件目錄表'!$D$15:$R$1094,9,FALSE),"-")</f>
        <v>-</v>
      </c>
      <c r="I749" s="11" t="str">
        <f>IFERROR(VLOOKUP($B749,'(勿動)組件目錄表'!$D$15:$R$1094,10,FALSE),"-")</f>
        <v>-</v>
      </c>
      <c r="J749" s="11" t="str">
        <f>IFERROR(VLOOKUP($B749,'(勿動)組件目錄表'!$D$15:$R$1094,11,FALSE),"-")</f>
        <v>-</v>
      </c>
      <c r="K749" s="11" t="str">
        <f>IFERROR(VLOOKUP($B749,'(勿動)組件目錄表'!$D$15:$R$1094,12,FALSE),"-")</f>
        <v>-</v>
      </c>
      <c r="L749" s="11" t="str">
        <f>IFERROR(VLOOKUP($B749,'(勿動)組件目錄表'!$D$15:$R$1094,13,FALSE),"-")</f>
        <v>-</v>
      </c>
      <c r="M749" s="11" t="str">
        <f>IFERROR(VLOOKUP($B749,'(勿動)組件目錄表'!$D$15:$R$1094,14,FALSE),"-")</f>
        <v>-</v>
      </c>
      <c r="N749" s="15">
        <f t="shared" si="3"/>
        <v>0</v>
      </c>
      <c r="O749" s="16"/>
    </row>
    <row r="750" spans="1:15" ht="15.75" customHeight="1">
      <c r="A750" s="18"/>
      <c r="B750" s="7"/>
      <c r="C750" s="8" t="str">
        <f>IFERROR(VLOOKUP($B750,'(勿動)組件目錄表'!$D$15:$R$1094,2,FALSE),"-")</f>
        <v>-</v>
      </c>
      <c r="D750" s="8" t="str">
        <f>IFERROR(VLOOKUP($B750,'(勿動)組件目錄表'!$D$15:$R$1094,3,FALSE),"-")</f>
        <v>-</v>
      </c>
      <c r="E750" s="9" t="str">
        <f>IFERROR(VLOOKUP($B750,'(勿動)組件目錄表'!$D$15:$R$1094,4,FALSE),"-")</f>
        <v>-</v>
      </c>
      <c r="F750" s="10" t="str">
        <f>IFERROR(VLOOKUP($B750,'(勿動)組件目錄表'!$D$15:$R$1094,5,FALSE),"-")</f>
        <v>-</v>
      </c>
      <c r="G750" s="11" t="str">
        <f>IFERROR(VLOOKUP($B750,'(勿動)組件目錄表'!$D$15:$R$1094,8,FALSE),"-")</f>
        <v>-</v>
      </c>
      <c r="H750" s="11" t="str">
        <f>IFERROR(VLOOKUP($B750,'(勿動)組件目錄表'!$D$15:$R$1094,9,FALSE),"-")</f>
        <v>-</v>
      </c>
      <c r="I750" s="11" t="str">
        <f>IFERROR(VLOOKUP($B750,'(勿動)組件目錄表'!$D$15:$R$1094,10,FALSE),"-")</f>
        <v>-</v>
      </c>
      <c r="J750" s="11" t="str">
        <f>IFERROR(VLOOKUP($B750,'(勿動)組件目錄表'!$D$15:$R$1094,11,FALSE),"-")</f>
        <v>-</v>
      </c>
      <c r="K750" s="11" t="str">
        <f>IFERROR(VLOOKUP($B750,'(勿動)組件目錄表'!$D$15:$R$1094,12,FALSE),"-")</f>
        <v>-</v>
      </c>
      <c r="L750" s="11" t="str">
        <f>IFERROR(VLOOKUP($B750,'(勿動)組件目錄表'!$D$15:$R$1094,13,FALSE),"-")</f>
        <v>-</v>
      </c>
      <c r="M750" s="11" t="str">
        <f>IFERROR(VLOOKUP($B750,'(勿動)組件目錄表'!$D$15:$R$1094,14,FALSE),"-")</f>
        <v>-</v>
      </c>
      <c r="N750" s="15">
        <f t="shared" si="3"/>
        <v>0</v>
      </c>
      <c r="O750" s="16"/>
    </row>
    <row r="751" spans="1:15" ht="15.75" customHeight="1">
      <c r="A751" s="18"/>
      <c r="B751" s="7"/>
      <c r="C751" s="8" t="str">
        <f>IFERROR(VLOOKUP($B751,'(勿動)組件目錄表'!$D$15:$R$1094,2,FALSE),"-")</f>
        <v>-</v>
      </c>
      <c r="D751" s="8" t="str">
        <f>IFERROR(VLOOKUP($B751,'(勿動)組件目錄表'!$D$15:$R$1094,3,FALSE),"-")</f>
        <v>-</v>
      </c>
      <c r="E751" s="9" t="str">
        <f>IFERROR(VLOOKUP($B751,'(勿動)組件目錄表'!$D$15:$R$1094,4,FALSE),"-")</f>
        <v>-</v>
      </c>
      <c r="F751" s="10" t="str">
        <f>IFERROR(VLOOKUP($B751,'(勿動)組件目錄表'!$D$15:$R$1094,5,FALSE),"-")</f>
        <v>-</v>
      </c>
      <c r="G751" s="11" t="str">
        <f>IFERROR(VLOOKUP($B751,'(勿動)組件目錄表'!$D$15:$R$1094,8,FALSE),"-")</f>
        <v>-</v>
      </c>
      <c r="H751" s="11" t="str">
        <f>IFERROR(VLOOKUP($B751,'(勿動)組件目錄表'!$D$15:$R$1094,9,FALSE),"-")</f>
        <v>-</v>
      </c>
      <c r="I751" s="11" t="str">
        <f>IFERROR(VLOOKUP($B751,'(勿動)組件目錄表'!$D$15:$R$1094,10,FALSE),"-")</f>
        <v>-</v>
      </c>
      <c r="J751" s="11" t="str">
        <f>IFERROR(VLOOKUP($B751,'(勿動)組件目錄表'!$D$15:$R$1094,11,FALSE),"-")</f>
        <v>-</v>
      </c>
      <c r="K751" s="11" t="str">
        <f>IFERROR(VLOOKUP($B751,'(勿動)組件目錄表'!$D$15:$R$1094,12,FALSE),"-")</f>
        <v>-</v>
      </c>
      <c r="L751" s="11" t="str">
        <f>IFERROR(VLOOKUP($B751,'(勿動)組件目錄表'!$D$15:$R$1094,13,FALSE),"-")</f>
        <v>-</v>
      </c>
      <c r="M751" s="11" t="str">
        <f>IFERROR(VLOOKUP($B751,'(勿動)組件目錄表'!$D$15:$R$1094,14,FALSE),"-")</f>
        <v>-</v>
      </c>
      <c r="N751" s="15">
        <f t="shared" si="3"/>
        <v>0</v>
      </c>
      <c r="O751" s="16"/>
    </row>
    <row r="752" spans="1:15" ht="15.75" customHeight="1">
      <c r="A752" s="18"/>
      <c r="B752" s="7"/>
      <c r="C752" s="8" t="str">
        <f>IFERROR(VLOOKUP($B752,'(勿動)組件目錄表'!$D$15:$R$1094,2,FALSE),"-")</f>
        <v>-</v>
      </c>
      <c r="D752" s="8" t="str">
        <f>IFERROR(VLOOKUP($B752,'(勿動)組件目錄表'!$D$15:$R$1094,3,FALSE),"-")</f>
        <v>-</v>
      </c>
      <c r="E752" s="9" t="str">
        <f>IFERROR(VLOOKUP($B752,'(勿動)組件目錄表'!$D$15:$R$1094,4,FALSE),"-")</f>
        <v>-</v>
      </c>
      <c r="F752" s="10" t="str">
        <f>IFERROR(VLOOKUP($B752,'(勿動)組件目錄表'!$D$15:$R$1094,5,FALSE),"-")</f>
        <v>-</v>
      </c>
      <c r="G752" s="11" t="str">
        <f>IFERROR(VLOOKUP($B752,'(勿動)組件目錄表'!$D$15:$R$1094,8,FALSE),"-")</f>
        <v>-</v>
      </c>
      <c r="H752" s="11" t="str">
        <f>IFERROR(VLOOKUP($B752,'(勿動)組件目錄表'!$D$15:$R$1094,9,FALSE),"-")</f>
        <v>-</v>
      </c>
      <c r="I752" s="11" t="str">
        <f>IFERROR(VLOOKUP($B752,'(勿動)組件目錄表'!$D$15:$R$1094,10,FALSE),"-")</f>
        <v>-</v>
      </c>
      <c r="J752" s="11" t="str">
        <f>IFERROR(VLOOKUP($B752,'(勿動)組件目錄表'!$D$15:$R$1094,11,FALSE),"-")</f>
        <v>-</v>
      </c>
      <c r="K752" s="11" t="str">
        <f>IFERROR(VLOOKUP($B752,'(勿動)組件目錄表'!$D$15:$R$1094,12,FALSE),"-")</f>
        <v>-</v>
      </c>
      <c r="L752" s="11" t="str">
        <f>IFERROR(VLOOKUP($B752,'(勿動)組件目錄表'!$D$15:$R$1094,13,FALSE),"-")</f>
        <v>-</v>
      </c>
      <c r="M752" s="11" t="str">
        <f>IFERROR(VLOOKUP($B752,'(勿動)組件目錄表'!$D$15:$R$1094,14,FALSE),"-")</f>
        <v>-</v>
      </c>
      <c r="N752" s="15">
        <f t="shared" si="3"/>
        <v>0</v>
      </c>
      <c r="O752" s="16"/>
    </row>
    <row r="753" spans="1:15" ht="15.75" customHeight="1">
      <c r="A753" s="18"/>
      <c r="B753" s="7"/>
      <c r="C753" s="8" t="str">
        <f>IFERROR(VLOOKUP($B753,'(勿動)組件目錄表'!$D$15:$R$1094,2,FALSE),"-")</f>
        <v>-</v>
      </c>
      <c r="D753" s="8" t="str">
        <f>IFERROR(VLOOKUP($B753,'(勿動)組件目錄表'!$D$15:$R$1094,3,FALSE),"-")</f>
        <v>-</v>
      </c>
      <c r="E753" s="9" t="str">
        <f>IFERROR(VLOOKUP($B753,'(勿動)組件目錄表'!$D$15:$R$1094,4,FALSE),"-")</f>
        <v>-</v>
      </c>
      <c r="F753" s="10" t="str">
        <f>IFERROR(VLOOKUP($B753,'(勿動)組件目錄表'!$D$15:$R$1094,5,FALSE),"-")</f>
        <v>-</v>
      </c>
      <c r="G753" s="11" t="str">
        <f>IFERROR(VLOOKUP($B753,'(勿動)組件目錄表'!$D$15:$R$1094,8,FALSE),"-")</f>
        <v>-</v>
      </c>
      <c r="H753" s="11" t="str">
        <f>IFERROR(VLOOKUP($B753,'(勿動)組件目錄表'!$D$15:$R$1094,9,FALSE),"-")</f>
        <v>-</v>
      </c>
      <c r="I753" s="11" t="str">
        <f>IFERROR(VLOOKUP($B753,'(勿動)組件目錄表'!$D$15:$R$1094,10,FALSE),"-")</f>
        <v>-</v>
      </c>
      <c r="J753" s="11" t="str">
        <f>IFERROR(VLOOKUP($B753,'(勿動)組件目錄表'!$D$15:$R$1094,11,FALSE),"-")</f>
        <v>-</v>
      </c>
      <c r="K753" s="11" t="str">
        <f>IFERROR(VLOOKUP($B753,'(勿動)組件目錄表'!$D$15:$R$1094,12,FALSE),"-")</f>
        <v>-</v>
      </c>
      <c r="L753" s="11" t="str">
        <f>IFERROR(VLOOKUP($B753,'(勿動)組件目錄表'!$D$15:$R$1094,13,FALSE),"-")</f>
        <v>-</v>
      </c>
      <c r="M753" s="11" t="str">
        <f>IFERROR(VLOOKUP($B753,'(勿動)組件目錄表'!$D$15:$R$1094,14,FALSE),"-")</f>
        <v>-</v>
      </c>
      <c r="N753" s="15">
        <f t="shared" si="3"/>
        <v>0</v>
      </c>
      <c r="O753" s="16"/>
    </row>
    <row r="754" spans="1:15" ht="15.75" customHeight="1">
      <c r="A754" s="18"/>
      <c r="B754" s="7"/>
      <c r="C754" s="8" t="str">
        <f>IFERROR(VLOOKUP($B754,'(勿動)組件目錄表'!$D$15:$R$1094,2,FALSE),"-")</f>
        <v>-</v>
      </c>
      <c r="D754" s="8" t="str">
        <f>IFERROR(VLOOKUP($B754,'(勿動)組件目錄表'!$D$15:$R$1094,3,FALSE),"-")</f>
        <v>-</v>
      </c>
      <c r="E754" s="9" t="str">
        <f>IFERROR(VLOOKUP($B754,'(勿動)組件目錄表'!$D$15:$R$1094,4,FALSE),"-")</f>
        <v>-</v>
      </c>
      <c r="F754" s="10" t="str">
        <f>IFERROR(VLOOKUP($B754,'(勿動)組件目錄表'!$D$15:$R$1094,5,FALSE),"-")</f>
        <v>-</v>
      </c>
      <c r="G754" s="11" t="str">
        <f>IFERROR(VLOOKUP($B754,'(勿動)組件目錄表'!$D$15:$R$1094,8,FALSE),"-")</f>
        <v>-</v>
      </c>
      <c r="H754" s="11" t="str">
        <f>IFERROR(VLOOKUP($B754,'(勿動)組件目錄表'!$D$15:$R$1094,9,FALSE),"-")</f>
        <v>-</v>
      </c>
      <c r="I754" s="11" t="str">
        <f>IFERROR(VLOOKUP($B754,'(勿動)組件目錄表'!$D$15:$R$1094,10,FALSE),"-")</f>
        <v>-</v>
      </c>
      <c r="J754" s="11" t="str">
        <f>IFERROR(VLOOKUP($B754,'(勿動)組件目錄表'!$D$15:$R$1094,11,FALSE),"-")</f>
        <v>-</v>
      </c>
      <c r="K754" s="11" t="str">
        <f>IFERROR(VLOOKUP($B754,'(勿動)組件目錄表'!$D$15:$R$1094,12,FALSE),"-")</f>
        <v>-</v>
      </c>
      <c r="L754" s="11" t="str">
        <f>IFERROR(VLOOKUP($B754,'(勿動)組件目錄表'!$D$15:$R$1094,13,FALSE),"-")</f>
        <v>-</v>
      </c>
      <c r="M754" s="11" t="str">
        <f>IFERROR(VLOOKUP($B754,'(勿動)組件目錄表'!$D$15:$R$1094,14,FALSE),"-")</f>
        <v>-</v>
      </c>
      <c r="N754" s="15">
        <f t="shared" si="3"/>
        <v>0</v>
      </c>
      <c r="O754" s="16"/>
    </row>
    <row r="755" spans="1:15" ht="15.75" customHeight="1">
      <c r="A755" s="18"/>
      <c r="B755" s="7"/>
      <c r="C755" s="8" t="str">
        <f>IFERROR(VLOOKUP($B755,'(勿動)組件目錄表'!$D$15:$R$1094,2,FALSE),"-")</f>
        <v>-</v>
      </c>
      <c r="D755" s="8" t="str">
        <f>IFERROR(VLOOKUP($B755,'(勿動)組件目錄表'!$D$15:$R$1094,3,FALSE),"-")</f>
        <v>-</v>
      </c>
      <c r="E755" s="9" t="str">
        <f>IFERROR(VLOOKUP($B755,'(勿動)組件目錄表'!$D$15:$R$1094,4,FALSE),"-")</f>
        <v>-</v>
      </c>
      <c r="F755" s="10" t="str">
        <f>IFERROR(VLOOKUP($B755,'(勿動)組件目錄表'!$D$15:$R$1094,5,FALSE),"-")</f>
        <v>-</v>
      </c>
      <c r="G755" s="11" t="str">
        <f>IFERROR(VLOOKUP($B755,'(勿動)組件目錄表'!$D$15:$R$1094,8,FALSE),"-")</f>
        <v>-</v>
      </c>
      <c r="H755" s="11" t="str">
        <f>IFERROR(VLOOKUP($B755,'(勿動)組件目錄表'!$D$15:$R$1094,9,FALSE),"-")</f>
        <v>-</v>
      </c>
      <c r="I755" s="11" t="str">
        <f>IFERROR(VLOOKUP($B755,'(勿動)組件目錄表'!$D$15:$R$1094,10,FALSE),"-")</f>
        <v>-</v>
      </c>
      <c r="J755" s="11" t="str">
        <f>IFERROR(VLOOKUP($B755,'(勿動)組件目錄表'!$D$15:$R$1094,11,FALSE),"-")</f>
        <v>-</v>
      </c>
      <c r="K755" s="11" t="str">
        <f>IFERROR(VLOOKUP($B755,'(勿動)組件目錄表'!$D$15:$R$1094,12,FALSE),"-")</f>
        <v>-</v>
      </c>
      <c r="L755" s="11" t="str">
        <f>IFERROR(VLOOKUP($B755,'(勿動)組件目錄表'!$D$15:$R$1094,13,FALSE),"-")</f>
        <v>-</v>
      </c>
      <c r="M755" s="11" t="str">
        <f>IFERROR(VLOOKUP($B755,'(勿動)組件目錄表'!$D$15:$R$1094,14,FALSE),"-")</f>
        <v>-</v>
      </c>
      <c r="N755" s="15">
        <f t="shared" si="3"/>
        <v>0</v>
      </c>
      <c r="O755" s="16"/>
    </row>
    <row r="756" spans="1:15" ht="15.75" customHeight="1">
      <c r="A756" s="18"/>
      <c r="B756" s="7"/>
      <c r="C756" s="8" t="str">
        <f>IFERROR(VLOOKUP($B756,'(勿動)組件目錄表'!$D$15:$R$1094,2,FALSE),"-")</f>
        <v>-</v>
      </c>
      <c r="D756" s="8" t="str">
        <f>IFERROR(VLOOKUP($B756,'(勿動)組件目錄表'!$D$15:$R$1094,3,FALSE),"-")</f>
        <v>-</v>
      </c>
      <c r="E756" s="9" t="str">
        <f>IFERROR(VLOOKUP($B756,'(勿動)組件目錄表'!$D$15:$R$1094,4,FALSE),"-")</f>
        <v>-</v>
      </c>
      <c r="F756" s="10" t="str">
        <f>IFERROR(VLOOKUP($B756,'(勿動)組件目錄表'!$D$15:$R$1094,5,FALSE),"-")</f>
        <v>-</v>
      </c>
      <c r="G756" s="11" t="str">
        <f>IFERROR(VLOOKUP($B756,'(勿動)組件目錄表'!$D$15:$R$1094,8,FALSE),"-")</f>
        <v>-</v>
      </c>
      <c r="H756" s="11" t="str">
        <f>IFERROR(VLOOKUP($B756,'(勿動)組件目錄表'!$D$15:$R$1094,9,FALSE),"-")</f>
        <v>-</v>
      </c>
      <c r="I756" s="11" t="str">
        <f>IFERROR(VLOOKUP($B756,'(勿動)組件目錄表'!$D$15:$R$1094,10,FALSE),"-")</f>
        <v>-</v>
      </c>
      <c r="J756" s="11" t="str">
        <f>IFERROR(VLOOKUP($B756,'(勿動)組件目錄表'!$D$15:$R$1094,11,FALSE),"-")</f>
        <v>-</v>
      </c>
      <c r="K756" s="11" t="str">
        <f>IFERROR(VLOOKUP($B756,'(勿動)組件目錄表'!$D$15:$R$1094,12,FALSE),"-")</f>
        <v>-</v>
      </c>
      <c r="L756" s="11" t="str">
        <f>IFERROR(VLOOKUP($B756,'(勿動)組件目錄表'!$D$15:$R$1094,13,FALSE),"-")</f>
        <v>-</v>
      </c>
      <c r="M756" s="11" t="str">
        <f>IFERROR(VLOOKUP($B756,'(勿動)組件目錄表'!$D$15:$R$1094,14,FALSE),"-")</f>
        <v>-</v>
      </c>
      <c r="N756" s="15">
        <f t="shared" si="3"/>
        <v>0</v>
      </c>
      <c r="O756" s="16"/>
    </row>
    <row r="757" spans="1:15" ht="15.75" customHeight="1">
      <c r="A757" s="18"/>
      <c r="B757" s="7"/>
      <c r="C757" s="8" t="str">
        <f>IFERROR(VLOOKUP($B757,'(勿動)組件目錄表'!$D$15:$R$1094,2,FALSE),"-")</f>
        <v>-</v>
      </c>
      <c r="D757" s="8" t="str">
        <f>IFERROR(VLOOKUP($B757,'(勿動)組件目錄表'!$D$15:$R$1094,3,FALSE),"-")</f>
        <v>-</v>
      </c>
      <c r="E757" s="9" t="str">
        <f>IFERROR(VLOOKUP($B757,'(勿動)組件目錄表'!$D$15:$R$1094,4,FALSE),"-")</f>
        <v>-</v>
      </c>
      <c r="F757" s="10" t="str">
        <f>IFERROR(VLOOKUP($B757,'(勿動)組件目錄表'!$D$15:$R$1094,5,FALSE),"-")</f>
        <v>-</v>
      </c>
      <c r="G757" s="11" t="str">
        <f>IFERROR(VLOOKUP($B757,'(勿動)組件目錄表'!$D$15:$R$1094,8,FALSE),"-")</f>
        <v>-</v>
      </c>
      <c r="H757" s="11" t="str">
        <f>IFERROR(VLOOKUP($B757,'(勿動)組件目錄表'!$D$15:$R$1094,9,FALSE),"-")</f>
        <v>-</v>
      </c>
      <c r="I757" s="11" t="str">
        <f>IFERROR(VLOOKUP($B757,'(勿動)組件目錄表'!$D$15:$R$1094,10,FALSE),"-")</f>
        <v>-</v>
      </c>
      <c r="J757" s="11" t="str">
        <f>IFERROR(VLOOKUP($B757,'(勿動)組件目錄表'!$D$15:$R$1094,11,FALSE),"-")</f>
        <v>-</v>
      </c>
      <c r="K757" s="11" t="str">
        <f>IFERROR(VLOOKUP($B757,'(勿動)組件目錄表'!$D$15:$R$1094,12,FALSE),"-")</f>
        <v>-</v>
      </c>
      <c r="L757" s="11" t="str">
        <f>IFERROR(VLOOKUP($B757,'(勿動)組件目錄表'!$D$15:$R$1094,13,FALSE),"-")</f>
        <v>-</v>
      </c>
      <c r="M757" s="11" t="str">
        <f>IFERROR(VLOOKUP($B757,'(勿動)組件目錄表'!$D$15:$R$1094,14,FALSE),"-")</f>
        <v>-</v>
      </c>
      <c r="N757" s="15">
        <f t="shared" si="3"/>
        <v>0</v>
      </c>
      <c r="O757" s="16"/>
    </row>
    <row r="758" spans="1:15" ht="15.75" customHeight="1">
      <c r="A758" s="18"/>
      <c r="B758" s="7"/>
      <c r="C758" s="8" t="str">
        <f>IFERROR(VLOOKUP($B758,'(勿動)組件目錄表'!$D$15:$R$1094,2,FALSE),"-")</f>
        <v>-</v>
      </c>
      <c r="D758" s="8" t="str">
        <f>IFERROR(VLOOKUP($B758,'(勿動)組件目錄表'!$D$15:$R$1094,3,FALSE),"-")</f>
        <v>-</v>
      </c>
      <c r="E758" s="9" t="str">
        <f>IFERROR(VLOOKUP($B758,'(勿動)組件目錄表'!$D$15:$R$1094,4,FALSE),"-")</f>
        <v>-</v>
      </c>
      <c r="F758" s="10" t="str">
        <f>IFERROR(VLOOKUP($B758,'(勿動)組件目錄表'!$D$15:$R$1094,5,FALSE),"-")</f>
        <v>-</v>
      </c>
      <c r="G758" s="11" t="str">
        <f>IFERROR(VLOOKUP($B758,'(勿動)組件目錄表'!$D$15:$R$1094,8,FALSE),"-")</f>
        <v>-</v>
      </c>
      <c r="H758" s="11" t="str">
        <f>IFERROR(VLOOKUP($B758,'(勿動)組件目錄表'!$D$15:$R$1094,9,FALSE),"-")</f>
        <v>-</v>
      </c>
      <c r="I758" s="11" t="str">
        <f>IFERROR(VLOOKUP($B758,'(勿動)組件目錄表'!$D$15:$R$1094,10,FALSE),"-")</f>
        <v>-</v>
      </c>
      <c r="J758" s="11" t="str">
        <f>IFERROR(VLOOKUP($B758,'(勿動)組件目錄表'!$D$15:$R$1094,11,FALSE),"-")</f>
        <v>-</v>
      </c>
      <c r="K758" s="11" t="str">
        <f>IFERROR(VLOOKUP($B758,'(勿動)組件目錄表'!$D$15:$R$1094,12,FALSE),"-")</f>
        <v>-</v>
      </c>
      <c r="L758" s="11" t="str">
        <f>IFERROR(VLOOKUP($B758,'(勿動)組件目錄表'!$D$15:$R$1094,13,FALSE),"-")</f>
        <v>-</v>
      </c>
      <c r="M758" s="11" t="str">
        <f>IFERROR(VLOOKUP($B758,'(勿動)組件目錄表'!$D$15:$R$1094,14,FALSE),"-")</f>
        <v>-</v>
      </c>
      <c r="N758" s="15">
        <f t="shared" si="3"/>
        <v>0</v>
      </c>
      <c r="O758" s="16"/>
    </row>
    <row r="759" spans="1:15" ht="15.75" customHeight="1">
      <c r="A759" s="18"/>
      <c r="B759" s="7"/>
      <c r="C759" s="8" t="str">
        <f>IFERROR(VLOOKUP($B759,'(勿動)組件目錄表'!$D$15:$R$1094,2,FALSE),"-")</f>
        <v>-</v>
      </c>
      <c r="D759" s="8" t="str">
        <f>IFERROR(VLOOKUP($B759,'(勿動)組件目錄表'!$D$15:$R$1094,3,FALSE),"-")</f>
        <v>-</v>
      </c>
      <c r="E759" s="9" t="str">
        <f>IFERROR(VLOOKUP($B759,'(勿動)組件目錄表'!$D$15:$R$1094,4,FALSE),"-")</f>
        <v>-</v>
      </c>
      <c r="F759" s="10" t="str">
        <f>IFERROR(VLOOKUP($B759,'(勿動)組件目錄表'!$D$15:$R$1094,5,FALSE),"-")</f>
        <v>-</v>
      </c>
      <c r="G759" s="11" t="str">
        <f>IFERROR(VLOOKUP($B759,'(勿動)組件目錄表'!$D$15:$R$1094,8,FALSE),"-")</f>
        <v>-</v>
      </c>
      <c r="H759" s="11" t="str">
        <f>IFERROR(VLOOKUP($B759,'(勿動)組件目錄表'!$D$15:$R$1094,9,FALSE),"-")</f>
        <v>-</v>
      </c>
      <c r="I759" s="11" t="str">
        <f>IFERROR(VLOOKUP($B759,'(勿動)組件目錄表'!$D$15:$R$1094,10,FALSE),"-")</f>
        <v>-</v>
      </c>
      <c r="J759" s="11" t="str">
        <f>IFERROR(VLOOKUP($B759,'(勿動)組件目錄表'!$D$15:$R$1094,11,FALSE),"-")</f>
        <v>-</v>
      </c>
      <c r="K759" s="11" t="str">
        <f>IFERROR(VLOOKUP($B759,'(勿動)組件目錄表'!$D$15:$R$1094,12,FALSE),"-")</f>
        <v>-</v>
      </c>
      <c r="L759" s="11" t="str">
        <f>IFERROR(VLOOKUP($B759,'(勿動)組件目錄表'!$D$15:$R$1094,13,FALSE),"-")</f>
        <v>-</v>
      </c>
      <c r="M759" s="11" t="str">
        <f>IFERROR(VLOOKUP($B759,'(勿動)組件目錄表'!$D$15:$R$1094,14,FALSE),"-")</f>
        <v>-</v>
      </c>
      <c r="N759" s="15">
        <f t="shared" si="3"/>
        <v>0</v>
      </c>
      <c r="O759" s="16"/>
    </row>
    <row r="760" spans="1:15" ht="15.75" customHeight="1">
      <c r="A760" s="18"/>
      <c r="B760" s="7"/>
      <c r="C760" s="8" t="str">
        <f>IFERROR(VLOOKUP($B760,'(勿動)組件目錄表'!$D$15:$R$1094,2,FALSE),"-")</f>
        <v>-</v>
      </c>
      <c r="D760" s="8" t="str">
        <f>IFERROR(VLOOKUP($B760,'(勿動)組件目錄表'!$D$15:$R$1094,3,FALSE),"-")</f>
        <v>-</v>
      </c>
      <c r="E760" s="9" t="str">
        <f>IFERROR(VLOOKUP($B760,'(勿動)組件目錄表'!$D$15:$R$1094,4,FALSE),"-")</f>
        <v>-</v>
      </c>
      <c r="F760" s="10" t="str">
        <f>IFERROR(VLOOKUP($B760,'(勿動)組件目錄表'!$D$15:$R$1094,5,FALSE),"-")</f>
        <v>-</v>
      </c>
      <c r="G760" s="11" t="str">
        <f>IFERROR(VLOOKUP($B760,'(勿動)組件目錄表'!$D$15:$R$1094,8,FALSE),"-")</f>
        <v>-</v>
      </c>
      <c r="H760" s="11" t="str">
        <f>IFERROR(VLOOKUP($B760,'(勿動)組件目錄表'!$D$15:$R$1094,9,FALSE),"-")</f>
        <v>-</v>
      </c>
      <c r="I760" s="11" t="str">
        <f>IFERROR(VLOOKUP($B760,'(勿動)組件目錄表'!$D$15:$R$1094,10,FALSE),"-")</f>
        <v>-</v>
      </c>
      <c r="J760" s="11" t="str">
        <f>IFERROR(VLOOKUP($B760,'(勿動)組件目錄表'!$D$15:$R$1094,11,FALSE),"-")</f>
        <v>-</v>
      </c>
      <c r="K760" s="11" t="str">
        <f>IFERROR(VLOOKUP($B760,'(勿動)組件目錄表'!$D$15:$R$1094,12,FALSE),"-")</f>
        <v>-</v>
      </c>
      <c r="L760" s="11" t="str">
        <f>IFERROR(VLOOKUP($B760,'(勿動)組件目錄表'!$D$15:$R$1094,13,FALSE),"-")</f>
        <v>-</v>
      </c>
      <c r="M760" s="11" t="str">
        <f>IFERROR(VLOOKUP($B760,'(勿動)組件目錄表'!$D$15:$R$1094,14,FALSE),"-")</f>
        <v>-</v>
      </c>
      <c r="N760" s="15">
        <f t="shared" si="3"/>
        <v>0</v>
      </c>
      <c r="O760" s="16"/>
    </row>
    <row r="761" spans="1:15" ht="15.75" customHeight="1">
      <c r="A761" s="18"/>
      <c r="B761" s="7"/>
      <c r="C761" s="8" t="str">
        <f>IFERROR(VLOOKUP($B761,'(勿動)組件目錄表'!$D$15:$R$1094,2,FALSE),"-")</f>
        <v>-</v>
      </c>
      <c r="D761" s="8" t="str">
        <f>IFERROR(VLOOKUP($B761,'(勿動)組件目錄表'!$D$15:$R$1094,3,FALSE),"-")</f>
        <v>-</v>
      </c>
      <c r="E761" s="9" t="str">
        <f>IFERROR(VLOOKUP($B761,'(勿動)組件目錄表'!$D$15:$R$1094,4,FALSE),"-")</f>
        <v>-</v>
      </c>
      <c r="F761" s="10" t="str">
        <f>IFERROR(VLOOKUP($B761,'(勿動)組件目錄表'!$D$15:$R$1094,5,FALSE),"-")</f>
        <v>-</v>
      </c>
      <c r="G761" s="11" t="str">
        <f>IFERROR(VLOOKUP($B761,'(勿動)組件目錄表'!$D$15:$R$1094,8,FALSE),"-")</f>
        <v>-</v>
      </c>
      <c r="H761" s="11" t="str">
        <f>IFERROR(VLOOKUP($B761,'(勿動)組件目錄表'!$D$15:$R$1094,9,FALSE),"-")</f>
        <v>-</v>
      </c>
      <c r="I761" s="11" t="str">
        <f>IFERROR(VLOOKUP($B761,'(勿動)組件目錄表'!$D$15:$R$1094,10,FALSE),"-")</f>
        <v>-</v>
      </c>
      <c r="J761" s="11" t="str">
        <f>IFERROR(VLOOKUP($B761,'(勿動)組件目錄表'!$D$15:$R$1094,11,FALSE),"-")</f>
        <v>-</v>
      </c>
      <c r="K761" s="11" t="str">
        <f>IFERROR(VLOOKUP($B761,'(勿動)組件目錄表'!$D$15:$R$1094,12,FALSE),"-")</f>
        <v>-</v>
      </c>
      <c r="L761" s="11" t="str">
        <f>IFERROR(VLOOKUP($B761,'(勿動)組件目錄表'!$D$15:$R$1094,13,FALSE),"-")</f>
        <v>-</v>
      </c>
      <c r="M761" s="11" t="str">
        <f>IFERROR(VLOOKUP($B761,'(勿動)組件目錄表'!$D$15:$R$1094,14,FALSE),"-")</f>
        <v>-</v>
      </c>
      <c r="N761" s="15">
        <f t="shared" si="3"/>
        <v>0</v>
      </c>
      <c r="O761" s="16"/>
    </row>
    <row r="762" spans="1:15" ht="15.75" customHeight="1">
      <c r="A762" s="18"/>
      <c r="B762" s="7"/>
      <c r="C762" s="8" t="str">
        <f>IFERROR(VLOOKUP($B762,'(勿動)組件目錄表'!$D$15:$R$1094,2,FALSE),"-")</f>
        <v>-</v>
      </c>
      <c r="D762" s="8" t="str">
        <f>IFERROR(VLOOKUP($B762,'(勿動)組件目錄表'!$D$15:$R$1094,3,FALSE),"-")</f>
        <v>-</v>
      </c>
      <c r="E762" s="9" t="str">
        <f>IFERROR(VLOOKUP($B762,'(勿動)組件目錄表'!$D$15:$R$1094,4,FALSE),"-")</f>
        <v>-</v>
      </c>
      <c r="F762" s="10" t="str">
        <f>IFERROR(VLOOKUP($B762,'(勿動)組件目錄表'!$D$15:$R$1094,5,FALSE),"-")</f>
        <v>-</v>
      </c>
      <c r="G762" s="11" t="str">
        <f>IFERROR(VLOOKUP($B762,'(勿動)組件目錄表'!$D$15:$R$1094,8,FALSE),"-")</f>
        <v>-</v>
      </c>
      <c r="H762" s="11" t="str">
        <f>IFERROR(VLOOKUP($B762,'(勿動)組件目錄表'!$D$15:$R$1094,9,FALSE),"-")</f>
        <v>-</v>
      </c>
      <c r="I762" s="11" t="str">
        <f>IFERROR(VLOOKUP($B762,'(勿動)組件目錄表'!$D$15:$R$1094,10,FALSE),"-")</f>
        <v>-</v>
      </c>
      <c r="J762" s="11" t="str">
        <f>IFERROR(VLOOKUP($B762,'(勿動)組件目錄表'!$D$15:$R$1094,11,FALSE),"-")</f>
        <v>-</v>
      </c>
      <c r="K762" s="11" t="str">
        <f>IFERROR(VLOOKUP($B762,'(勿動)組件目錄表'!$D$15:$R$1094,12,FALSE),"-")</f>
        <v>-</v>
      </c>
      <c r="L762" s="11" t="str">
        <f>IFERROR(VLOOKUP($B762,'(勿動)組件目錄表'!$D$15:$R$1094,13,FALSE),"-")</f>
        <v>-</v>
      </c>
      <c r="M762" s="11" t="str">
        <f>IFERROR(VLOOKUP($B762,'(勿動)組件目錄表'!$D$15:$R$1094,14,FALSE),"-")</f>
        <v>-</v>
      </c>
      <c r="N762" s="15">
        <f t="shared" si="3"/>
        <v>0</v>
      </c>
      <c r="O762" s="16"/>
    </row>
    <row r="763" spans="1:15" ht="15.75" customHeight="1">
      <c r="A763" s="18"/>
      <c r="B763" s="7"/>
      <c r="C763" s="8" t="str">
        <f>IFERROR(VLOOKUP($B763,'(勿動)組件目錄表'!$D$15:$R$1094,2,FALSE),"-")</f>
        <v>-</v>
      </c>
      <c r="D763" s="8" t="str">
        <f>IFERROR(VLOOKUP($B763,'(勿動)組件目錄表'!$D$15:$R$1094,3,FALSE),"-")</f>
        <v>-</v>
      </c>
      <c r="E763" s="9" t="str">
        <f>IFERROR(VLOOKUP($B763,'(勿動)組件目錄表'!$D$15:$R$1094,4,FALSE),"-")</f>
        <v>-</v>
      </c>
      <c r="F763" s="10" t="str">
        <f>IFERROR(VLOOKUP($B763,'(勿動)組件目錄表'!$D$15:$R$1094,5,FALSE),"-")</f>
        <v>-</v>
      </c>
      <c r="G763" s="11" t="str">
        <f>IFERROR(VLOOKUP($B763,'(勿動)組件目錄表'!$D$15:$R$1094,8,FALSE),"-")</f>
        <v>-</v>
      </c>
      <c r="H763" s="11" t="str">
        <f>IFERROR(VLOOKUP($B763,'(勿動)組件目錄表'!$D$15:$R$1094,9,FALSE),"-")</f>
        <v>-</v>
      </c>
      <c r="I763" s="11" t="str">
        <f>IFERROR(VLOOKUP($B763,'(勿動)組件目錄表'!$D$15:$R$1094,10,FALSE),"-")</f>
        <v>-</v>
      </c>
      <c r="J763" s="11" t="str">
        <f>IFERROR(VLOOKUP($B763,'(勿動)組件目錄表'!$D$15:$R$1094,11,FALSE),"-")</f>
        <v>-</v>
      </c>
      <c r="K763" s="11" t="str">
        <f>IFERROR(VLOOKUP($B763,'(勿動)組件目錄表'!$D$15:$R$1094,12,FALSE),"-")</f>
        <v>-</v>
      </c>
      <c r="L763" s="11" t="str">
        <f>IFERROR(VLOOKUP($B763,'(勿動)組件目錄表'!$D$15:$R$1094,13,FALSE),"-")</f>
        <v>-</v>
      </c>
      <c r="M763" s="11" t="str">
        <f>IFERROR(VLOOKUP($B763,'(勿動)組件目錄表'!$D$15:$R$1094,14,FALSE),"-")</f>
        <v>-</v>
      </c>
      <c r="N763" s="15">
        <f t="shared" si="3"/>
        <v>0</v>
      </c>
      <c r="O763" s="16"/>
    </row>
    <row r="764" spans="1:15" ht="15.75" customHeight="1">
      <c r="A764" s="18"/>
      <c r="B764" s="7"/>
      <c r="C764" s="8" t="str">
        <f>IFERROR(VLOOKUP($B764,'(勿動)組件目錄表'!$D$15:$R$1094,2,FALSE),"-")</f>
        <v>-</v>
      </c>
      <c r="D764" s="8" t="str">
        <f>IFERROR(VLOOKUP($B764,'(勿動)組件目錄表'!$D$15:$R$1094,3,FALSE),"-")</f>
        <v>-</v>
      </c>
      <c r="E764" s="9" t="str">
        <f>IFERROR(VLOOKUP($B764,'(勿動)組件目錄表'!$D$15:$R$1094,4,FALSE),"-")</f>
        <v>-</v>
      </c>
      <c r="F764" s="10" t="str">
        <f>IFERROR(VLOOKUP($B764,'(勿動)組件目錄表'!$D$15:$R$1094,5,FALSE),"-")</f>
        <v>-</v>
      </c>
      <c r="G764" s="11" t="str">
        <f>IFERROR(VLOOKUP($B764,'(勿動)組件目錄表'!$D$15:$R$1094,8,FALSE),"-")</f>
        <v>-</v>
      </c>
      <c r="H764" s="11" t="str">
        <f>IFERROR(VLOOKUP($B764,'(勿動)組件目錄表'!$D$15:$R$1094,9,FALSE),"-")</f>
        <v>-</v>
      </c>
      <c r="I764" s="11" t="str">
        <f>IFERROR(VLOOKUP($B764,'(勿動)組件目錄表'!$D$15:$R$1094,10,FALSE),"-")</f>
        <v>-</v>
      </c>
      <c r="J764" s="11" t="str">
        <f>IFERROR(VLOOKUP($B764,'(勿動)組件目錄表'!$D$15:$R$1094,11,FALSE),"-")</f>
        <v>-</v>
      </c>
      <c r="K764" s="11" t="str">
        <f>IFERROR(VLOOKUP($B764,'(勿動)組件目錄表'!$D$15:$R$1094,12,FALSE),"-")</f>
        <v>-</v>
      </c>
      <c r="L764" s="11" t="str">
        <f>IFERROR(VLOOKUP($B764,'(勿動)組件目錄表'!$D$15:$R$1094,13,FALSE),"-")</f>
        <v>-</v>
      </c>
      <c r="M764" s="11" t="str">
        <f>IFERROR(VLOOKUP($B764,'(勿動)組件目錄表'!$D$15:$R$1094,14,FALSE),"-")</f>
        <v>-</v>
      </c>
      <c r="N764" s="15">
        <f t="shared" si="3"/>
        <v>0</v>
      </c>
      <c r="O764" s="16"/>
    </row>
    <row r="765" spans="1:15" ht="15.75" customHeight="1">
      <c r="A765" s="18"/>
      <c r="B765" s="7"/>
      <c r="C765" s="8" t="str">
        <f>IFERROR(VLOOKUP($B765,'(勿動)組件目錄表'!$D$15:$R$1094,2,FALSE),"-")</f>
        <v>-</v>
      </c>
      <c r="D765" s="8" t="str">
        <f>IFERROR(VLOOKUP($B765,'(勿動)組件目錄表'!$D$15:$R$1094,3,FALSE),"-")</f>
        <v>-</v>
      </c>
      <c r="E765" s="9" t="str">
        <f>IFERROR(VLOOKUP($B765,'(勿動)組件目錄表'!$D$15:$R$1094,4,FALSE),"-")</f>
        <v>-</v>
      </c>
      <c r="F765" s="10" t="str">
        <f>IFERROR(VLOOKUP($B765,'(勿動)組件目錄表'!$D$15:$R$1094,5,FALSE),"-")</f>
        <v>-</v>
      </c>
      <c r="G765" s="11" t="str">
        <f>IFERROR(VLOOKUP($B765,'(勿動)組件目錄表'!$D$15:$R$1094,8,FALSE),"-")</f>
        <v>-</v>
      </c>
      <c r="H765" s="11" t="str">
        <f>IFERROR(VLOOKUP($B765,'(勿動)組件目錄表'!$D$15:$R$1094,9,FALSE),"-")</f>
        <v>-</v>
      </c>
      <c r="I765" s="11" t="str">
        <f>IFERROR(VLOOKUP($B765,'(勿動)組件目錄表'!$D$15:$R$1094,10,FALSE),"-")</f>
        <v>-</v>
      </c>
      <c r="J765" s="11" t="str">
        <f>IFERROR(VLOOKUP($B765,'(勿動)組件目錄表'!$D$15:$R$1094,11,FALSE),"-")</f>
        <v>-</v>
      </c>
      <c r="K765" s="11" t="str">
        <f>IFERROR(VLOOKUP($B765,'(勿動)組件目錄表'!$D$15:$R$1094,12,FALSE),"-")</f>
        <v>-</v>
      </c>
      <c r="L765" s="11" t="str">
        <f>IFERROR(VLOOKUP($B765,'(勿動)組件目錄表'!$D$15:$R$1094,13,FALSE),"-")</f>
        <v>-</v>
      </c>
      <c r="M765" s="11" t="str">
        <f>IFERROR(VLOOKUP($B765,'(勿動)組件目錄表'!$D$15:$R$1094,14,FALSE),"-")</f>
        <v>-</v>
      </c>
      <c r="N765" s="15">
        <f t="shared" si="3"/>
        <v>0</v>
      </c>
      <c r="O765" s="16"/>
    </row>
    <row r="766" spans="1:15" ht="15.75" customHeight="1">
      <c r="A766" s="18"/>
      <c r="B766" s="7"/>
      <c r="C766" s="8" t="str">
        <f>IFERROR(VLOOKUP($B766,'(勿動)組件目錄表'!$D$15:$R$1094,2,FALSE),"-")</f>
        <v>-</v>
      </c>
      <c r="D766" s="8" t="str">
        <f>IFERROR(VLOOKUP($B766,'(勿動)組件目錄表'!$D$15:$R$1094,3,FALSE),"-")</f>
        <v>-</v>
      </c>
      <c r="E766" s="9" t="str">
        <f>IFERROR(VLOOKUP($B766,'(勿動)組件目錄表'!$D$15:$R$1094,4,FALSE),"-")</f>
        <v>-</v>
      </c>
      <c r="F766" s="10" t="str">
        <f>IFERROR(VLOOKUP($B766,'(勿動)組件目錄表'!$D$15:$R$1094,5,FALSE),"-")</f>
        <v>-</v>
      </c>
      <c r="G766" s="11" t="str">
        <f>IFERROR(VLOOKUP($B766,'(勿動)組件目錄表'!$D$15:$R$1094,8,FALSE),"-")</f>
        <v>-</v>
      </c>
      <c r="H766" s="11" t="str">
        <f>IFERROR(VLOOKUP($B766,'(勿動)組件目錄表'!$D$15:$R$1094,9,FALSE),"-")</f>
        <v>-</v>
      </c>
      <c r="I766" s="11" t="str">
        <f>IFERROR(VLOOKUP($B766,'(勿動)組件目錄表'!$D$15:$R$1094,10,FALSE),"-")</f>
        <v>-</v>
      </c>
      <c r="J766" s="11" t="str">
        <f>IFERROR(VLOOKUP($B766,'(勿動)組件目錄表'!$D$15:$R$1094,11,FALSE),"-")</f>
        <v>-</v>
      </c>
      <c r="K766" s="11" t="str">
        <f>IFERROR(VLOOKUP($B766,'(勿動)組件目錄表'!$D$15:$R$1094,12,FALSE),"-")</f>
        <v>-</v>
      </c>
      <c r="L766" s="11" t="str">
        <f>IFERROR(VLOOKUP($B766,'(勿動)組件目錄表'!$D$15:$R$1094,13,FALSE),"-")</f>
        <v>-</v>
      </c>
      <c r="M766" s="11" t="str">
        <f>IFERROR(VLOOKUP($B766,'(勿動)組件目錄表'!$D$15:$R$1094,14,FALSE),"-")</f>
        <v>-</v>
      </c>
      <c r="N766" s="15">
        <f t="shared" si="3"/>
        <v>0</v>
      </c>
      <c r="O766" s="16"/>
    </row>
    <row r="767" spans="1:15" ht="15.75" customHeight="1">
      <c r="A767" s="18"/>
      <c r="B767" s="7"/>
      <c r="C767" s="8" t="str">
        <f>IFERROR(VLOOKUP($B767,'(勿動)組件目錄表'!$D$15:$R$1094,2,FALSE),"-")</f>
        <v>-</v>
      </c>
      <c r="D767" s="8" t="str">
        <f>IFERROR(VLOOKUP($B767,'(勿動)組件目錄表'!$D$15:$R$1094,3,FALSE),"-")</f>
        <v>-</v>
      </c>
      <c r="E767" s="9" t="str">
        <f>IFERROR(VLOOKUP($B767,'(勿動)組件目錄表'!$D$15:$R$1094,4,FALSE),"-")</f>
        <v>-</v>
      </c>
      <c r="F767" s="10" t="str">
        <f>IFERROR(VLOOKUP($B767,'(勿動)組件目錄表'!$D$15:$R$1094,5,FALSE),"-")</f>
        <v>-</v>
      </c>
      <c r="G767" s="11" t="str">
        <f>IFERROR(VLOOKUP($B767,'(勿動)組件目錄表'!$D$15:$R$1094,8,FALSE),"-")</f>
        <v>-</v>
      </c>
      <c r="H767" s="11" t="str">
        <f>IFERROR(VLOOKUP($B767,'(勿動)組件目錄表'!$D$15:$R$1094,9,FALSE),"-")</f>
        <v>-</v>
      </c>
      <c r="I767" s="11" t="str">
        <f>IFERROR(VLOOKUP($B767,'(勿動)組件目錄表'!$D$15:$R$1094,10,FALSE),"-")</f>
        <v>-</v>
      </c>
      <c r="J767" s="11" t="str">
        <f>IFERROR(VLOOKUP($B767,'(勿動)組件目錄表'!$D$15:$R$1094,11,FALSE),"-")</f>
        <v>-</v>
      </c>
      <c r="K767" s="11" t="str">
        <f>IFERROR(VLOOKUP($B767,'(勿動)組件目錄表'!$D$15:$R$1094,12,FALSE),"-")</f>
        <v>-</v>
      </c>
      <c r="L767" s="11" t="str">
        <f>IFERROR(VLOOKUP($B767,'(勿動)組件目錄表'!$D$15:$R$1094,13,FALSE),"-")</f>
        <v>-</v>
      </c>
      <c r="M767" s="11" t="str">
        <f>IFERROR(VLOOKUP($B767,'(勿動)組件目錄表'!$D$15:$R$1094,14,FALSE),"-")</f>
        <v>-</v>
      </c>
      <c r="N767" s="15">
        <f t="shared" si="3"/>
        <v>0</v>
      </c>
      <c r="O767" s="16"/>
    </row>
    <row r="768" spans="1:15" ht="15.75" customHeight="1">
      <c r="A768" s="18"/>
      <c r="B768" s="7"/>
      <c r="C768" s="8" t="str">
        <f>IFERROR(VLOOKUP($B768,'(勿動)組件目錄表'!$D$15:$R$1094,2,FALSE),"-")</f>
        <v>-</v>
      </c>
      <c r="D768" s="8" t="str">
        <f>IFERROR(VLOOKUP($B768,'(勿動)組件目錄表'!$D$15:$R$1094,3,FALSE),"-")</f>
        <v>-</v>
      </c>
      <c r="E768" s="9" t="str">
        <f>IFERROR(VLOOKUP($B768,'(勿動)組件目錄表'!$D$15:$R$1094,4,FALSE),"-")</f>
        <v>-</v>
      </c>
      <c r="F768" s="10" t="str">
        <f>IFERROR(VLOOKUP($B768,'(勿動)組件目錄表'!$D$15:$R$1094,5,FALSE),"-")</f>
        <v>-</v>
      </c>
      <c r="G768" s="11" t="str">
        <f>IFERROR(VLOOKUP($B768,'(勿動)組件目錄表'!$D$15:$R$1094,8,FALSE),"-")</f>
        <v>-</v>
      </c>
      <c r="H768" s="11" t="str">
        <f>IFERROR(VLOOKUP($B768,'(勿動)組件目錄表'!$D$15:$R$1094,9,FALSE),"-")</f>
        <v>-</v>
      </c>
      <c r="I768" s="11" t="str">
        <f>IFERROR(VLOOKUP($B768,'(勿動)組件目錄表'!$D$15:$R$1094,10,FALSE),"-")</f>
        <v>-</v>
      </c>
      <c r="J768" s="11" t="str">
        <f>IFERROR(VLOOKUP($B768,'(勿動)組件目錄表'!$D$15:$R$1094,11,FALSE),"-")</f>
        <v>-</v>
      </c>
      <c r="K768" s="11" t="str">
        <f>IFERROR(VLOOKUP($B768,'(勿動)組件目錄表'!$D$15:$R$1094,12,FALSE),"-")</f>
        <v>-</v>
      </c>
      <c r="L768" s="11" t="str">
        <f>IFERROR(VLOOKUP($B768,'(勿動)組件目錄表'!$D$15:$R$1094,13,FALSE),"-")</f>
        <v>-</v>
      </c>
      <c r="M768" s="11" t="str">
        <f>IFERROR(VLOOKUP($B768,'(勿動)組件目錄表'!$D$15:$R$1094,14,FALSE),"-")</f>
        <v>-</v>
      </c>
      <c r="N768" s="15">
        <f t="shared" si="3"/>
        <v>0</v>
      </c>
      <c r="O768" s="16"/>
    </row>
    <row r="769" spans="1:15" ht="15.75" customHeight="1">
      <c r="A769" s="18"/>
      <c r="B769" s="7"/>
      <c r="C769" s="8" t="str">
        <f>IFERROR(VLOOKUP($B769,'(勿動)組件目錄表'!$D$15:$R$1094,2,FALSE),"-")</f>
        <v>-</v>
      </c>
      <c r="D769" s="8" t="str">
        <f>IFERROR(VLOOKUP($B769,'(勿動)組件目錄表'!$D$15:$R$1094,3,FALSE),"-")</f>
        <v>-</v>
      </c>
      <c r="E769" s="9" t="str">
        <f>IFERROR(VLOOKUP($B769,'(勿動)組件目錄表'!$D$15:$R$1094,4,FALSE),"-")</f>
        <v>-</v>
      </c>
      <c r="F769" s="10" t="str">
        <f>IFERROR(VLOOKUP($B769,'(勿動)組件目錄表'!$D$15:$R$1094,5,FALSE),"-")</f>
        <v>-</v>
      </c>
      <c r="G769" s="11" t="str">
        <f>IFERROR(VLOOKUP($B769,'(勿動)組件目錄表'!$D$15:$R$1094,8,FALSE),"-")</f>
        <v>-</v>
      </c>
      <c r="H769" s="11" t="str">
        <f>IFERROR(VLOOKUP($B769,'(勿動)組件目錄表'!$D$15:$R$1094,9,FALSE),"-")</f>
        <v>-</v>
      </c>
      <c r="I769" s="11" t="str">
        <f>IFERROR(VLOOKUP($B769,'(勿動)組件目錄表'!$D$15:$R$1094,10,FALSE),"-")</f>
        <v>-</v>
      </c>
      <c r="J769" s="11" t="str">
        <f>IFERROR(VLOOKUP($B769,'(勿動)組件目錄表'!$D$15:$R$1094,11,FALSE),"-")</f>
        <v>-</v>
      </c>
      <c r="K769" s="11" t="str">
        <f>IFERROR(VLOOKUP($B769,'(勿動)組件目錄表'!$D$15:$R$1094,12,FALSE),"-")</f>
        <v>-</v>
      </c>
      <c r="L769" s="11" t="str">
        <f>IFERROR(VLOOKUP($B769,'(勿動)組件目錄表'!$D$15:$R$1094,13,FALSE),"-")</f>
        <v>-</v>
      </c>
      <c r="M769" s="11" t="str">
        <f>IFERROR(VLOOKUP($B769,'(勿動)組件目錄表'!$D$15:$R$1094,14,FALSE),"-")</f>
        <v>-</v>
      </c>
      <c r="N769" s="15">
        <f t="shared" si="3"/>
        <v>0</v>
      </c>
      <c r="O769" s="16"/>
    </row>
    <row r="770" spans="1:15" ht="15.75" customHeight="1">
      <c r="A770" s="18"/>
      <c r="B770" s="7"/>
      <c r="C770" s="8" t="str">
        <f>IFERROR(VLOOKUP($B770,'(勿動)組件目錄表'!$D$15:$R$1094,2,FALSE),"-")</f>
        <v>-</v>
      </c>
      <c r="D770" s="8" t="str">
        <f>IFERROR(VLOOKUP($B770,'(勿動)組件目錄表'!$D$15:$R$1094,3,FALSE),"-")</f>
        <v>-</v>
      </c>
      <c r="E770" s="9" t="str">
        <f>IFERROR(VLOOKUP($B770,'(勿動)組件目錄表'!$D$15:$R$1094,4,FALSE),"-")</f>
        <v>-</v>
      </c>
      <c r="F770" s="10" t="str">
        <f>IFERROR(VLOOKUP($B770,'(勿動)組件目錄表'!$D$15:$R$1094,5,FALSE),"-")</f>
        <v>-</v>
      </c>
      <c r="G770" s="11" t="str">
        <f>IFERROR(VLOOKUP($B770,'(勿動)組件目錄表'!$D$15:$R$1094,8,FALSE),"-")</f>
        <v>-</v>
      </c>
      <c r="H770" s="11" t="str">
        <f>IFERROR(VLOOKUP($B770,'(勿動)組件目錄表'!$D$15:$R$1094,9,FALSE),"-")</f>
        <v>-</v>
      </c>
      <c r="I770" s="11" t="str">
        <f>IFERROR(VLOOKUP($B770,'(勿動)組件目錄表'!$D$15:$R$1094,10,FALSE),"-")</f>
        <v>-</v>
      </c>
      <c r="J770" s="11" t="str">
        <f>IFERROR(VLOOKUP($B770,'(勿動)組件目錄表'!$D$15:$R$1094,11,FALSE),"-")</f>
        <v>-</v>
      </c>
      <c r="K770" s="11" t="str">
        <f>IFERROR(VLOOKUP($B770,'(勿動)組件目錄表'!$D$15:$R$1094,12,FALSE),"-")</f>
        <v>-</v>
      </c>
      <c r="L770" s="11" t="str">
        <f>IFERROR(VLOOKUP($B770,'(勿動)組件目錄表'!$D$15:$R$1094,13,FALSE),"-")</f>
        <v>-</v>
      </c>
      <c r="M770" s="11" t="str">
        <f>IFERROR(VLOOKUP($B770,'(勿動)組件目錄表'!$D$15:$R$1094,14,FALSE),"-")</f>
        <v>-</v>
      </c>
      <c r="N770" s="15">
        <f t="shared" si="3"/>
        <v>0</v>
      </c>
      <c r="O770" s="16"/>
    </row>
    <row r="771" spans="1:15" ht="15.75" customHeight="1">
      <c r="A771" s="18"/>
      <c r="B771" s="7"/>
      <c r="C771" s="8" t="str">
        <f>IFERROR(VLOOKUP($B771,'(勿動)組件目錄表'!$D$15:$R$1094,2,FALSE),"-")</f>
        <v>-</v>
      </c>
      <c r="D771" s="8" t="str">
        <f>IFERROR(VLOOKUP($B771,'(勿動)組件目錄表'!$D$15:$R$1094,3,FALSE),"-")</f>
        <v>-</v>
      </c>
      <c r="E771" s="9" t="str">
        <f>IFERROR(VLOOKUP($B771,'(勿動)組件目錄表'!$D$15:$R$1094,4,FALSE),"-")</f>
        <v>-</v>
      </c>
      <c r="F771" s="10" t="str">
        <f>IFERROR(VLOOKUP($B771,'(勿動)組件目錄表'!$D$15:$R$1094,5,FALSE),"-")</f>
        <v>-</v>
      </c>
      <c r="G771" s="11" t="str">
        <f>IFERROR(VLOOKUP($B771,'(勿動)組件目錄表'!$D$15:$R$1094,8,FALSE),"-")</f>
        <v>-</v>
      </c>
      <c r="H771" s="11" t="str">
        <f>IFERROR(VLOOKUP($B771,'(勿動)組件目錄表'!$D$15:$R$1094,9,FALSE),"-")</f>
        <v>-</v>
      </c>
      <c r="I771" s="11" t="str">
        <f>IFERROR(VLOOKUP($B771,'(勿動)組件目錄表'!$D$15:$R$1094,10,FALSE),"-")</f>
        <v>-</v>
      </c>
      <c r="J771" s="11" t="str">
        <f>IFERROR(VLOOKUP($B771,'(勿動)組件目錄表'!$D$15:$R$1094,11,FALSE),"-")</f>
        <v>-</v>
      </c>
      <c r="K771" s="11" t="str">
        <f>IFERROR(VLOOKUP($B771,'(勿動)組件目錄表'!$D$15:$R$1094,12,FALSE),"-")</f>
        <v>-</v>
      </c>
      <c r="L771" s="11" t="str">
        <f>IFERROR(VLOOKUP($B771,'(勿動)組件目錄表'!$D$15:$R$1094,13,FALSE),"-")</f>
        <v>-</v>
      </c>
      <c r="M771" s="11" t="str">
        <f>IFERROR(VLOOKUP($B771,'(勿動)組件目錄表'!$D$15:$R$1094,14,FALSE),"-")</f>
        <v>-</v>
      </c>
      <c r="N771" s="15">
        <f t="shared" si="3"/>
        <v>0</v>
      </c>
      <c r="O771" s="16"/>
    </row>
    <row r="772" spans="1:15" ht="15.75" customHeight="1">
      <c r="A772" s="18"/>
      <c r="B772" s="7"/>
      <c r="C772" s="8" t="str">
        <f>IFERROR(VLOOKUP($B772,'(勿動)組件目錄表'!$D$15:$R$1094,2,FALSE),"-")</f>
        <v>-</v>
      </c>
      <c r="D772" s="8" t="str">
        <f>IFERROR(VLOOKUP($B772,'(勿動)組件目錄表'!$D$15:$R$1094,3,FALSE),"-")</f>
        <v>-</v>
      </c>
      <c r="E772" s="9" t="str">
        <f>IFERROR(VLOOKUP($B772,'(勿動)組件目錄表'!$D$15:$R$1094,4,FALSE),"-")</f>
        <v>-</v>
      </c>
      <c r="F772" s="10" t="str">
        <f>IFERROR(VLOOKUP($B772,'(勿動)組件目錄表'!$D$15:$R$1094,5,FALSE),"-")</f>
        <v>-</v>
      </c>
      <c r="G772" s="11" t="str">
        <f>IFERROR(VLOOKUP($B772,'(勿動)組件目錄表'!$D$15:$R$1094,8,FALSE),"-")</f>
        <v>-</v>
      </c>
      <c r="H772" s="11" t="str">
        <f>IFERROR(VLOOKUP($B772,'(勿動)組件目錄表'!$D$15:$R$1094,9,FALSE),"-")</f>
        <v>-</v>
      </c>
      <c r="I772" s="11" t="str">
        <f>IFERROR(VLOOKUP($B772,'(勿動)組件目錄表'!$D$15:$R$1094,10,FALSE),"-")</f>
        <v>-</v>
      </c>
      <c r="J772" s="11" t="str">
        <f>IFERROR(VLOOKUP($B772,'(勿動)組件目錄表'!$D$15:$R$1094,11,FALSE),"-")</f>
        <v>-</v>
      </c>
      <c r="K772" s="11" t="str">
        <f>IFERROR(VLOOKUP($B772,'(勿動)組件目錄表'!$D$15:$R$1094,12,FALSE),"-")</f>
        <v>-</v>
      </c>
      <c r="L772" s="11" t="str">
        <f>IFERROR(VLOOKUP($B772,'(勿動)組件目錄表'!$D$15:$R$1094,13,FALSE),"-")</f>
        <v>-</v>
      </c>
      <c r="M772" s="11" t="str">
        <f>IFERROR(VLOOKUP($B772,'(勿動)組件目錄表'!$D$15:$R$1094,14,FALSE),"-")</f>
        <v>-</v>
      </c>
      <c r="N772" s="15">
        <f t="shared" si="3"/>
        <v>0</v>
      </c>
      <c r="O772" s="16"/>
    </row>
    <row r="773" spans="1:15" ht="15.75" customHeight="1">
      <c r="A773" s="18"/>
      <c r="B773" s="7"/>
      <c r="C773" s="8" t="str">
        <f>IFERROR(VLOOKUP($B773,'(勿動)組件目錄表'!$D$15:$R$1094,2,FALSE),"-")</f>
        <v>-</v>
      </c>
      <c r="D773" s="8" t="str">
        <f>IFERROR(VLOOKUP($B773,'(勿動)組件目錄表'!$D$15:$R$1094,3,FALSE),"-")</f>
        <v>-</v>
      </c>
      <c r="E773" s="9" t="str">
        <f>IFERROR(VLOOKUP($B773,'(勿動)組件目錄表'!$D$15:$R$1094,4,FALSE),"-")</f>
        <v>-</v>
      </c>
      <c r="F773" s="10" t="str">
        <f>IFERROR(VLOOKUP($B773,'(勿動)組件目錄表'!$D$15:$R$1094,5,FALSE),"-")</f>
        <v>-</v>
      </c>
      <c r="G773" s="11" t="str">
        <f>IFERROR(VLOOKUP($B773,'(勿動)組件目錄表'!$D$15:$R$1094,8,FALSE),"-")</f>
        <v>-</v>
      </c>
      <c r="H773" s="11" t="str">
        <f>IFERROR(VLOOKUP($B773,'(勿動)組件目錄表'!$D$15:$R$1094,9,FALSE),"-")</f>
        <v>-</v>
      </c>
      <c r="I773" s="11" t="str">
        <f>IFERROR(VLOOKUP($B773,'(勿動)組件目錄表'!$D$15:$R$1094,10,FALSE),"-")</f>
        <v>-</v>
      </c>
      <c r="J773" s="11" t="str">
        <f>IFERROR(VLOOKUP($B773,'(勿動)組件目錄表'!$D$15:$R$1094,11,FALSE),"-")</f>
        <v>-</v>
      </c>
      <c r="K773" s="11" t="str">
        <f>IFERROR(VLOOKUP($B773,'(勿動)組件目錄表'!$D$15:$R$1094,12,FALSE),"-")</f>
        <v>-</v>
      </c>
      <c r="L773" s="11" t="str">
        <f>IFERROR(VLOOKUP($B773,'(勿動)組件目錄表'!$D$15:$R$1094,13,FALSE),"-")</f>
        <v>-</v>
      </c>
      <c r="M773" s="11" t="str">
        <f>IFERROR(VLOOKUP($B773,'(勿動)組件目錄表'!$D$15:$R$1094,14,FALSE),"-")</f>
        <v>-</v>
      </c>
      <c r="N773" s="15">
        <f t="shared" si="3"/>
        <v>0</v>
      </c>
      <c r="O773" s="16"/>
    </row>
    <row r="774" spans="1:15" ht="15.75" customHeight="1">
      <c r="A774" s="18"/>
      <c r="B774" s="7"/>
      <c r="C774" s="8" t="str">
        <f>IFERROR(VLOOKUP($B774,'(勿動)組件目錄表'!$D$15:$R$1094,2,FALSE),"-")</f>
        <v>-</v>
      </c>
      <c r="D774" s="8" t="str">
        <f>IFERROR(VLOOKUP($B774,'(勿動)組件目錄表'!$D$15:$R$1094,3,FALSE),"-")</f>
        <v>-</v>
      </c>
      <c r="E774" s="9" t="str">
        <f>IFERROR(VLOOKUP($B774,'(勿動)組件目錄表'!$D$15:$R$1094,4,FALSE),"-")</f>
        <v>-</v>
      </c>
      <c r="F774" s="10" t="str">
        <f>IFERROR(VLOOKUP($B774,'(勿動)組件目錄表'!$D$15:$R$1094,5,FALSE),"-")</f>
        <v>-</v>
      </c>
      <c r="G774" s="11" t="str">
        <f>IFERROR(VLOOKUP($B774,'(勿動)組件目錄表'!$D$15:$R$1094,8,FALSE),"-")</f>
        <v>-</v>
      </c>
      <c r="H774" s="11" t="str">
        <f>IFERROR(VLOOKUP($B774,'(勿動)組件目錄表'!$D$15:$R$1094,9,FALSE),"-")</f>
        <v>-</v>
      </c>
      <c r="I774" s="11" t="str">
        <f>IFERROR(VLOOKUP($B774,'(勿動)組件目錄表'!$D$15:$R$1094,10,FALSE),"-")</f>
        <v>-</v>
      </c>
      <c r="J774" s="11" t="str">
        <f>IFERROR(VLOOKUP($B774,'(勿動)組件目錄表'!$D$15:$R$1094,11,FALSE),"-")</f>
        <v>-</v>
      </c>
      <c r="K774" s="11" t="str">
        <f>IFERROR(VLOOKUP($B774,'(勿動)組件目錄表'!$D$15:$R$1094,12,FALSE),"-")</f>
        <v>-</v>
      </c>
      <c r="L774" s="11" t="str">
        <f>IFERROR(VLOOKUP($B774,'(勿動)組件目錄表'!$D$15:$R$1094,13,FALSE),"-")</f>
        <v>-</v>
      </c>
      <c r="M774" s="11" t="str">
        <f>IFERROR(VLOOKUP($B774,'(勿動)組件目錄表'!$D$15:$R$1094,14,FALSE),"-")</f>
        <v>-</v>
      </c>
      <c r="N774" s="15">
        <f t="shared" si="3"/>
        <v>0</v>
      </c>
      <c r="O774" s="16"/>
    </row>
    <row r="775" spans="1:15" ht="15.75" customHeight="1">
      <c r="A775" s="18"/>
      <c r="B775" s="7"/>
      <c r="C775" s="8" t="str">
        <f>IFERROR(VLOOKUP($B775,'(勿動)組件目錄表'!$D$15:$R$1094,2,FALSE),"-")</f>
        <v>-</v>
      </c>
      <c r="D775" s="8" t="str">
        <f>IFERROR(VLOOKUP($B775,'(勿動)組件目錄表'!$D$15:$R$1094,3,FALSE),"-")</f>
        <v>-</v>
      </c>
      <c r="E775" s="9" t="str">
        <f>IFERROR(VLOOKUP($B775,'(勿動)組件目錄表'!$D$15:$R$1094,4,FALSE),"-")</f>
        <v>-</v>
      </c>
      <c r="F775" s="10" t="str">
        <f>IFERROR(VLOOKUP($B775,'(勿動)組件目錄表'!$D$15:$R$1094,5,FALSE),"-")</f>
        <v>-</v>
      </c>
      <c r="G775" s="11" t="str">
        <f>IFERROR(VLOOKUP($B775,'(勿動)組件目錄表'!$D$15:$R$1094,8,FALSE),"-")</f>
        <v>-</v>
      </c>
      <c r="H775" s="11" t="str">
        <f>IFERROR(VLOOKUP($B775,'(勿動)組件目錄表'!$D$15:$R$1094,9,FALSE),"-")</f>
        <v>-</v>
      </c>
      <c r="I775" s="11" t="str">
        <f>IFERROR(VLOOKUP($B775,'(勿動)組件目錄表'!$D$15:$R$1094,10,FALSE),"-")</f>
        <v>-</v>
      </c>
      <c r="J775" s="11" t="str">
        <f>IFERROR(VLOOKUP($B775,'(勿動)組件目錄表'!$D$15:$R$1094,11,FALSE),"-")</f>
        <v>-</v>
      </c>
      <c r="K775" s="11" t="str">
        <f>IFERROR(VLOOKUP($B775,'(勿動)組件目錄表'!$D$15:$R$1094,12,FALSE),"-")</f>
        <v>-</v>
      </c>
      <c r="L775" s="11" t="str">
        <f>IFERROR(VLOOKUP($B775,'(勿動)組件目錄表'!$D$15:$R$1094,13,FALSE),"-")</f>
        <v>-</v>
      </c>
      <c r="M775" s="11" t="str">
        <f>IFERROR(VLOOKUP($B775,'(勿動)組件目錄表'!$D$15:$R$1094,14,FALSE),"-")</f>
        <v>-</v>
      </c>
      <c r="N775" s="15">
        <f t="shared" si="3"/>
        <v>0</v>
      </c>
      <c r="O775" s="16"/>
    </row>
    <row r="776" spans="1:15" ht="15.75" customHeight="1">
      <c r="A776" s="18"/>
      <c r="B776" s="7"/>
      <c r="C776" s="8" t="str">
        <f>IFERROR(VLOOKUP($B776,'(勿動)組件目錄表'!$D$15:$R$1094,2,FALSE),"-")</f>
        <v>-</v>
      </c>
      <c r="D776" s="8" t="str">
        <f>IFERROR(VLOOKUP($B776,'(勿動)組件目錄表'!$D$15:$R$1094,3,FALSE),"-")</f>
        <v>-</v>
      </c>
      <c r="E776" s="9" t="str">
        <f>IFERROR(VLOOKUP($B776,'(勿動)組件目錄表'!$D$15:$R$1094,4,FALSE),"-")</f>
        <v>-</v>
      </c>
      <c r="F776" s="10" t="str">
        <f>IFERROR(VLOOKUP($B776,'(勿動)組件目錄表'!$D$15:$R$1094,5,FALSE),"-")</f>
        <v>-</v>
      </c>
      <c r="G776" s="11" t="str">
        <f>IFERROR(VLOOKUP($B776,'(勿動)組件目錄表'!$D$15:$R$1094,8,FALSE),"-")</f>
        <v>-</v>
      </c>
      <c r="H776" s="11" t="str">
        <f>IFERROR(VLOOKUP($B776,'(勿動)組件目錄表'!$D$15:$R$1094,9,FALSE),"-")</f>
        <v>-</v>
      </c>
      <c r="I776" s="11" t="str">
        <f>IFERROR(VLOOKUP($B776,'(勿動)組件目錄表'!$D$15:$R$1094,10,FALSE),"-")</f>
        <v>-</v>
      </c>
      <c r="J776" s="11" t="str">
        <f>IFERROR(VLOOKUP($B776,'(勿動)組件目錄表'!$D$15:$R$1094,11,FALSE),"-")</f>
        <v>-</v>
      </c>
      <c r="K776" s="11" t="str">
        <f>IFERROR(VLOOKUP($B776,'(勿動)組件目錄表'!$D$15:$R$1094,12,FALSE),"-")</f>
        <v>-</v>
      </c>
      <c r="L776" s="11" t="str">
        <f>IFERROR(VLOOKUP($B776,'(勿動)組件目錄表'!$D$15:$R$1094,13,FALSE),"-")</f>
        <v>-</v>
      </c>
      <c r="M776" s="11" t="str">
        <f>IFERROR(VLOOKUP($B776,'(勿動)組件目錄表'!$D$15:$R$1094,14,FALSE),"-")</f>
        <v>-</v>
      </c>
      <c r="N776" s="15">
        <f t="shared" si="3"/>
        <v>0</v>
      </c>
      <c r="O776" s="16"/>
    </row>
    <row r="777" spans="1:15" ht="15.75" customHeight="1">
      <c r="A777" s="18"/>
      <c r="B777" s="7"/>
      <c r="C777" s="8" t="str">
        <f>IFERROR(VLOOKUP($B777,'(勿動)組件目錄表'!$D$15:$R$1094,2,FALSE),"-")</f>
        <v>-</v>
      </c>
      <c r="D777" s="8" t="str">
        <f>IFERROR(VLOOKUP($B777,'(勿動)組件目錄表'!$D$15:$R$1094,3,FALSE),"-")</f>
        <v>-</v>
      </c>
      <c r="E777" s="9" t="str">
        <f>IFERROR(VLOOKUP($B777,'(勿動)組件目錄表'!$D$15:$R$1094,4,FALSE),"-")</f>
        <v>-</v>
      </c>
      <c r="F777" s="10" t="str">
        <f>IFERROR(VLOOKUP($B777,'(勿動)組件目錄表'!$D$15:$R$1094,5,FALSE),"-")</f>
        <v>-</v>
      </c>
      <c r="G777" s="11" t="str">
        <f>IFERROR(VLOOKUP($B777,'(勿動)組件目錄表'!$D$15:$R$1094,8,FALSE),"-")</f>
        <v>-</v>
      </c>
      <c r="H777" s="11" t="str">
        <f>IFERROR(VLOOKUP($B777,'(勿動)組件目錄表'!$D$15:$R$1094,9,FALSE),"-")</f>
        <v>-</v>
      </c>
      <c r="I777" s="11" t="str">
        <f>IFERROR(VLOOKUP($B777,'(勿動)組件目錄表'!$D$15:$R$1094,10,FALSE),"-")</f>
        <v>-</v>
      </c>
      <c r="J777" s="11" t="str">
        <f>IFERROR(VLOOKUP($B777,'(勿動)組件目錄表'!$D$15:$R$1094,11,FALSE),"-")</f>
        <v>-</v>
      </c>
      <c r="K777" s="11" t="str">
        <f>IFERROR(VLOOKUP($B777,'(勿動)組件目錄表'!$D$15:$R$1094,12,FALSE),"-")</f>
        <v>-</v>
      </c>
      <c r="L777" s="11" t="str">
        <f>IFERROR(VLOOKUP($B777,'(勿動)組件目錄表'!$D$15:$R$1094,13,FALSE),"-")</f>
        <v>-</v>
      </c>
      <c r="M777" s="11" t="str">
        <f>IFERROR(VLOOKUP($B777,'(勿動)組件目錄表'!$D$15:$R$1094,14,FALSE),"-")</f>
        <v>-</v>
      </c>
      <c r="N777" s="15">
        <f t="shared" si="3"/>
        <v>0</v>
      </c>
      <c r="O777" s="16"/>
    </row>
    <row r="778" spans="1:15" ht="15.75" customHeight="1">
      <c r="A778" s="18"/>
      <c r="B778" s="7"/>
      <c r="C778" s="8" t="str">
        <f>IFERROR(VLOOKUP($B778,'(勿動)組件目錄表'!$D$15:$R$1094,2,FALSE),"-")</f>
        <v>-</v>
      </c>
      <c r="D778" s="8" t="str">
        <f>IFERROR(VLOOKUP($B778,'(勿動)組件目錄表'!$D$15:$R$1094,3,FALSE),"-")</f>
        <v>-</v>
      </c>
      <c r="E778" s="9" t="str">
        <f>IFERROR(VLOOKUP($B778,'(勿動)組件目錄表'!$D$15:$R$1094,4,FALSE),"-")</f>
        <v>-</v>
      </c>
      <c r="F778" s="10" t="str">
        <f>IFERROR(VLOOKUP($B778,'(勿動)組件目錄表'!$D$15:$R$1094,5,FALSE),"-")</f>
        <v>-</v>
      </c>
      <c r="G778" s="11" t="str">
        <f>IFERROR(VLOOKUP($B778,'(勿動)組件目錄表'!$D$15:$R$1094,8,FALSE),"-")</f>
        <v>-</v>
      </c>
      <c r="H778" s="11" t="str">
        <f>IFERROR(VLOOKUP($B778,'(勿動)組件目錄表'!$D$15:$R$1094,9,FALSE),"-")</f>
        <v>-</v>
      </c>
      <c r="I778" s="11" t="str">
        <f>IFERROR(VLOOKUP($B778,'(勿動)組件目錄表'!$D$15:$R$1094,10,FALSE),"-")</f>
        <v>-</v>
      </c>
      <c r="J778" s="11" t="str">
        <f>IFERROR(VLOOKUP($B778,'(勿動)組件目錄表'!$D$15:$R$1094,11,FALSE),"-")</f>
        <v>-</v>
      </c>
      <c r="K778" s="11" t="str">
        <f>IFERROR(VLOOKUP($B778,'(勿動)組件目錄表'!$D$15:$R$1094,12,FALSE),"-")</f>
        <v>-</v>
      </c>
      <c r="L778" s="11" t="str">
        <f>IFERROR(VLOOKUP($B778,'(勿動)組件目錄表'!$D$15:$R$1094,13,FALSE),"-")</f>
        <v>-</v>
      </c>
      <c r="M778" s="11" t="str">
        <f>IFERROR(VLOOKUP($B778,'(勿動)組件目錄表'!$D$15:$R$1094,14,FALSE),"-")</f>
        <v>-</v>
      </c>
      <c r="N778" s="15">
        <f t="shared" si="3"/>
        <v>0</v>
      </c>
      <c r="O778" s="16"/>
    </row>
    <row r="779" spans="1:15" ht="15.75" customHeight="1">
      <c r="A779" s="18"/>
      <c r="B779" s="7"/>
      <c r="C779" s="8" t="str">
        <f>IFERROR(VLOOKUP($B779,'(勿動)組件目錄表'!$D$15:$R$1094,2,FALSE),"-")</f>
        <v>-</v>
      </c>
      <c r="D779" s="8" t="str">
        <f>IFERROR(VLOOKUP($B779,'(勿動)組件目錄表'!$D$15:$R$1094,3,FALSE),"-")</f>
        <v>-</v>
      </c>
      <c r="E779" s="9" t="str">
        <f>IFERROR(VLOOKUP($B779,'(勿動)組件目錄表'!$D$15:$R$1094,4,FALSE),"-")</f>
        <v>-</v>
      </c>
      <c r="F779" s="10" t="str">
        <f>IFERROR(VLOOKUP($B779,'(勿動)組件目錄表'!$D$15:$R$1094,5,FALSE),"-")</f>
        <v>-</v>
      </c>
      <c r="G779" s="11" t="str">
        <f>IFERROR(VLOOKUP($B779,'(勿動)組件目錄表'!$D$15:$R$1094,8,FALSE),"-")</f>
        <v>-</v>
      </c>
      <c r="H779" s="11" t="str">
        <f>IFERROR(VLOOKUP($B779,'(勿動)組件目錄表'!$D$15:$R$1094,9,FALSE),"-")</f>
        <v>-</v>
      </c>
      <c r="I779" s="11" t="str">
        <f>IFERROR(VLOOKUP($B779,'(勿動)組件目錄表'!$D$15:$R$1094,10,FALSE),"-")</f>
        <v>-</v>
      </c>
      <c r="J779" s="11" t="str">
        <f>IFERROR(VLOOKUP($B779,'(勿動)組件目錄表'!$D$15:$R$1094,11,FALSE),"-")</f>
        <v>-</v>
      </c>
      <c r="K779" s="11" t="str">
        <f>IFERROR(VLOOKUP($B779,'(勿動)組件目錄表'!$D$15:$R$1094,12,FALSE),"-")</f>
        <v>-</v>
      </c>
      <c r="L779" s="11" t="str">
        <f>IFERROR(VLOOKUP($B779,'(勿動)組件目錄表'!$D$15:$R$1094,13,FALSE),"-")</f>
        <v>-</v>
      </c>
      <c r="M779" s="11" t="str">
        <f>IFERROR(VLOOKUP($B779,'(勿動)組件目錄表'!$D$15:$R$1094,14,FALSE),"-")</f>
        <v>-</v>
      </c>
      <c r="N779" s="15">
        <f t="shared" si="3"/>
        <v>0</v>
      </c>
      <c r="O779" s="16"/>
    </row>
    <row r="780" spans="1:15" ht="15.75" customHeight="1">
      <c r="A780" s="18"/>
      <c r="B780" s="7"/>
      <c r="C780" s="8" t="str">
        <f>IFERROR(VLOOKUP($B780,'(勿動)組件目錄表'!$D$15:$R$1094,2,FALSE),"-")</f>
        <v>-</v>
      </c>
      <c r="D780" s="8" t="str">
        <f>IFERROR(VLOOKUP($B780,'(勿動)組件目錄表'!$D$15:$R$1094,3,FALSE),"-")</f>
        <v>-</v>
      </c>
      <c r="E780" s="9" t="str">
        <f>IFERROR(VLOOKUP($B780,'(勿動)組件目錄表'!$D$15:$R$1094,4,FALSE),"-")</f>
        <v>-</v>
      </c>
      <c r="F780" s="10" t="str">
        <f>IFERROR(VLOOKUP($B780,'(勿動)組件目錄表'!$D$15:$R$1094,5,FALSE),"-")</f>
        <v>-</v>
      </c>
      <c r="G780" s="11" t="str">
        <f>IFERROR(VLOOKUP($B780,'(勿動)組件目錄表'!$D$15:$R$1094,8,FALSE),"-")</f>
        <v>-</v>
      </c>
      <c r="H780" s="11" t="str">
        <f>IFERROR(VLOOKUP($B780,'(勿動)組件目錄表'!$D$15:$R$1094,9,FALSE),"-")</f>
        <v>-</v>
      </c>
      <c r="I780" s="11" t="str">
        <f>IFERROR(VLOOKUP($B780,'(勿動)組件目錄表'!$D$15:$R$1094,10,FALSE),"-")</f>
        <v>-</v>
      </c>
      <c r="J780" s="11" t="str">
        <f>IFERROR(VLOOKUP($B780,'(勿動)組件目錄表'!$D$15:$R$1094,11,FALSE),"-")</f>
        <v>-</v>
      </c>
      <c r="K780" s="11" t="str">
        <f>IFERROR(VLOOKUP($B780,'(勿動)組件目錄表'!$D$15:$R$1094,12,FALSE),"-")</f>
        <v>-</v>
      </c>
      <c r="L780" s="11" t="str">
        <f>IFERROR(VLOOKUP($B780,'(勿動)組件目錄表'!$D$15:$R$1094,13,FALSE),"-")</f>
        <v>-</v>
      </c>
      <c r="M780" s="11" t="str">
        <f>IFERROR(VLOOKUP($B780,'(勿動)組件目錄表'!$D$15:$R$1094,14,FALSE),"-")</f>
        <v>-</v>
      </c>
      <c r="N780" s="15">
        <f t="shared" si="3"/>
        <v>0</v>
      </c>
      <c r="O780" s="16"/>
    </row>
    <row r="781" spans="1:15" ht="15.75" customHeight="1">
      <c r="A781" s="18"/>
      <c r="B781" s="7"/>
      <c r="C781" s="8" t="str">
        <f>IFERROR(VLOOKUP($B781,'(勿動)組件目錄表'!$D$15:$R$1094,2,FALSE),"-")</f>
        <v>-</v>
      </c>
      <c r="D781" s="8" t="str">
        <f>IFERROR(VLOOKUP($B781,'(勿動)組件目錄表'!$D$15:$R$1094,3,FALSE),"-")</f>
        <v>-</v>
      </c>
      <c r="E781" s="9" t="str">
        <f>IFERROR(VLOOKUP($B781,'(勿動)組件目錄表'!$D$15:$R$1094,4,FALSE),"-")</f>
        <v>-</v>
      </c>
      <c r="F781" s="10" t="str">
        <f>IFERROR(VLOOKUP($B781,'(勿動)組件目錄表'!$D$15:$R$1094,5,FALSE),"-")</f>
        <v>-</v>
      </c>
      <c r="G781" s="11" t="str">
        <f>IFERROR(VLOOKUP($B781,'(勿動)組件目錄表'!$D$15:$R$1094,8,FALSE),"-")</f>
        <v>-</v>
      </c>
      <c r="H781" s="11" t="str">
        <f>IFERROR(VLOOKUP($B781,'(勿動)組件目錄表'!$D$15:$R$1094,9,FALSE),"-")</f>
        <v>-</v>
      </c>
      <c r="I781" s="11" t="str">
        <f>IFERROR(VLOOKUP($B781,'(勿動)組件目錄表'!$D$15:$R$1094,10,FALSE),"-")</f>
        <v>-</v>
      </c>
      <c r="J781" s="11" t="str">
        <f>IFERROR(VLOOKUP($B781,'(勿動)組件目錄表'!$D$15:$R$1094,11,FALSE),"-")</f>
        <v>-</v>
      </c>
      <c r="K781" s="11" t="str">
        <f>IFERROR(VLOOKUP($B781,'(勿動)組件目錄表'!$D$15:$R$1094,12,FALSE),"-")</f>
        <v>-</v>
      </c>
      <c r="L781" s="11" t="str">
        <f>IFERROR(VLOOKUP($B781,'(勿動)組件目錄表'!$D$15:$R$1094,13,FALSE),"-")</f>
        <v>-</v>
      </c>
      <c r="M781" s="11" t="str">
        <f>IFERROR(VLOOKUP($B781,'(勿動)組件目錄表'!$D$15:$R$1094,14,FALSE),"-")</f>
        <v>-</v>
      </c>
      <c r="N781" s="15">
        <f t="shared" si="3"/>
        <v>0</v>
      </c>
      <c r="O781" s="16"/>
    </row>
    <row r="782" spans="1:15" ht="15.75" customHeight="1">
      <c r="A782" s="18"/>
      <c r="B782" s="7"/>
      <c r="C782" s="8" t="str">
        <f>IFERROR(VLOOKUP($B782,'(勿動)組件目錄表'!$D$15:$R$1094,2,FALSE),"-")</f>
        <v>-</v>
      </c>
      <c r="D782" s="8" t="str">
        <f>IFERROR(VLOOKUP($B782,'(勿動)組件目錄表'!$D$15:$R$1094,3,FALSE),"-")</f>
        <v>-</v>
      </c>
      <c r="E782" s="9" t="str">
        <f>IFERROR(VLOOKUP($B782,'(勿動)組件目錄表'!$D$15:$R$1094,4,FALSE),"-")</f>
        <v>-</v>
      </c>
      <c r="F782" s="10" t="str">
        <f>IFERROR(VLOOKUP($B782,'(勿動)組件目錄表'!$D$15:$R$1094,5,FALSE),"-")</f>
        <v>-</v>
      </c>
      <c r="G782" s="11" t="str">
        <f>IFERROR(VLOOKUP($B782,'(勿動)組件目錄表'!$D$15:$R$1094,8,FALSE),"-")</f>
        <v>-</v>
      </c>
      <c r="H782" s="11" t="str">
        <f>IFERROR(VLOOKUP($B782,'(勿動)組件目錄表'!$D$15:$R$1094,9,FALSE),"-")</f>
        <v>-</v>
      </c>
      <c r="I782" s="11" t="str">
        <f>IFERROR(VLOOKUP($B782,'(勿動)組件目錄表'!$D$15:$R$1094,10,FALSE),"-")</f>
        <v>-</v>
      </c>
      <c r="J782" s="11" t="str">
        <f>IFERROR(VLOOKUP($B782,'(勿動)組件目錄表'!$D$15:$R$1094,11,FALSE),"-")</f>
        <v>-</v>
      </c>
      <c r="K782" s="11" t="str">
        <f>IFERROR(VLOOKUP($B782,'(勿動)組件目錄表'!$D$15:$R$1094,12,FALSE),"-")</f>
        <v>-</v>
      </c>
      <c r="L782" s="11" t="str">
        <f>IFERROR(VLOOKUP($B782,'(勿動)組件目錄表'!$D$15:$R$1094,13,FALSE),"-")</f>
        <v>-</v>
      </c>
      <c r="M782" s="11" t="str">
        <f>IFERROR(VLOOKUP($B782,'(勿動)組件目錄表'!$D$15:$R$1094,14,FALSE),"-")</f>
        <v>-</v>
      </c>
      <c r="N782" s="15">
        <f t="shared" si="3"/>
        <v>0</v>
      </c>
      <c r="O782" s="16"/>
    </row>
    <row r="783" spans="1:15" ht="15.75" customHeight="1">
      <c r="A783" s="18"/>
      <c r="B783" s="7"/>
      <c r="C783" s="8" t="str">
        <f>IFERROR(VLOOKUP($B783,'(勿動)組件目錄表'!$D$15:$R$1094,2,FALSE),"-")</f>
        <v>-</v>
      </c>
      <c r="D783" s="8" t="str">
        <f>IFERROR(VLOOKUP($B783,'(勿動)組件目錄表'!$D$15:$R$1094,3,FALSE),"-")</f>
        <v>-</v>
      </c>
      <c r="E783" s="9" t="str">
        <f>IFERROR(VLOOKUP($B783,'(勿動)組件目錄表'!$D$15:$R$1094,4,FALSE),"-")</f>
        <v>-</v>
      </c>
      <c r="F783" s="10" t="str">
        <f>IFERROR(VLOOKUP($B783,'(勿動)組件目錄表'!$D$15:$R$1094,5,FALSE),"-")</f>
        <v>-</v>
      </c>
      <c r="G783" s="11" t="str">
        <f>IFERROR(VLOOKUP($B783,'(勿動)組件目錄表'!$D$15:$R$1094,8,FALSE),"-")</f>
        <v>-</v>
      </c>
      <c r="H783" s="11" t="str">
        <f>IFERROR(VLOOKUP($B783,'(勿動)組件目錄表'!$D$15:$R$1094,9,FALSE),"-")</f>
        <v>-</v>
      </c>
      <c r="I783" s="11" t="str">
        <f>IFERROR(VLOOKUP($B783,'(勿動)組件目錄表'!$D$15:$R$1094,10,FALSE),"-")</f>
        <v>-</v>
      </c>
      <c r="J783" s="11" t="str">
        <f>IFERROR(VLOOKUP($B783,'(勿動)組件目錄表'!$D$15:$R$1094,11,FALSE),"-")</f>
        <v>-</v>
      </c>
      <c r="K783" s="11" t="str">
        <f>IFERROR(VLOOKUP($B783,'(勿動)組件目錄表'!$D$15:$R$1094,12,FALSE),"-")</f>
        <v>-</v>
      </c>
      <c r="L783" s="11" t="str">
        <f>IFERROR(VLOOKUP($B783,'(勿動)組件目錄表'!$D$15:$R$1094,13,FALSE),"-")</f>
        <v>-</v>
      </c>
      <c r="M783" s="11" t="str">
        <f>IFERROR(VLOOKUP($B783,'(勿動)組件目錄表'!$D$15:$R$1094,14,FALSE),"-")</f>
        <v>-</v>
      </c>
      <c r="N783" s="15">
        <f t="shared" si="3"/>
        <v>0</v>
      </c>
      <c r="O783" s="16"/>
    </row>
    <row r="784" spans="1:15" ht="15.75" customHeight="1">
      <c r="A784" s="18"/>
      <c r="B784" s="7"/>
      <c r="C784" s="8" t="str">
        <f>IFERROR(VLOOKUP($B784,'(勿動)組件目錄表'!$D$15:$R$1094,2,FALSE),"-")</f>
        <v>-</v>
      </c>
      <c r="D784" s="8" t="str">
        <f>IFERROR(VLOOKUP($B784,'(勿動)組件目錄表'!$D$15:$R$1094,3,FALSE),"-")</f>
        <v>-</v>
      </c>
      <c r="E784" s="9" t="str">
        <f>IFERROR(VLOOKUP($B784,'(勿動)組件目錄表'!$D$15:$R$1094,4,FALSE),"-")</f>
        <v>-</v>
      </c>
      <c r="F784" s="10" t="str">
        <f>IFERROR(VLOOKUP($B784,'(勿動)組件目錄表'!$D$15:$R$1094,5,FALSE),"-")</f>
        <v>-</v>
      </c>
      <c r="G784" s="11" t="str">
        <f>IFERROR(VLOOKUP($B784,'(勿動)組件目錄表'!$D$15:$R$1094,8,FALSE),"-")</f>
        <v>-</v>
      </c>
      <c r="H784" s="11" t="str">
        <f>IFERROR(VLOOKUP($B784,'(勿動)組件目錄表'!$D$15:$R$1094,9,FALSE),"-")</f>
        <v>-</v>
      </c>
      <c r="I784" s="11" t="str">
        <f>IFERROR(VLOOKUP($B784,'(勿動)組件目錄表'!$D$15:$R$1094,10,FALSE),"-")</f>
        <v>-</v>
      </c>
      <c r="J784" s="11" t="str">
        <f>IFERROR(VLOOKUP($B784,'(勿動)組件目錄表'!$D$15:$R$1094,11,FALSE),"-")</f>
        <v>-</v>
      </c>
      <c r="K784" s="11" t="str">
        <f>IFERROR(VLOOKUP($B784,'(勿動)組件目錄表'!$D$15:$R$1094,12,FALSE),"-")</f>
        <v>-</v>
      </c>
      <c r="L784" s="11" t="str">
        <f>IFERROR(VLOOKUP($B784,'(勿動)組件目錄表'!$D$15:$R$1094,13,FALSE),"-")</f>
        <v>-</v>
      </c>
      <c r="M784" s="11" t="str">
        <f>IFERROR(VLOOKUP($B784,'(勿動)組件目錄表'!$D$15:$R$1094,14,FALSE),"-")</f>
        <v>-</v>
      </c>
      <c r="N784" s="15">
        <f t="shared" si="3"/>
        <v>0</v>
      </c>
      <c r="O784" s="16"/>
    </row>
    <row r="785" spans="1:15" ht="15.75" customHeight="1">
      <c r="A785" s="18"/>
      <c r="B785" s="7"/>
      <c r="C785" s="8" t="str">
        <f>IFERROR(VLOOKUP($B785,'(勿動)組件目錄表'!$D$15:$R$1094,2,FALSE),"-")</f>
        <v>-</v>
      </c>
      <c r="D785" s="8" t="str">
        <f>IFERROR(VLOOKUP($B785,'(勿動)組件目錄表'!$D$15:$R$1094,3,FALSE),"-")</f>
        <v>-</v>
      </c>
      <c r="E785" s="9" t="str">
        <f>IFERROR(VLOOKUP($B785,'(勿動)組件目錄表'!$D$15:$R$1094,4,FALSE),"-")</f>
        <v>-</v>
      </c>
      <c r="F785" s="10" t="str">
        <f>IFERROR(VLOOKUP($B785,'(勿動)組件目錄表'!$D$15:$R$1094,5,FALSE),"-")</f>
        <v>-</v>
      </c>
      <c r="G785" s="11" t="str">
        <f>IFERROR(VLOOKUP($B785,'(勿動)組件目錄表'!$D$15:$R$1094,8,FALSE),"-")</f>
        <v>-</v>
      </c>
      <c r="H785" s="11" t="str">
        <f>IFERROR(VLOOKUP($B785,'(勿動)組件目錄表'!$D$15:$R$1094,9,FALSE),"-")</f>
        <v>-</v>
      </c>
      <c r="I785" s="11" t="str">
        <f>IFERROR(VLOOKUP($B785,'(勿動)組件目錄表'!$D$15:$R$1094,10,FALSE),"-")</f>
        <v>-</v>
      </c>
      <c r="J785" s="11" t="str">
        <f>IFERROR(VLOOKUP($B785,'(勿動)組件目錄表'!$D$15:$R$1094,11,FALSE),"-")</f>
        <v>-</v>
      </c>
      <c r="K785" s="11" t="str">
        <f>IFERROR(VLOOKUP($B785,'(勿動)組件目錄表'!$D$15:$R$1094,12,FALSE),"-")</f>
        <v>-</v>
      </c>
      <c r="L785" s="11" t="str">
        <f>IFERROR(VLOOKUP($B785,'(勿動)組件目錄表'!$D$15:$R$1094,13,FALSE),"-")</f>
        <v>-</v>
      </c>
      <c r="M785" s="11" t="str">
        <f>IFERROR(VLOOKUP($B785,'(勿動)組件目錄表'!$D$15:$R$1094,14,FALSE),"-")</f>
        <v>-</v>
      </c>
      <c r="N785" s="15">
        <f t="shared" si="3"/>
        <v>0</v>
      </c>
      <c r="O785" s="16"/>
    </row>
    <row r="786" spans="1:15" ht="15.75" customHeight="1">
      <c r="A786" s="18"/>
      <c r="B786" s="7"/>
      <c r="C786" s="8" t="str">
        <f>IFERROR(VLOOKUP($B786,'(勿動)組件目錄表'!$D$15:$R$1094,2,FALSE),"-")</f>
        <v>-</v>
      </c>
      <c r="D786" s="8" t="str">
        <f>IFERROR(VLOOKUP($B786,'(勿動)組件目錄表'!$D$15:$R$1094,3,FALSE),"-")</f>
        <v>-</v>
      </c>
      <c r="E786" s="9" t="str">
        <f>IFERROR(VLOOKUP($B786,'(勿動)組件目錄表'!$D$15:$R$1094,4,FALSE),"-")</f>
        <v>-</v>
      </c>
      <c r="F786" s="10" t="str">
        <f>IFERROR(VLOOKUP($B786,'(勿動)組件目錄表'!$D$15:$R$1094,5,FALSE),"-")</f>
        <v>-</v>
      </c>
      <c r="G786" s="11" t="str">
        <f>IFERROR(VLOOKUP($B786,'(勿動)組件目錄表'!$D$15:$R$1094,8,FALSE),"-")</f>
        <v>-</v>
      </c>
      <c r="H786" s="11" t="str">
        <f>IFERROR(VLOOKUP($B786,'(勿動)組件目錄表'!$D$15:$R$1094,9,FALSE),"-")</f>
        <v>-</v>
      </c>
      <c r="I786" s="11" t="str">
        <f>IFERROR(VLOOKUP($B786,'(勿動)組件目錄表'!$D$15:$R$1094,10,FALSE),"-")</f>
        <v>-</v>
      </c>
      <c r="J786" s="11" t="str">
        <f>IFERROR(VLOOKUP($B786,'(勿動)組件目錄表'!$D$15:$R$1094,11,FALSE),"-")</f>
        <v>-</v>
      </c>
      <c r="K786" s="11" t="str">
        <f>IFERROR(VLOOKUP($B786,'(勿動)組件目錄表'!$D$15:$R$1094,12,FALSE),"-")</f>
        <v>-</v>
      </c>
      <c r="L786" s="11" t="str">
        <f>IFERROR(VLOOKUP($B786,'(勿動)組件目錄表'!$D$15:$R$1094,13,FALSE),"-")</f>
        <v>-</v>
      </c>
      <c r="M786" s="11" t="str">
        <f>IFERROR(VLOOKUP($B786,'(勿動)組件目錄表'!$D$15:$R$1094,14,FALSE),"-")</f>
        <v>-</v>
      </c>
      <c r="N786" s="15">
        <f t="shared" si="3"/>
        <v>0</v>
      </c>
      <c r="O786" s="16"/>
    </row>
    <row r="787" spans="1:15" ht="15.75" customHeight="1">
      <c r="A787" s="18"/>
      <c r="B787" s="7"/>
      <c r="C787" s="8" t="str">
        <f>IFERROR(VLOOKUP($B787,'(勿動)組件目錄表'!$D$15:$R$1094,2,FALSE),"-")</f>
        <v>-</v>
      </c>
      <c r="D787" s="8" t="str">
        <f>IFERROR(VLOOKUP($B787,'(勿動)組件目錄表'!$D$15:$R$1094,3,FALSE),"-")</f>
        <v>-</v>
      </c>
      <c r="E787" s="9" t="str">
        <f>IFERROR(VLOOKUP($B787,'(勿動)組件目錄表'!$D$15:$R$1094,4,FALSE),"-")</f>
        <v>-</v>
      </c>
      <c r="F787" s="10" t="str">
        <f>IFERROR(VLOOKUP($B787,'(勿動)組件目錄表'!$D$15:$R$1094,5,FALSE),"-")</f>
        <v>-</v>
      </c>
      <c r="G787" s="11" t="str">
        <f>IFERROR(VLOOKUP($B787,'(勿動)組件目錄表'!$D$15:$R$1094,8,FALSE),"-")</f>
        <v>-</v>
      </c>
      <c r="H787" s="11" t="str">
        <f>IFERROR(VLOOKUP($B787,'(勿動)組件目錄表'!$D$15:$R$1094,9,FALSE),"-")</f>
        <v>-</v>
      </c>
      <c r="I787" s="11" t="str">
        <f>IFERROR(VLOOKUP($B787,'(勿動)組件目錄表'!$D$15:$R$1094,10,FALSE),"-")</f>
        <v>-</v>
      </c>
      <c r="J787" s="11" t="str">
        <f>IFERROR(VLOOKUP($B787,'(勿動)組件目錄表'!$D$15:$R$1094,11,FALSE),"-")</f>
        <v>-</v>
      </c>
      <c r="K787" s="11" t="str">
        <f>IFERROR(VLOOKUP($B787,'(勿動)組件目錄表'!$D$15:$R$1094,12,FALSE),"-")</f>
        <v>-</v>
      </c>
      <c r="L787" s="11" t="str">
        <f>IFERROR(VLOOKUP($B787,'(勿動)組件目錄表'!$D$15:$R$1094,13,FALSE),"-")</f>
        <v>-</v>
      </c>
      <c r="M787" s="11" t="str">
        <f>IFERROR(VLOOKUP($B787,'(勿動)組件目錄表'!$D$15:$R$1094,14,FALSE),"-")</f>
        <v>-</v>
      </c>
      <c r="N787" s="15">
        <f t="shared" si="3"/>
        <v>0</v>
      </c>
      <c r="O787" s="16"/>
    </row>
    <row r="788" spans="1:15" ht="15.75" customHeight="1">
      <c r="A788" s="18"/>
      <c r="B788" s="7"/>
      <c r="C788" s="8" t="str">
        <f>IFERROR(VLOOKUP($B788,'(勿動)組件目錄表'!$D$15:$R$1094,2,FALSE),"-")</f>
        <v>-</v>
      </c>
      <c r="D788" s="8" t="str">
        <f>IFERROR(VLOOKUP($B788,'(勿動)組件目錄表'!$D$15:$R$1094,3,FALSE),"-")</f>
        <v>-</v>
      </c>
      <c r="E788" s="9" t="str">
        <f>IFERROR(VLOOKUP($B788,'(勿動)組件目錄表'!$D$15:$R$1094,4,FALSE),"-")</f>
        <v>-</v>
      </c>
      <c r="F788" s="10" t="str">
        <f>IFERROR(VLOOKUP($B788,'(勿動)組件目錄表'!$D$15:$R$1094,5,FALSE),"-")</f>
        <v>-</v>
      </c>
      <c r="G788" s="11" t="str">
        <f>IFERROR(VLOOKUP($B788,'(勿動)組件目錄表'!$D$15:$R$1094,8,FALSE),"-")</f>
        <v>-</v>
      </c>
      <c r="H788" s="11" t="str">
        <f>IFERROR(VLOOKUP($B788,'(勿動)組件目錄表'!$D$15:$R$1094,9,FALSE),"-")</f>
        <v>-</v>
      </c>
      <c r="I788" s="11" t="str">
        <f>IFERROR(VLOOKUP($B788,'(勿動)組件目錄表'!$D$15:$R$1094,10,FALSE),"-")</f>
        <v>-</v>
      </c>
      <c r="J788" s="11" t="str">
        <f>IFERROR(VLOOKUP($B788,'(勿動)組件目錄表'!$D$15:$R$1094,11,FALSE),"-")</f>
        <v>-</v>
      </c>
      <c r="K788" s="11" t="str">
        <f>IFERROR(VLOOKUP($B788,'(勿動)組件目錄表'!$D$15:$R$1094,12,FALSE),"-")</f>
        <v>-</v>
      </c>
      <c r="L788" s="11" t="str">
        <f>IFERROR(VLOOKUP($B788,'(勿動)組件目錄表'!$D$15:$R$1094,13,FALSE),"-")</f>
        <v>-</v>
      </c>
      <c r="M788" s="11" t="str">
        <f>IFERROR(VLOOKUP($B788,'(勿動)組件目錄表'!$D$15:$R$1094,14,FALSE),"-")</f>
        <v>-</v>
      </c>
      <c r="N788" s="15">
        <f t="shared" si="3"/>
        <v>0</v>
      </c>
      <c r="O788" s="16"/>
    </row>
    <row r="789" spans="1:15" ht="15.75" customHeight="1">
      <c r="A789" s="18"/>
      <c r="B789" s="7"/>
      <c r="C789" s="8" t="str">
        <f>IFERROR(VLOOKUP($B789,'(勿動)組件目錄表'!$D$15:$R$1094,2,FALSE),"-")</f>
        <v>-</v>
      </c>
      <c r="D789" s="8" t="str">
        <f>IFERROR(VLOOKUP($B789,'(勿動)組件目錄表'!$D$15:$R$1094,3,FALSE),"-")</f>
        <v>-</v>
      </c>
      <c r="E789" s="9" t="str">
        <f>IFERROR(VLOOKUP($B789,'(勿動)組件目錄表'!$D$15:$R$1094,4,FALSE),"-")</f>
        <v>-</v>
      </c>
      <c r="F789" s="10" t="str">
        <f>IFERROR(VLOOKUP($B789,'(勿動)組件目錄表'!$D$15:$R$1094,5,FALSE),"-")</f>
        <v>-</v>
      </c>
      <c r="G789" s="11" t="str">
        <f>IFERROR(VLOOKUP($B789,'(勿動)組件目錄表'!$D$15:$R$1094,8,FALSE),"-")</f>
        <v>-</v>
      </c>
      <c r="H789" s="11" t="str">
        <f>IFERROR(VLOOKUP($B789,'(勿動)組件目錄表'!$D$15:$R$1094,9,FALSE),"-")</f>
        <v>-</v>
      </c>
      <c r="I789" s="11" t="str">
        <f>IFERROR(VLOOKUP($B789,'(勿動)組件目錄表'!$D$15:$R$1094,10,FALSE),"-")</f>
        <v>-</v>
      </c>
      <c r="J789" s="11" t="str">
        <f>IFERROR(VLOOKUP($B789,'(勿動)組件目錄表'!$D$15:$R$1094,11,FALSE),"-")</f>
        <v>-</v>
      </c>
      <c r="K789" s="11" t="str">
        <f>IFERROR(VLOOKUP($B789,'(勿動)組件目錄表'!$D$15:$R$1094,12,FALSE),"-")</f>
        <v>-</v>
      </c>
      <c r="L789" s="11" t="str">
        <f>IFERROR(VLOOKUP($B789,'(勿動)組件目錄表'!$D$15:$R$1094,13,FALSE),"-")</f>
        <v>-</v>
      </c>
      <c r="M789" s="11" t="str">
        <f>IFERROR(VLOOKUP($B789,'(勿動)組件目錄表'!$D$15:$R$1094,14,FALSE),"-")</f>
        <v>-</v>
      </c>
      <c r="N789" s="15">
        <f t="shared" si="3"/>
        <v>0</v>
      </c>
      <c r="O789" s="16"/>
    </row>
    <row r="790" spans="1:15" ht="15.75" customHeight="1">
      <c r="A790" s="18"/>
      <c r="B790" s="7"/>
      <c r="C790" s="8" t="str">
        <f>IFERROR(VLOOKUP($B790,'(勿動)組件目錄表'!$D$15:$R$1094,2,FALSE),"-")</f>
        <v>-</v>
      </c>
      <c r="D790" s="8" t="str">
        <f>IFERROR(VLOOKUP($B790,'(勿動)組件目錄表'!$D$15:$R$1094,3,FALSE),"-")</f>
        <v>-</v>
      </c>
      <c r="E790" s="9" t="str">
        <f>IFERROR(VLOOKUP($B790,'(勿動)組件目錄表'!$D$15:$R$1094,4,FALSE),"-")</f>
        <v>-</v>
      </c>
      <c r="F790" s="10" t="str">
        <f>IFERROR(VLOOKUP($B790,'(勿動)組件目錄表'!$D$15:$R$1094,5,FALSE),"-")</f>
        <v>-</v>
      </c>
      <c r="G790" s="11" t="str">
        <f>IFERROR(VLOOKUP($B790,'(勿動)組件目錄表'!$D$15:$R$1094,8,FALSE),"-")</f>
        <v>-</v>
      </c>
      <c r="H790" s="11" t="str">
        <f>IFERROR(VLOOKUP($B790,'(勿動)組件目錄表'!$D$15:$R$1094,9,FALSE),"-")</f>
        <v>-</v>
      </c>
      <c r="I790" s="11" t="str">
        <f>IFERROR(VLOOKUP($B790,'(勿動)組件目錄表'!$D$15:$R$1094,10,FALSE),"-")</f>
        <v>-</v>
      </c>
      <c r="J790" s="11" t="str">
        <f>IFERROR(VLOOKUP($B790,'(勿動)組件目錄表'!$D$15:$R$1094,11,FALSE),"-")</f>
        <v>-</v>
      </c>
      <c r="K790" s="11" t="str">
        <f>IFERROR(VLOOKUP($B790,'(勿動)組件目錄表'!$D$15:$R$1094,12,FALSE),"-")</f>
        <v>-</v>
      </c>
      <c r="L790" s="11" t="str">
        <f>IFERROR(VLOOKUP($B790,'(勿動)組件目錄表'!$D$15:$R$1094,13,FALSE),"-")</f>
        <v>-</v>
      </c>
      <c r="M790" s="11" t="str">
        <f>IFERROR(VLOOKUP($B790,'(勿動)組件目錄表'!$D$15:$R$1094,14,FALSE),"-")</f>
        <v>-</v>
      </c>
      <c r="N790" s="15">
        <f t="shared" si="3"/>
        <v>0</v>
      </c>
      <c r="O790" s="16"/>
    </row>
    <row r="791" spans="1:15" ht="15.75" customHeight="1">
      <c r="A791" s="18"/>
      <c r="B791" s="7"/>
      <c r="C791" s="8" t="str">
        <f>IFERROR(VLOOKUP($B791,'(勿動)組件目錄表'!$D$15:$R$1094,2,FALSE),"-")</f>
        <v>-</v>
      </c>
      <c r="D791" s="8" t="str">
        <f>IFERROR(VLOOKUP($B791,'(勿動)組件目錄表'!$D$15:$R$1094,3,FALSE),"-")</f>
        <v>-</v>
      </c>
      <c r="E791" s="9" t="str">
        <f>IFERROR(VLOOKUP($B791,'(勿動)組件目錄表'!$D$15:$R$1094,4,FALSE),"-")</f>
        <v>-</v>
      </c>
      <c r="F791" s="10" t="str">
        <f>IFERROR(VLOOKUP($B791,'(勿動)組件目錄表'!$D$15:$R$1094,5,FALSE),"-")</f>
        <v>-</v>
      </c>
      <c r="G791" s="11" t="str">
        <f>IFERROR(VLOOKUP($B791,'(勿動)組件目錄表'!$D$15:$R$1094,8,FALSE),"-")</f>
        <v>-</v>
      </c>
      <c r="H791" s="11" t="str">
        <f>IFERROR(VLOOKUP($B791,'(勿動)組件目錄表'!$D$15:$R$1094,9,FALSE),"-")</f>
        <v>-</v>
      </c>
      <c r="I791" s="11" t="str">
        <f>IFERROR(VLOOKUP($B791,'(勿動)組件目錄表'!$D$15:$R$1094,10,FALSE),"-")</f>
        <v>-</v>
      </c>
      <c r="J791" s="11" t="str">
        <f>IFERROR(VLOOKUP($B791,'(勿動)組件目錄表'!$D$15:$R$1094,11,FALSE),"-")</f>
        <v>-</v>
      </c>
      <c r="K791" s="11" t="str">
        <f>IFERROR(VLOOKUP($B791,'(勿動)組件目錄表'!$D$15:$R$1094,12,FALSE),"-")</f>
        <v>-</v>
      </c>
      <c r="L791" s="11" t="str">
        <f>IFERROR(VLOOKUP($B791,'(勿動)組件目錄表'!$D$15:$R$1094,13,FALSE),"-")</f>
        <v>-</v>
      </c>
      <c r="M791" s="11" t="str">
        <f>IFERROR(VLOOKUP($B791,'(勿動)組件目錄表'!$D$15:$R$1094,14,FALSE),"-")</f>
        <v>-</v>
      </c>
      <c r="N791" s="15">
        <f t="shared" si="3"/>
        <v>0</v>
      </c>
      <c r="O791" s="16"/>
    </row>
    <row r="792" spans="1:15" ht="15.75" customHeight="1">
      <c r="A792" s="18"/>
      <c r="B792" s="7"/>
      <c r="C792" s="8" t="str">
        <f>IFERROR(VLOOKUP($B792,'(勿動)組件目錄表'!$D$15:$R$1094,2,FALSE),"-")</f>
        <v>-</v>
      </c>
      <c r="D792" s="8" t="str">
        <f>IFERROR(VLOOKUP($B792,'(勿動)組件目錄表'!$D$15:$R$1094,3,FALSE),"-")</f>
        <v>-</v>
      </c>
      <c r="E792" s="9" t="str">
        <f>IFERROR(VLOOKUP($B792,'(勿動)組件目錄表'!$D$15:$R$1094,4,FALSE),"-")</f>
        <v>-</v>
      </c>
      <c r="F792" s="10" t="str">
        <f>IFERROR(VLOOKUP($B792,'(勿動)組件目錄表'!$D$15:$R$1094,5,FALSE),"-")</f>
        <v>-</v>
      </c>
      <c r="G792" s="11" t="str">
        <f>IFERROR(VLOOKUP($B792,'(勿動)組件目錄表'!$D$15:$R$1094,8,FALSE),"-")</f>
        <v>-</v>
      </c>
      <c r="H792" s="11" t="str">
        <f>IFERROR(VLOOKUP($B792,'(勿動)組件目錄表'!$D$15:$R$1094,9,FALSE),"-")</f>
        <v>-</v>
      </c>
      <c r="I792" s="11" t="str">
        <f>IFERROR(VLOOKUP($B792,'(勿動)組件目錄表'!$D$15:$R$1094,10,FALSE),"-")</f>
        <v>-</v>
      </c>
      <c r="J792" s="11" t="str">
        <f>IFERROR(VLOOKUP($B792,'(勿動)組件目錄表'!$D$15:$R$1094,11,FALSE),"-")</f>
        <v>-</v>
      </c>
      <c r="K792" s="11" t="str">
        <f>IFERROR(VLOOKUP($B792,'(勿動)組件目錄表'!$D$15:$R$1094,12,FALSE),"-")</f>
        <v>-</v>
      </c>
      <c r="L792" s="11" t="str">
        <f>IFERROR(VLOOKUP($B792,'(勿動)組件目錄表'!$D$15:$R$1094,13,FALSE),"-")</f>
        <v>-</v>
      </c>
      <c r="M792" s="11" t="str">
        <f>IFERROR(VLOOKUP($B792,'(勿動)組件目錄表'!$D$15:$R$1094,14,FALSE),"-")</f>
        <v>-</v>
      </c>
      <c r="N792" s="15">
        <f t="shared" si="3"/>
        <v>0</v>
      </c>
      <c r="O792" s="16"/>
    </row>
    <row r="793" spans="1:15" ht="15.75" customHeight="1">
      <c r="A793" s="18"/>
      <c r="B793" s="7"/>
      <c r="C793" s="8" t="str">
        <f>IFERROR(VLOOKUP($B793,'(勿動)組件目錄表'!$D$15:$R$1094,2,FALSE),"-")</f>
        <v>-</v>
      </c>
      <c r="D793" s="8" t="str">
        <f>IFERROR(VLOOKUP($B793,'(勿動)組件目錄表'!$D$15:$R$1094,3,FALSE),"-")</f>
        <v>-</v>
      </c>
      <c r="E793" s="9" t="str">
        <f>IFERROR(VLOOKUP($B793,'(勿動)組件目錄表'!$D$15:$R$1094,4,FALSE),"-")</f>
        <v>-</v>
      </c>
      <c r="F793" s="10" t="str">
        <f>IFERROR(VLOOKUP($B793,'(勿動)組件目錄表'!$D$15:$R$1094,5,FALSE),"-")</f>
        <v>-</v>
      </c>
      <c r="G793" s="11" t="str">
        <f>IFERROR(VLOOKUP($B793,'(勿動)組件目錄表'!$D$15:$R$1094,8,FALSE),"-")</f>
        <v>-</v>
      </c>
      <c r="H793" s="11" t="str">
        <f>IFERROR(VLOOKUP($B793,'(勿動)組件目錄表'!$D$15:$R$1094,9,FALSE),"-")</f>
        <v>-</v>
      </c>
      <c r="I793" s="11" t="str">
        <f>IFERROR(VLOOKUP($B793,'(勿動)組件目錄表'!$D$15:$R$1094,10,FALSE),"-")</f>
        <v>-</v>
      </c>
      <c r="J793" s="11" t="str">
        <f>IFERROR(VLOOKUP($B793,'(勿動)組件目錄表'!$D$15:$R$1094,11,FALSE),"-")</f>
        <v>-</v>
      </c>
      <c r="K793" s="11" t="str">
        <f>IFERROR(VLOOKUP($B793,'(勿動)組件目錄表'!$D$15:$R$1094,12,FALSE),"-")</f>
        <v>-</v>
      </c>
      <c r="L793" s="11" t="str">
        <f>IFERROR(VLOOKUP($B793,'(勿動)組件目錄表'!$D$15:$R$1094,13,FALSE),"-")</f>
        <v>-</v>
      </c>
      <c r="M793" s="11" t="str">
        <f>IFERROR(VLOOKUP($B793,'(勿動)組件目錄表'!$D$15:$R$1094,14,FALSE),"-")</f>
        <v>-</v>
      </c>
      <c r="N793" s="15">
        <f t="shared" si="3"/>
        <v>0</v>
      </c>
      <c r="O793" s="16"/>
    </row>
    <row r="794" spans="1:15" ht="15.75" customHeight="1">
      <c r="A794" s="18"/>
      <c r="B794" s="7"/>
      <c r="C794" s="8" t="str">
        <f>IFERROR(VLOOKUP($B794,'(勿動)組件目錄表'!$D$15:$R$1094,2,FALSE),"-")</f>
        <v>-</v>
      </c>
      <c r="D794" s="8" t="str">
        <f>IFERROR(VLOOKUP($B794,'(勿動)組件目錄表'!$D$15:$R$1094,3,FALSE),"-")</f>
        <v>-</v>
      </c>
      <c r="E794" s="9" t="str">
        <f>IFERROR(VLOOKUP($B794,'(勿動)組件目錄表'!$D$15:$R$1094,4,FALSE),"-")</f>
        <v>-</v>
      </c>
      <c r="F794" s="10" t="str">
        <f>IFERROR(VLOOKUP($B794,'(勿動)組件目錄表'!$D$15:$R$1094,5,FALSE),"-")</f>
        <v>-</v>
      </c>
      <c r="G794" s="11" t="str">
        <f>IFERROR(VLOOKUP($B794,'(勿動)組件目錄表'!$D$15:$R$1094,8,FALSE),"-")</f>
        <v>-</v>
      </c>
      <c r="H794" s="11" t="str">
        <f>IFERROR(VLOOKUP($B794,'(勿動)組件目錄表'!$D$15:$R$1094,9,FALSE),"-")</f>
        <v>-</v>
      </c>
      <c r="I794" s="11" t="str">
        <f>IFERROR(VLOOKUP($B794,'(勿動)組件目錄表'!$D$15:$R$1094,10,FALSE),"-")</f>
        <v>-</v>
      </c>
      <c r="J794" s="11" t="str">
        <f>IFERROR(VLOOKUP($B794,'(勿動)組件目錄表'!$D$15:$R$1094,11,FALSE),"-")</f>
        <v>-</v>
      </c>
      <c r="K794" s="11" t="str">
        <f>IFERROR(VLOOKUP($B794,'(勿動)組件目錄表'!$D$15:$R$1094,12,FALSE),"-")</f>
        <v>-</v>
      </c>
      <c r="L794" s="11" t="str">
        <f>IFERROR(VLOOKUP($B794,'(勿動)組件目錄表'!$D$15:$R$1094,13,FALSE),"-")</f>
        <v>-</v>
      </c>
      <c r="M794" s="11" t="str">
        <f>IFERROR(VLOOKUP($B794,'(勿動)組件目錄表'!$D$15:$R$1094,14,FALSE),"-")</f>
        <v>-</v>
      </c>
      <c r="N794" s="15">
        <f t="shared" si="3"/>
        <v>0</v>
      </c>
      <c r="O794" s="16"/>
    </row>
    <row r="795" spans="1:15" ht="15.75" customHeight="1">
      <c r="A795" s="18"/>
      <c r="B795" s="7"/>
      <c r="C795" s="8" t="str">
        <f>IFERROR(VLOOKUP($B795,'(勿動)組件目錄表'!$D$15:$R$1094,2,FALSE),"-")</f>
        <v>-</v>
      </c>
      <c r="D795" s="8" t="str">
        <f>IFERROR(VLOOKUP($B795,'(勿動)組件目錄表'!$D$15:$R$1094,3,FALSE),"-")</f>
        <v>-</v>
      </c>
      <c r="E795" s="9" t="str">
        <f>IFERROR(VLOOKUP($B795,'(勿動)組件目錄表'!$D$15:$R$1094,4,FALSE),"-")</f>
        <v>-</v>
      </c>
      <c r="F795" s="10" t="str">
        <f>IFERROR(VLOOKUP($B795,'(勿動)組件目錄表'!$D$15:$R$1094,5,FALSE),"-")</f>
        <v>-</v>
      </c>
      <c r="G795" s="11" t="str">
        <f>IFERROR(VLOOKUP($B795,'(勿動)組件目錄表'!$D$15:$R$1094,8,FALSE),"-")</f>
        <v>-</v>
      </c>
      <c r="H795" s="11" t="str">
        <f>IFERROR(VLOOKUP($B795,'(勿動)組件目錄表'!$D$15:$R$1094,9,FALSE),"-")</f>
        <v>-</v>
      </c>
      <c r="I795" s="11" t="str">
        <f>IFERROR(VLOOKUP($B795,'(勿動)組件目錄表'!$D$15:$R$1094,10,FALSE),"-")</f>
        <v>-</v>
      </c>
      <c r="J795" s="11" t="str">
        <f>IFERROR(VLOOKUP($B795,'(勿動)組件目錄表'!$D$15:$R$1094,11,FALSE),"-")</f>
        <v>-</v>
      </c>
      <c r="K795" s="11" t="str">
        <f>IFERROR(VLOOKUP($B795,'(勿動)組件目錄表'!$D$15:$R$1094,12,FALSE),"-")</f>
        <v>-</v>
      </c>
      <c r="L795" s="11" t="str">
        <f>IFERROR(VLOOKUP($B795,'(勿動)組件目錄表'!$D$15:$R$1094,13,FALSE),"-")</f>
        <v>-</v>
      </c>
      <c r="M795" s="11" t="str">
        <f>IFERROR(VLOOKUP($B795,'(勿動)組件目錄表'!$D$15:$R$1094,14,FALSE),"-")</f>
        <v>-</v>
      </c>
      <c r="N795" s="15">
        <f t="shared" si="3"/>
        <v>0</v>
      </c>
      <c r="O795" s="16"/>
    </row>
    <row r="796" spans="1:15" ht="15.75" customHeight="1">
      <c r="A796" s="18"/>
      <c r="B796" s="7"/>
      <c r="C796" s="8" t="str">
        <f>IFERROR(VLOOKUP($B796,'(勿動)組件目錄表'!$D$15:$R$1094,2,FALSE),"-")</f>
        <v>-</v>
      </c>
      <c r="D796" s="8" t="str">
        <f>IFERROR(VLOOKUP($B796,'(勿動)組件目錄表'!$D$15:$R$1094,3,FALSE),"-")</f>
        <v>-</v>
      </c>
      <c r="E796" s="9" t="str">
        <f>IFERROR(VLOOKUP($B796,'(勿動)組件目錄表'!$D$15:$R$1094,4,FALSE),"-")</f>
        <v>-</v>
      </c>
      <c r="F796" s="10" t="str">
        <f>IFERROR(VLOOKUP($B796,'(勿動)組件目錄表'!$D$15:$R$1094,5,FALSE),"-")</f>
        <v>-</v>
      </c>
      <c r="G796" s="11" t="str">
        <f>IFERROR(VLOOKUP($B796,'(勿動)組件目錄表'!$D$15:$R$1094,8,FALSE),"-")</f>
        <v>-</v>
      </c>
      <c r="H796" s="11" t="str">
        <f>IFERROR(VLOOKUP($B796,'(勿動)組件目錄表'!$D$15:$R$1094,9,FALSE),"-")</f>
        <v>-</v>
      </c>
      <c r="I796" s="11" t="str">
        <f>IFERROR(VLOOKUP($B796,'(勿動)組件目錄表'!$D$15:$R$1094,10,FALSE),"-")</f>
        <v>-</v>
      </c>
      <c r="J796" s="11" t="str">
        <f>IFERROR(VLOOKUP($B796,'(勿動)組件目錄表'!$D$15:$R$1094,11,FALSE),"-")</f>
        <v>-</v>
      </c>
      <c r="K796" s="11" t="str">
        <f>IFERROR(VLOOKUP($B796,'(勿動)組件目錄表'!$D$15:$R$1094,12,FALSE),"-")</f>
        <v>-</v>
      </c>
      <c r="L796" s="11" t="str">
        <f>IFERROR(VLOOKUP($B796,'(勿動)組件目錄表'!$D$15:$R$1094,13,FALSE),"-")</f>
        <v>-</v>
      </c>
      <c r="M796" s="11" t="str">
        <f>IFERROR(VLOOKUP($B796,'(勿動)組件目錄表'!$D$15:$R$1094,14,FALSE),"-")</f>
        <v>-</v>
      </c>
      <c r="N796" s="15">
        <f t="shared" si="3"/>
        <v>0</v>
      </c>
      <c r="O796" s="16"/>
    </row>
    <row r="797" spans="1:15" ht="15.75" customHeight="1">
      <c r="A797" s="18"/>
      <c r="B797" s="7"/>
      <c r="C797" s="8" t="str">
        <f>IFERROR(VLOOKUP($B797,'(勿動)組件目錄表'!$D$15:$R$1094,2,FALSE),"-")</f>
        <v>-</v>
      </c>
      <c r="D797" s="8" t="str">
        <f>IFERROR(VLOOKUP($B797,'(勿動)組件目錄表'!$D$15:$R$1094,3,FALSE),"-")</f>
        <v>-</v>
      </c>
      <c r="E797" s="9" t="str">
        <f>IFERROR(VLOOKUP($B797,'(勿動)組件目錄表'!$D$15:$R$1094,4,FALSE),"-")</f>
        <v>-</v>
      </c>
      <c r="F797" s="10" t="str">
        <f>IFERROR(VLOOKUP($B797,'(勿動)組件目錄表'!$D$15:$R$1094,5,FALSE),"-")</f>
        <v>-</v>
      </c>
      <c r="G797" s="11" t="str">
        <f>IFERROR(VLOOKUP($B797,'(勿動)組件目錄表'!$D$15:$R$1094,8,FALSE),"-")</f>
        <v>-</v>
      </c>
      <c r="H797" s="11" t="str">
        <f>IFERROR(VLOOKUP($B797,'(勿動)組件目錄表'!$D$15:$R$1094,9,FALSE),"-")</f>
        <v>-</v>
      </c>
      <c r="I797" s="11" t="str">
        <f>IFERROR(VLOOKUP($B797,'(勿動)組件目錄表'!$D$15:$R$1094,10,FALSE),"-")</f>
        <v>-</v>
      </c>
      <c r="J797" s="11" t="str">
        <f>IFERROR(VLOOKUP($B797,'(勿動)組件目錄表'!$D$15:$R$1094,11,FALSE),"-")</f>
        <v>-</v>
      </c>
      <c r="K797" s="11" t="str">
        <f>IFERROR(VLOOKUP($B797,'(勿動)組件目錄表'!$D$15:$R$1094,12,FALSE),"-")</f>
        <v>-</v>
      </c>
      <c r="L797" s="11" t="str">
        <f>IFERROR(VLOOKUP($B797,'(勿動)組件目錄表'!$D$15:$R$1094,13,FALSE),"-")</f>
        <v>-</v>
      </c>
      <c r="M797" s="11" t="str">
        <f>IFERROR(VLOOKUP($B797,'(勿動)組件目錄表'!$D$15:$R$1094,14,FALSE),"-")</f>
        <v>-</v>
      </c>
      <c r="N797" s="15">
        <f t="shared" si="3"/>
        <v>0</v>
      </c>
      <c r="O797" s="16"/>
    </row>
    <row r="798" spans="1:15" ht="15.75" customHeight="1">
      <c r="A798" s="18"/>
      <c r="B798" s="7"/>
      <c r="C798" s="8" t="str">
        <f>IFERROR(VLOOKUP($B798,'(勿動)組件目錄表'!$D$15:$R$1094,2,FALSE),"-")</f>
        <v>-</v>
      </c>
      <c r="D798" s="8" t="str">
        <f>IFERROR(VLOOKUP($B798,'(勿動)組件目錄表'!$D$15:$R$1094,3,FALSE),"-")</f>
        <v>-</v>
      </c>
      <c r="E798" s="9" t="str">
        <f>IFERROR(VLOOKUP($B798,'(勿動)組件目錄表'!$D$15:$R$1094,4,FALSE),"-")</f>
        <v>-</v>
      </c>
      <c r="F798" s="10" t="str">
        <f>IFERROR(VLOOKUP($B798,'(勿動)組件目錄表'!$D$15:$R$1094,5,FALSE),"-")</f>
        <v>-</v>
      </c>
      <c r="G798" s="11" t="str">
        <f>IFERROR(VLOOKUP($B798,'(勿動)組件目錄表'!$D$15:$R$1094,8,FALSE),"-")</f>
        <v>-</v>
      </c>
      <c r="H798" s="11" t="str">
        <f>IFERROR(VLOOKUP($B798,'(勿動)組件目錄表'!$D$15:$R$1094,9,FALSE),"-")</f>
        <v>-</v>
      </c>
      <c r="I798" s="11" t="str">
        <f>IFERROR(VLOOKUP($B798,'(勿動)組件目錄表'!$D$15:$R$1094,10,FALSE),"-")</f>
        <v>-</v>
      </c>
      <c r="J798" s="11" t="str">
        <f>IFERROR(VLOOKUP($B798,'(勿動)組件目錄表'!$D$15:$R$1094,11,FALSE),"-")</f>
        <v>-</v>
      </c>
      <c r="K798" s="11" t="str">
        <f>IFERROR(VLOOKUP($B798,'(勿動)組件目錄表'!$D$15:$R$1094,12,FALSE),"-")</f>
        <v>-</v>
      </c>
      <c r="L798" s="11" t="str">
        <f>IFERROR(VLOOKUP($B798,'(勿動)組件目錄表'!$D$15:$R$1094,13,FALSE),"-")</f>
        <v>-</v>
      </c>
      <c r="M798" s="11" t="str">
        <f>IFERROR(VLOOKUP($B798,'(勿動)組件目錄表'!$D$15:$R$1094,14,FALSE),"-")</f>
        <v>-</v>
      </c>
      <c r="N798" s="15">
        <f t="shared" si="3"/>
        <v>0</v>
      </c>
      <c r="O798" s="16"/>
    </row>
    <row r="799" spans="1:15" ht="15.75" customHeight="1">
      <c r="A799" s="18"/>
      <c r="B799" s="7"/>
      <c r="C799" s="8" t="str">
        <f>IFERROR(VLOOKUP($B799,'(勿動)組件目錄表'!$D$15:$R$1094,2,FALSE),"-")</f>
        <v>-</v>
      </c>
      <c r="D799" s="8" t="str">
        <f>IFERROR(VLOOKUP($B799,'(勿動)組件目錄表'!$D$15:$R$1094,3,FALSE),"-")</f>
        <v>-</v>
      </c>
      <c r="E799" s="9" t="str">
        <f>IFERROR(VLOOKUP($B799,'(勿動)組件目錄表'!$D$15:$R$1094,4,FALSE),"-")</f>
        <v>-</v>
      </c>
      <c r="F799" s="10" t="str">
        <f>IFERROR(VLOOKUP($B799,'(勿動)組件目錄表'!$D$15:$R$1094,5,FALSE),"-")</f>
        <v>-</v>
      </c>
      <c r="G799" s="11" t="str">
        <f>IFERROR(VLOOKUP($B799,'(勿動)組件目錄表'!$D$15:$R$1094,8,FALSE),"-")</f>
        <v>-</v>
      </c>
      <c r="H799" s="11" t="str">
        <f>IFERROR(VLOOKUP($B799,'(勿動)組件目錄表'!$D$15:$R$1094,9,FALSE),"-")</f>
        <v>-</v>
      </c>
      <c r="I799" s="11" t="str">
        <f>IFERROR(VLOOKUP($B799,'(勿動)組件目錄表'!$D$15:$R$1094,10,FALSE),"-")</f>
        <v>-</v>
      </c>
      <c r="J799" s="11" t="str">
        <f>IFERROR(VLOOKUP($B799,'(勿動)組件目錄表'!$D$15:$R$1094,11,FALSE),"-")</f>
        <v>-</v>
      </c>
      <c r="K799" s="11" t="str">
        <f>IFERROR(VLOOKUP($B799,'(勿動)組件目錄表'!$D$15:$R$1094,12,FALSE),"-")</f>
        <v>-</v>
      </c>
      <c r="L799" s="11" t="str">
        <f>IFERROR(VLOOKUP($B799,'(勿動)組件目錄表'!$D$15:$R$1094,13,FALSE),"-")</f>
        <v>-</v>
      </c>
      <c r="M799" s="11" t="str">
        <f>IFERROR(VLOOKUP($B799,'(勿動)組件目錄表'!$D$15:$R$1094,14,FALSE),"-")</f>
        <v>-</v>
      </c>
      <c r="N799" s="15">
        <f t="shared" si="3"/>
        <v>0</v>
      </c>
      <c r="O799" s="16"/>
    </row>
    <row r="800" spans="1:15" ht="15.75" customHeight="1">
      <c r="A800" s="18"/>
      <c r="B800" s="7"/>
      <c r="C800" s="8" t="str">
        <f>IFERROR(VLOOKUP($B800,'(勿動)組件目錄表'!$D$15:$R$1094,2,FALSE),"-")</f>
        <v>-</v>
      </c>
      <c r="D800" s="8" t="str">
        <f>IFERROR(VLOOKUP($B800,'(勿動)組件目錄表'!$D$15:$R$1094,3,FALSE),"-")</f>
        <v>-</v>
      </c>
      <c r="E800" s="9" t="str">
        <f>IFERROR(VLOOKUP($B800,'(勿動)組件目錄表'!$D$15:$R$1094,4,FALSE),"-")</f>
        <v>-</v>
      </c>
      <c r="F800" s="10" t="str">
        <f>IFERROR(VLOOKUP($B800,'(勿動)組件目錄表'!$D$15:$R$1094,5,FALSE),"-")</f>
        <v>-</v>
      </c>
      <c r="G800" s="11" t="str">
        <f>IFERROR(VLOOKUP($B800,'(勿動)組件目錄表'!$D$15:$R$1094,8,FALSE),"-")</f>
        <v>-</v>
      </c>
      <c r="H800" s="11" t="str">
        <f>IFERROR(VLOOKUP($B800,'(勿動)組件目錄表'!$D$15:$R$1094,9,FALSE),"-")</f>
        <v>-</v>
      </c>
      <c r="I800" s="11" t="str">
        <f>IFERROR(VLOOKUP($B800,'(勿動)組件目錄表'!$D$15:$R$1094,10,FALSE),"-")</f>
        <v>-</v>
      </c>
      <c r="J800" s="11" t="str">
        <f>IFERROR(VLOOKUP($B800,'(勿動)組件目錄表'!$D$15:$R$1094,11,FALSE),"-")</f>
        <v>-</v>
      </c>
      <c r="K800" s="11" t="str">
        <f>IFERROR(VLOOKUP($B800,'(勿動)組件目錄表'!$D$15:$R$1094,12,FALSE),"-")</f>
        <v>-</v>
      </c>
      <c r="L800" s="11" t="str">
        <f>IFERROR(VLOOKUP($B800,'(勿動)組件目錄表'!$D$15:$R$1094,13,FALSE),"-")</f>
        <v>-</v>
      </c>
      <c r="M800" s="11" t="str">
        <f>IFERROR(VLOOKUP($B800,'(勿動)組件目錄表'!$D$15:$R$1094,14,FALSE),"-")</f>
        <v>-</v>
      </c>
      <c r="N800" s="15">
        <f t="shared" si="3"/>
        <v>0</v>
      </c>
      <c r="O800" s="16"/>
    </row>
    <row r="801" spans="1:15" ht="15.75" customHeight="1">
      <c r="A801" s="18"/>
      <c r="B801" s="7"/>
      <c r="C801" s="8" t="str">
        <f>IFERROR(VLOOKUP($B801,'(勿動)組件目錄表'!$D$15:$R$1094,2,FALSE),"-")</f>
        <v>-</v>
      </c>
      <c r="D801" s="8" t="str">
        <f>IFERROR(VLOOKUP($B801,'(勿動)組件目錄表'!$D$15:$R$1094,3,FALSE),"-")</f>
        <v>-</v>
      </c>
      <c r="E801" s="9" t="str">
        <f>IFERROR(VLOOKUP($B801,'(勿動)組件目錄表'!$D$15:$R$1094,4,FALSE),"-")</f>
        <v>-</v>
      </c>
      <c r="F801" s="10" t="str">
        <f>IFERROR(VLOOKUP($B801,'(勿動)組件目錄表'!$D$15:$R$1094,5,FALSE),"-")</f>
        <v>-</v>
      </c>
      <c r="G801" s="11" t="str">
        <f>IFERROR(VLOOKUP($B801,'(勿動)組件目錄表'!$D$15:$R$1094,8,FALSE),"-")</f>
        <v>-</v>
      </c>
      <c r="H801" s="11" t="str">
        <f>IFERROR(VLOOKUP($B801,'(勿動)組件目錄表'!$D$15:$R$1094,9,FALSE),"-")</f>
        <v>-</v>
      </c>
      <c r="I801" s="11" t="str">
        <f>IFERROR(VLOOKUP($B801,'(勿動)組件目錄表'!$D$15:$R$1094,10,FALSE),"-")</f>
        <v>-</v>
      </c>
      <c r="J801" s="11" t="str">
        <f>IFERROR(VLOOKUP($B801,'(勿動)組件目錄表'!$D$15:$R$1094,11,FALSE),"-")</f>
        <v>-</v>
      </c>
      <c r="K801" s="11" t="str">
        <f>IFERROR(VLOOKUP($B801,'(勿動)組件目錄表'!$D$15:$R$1094,12,FALSE),"-")</f>
        <v>-</v>
      </c>
      <c r="L801" s="11" t="str">
        <f>IFERROR(VLOOKUP($B801,'(勿動)組件目錄表'!$D$15:$R$1094,13,FALSE),"-")</f>
        <v>-</v>
      </c>
      <c r="M801" s="11" t="str">
        <f>IFERROR(VLOOKUP($B801,'(勿動)組件目錄表'!$D$15:$R$1094,14,FALSE),"-")</f>
        <v>-</v>
      </c>
      <c r="N801" s="15">
        <f t="shared" si="3"/>
        <v>0</v>
      </c>
      <c r="O801" s="16"/>
    </row>
    <row r="802" spans="1:15" ht="15.75" customHeight="1">
      <c r="A802" s="18"/>
      <c r="B802" s="7"/>
      <c r="C802" s="8" t="str">
        <f>IFERROR(VLOOKUP($B802,'(勿動)組件目錄表'!$D$15:$R$1094,2,FALSE),"-")</f>
        <v>-</v>
      </c>
      <c r="D802" s="8" t="str">
        <f>IFERROR(VLOOKUP($B802,'(勿動)組件目錄表'!$D$15:$R$1094,3,FALSE),"-")</f>
        <v>-</v>
      </c>
      <c r="E802" s="9" t="str">
        <f>IFERROR(VLOOKUP($B802,'(勿動)組件目錄表'!$D$15:$R$1094,4,FALSE),"-")</f>
        <v>-</v>
      </c>
      <c r="F802" s="10" t="str">
        <f>IFERROR(VLOOKUP($B802,'(勿動)組件目錄表'!$D$15:$R$1094,5,FALSE),"-")</f>
        <v>-</v>
      </c>
      <c r="G802" s="11" t="str">
        <f>IFERROR(VLOOKUP($B802,'(勿動)組件目錄表'!$D$15:$R$1094,8,FALSE),"-")</f>
        <v>-</v>
      </c>
      <c r="H802" s="11" t="str">
        <f>IFERROR(VLOOKUP($B802,'(勿動)組件目錄表'!$D$15:$R$1094,9,FALSE),"-")</f>
        <v>-</v>
      </c>
      <c r="I802" s="11" t="str">
        <f>IFERROR(VLOOKUP($B802,'(勿動)組件目錄表'!$D$15:$R$1094,10,FALSE),"-")</f>
        <v>-</v>
      </c>
      <c r="J802" s="11" t="str">
        <f>IFERROR(VLOOKUP($B802,'(勿動)組件目錄表'!$D$15:$R$1094,11,FALSE),"-")</f>
        <v>-</v>
      </c>
      <c r="K802" s="11" t="str">
        <f>IFERROR(VLOOKUP($B802,'(勿動)組件目錄表'!$D$15:$R$1094,12,FALSE),"-")</f>
        <v>-</v>
      </c>
      <c r="L802" s="11" t="str">
        <f>IFERROR(VLOOKUP($B802,'(勿動)組件目錄表'!$D$15:$R$1094,13,FALSE),"-")</f>
        <v>-</v>
      </c>
      <c r="M802" s="11" t="str">
        <f>IFERROR(VLOOKUP($B802,'(勿動)組件目錄表'!$D$15:$R$1094,14,FALSE),"-")</f>
        <v>-</v>
      </c>
      <c r="N802" s="15">
        <f t="shared" si="3"/>
        <v>0</v>
      </c>
      <c r="O802" s="16"/>
    </row>
    <row r="803" spans="1:15" ht="15.75" customHeight="1">
      <c r="A803" s="18"/>
      <c r="B803" s="7"/>
      <c r="C803" s="8" t="str">
        <f>IFERROR(VLOOKUP($B803,'(勿動)組件目錄表'!$D$15:$R$1094,2,FALSE),"-")</f>
        <v>-</v>
      </c>
      <c r="D803" s="8" t="str">
        <f>IFERROR(VLOOKUP($B803,'(勿動)組件目錄表'!$D$15:$R$1094,3,FALSE),"-")</f>
        <v>-</v>
      </c>
      <c r="E803" s="9" t="str">
        <f>IFERROR(VLOOKUP($B803,'(勿動)組件目錄表'!$D$15:$R$1094,4,FALSE),"-")</f>
        <v>-</v>
      </c>
      <c r="F803" s="10" t="str">
        <f>IFERROR(VLOOKUP($B803,'(勿動)組件目錄表'!$D$15:$R$1094,5,FALSE),"-")</f>
        <v>-</v>
      </c>
      <c r="G803" s="11" t="str">
        <f>IFERROR(VLOOKUP($B803,'(勿動)組件目錄表'!$D$15:$R$1094,8,FALSE),"-")</f>
        <v>-</v>
      </c>
      <c r="H803" s="11" t="str">
        <f>IFERROR(VLOOKUP($B803,'(勿動)組件目錄表'!$D$15:$R$1094,9,FALSE),"-")</f>
        <v>-</v>
      </c>
      <c r="I803" s="11" t="str">
        <f>IFERROR(VLOOKUP($B803,'(勿動)組件目錄表'!$D$15:$R$1094,10,FALSE),"-")</f>
        <v>-</v>
      </c>
      <c r="J803" s="11" t="str">
        <f>IFERROR(VLOOKUP($B803,'(勿動)組件目錄表'!$D$15:$R$1094,11,FALSE),"-")</f>
        <v>-</v>
      </c>
      <c r="K803" s="11" t="str">
        <f>IFERROR(VLOOKUP($B803,'(勿動)組件目錄表'!$D$15:$R$1094,12,FALSE),"-")</f>
        <v>-</v>
      </c>
      <c r="L803" s="11" t="str">
        <f>IFERROR(VLOOKUP($B803,'(勿動)組件目錄表'!$D$15:$R$1094,13,FALSE),"-")</f>
        <v>-</v>
      </c>
      <c r="M803" s="11" t="str">
        <f>IFERROR(VLOOKUP($B803,'(勿動)組件目錄表'!$D$15:$R$1094,14,FALSE),"-")</f>
        <v>-</v>
      </c>
      <c r="N803" s="15">
        <f t="shared" si="3"/>
        <v>0</v>
      </c>
      <c r="O803" s="16"/>
    </row>
    <row r="804" spans="1:15" ht="15.75" customHeight="1">
      <c r="A804" s="18"/>
      <c r="B804" s="7"/>
      <c r="C804" s="8" t="str">
        <f>IFERROR(VLOOKUP($B804,'(勿動)組件目錄表'!$D$15:$R$1094,2,FALSE),"-")</f>
        <v>-</v>
      </c>
      <c r="D804" s="8" t="str">
        <f>IFERROR(VLOOKUP($B804,'(勿動)組件目錄表'!$D$15:$R$1094,3,FALSE),"-")</f>
        <v>-</v>
      </c>
      <c r="E804" s="9" t="str">
        <f>IFERROR(VLOOKUP($B804,'(勿動)組件目錄表'!$D$15:$R$1094,4,FALSE),"-")</f>
        <v>-</v>
      </c>
      <c r="F804" s="10" t="str">
        <f>IFERROR(VLOOKUP($B804,'(勿動)組件目錄表'!$D$15:$R$1094,5,FALSE),"-")</f>
        <v>-</v>
      </c>
      <c r="G804" s="11" t="str">
        <f>IFERROR(VLOOKUP($B804,'(勿動)組件目錄表'!$D$15:$R$1094,8,FALSE),"-")</f>
        <v>-</v>
      </c>
      <c r="H804" s="11" t="str">
        <f>IFERROR(VLOOKUP($B804,'(勿動)組件目錄表'!$D$15:$R$1094,9,FALSE),"-")</f>
        <v>-</v>
      </c>
      <c r="I804" s="11" t="str">
        <f>IFERROR(VLOOKUP($B804,'(勿動)組件目錄表'!$D$15:$R$1094,10,FALSE),"-")</f>
        <v>-</v>
      </c>
      <c r="J804" s="11" t="str">
        <f>IFERROR(VLOOKUP($B804,'(勿動)組件目錄表'!$D$15:$R$1094,11,FALSE),"-")</f>
        <v>-</v>
      </c>
      <c r="K804" s="11" t="str">
        <f>IFERROR(VLOOKUP($B804,'(勿動)組件目錄表'!$D$15:$R$1094,12,FALSE),"-")</f>
        <v>-</v>
      </c>
      <c r="L804" s="11" t="str">
        <f>IFERROR(VLOOKUP($B804,'(勿動)組件目錄表'!$D$15:$R$1094,13,FALSE),"-")</f>
        <v>-</v>
      </c>
      <c r="M804" s="11" t="str">
        <f>IFERROR(VLOOKUP($B804,'(勿動)組件目錄表'!$D$15:$R$1094,14,FALSE),"-")</f>
        <v>-</v>
      </c>
      <c r="N804" s="15">
        <f t="shared" si="3"/>
        <v>0</v>
      </c>
      <c r="O804" s="16"/>
    </row>
    <row r="805" spans="1:15" ht="15.75" customHeight="1">
      <c r="A805" s="18"/>
      <c r="B805" s="7"/>
      <c r="C805" s="8" t="str">
        <f>IFERROR(VLOOKUP($B805,'(勿動)組件目錄表'!$D$15:$R$1094,2,FALSE),"-")</f>
        <v>-</v>
      </c>
      <c r="D805" s="8" t="str">
        <f>IFERROR(VLOOKUP($B805,'(勿動)組件目錄表'!$D$15:$R$1094,3,FALSE),"-")</f>
        <v>-</v>
      </c>
      <c r="E805" s="9" t="str">
        <f>IFERROR(VLOOKUP($B805,'(勿動)組件目錄表'!$D$15:$R$1094,4,FALSE),"-")</f>
        <v>-</v>
      </c>
      <c r="F805" s="10" t="str">
        <f>IFERROR(VLOOKUP($B805,'(勿動)組件目錄表'!$D$15:$R$1094,5,FALSE),"-")</f>
        <v>-</v>
      </c>
      <c r="G805" s="11" t="str">
        <f>IFERROR(VLOOKUP($B805,'(勿動)組件目錄表'!$D$15:$R$1094,8,FALSE),"-")</f>
        <v>-</v>
      </c>
      <c r="H805" s="11" t="str">
        <f>IFERROR(VLOOKUP($B805,'(勿動)組件目錄表'!$D$15:$R$1094,9,FALSE),"-")</f>
        <v>-</v>
      </c>
      <c r="I805" s="11" t="str">
        <f>IFERROR(VLOOKUP($B805,'(勿動)組件目錄表'!$D$15:$R$1094,10,FALSE),"-")</f>
        <v>-</v>
      </c>
      <c r="J805" s="11" t="str">
        <f>IFERROR(VLOOKUP($B805,'(勿動)組件目錄表'!$D$15:$R$1094,11,FALSE),"-")</f>
        <v>-</v>
      </c>
      <c r="K805" s="11" t="str">
        <f>IFERROR(VLOOKUP($B805,'(勿動)組件目錄表'!$D$15:$R$1094,12,FALSE),"-")</f>
        <v>-</v>
      </c>
      <c r="L805" s="11" t="str">
        <f>IFERROR(VLOOKUP($B805,'(勿動)組件目錄表'!$D$15:$R$1094,13,FALSE),"-")</f>
        <v>-</v>
      </c>
      <c r="M805" s="11" t="str">
        <f>IFERROR(VLOOKUP($B805,'(勿動)組件目錄表'!$D$15:$R$1094,14,FALSE),"-")</f>
        <v>-</v>
      </c>
      <c r="N805" s="15">
        <f t="shared" si="3"/>
        <v>0</v>
      </c>
      <c r="O805" s="16"/>
    </row>
    <row r="806" spans="1:15" ht="15.75" customHeight="1">
      <c r="A806" s="18"/>
      <c r="B806" s="7"/>
      <c r="C806" s="8" t="str">
        <f>IFERROR(VLOOKUP($B806,'(勿動)組件目錄表'!$D$15:$R$1094,2,FALSE),"-")</f>
        <v>-</v>
      </c>
      <c r="D806" s="8" t="str">
        <f>IFERROR(VLOOKUP($B806,'(勿動)組件目錄表'!$D$15:$R$1094,3,FALSE),"-")</f>
        <v>-</v>
      </c>
      <c r="E806" s="9" t="str">
        <f>IFERROR(VLOOKUP($B806,'(勿動)組件目錄表'!$D$15:$R$1094,4,FALSE),"-")</f>
        <v>-</v>
      </c>
      <c r="F806" s="10" t="str">
        <f>IFERROR(VLOOKUP($B806,'(勿動)組件目錄表'!$D$15:$R$1094,5,FALSE),"-")</f>
        <v>-</v>
      </c>
      <c r="G806" s="11" t="str">
        <f>IFERROR(VLOOKUP($B806,'(勿動)組件目錄表'!$D$15:$R$1094,8,FALSE),"-")</f>
        <v>-</v>
      </c>
      <c r="H806" s="11" t="str">
        <f>IFERROR(VLOOKUP($B806,'(勿動)組件目錄表'!$D$15:$R$1094,9,FALSE),"-")</f>
        <v>-</v>
      </c>
      <c r="I806" s="11" t="str">
        <f>IFERROR(VLOOKUP($B806,'(勿動)組件目錄表'!$D$15:$R$1094,10,FALSE),"-")</f>
        <v>-</v>
      </c>
      <c r="J806" s="11" t="str">
        <f>IFERROR(VLOOKUP($B806,'(勿動)組件目錄表'!$D$15:$R$1094,11,FALSE),"-")</f>
        <v>-</v>
      </c>
      <c r="K806" s="11" t="str">
        <f>IFERROR(VLOOKUP($B806,'(勿動)組件目錄表'!$D$15:$R$1094,12,FALSE),"-")</f>
        <v>-</v>
      </c>
      <c r="L806" s="11" t="str">
        <f>IFERROR(VLOOKUP($B806,'(勿動)組件目錄表'!$D$15:$R$1094,13,FALSE),"-")</f>
        <v>-</v>
      </c>
      <c r="M806" s="11" t="str">
        <f>IFERROR(VLOOKUP($B806,'(勿動)組件目錄表'!$D$15:$R$1094,14,FALSE),"-")</f>
        <v>-</v>
      </c>
      <c r="N806" s="15">
        <f t="shared" si="3"/>
        <v>0</v>
      </c>
      <c r="O806" s="16"/>
    </row>
    <row r="807" spans="1:15" ht="15.75" customHeight="1">
      <c r="A807" s="18"/>
      <c r="B807" s="7"/>
      <c r="C807" s="8" t="str">
        <f>IFERROR(VLOOKUP($B807,'(勿動)組件目錄表'!$D$15:$R$1094,2,FALSE),"-")</f>
        <v>-</v>
      </c>
      <c r="D807" s="8" t="str">
        <f>IFERROR(VLOOKUP($B807,'(勿動)組件目錄表'!$D$15:$R$1094,3,FALSE),"-")</f>
        <v>-</v>
      </c>
      <c r="E807" s="9" t="str">
        <f>IFERROR(VLOOKUP($B807,'(勿動)組件目錄表'!$D$15:$R$1094,4,FALSE),"-")</f>
        <v>-</v>
      </c>
      <c r="F807" s="10" t="str">
        <f>IFERROR(VLOOKUP($B807,'(勿動)組件目錄表'!$D$15:$R$1094,5,FALSE),"-")</f>
        <v>-</v>
      </c>
      <c r="G807" s="11" t="str">
        <f>IFERROR(VLOOKUP($B807,'(勿動)組件目錄表'!$D$15:$R$1094,8,FALSE),"-")</f>
        <v>-</v>
      </c>
      <c r="H807" s="11" t="str">
        <f>IFERROR(VLOOKUP($B807,'(勿動)組件目錄表'!$D$15:$R$1094,9,FALSE),"-")</f>
        <v>-</v>
      </c>
      <c r="I807" s="11" t="str">
        <f>IFERROR(VLOOKUP($B807,'(勿動)組件目錄表'!$D$15:$R$1094,10,FALSE),"-")</f>
        <v>-</v>
      </c>
      <c r="J807" s="11" t="str">
        <f>IFERROR(VLOOKUP($B807,'(勿動)組件目錄表'!$D$15:$R$1094,11,FALSE),"-")</f>
        <v>-</v>
      </c>
      <c r="K807" s="11" t="str">
        <f>IFERROR(VLOOKUP($B807,'(勿動)組件目錄表'!$D$15:$R$1094,12,FALSE),"-")</f>
        <v>-</v>
      </c>
      <c r="L807" s="11" t="str">
        <f>IFERROR(VLOOKUP($B807,'(勿動)組件目錄表'!$D$15:$R$1094,13,FALSE),"-")</f>
        <v>-</v>
      </c>
      <c r="M807" s="11" t="str">
        <f>IFERROR(VLOOKUP($B807,'(勿動)組件目錄表'!$D$15:$R$1094,14,FALSE),"-")</f>
        <v>-</v>
      </c>
      <c r="N807" s="15">
        <f t="shared" si="3"/>
        <v>0</v>
      </c>
      <c r="O807" s="16"/>
    </row>
    <row r="808" spans="1:15" ht="15.75" customHeight="1">
      <c r="A808" s="18"/>
      <c r="B808" s="7"/>
      <c r="C808" s="8" t="str">
        <f>IFERROR(VLOOKUP($B808,'(勿動)組件目錄表'!$D$15:$R$1094,2,FALSE),"-")</f>
        <v>-</v>
      </c>
      <c r="D808" s="8" t="str">
        <f>IFERROR(VLOOKUP($B808,'(勿動)組件目錄表'!$D$15:$R$1094,3,FALSE),"-")</f>
        <v>-</v>
      </c>
      <c r="E808" s="9" t="str">
        <f>IFERROR(VLOOKUP($B808,'(勿動)組件目錄表'!$D$15:$R$1094,4,FALSE),"-")</f>
        <v>-</v>
      </c>
      <c r="F808" s="10" t="str">
        <f>IFERROR(VLOOKUP($B808,'(勿動)組件目錄表'!$D$15:$R$1094,5,FALSE),"-")</f>
        <v>-</v>
      </c>
      <c r="G808" s="11" t="str">
        <f>IFERROR(VLOOKUP($B808,'(勿動)組件目錄表'!$D$15:$R$1094,8,FALSE),"-")</f>
        <v>-</v>
      </c>
      <c r="H808" s="11" t="str">
        <f>IFERROR(VLOOKUP($B808,'(勿動)組件目錄表'!$D$15:$R$1094,9,FALSE),"-")</f>
        <v>-</v>
      </c>
      <c r="I808" s="11" t="str">
        <f>IFERROR(VLOOKUP($B808,'(勿動)組件目錄表'!$D$15:$R$1094,10,FALSE),"-")</f>
        <v>-</v>
      </c>
      <c r="J808" s="11" t="str">
        <f>IFERROR(VLOOKUP($B808,'(勿動)組件目錄表'!$D$15:$R$1094,11,FALSE),"-")</f>
        <v>-</v>
      </c>
      <c r="K808" s="11" t="str">
        <f>IFERROR(VLOOKUP($B808,'(勿動)組件目錄表'!$D$15:$R$1094,12,FALSE),"-")</f>
        <v>-</v>
      </c>
      <c r="L808" s="11" t="str">
        <f>IFERROR(VLOOKUP($B808,'(勿動)組件目錄表'!$D$15:$R$1094,13,FALSE),"-")</f>
        <v>-</v>
      </c>
      <c r="M808" s="11" t="str">
        <f>IFERROR(VLOOKUP($B808,'(勿動)組件目錄表'!$D$15:$R$1094,14,FALSE),"-")</f>
        <v>-</v>
      </c>
      <c r="N808" s="15">
        <f t="shared" si="3"/>
        <v>0</v>
      </c>
      <c r="O808" s="16"/>
    </row>
    <row r="809" spans="1:15" ht="15.75" customHeight="1">
      <c r="A809" s="18"/>
      <c r="B809" s="7"/>
      <c r="C809" s="8" t="str">
        <f>IFERROR(VLOOKUP($B809,'(勿動)組件目錄表'!$D$15:$R$1094,2,FALSE),"-")</f>
        <v>-</v>
      </c>
      <c r="D809" s="8" t="str">
        <f>IFERROR(VLOOKUP($B809,'(勿動)組件目錄表'!$D$15:$R$1094,3,FALSE),"-")</f>
        <v>-</v>
      </c>
      <c r="E809" s="9" t="str">
        <f>IFERROR(VLOOKUP($B809,'(勿動)組件目錄表'!$D$15:$R$1094,4,FALSE),"-")</f>
        <v>-</v>
      </c>
      <c r="F809" s="10" t="str">
        <f>IFERROR(VLOOKUP($B809,'(勿動)組件目錄表'!$D$15:$R$1094,5,FALSE),"-")</f>
        <v>-</v>
      </c>
      <c r="G809" s="11" t="str">
        <f>IFERROR(VLOOKUP($B809,'(勿動)組件目錄表'!$D$15:$R$1094,8,FALSE),"-")</f>
        <v>-</v>
      </c>
      <c r="H809" s="11" t="str">
        <f>IFERROR(VLOOKUP($B809,'(勿動)組件目錄表'!$D$15:$R$1094,9,FALSE),"-")</f>
        <v>-</v>
      </c>
      <c r="I809" s="11" t="str">
        <f>IFERROR(VLOOKUP($B809,'(勿動)組件目錄表'!$D$15:$R$1094,10,FALSE),"-")</f>
        <v>-</v>
      </c>
      <c r="J809" s="11" t="str">
        <f>IFERROR(VLOOKUP($B809,'(勿動)組件目錄表'!$D$15:$R$1094,11,FALSE),"-")</f>
        <v>-</v>
      </c>
      <c r="K809" s="11" t="str">
        <f>IFERROR(VLOOKUP($B809,'(勿動)組件目錄表'!$D$15:$R$1094,12,FALSE),"-")</f>
        <v>-</v>
      </c>
      <c r="L809" s="11" t="str">
        <f>IFERROR(VLOOKUP($B809,'(勿動)組件目錄表'!$D$15:$R$1094,13,FALSE),"-")</f>
        <v>-</v>
      </c>
      <c r="M809" s="11" t="str">
        <f>IFERROR(VLOOKUP($B809,'(勿動)組件目錄表'!$D$15:$R$1094,14,FALSE),"-")</f>
        <v>-</v>
      </c>
      <c r="N809" s="15">
        <f t="shared" si="3"/>
        <v>0</v>
      </c>
      <c r="O809" s="16"/>
    </row>
    <row r="810" spans="1:15" ht="15.75" customHeight="1">
      <c r="A810" s="18"/>
      <c r="B810" s="7"/>
      <c r="C810" s="8" t="str">
        <f>IFERROR(VLOOKUP($B810,'(勿動)組件目錄表'!$D$15:$R$1094,2,FALSE),"-")</f>
        <v>-</v>
      </c>
      <c r="D810" s="8" t="str">
        <f>IFERROR(VLOOKUP($B810,'(勿動)組件目錄表'!$D$15:$R$1094,3,FALSE),"-")</f>
        <v>-</v>
      </c>
      <c r="E810" s="9" t="str">
        <f>IFERROR(VLOOKUP($B810,'(勿動)組件目錄表'!$D$15:$R$1094,4,FALSE),"-")</f>
        <v>-</v>
      </c>
      <c r="F810" s="10" t="str">
        <f>IFERROR(VLOOKUP($B810,'(勿動)組件目錄表'!$D$15:$R$1094,5,FALSE),"-")</f>
        <v>-</v>
      </c>
      <c r="G810" s="11" t="str">
        <f>IFERROR(VLOOKUP($B810,'(勿動)組件目錄表'!$D$15:$R$1094,8,FALSE),"-")</f>
        <v>-</v>
      </c>
      <c r="H810" s="11" t="str">
        <f>IFERROR(VLOOKUP($B810,'(勿動)組件目錄表'!$D$15:$R$1094,9,FALSE),"-")</f>
        <v>-</v>
      </c>
      <c r="I810" s="11" t="str">
        <f>IFERROR(VLOOKUP($B810,'(勿動)組件目錄表'!$D$15:$R$1094,10,FALSE),"-")</f>
        <v>-</v>
      </c>
      <c r="J810" s="11" t="str">
        <f>IFERROR(VLOOKUP($B810,'(勿動)組件目錄表'!$D$15:$R$1094,11,FALSE),"-")</f>
        <v>-</v>
      </c>
      <c r="K810" s="11" t="str">
        <f>IFERROR(VLOOKUP($B810,'(勿動)組件目錄表'!$D$15:$R$1094,12,FALSE),"-")</f>
        <v>-</v>
      </c>
      <c r="L810" s="11" t="str">
        <f>IFERROR(VLOOKUP($B810,'(勿動)組件目錄表'!$D$15:$R$1094,13,FALSE),"-")</f>
        <v>-</v>
      </c>
      <c r="M810" s="11" t="str">
        <f>IFERROR(VLOOKUP($B810,'(勿動)組件目錄表'!$D$15:$R$1094,14,FALSE),"-")</f>
        <v>-</v>
      </c>
      <c r="N810" s="15">
        <f t="shared" si="3"/>
        <v>0</v>
      </c>
      <c r="O810" s="16"/>
    </row>
    <row r="811" spans="1:15" ht="15.75" customHeight="1">
      <c r="A811" s="18"/>
      <c r="B811" s="7"/>
      <c r="C811" s="8" t="str">
        <f>IFERROR(VLOOKUP($B811,'(勿動)組件目錄表'!$D$15:$R$1094,2,FALSE),"-")</f>
        <v>-</v>
      </c>
      <c r="D811" s="8" t="str">
        <f>IFERROR(VLOOKUP($B811,'(勿動)組件目錄表'!$D$15:$R$1094,3,FALSE),"-")</f>
        <v>-</v>
      </c>
      <c r="E811" s="9" t="str">
        <f>IFERROR(VLOOKUP($B811,'(勿動)組件目錄表'!$D$15:$R$1094,4,FALSE),"-")</f>
        <v>-</v>
      </c>
      <c r="F811" s="10" t="str">
        <f>IFERROR(VLOOKUP($B811,'(勿動)組件目錄表'!$D$15:$R$1094,5,FALSE),"-")</f>
        <v>-</v>
      </c>
      <c r="G811" s="11" t="str">
        <f>IFERROR(VLOOKUP($B811,'(勿動)組件目錄表'!$D$15:$R$1094,8,FALSE),"-")</f>
        <v>-</v>
      </c>
      <c r="H811" s="11" t="str">
        <f>IFERROR(VLOOKUP($B811,'(勿動)組件目錄表'!$D$15:$R$1094,9,FALSE),"-")</f>
        <v>-</v>
      </c>
      <c r="I811" s="11" t="str">
        <f>IFERROR(VLOOKUP($B811,'(勿動)組件目錄表'!$D$15:$R$1094,10,FALSE),"-")</f>
        <v>-</v>
      </c>
      <c r="J811" s="11" t="str">
        <f>IFERROR(VLOOKUP($B811,'(勿動)組件目錄表'!$D$15:$R$1094,11,FALSE),"-")</f>
        <v>-</v>
      </c>
      <c r="K811" s="11" t="str">
        <f>IFERROR(VLOOKUP($B811,'(勿動)組件目錄表'!$D$15:$R$1094,12,FALSE),"-")</f>
        <v>-</v>
      </c>
      <c r="L811" s="11" t="str">
        <f>IFERROR(VLOOKUP($B811,'(勿動)組件目錄表'!$D$15:$R$1094,13,FALSE),"-")</f>
        <v>-</v>
      </c>
      <c r="M811" s="11" t="str">
        <f>IFERROR(VLOOKUP($B811,'(勿動)組件目錄表'!$D$15:$R$1094,14,FALSE),"-")</f>
        <v>-</v>
      </c>
      <c r="N811" s="15">
        <f t="shared" si="3"/>
        <v>0</v>
      </c>
      <c r="O811" s="16"/>
    </row>
    <row r="812" spans="1:15" ht="15.75" customHeight="1">
      <c r="A812" s="18"/>
      <c r="B812" s="7"/>
      <c r="C812" s="8" t="str">
        <f>IFERROR(VLOOKUP($B812,'(勿動)組件目錄表'!$D$15:$R$1094,2,FALSE),"-")</f>
        <v>-</v>
      </c>
      <c r="D812" s="8" t="str">
        <f>IFERROR(VLOOKUP($B812,'(勿動)組件目錄表'!$D$15:$R$1094,3,FALSE),"-")</f>
        <v>-</v>
      </c>
      <c r="E812" s="9" t="str">
        <f>IFERROR(VLOOKUP($B812,'(勿動)組件目錄表'!$D$15:$R$1094,4,FALSE),"-")</f>
        <v>-</v>
      </c>
      <c r="F812" s="10" t="str">
        <f>IFERROR(VLOOKUP($B812,'(勿動)組件目錄表'!$D$15:$R$1094,5,FALSE),"-")</f>
        <v>-</v>
      </c>
      <c r="G812" s="11" t="str">
        <f>IFERROR(VLOOKUP($B812,'(勿動)組件目錄表'!$D$15:$R$1094,8,FALSE),"-")</f>
        <v>-</v>
      </c>
      <c r="H812" s="11" t="str">
        <f>IFERROR(VLOOKUP($B812,'(勿動)組件目錄表'!$D$15:$R$1094,9,FALSE),"-")</f>
        <v>-</v>
      </c>
      <c r="I812" s="11" t="str">
        <f>IFERROR(VLOOKUP($B812,'(勿動)組件目錄表'!$D$15:$R$1094,10,FALSE),"-")</f>
        <v>-</v>
      </c>
      <c r="J812" s="11" t="str">
        <f>IFERROR(VLOOKUP($B812,'(勿動)組件目錄表'!$D$15:$R$1094,11,FALSE),"-")</f>
        <v>-</v>
      </c>
      <c r="K812" s="11" t="str">
        <f>IFERROR(VLOOKUP($B812,'(勿動)組件目錄表'!$D$15:$R$1094,12,FALSE),"-")</f>
        <v>-</v>
      </c>
      <c r="L812" s="11" t="str">
        <f>IFERROR(VLOOKUP($B812,'(勿動)組件目錄表'!$D$15:$R$1094,13,FALSE),"-")</f>
        <v>-</v>
      </c>
      <c r="M812" s="11" t="str">
        <f>IFERROR(VLOOKUP($B812,'(勿動)組件目錄表'!$D$15:$R$1094,14,FALSE),"-")</f>
        <v>-</v>
      </c>
      <c r="N812" s="15">
        <f t="shared" si="3"/>
        <v>0</v>
      </c>
      <c r="O812" s="16"/>
    </row>
    <row r="813" spans="1:15" ht="15.75" customHeight="1">
      <c r="A813" s="18"/>
      <c r="B813" s="7"/>
      <c r="C813" s="8" t="str">
        <f>IFERROR(VLOOKUP($B813,'(勿動)組件目錄表'!$D$15:$R$1094,2,FALSE),"-")</f>
        <v>-</v>
      </c>
      <c r="D813" s="8" t="str">
        <f>IFERROR(VLOOKUP($B813,'(勿動)組件目錄表'!$D$15:$R$1094,3,FALSE),"-")</f>
        <v>-</v>
      </c>
      <c r="E813" s="9" t="str">
        <f>IFERROR(VLOOKUP($B813,'(勿動)組件目錄表'!$D$15:$R$1094,4,FALSE),"-")</f>
        <v>-</v>
      </c>
      <c r="F813" s="10" t="str">
        <f>IFERROR(VLOOKUP($B813,'(勿動)組件目錄表'!$D$15:$R$1094,5,FALSE),"-")</f>
        <v>-</v>
      </c>
      <c r="G813" s="11" t="str">
        <f>IFERROR(VLOOKUP($B813,'(勿動)組件目錄表'!$D$15:$R$1094,8,FALSE),"-")</f>
        <v>-</v>
      </c>
      <c r="H813" s="11" t="str">
        <f>IFERROR(VLOOKUP($B813,'(勿動)組件目錄表'!$D$15:$R$1094,9,FALSE),"-")</f>
        <v>-</v>
      </c>
      <c r="I813" s="11" t="str">
        <f>IFERROR(VLOOKUP($B813,'(勿動)組件目錄表'!$D$15:$R$1094,10,FALSE),"-")</f>
        <v>-</v>
      </c>
      <c r="J813" s="11" t="str">
        <f>IFERROR(VLOOKUP($B813,'(勿動)組件目錄表'!$D$15:$R$1094,11,FALSE),"-")</f>
        <v>-</v>
      </c>
      <c r="K813" s="11" t="str">
        <f>IFERROR(VLOOKUP($B813,'(勿動)組件目錄表'!$D$15:$R$1094,12,FALSE),"-")</f>
        <v>-</v>
      </c>
      <c r="L813" s="11" t="str">
        <f>IFERROR(VLOOKUP($B813,'(勿動)組件目錄表'!$D$15:$R$1094,13,FALSE),"-")</f>
        <v>-</v>
      </c>
      <c r="M813" s="11" t="str">
        <f>IFERROR(VLOOKUP($B813,'(勿動)組件目錄表'!$D$15:$R$1094,14,FALSE),"-")</f>
        <v>-</v>
      </c>
      <c r="N813" s="15">
        <f t="shared" si="3"/>
        <v>0</v>
      </c>
      <c r="O813" s="16"/>
    </row>
    <row r="814" spans="1:15" ht="15.75" customHeight="1">
      <c r="A814" s="18"/>
      <c r="B814" s="7"/>
      <c r="C814" s="8" t="str">
        <f>IFERROR(VLOOKUP($B814,'(勿動)組件目錄表'!$D$15:$R$1094,2,FALSE),"-")</f>
        <v>-</v>
      </c>
      <c r="D814" s="8" t="str">
        <f>IFERROR(VLOOKUP($B814,'(勿動)組件目錄表'!$D$15:$R$1094,3,FALSE),"-")</f>
        <v>-</v>
      </c>
      <c r="E814" s="9" t="str">
        <f>IFERROR(VLOOKUP($B814,'(勿動)組件目錄表'!$D$15:$R$1094,4,FALSE),"-")</f>
        <v>-</v>
      </c>
      <c r="F814" s="10" t="str">
        <f>IFERROR(VLOOKUP($B814,'(勿動)組件目錄表'!$D$15:$R$1094,5,FALSE),"-")</f>
        <v>-</v>
      </c>
      <c r="G814" s="11" t="str">
        <f>IFERROR(VLOOKUP($B814,'(勿動)組件目錄表'!$D$15:$R$1094,8,FALSE),"-")</f>
        <v>-</v>
      </c>
      <c r="H814" s="11" t="str">
        <f>IFERROR(VLOOKUP($B814,'(勿動)組件目錄表'!$D$15:$R$1094,9,FALSE),"-")</f>
        <v>-</v>
      </c>
      <c r="I814" s="11" t="str">
        <f>IFERROR(VLOOKUP($B814,'(勿動)組件目錄表'!$D$15:$R$1094,10,FALSE),"-")</f>
        <v>-</v>
      </c>
      <c r="J814" s="11" t="str">
        <f>IFERROR(VLOOKUP($B814,'(勿動)組件目錄表'!$D$15:$R$1094,11,FALSE),"-")</f>
        <v>-</v>
      </c>
      <c r="K814" s="11" t="str">
        <f>IFERROR(VLOOKUP($B814,'(勿動)組件目錄表'!$D$15:$R$1094,12,FALSE),"-")</f>
        <v>-</v>
      </c>
      <c r="L814" s="11" t="str">
        <f>IFERROR(VLOOKUP($B814,'(勿動)組件目錄表'!$D$15:$R$1094,13,FALSE),"-")</f>
        <v>-</v>
      </c>
      <c r="M814" s="11" t="str">
        <f>IFERROR(VLOOKUP($B814,'(勿動)組件目錄表'!$D$15:$R$1094,14,FALSE),"-")</f>
        <v>-</v>
      </c>
      <c r="N814" s="15">
        <f t="shared" si="3"/>
        <v>0</v>
      </c>
      <c r="O814" s="16"/>
    </row>
    <row r="815" spans="1:15" ht="15.75" customHeight="1">
      <c r="A815" s="18"/>
      <c r="B815" s="7"/>
      <c r="C815" s="8" t="str">
        <f>IFERROR(VLOOKUP($B815,'(勿動)組件目錄表'!$D$15:$R$1094,2,FALSE),"-")</f>
        <v>-</v>
      </c>
      <c r="D815" s="8" t="str">
        <f>IFERROR(VLOOKUP($B815,'(勿動)組件目錄表'!$D$15:$R$1094,3,FALSE),"-")</f>
        <v>-</v>
      </c>
      <c r="E815" s="9" t="str">
        <f>IFERROR(VLOOKUP($B815,'(勿動)組件目錄表'!$D$15:$R$1094,4,FALSE),"-")</f>
        <v>-</v>
      </c>
      <c r="F815" s="10" t="str">
        <f>IFERROR(VLOOKUP($B815,'(勿動)組件目錄表'!$D$15:$R$1094,5,FALSE),"-")</f>
        <v>-</v>
      </c>
      <c r="G815" s="11" t="str">
        <f>IFERROR(VLOOKUP($B815,'(勿動)組件目錄表'!$D$15:$R$1094,8,FALSE),"-")</f>
        <v>-</v>
      </c>
      <c r="H815" s="11" t="str">
        <f>IFERROR(VLOOKUP($B815,'(勿動)組件目錄表'!$D$15:$R$1094,9,FALSE),"-")</f>
        <v>-</v>
      </c>
      <c r="I815" s="11" t="str">
        <f>IFERROR(VLOOKUP($B815,'(勿動)組件目錄表'!$D$15:$R$1094,10,FALSE),"-")</f>
        <v>-</v>
      </c>
      <c r="J815" s="11" t="str">
        <f>IFERROR(VLOOKUP($B815,'(勿動)組件目錄表'!$D$15:$R$1094,11,FALSE),"-")</f>
        <v>-</v>
      </c>
      <c r="K815" s="11" t="str">
        <f>IFERROR(VLOOKUP($B815,'(勿動)組件目錄表'!$D$15:$R$1094,12,FALSE),"-")</f>
        <v>-</v>
      </c>
      <c r="L815" s="11" t="str">
        <f>IFERROR(VLOOKUP($B815,'(勿動)組件目錄表'!$D$15:$R$1094,13,FALSE),"-")</f>
        <v>-</v>
      </c>
      <c r="M815" s="11" t="str">
        <f>IFERROR(VLOOKUP($B815,'(勿動)組件目錄表'!$D$15:$R$1094,14,FALSE),"-")</f>
        <v>-</v>
      </c>
      <c r="N815" s="15">
        <f t="shared" si="3"/>
        <v>0</v>
      </c>
      <c r="O815" s="16"/>
    </row>
    <row r="816" spans="1:15" ht="15.75" customHeight="1">
      <c r="A816" s="18"/>
      <c r="B816" s="7"/>
      <c r="C816" s="8" t="str">
        <f>IFERROR(VLOOKUP($B816,'(勿動)組件目錄表'!$D$15:$R$1094,2,FALSE),"-")</f>
        <v>-</v>
      </c>
      <c r="D816" s="8" t="str">
        <f>IFERROR(VLOOKUP($B816,'(勿動)組件目錄表'!$D$15:$R$1094,3,FALSE),"-")</f>
        <v>-</v>
      </c>
      <c r="E816" s="9" t="str">
        <f>IFERROR(VLOOKUP($B816,'(勿動)組件目錄表'!$D$15:$R$1094,4,FALSE),"-")</f>
        <v>-</v>
      </c>
      <c r="F816" s="10" t="str">
        <f>IFERROR(VLOOKUP($B816,'(勿動)組件目錄表'!$D$15:$R$1094,5,FALSE),"-")</f>
        <v>-</v>
      </c>
      <c r="G816" s="11" t="str">
        <f>IFERROR(VLOOKUP($B816,'(勿動)組件目錄表'!$D$15:$R$1094,8,FALSE),"-")</f>
        <v>-</v>
      </c>
      <c r="H816" s="11" t="str">
        <f>IFERROR(VLOOKUP($B816,'(勿動)組件目錄表'!$D$15:$R$1094,9,FALSE),"-")</f>
        <v>-</v>
      </c>
      <c r="I816" s="11" t="str">
        <f>IFERROR(VLOOKUP($B816,'(勿動)組件目錄表'!$D$15:$R$1094,10,FALSE),"-")</f>
        <v>-</v>
      </c>
      <c r="J816" s="11" t="str">
        <f>IFERROR(VLOOKUP($B816,'(勿動)組件目錄表'!$D$15:$R$1094,11,FALSE),"-")</f>
        <v>-</v>
      </c>
      <c r="K816" s="11" t="str">
        <f>IFERROR(VLOOKUP($B816,'(勿動)組件目錄表'!$D$15:$R$1094,12,FALSE),"-")</f>
        <v>-</v>
      </c>
      <c r="L816" s="11" t="str">
        <f>IFERROR(VLOOKUP($B816,'(勿動)組件目錄表'!$D$15:$R$1094,13,FALSE),"-")</f>
        <v>-</v>
      </c>
      <c r="M816" s="11" t="str">
        <f>IFERROR(VLOOKUP($B816,'(勿動)組件目錄表'!$D$15:$R$1094,14,FALSE),"-")</f>
        <v>-</v>
      </c>
      <c r="N816" s="15">
        <f t="shared" si="3"/>
        <v>0</v>
      </c>
      <c r="O816" s="16"/>
    </row>
    <row r="817" spans="1:15" ht="15.75" customHeight="1">
      <c r="A817" s="18"/>
      <c r="B817" s="7"/>
      <c r="C817" s="8" t="str">
        <f>IFERROR(VLOOKUP($B817,'(勿動)組件目錄表'!$D$15:$R$1094,2,FALSE),"-")</f>
        <v>-</v>
      </c>
      <c r="D817" s="8" t="str">
        <f>IFERROR(VLOOKUP($B817,'(勿動)組件目錄表'!$D$15:$R$1094,3,FALSE),"-")</f>
        <v>-</v>
      </c>
      <c r="E817" s="9" t="str">
        <f>IFERROR(VLOOKUP($B817,'(勿動)組件目錄表'!$D$15:$R$1094,4,FALSE),"-")</f>
        <v>-</v>
      </c>
      <c r="F817" s="10" t="str">
        <f>IFERROR(VLOOKUP($B817,'(勿動)組件目錄表'!$D$15:$R$1094,5,FALSE),"-")</f>
        <v>-</v>
      </c>
      <c r="G817" s="11" t="str">
        <f>IFERROR(VLOOKUP($B817,'(勿動)組件目錄表'!$D$15:$R$1094,8,FALSE),"-")</f>
        <v>-</v>
      </c>
      <c r="H817" s="11" t="str">
        <f>IFERROR(VLOOKUP($B817,'(勿動)組件目錄表'!$D$15:$R$1094,9,FALSE),"-")</f>
        <v>-</v>
      </c>
      <c r="I817" s="11" t="str">
        <f>IFERROR(VLOOKUP($B817,'(勿動)組件目錄表'!$D$15:$R$1094,10,FALSE),"-")</f>
        <v>-</v>
      </c>
      <c r="J817" s="11" t="str">
        <f>IFERROR(VLOOKUP($B817,'(勿動)組件目錄表'!$D$15:$R$1094,11,FALSE),"-")</f>
        <v>-</v>
      </c>
      <c r="K817" s="11" t="str">
        <f>IFERROR(VLOOKUP($B817,'(勿動)組件目錄表'!$D$15:$R$1094,12,FALSE),"-")</f>
        <v>-</v>
      </c>
      <c r="L817" s="11" t="str">
        <f>IFERROR(VLOOKUP($B817,'(勿動)組件目錄表'!$D$15:$R$1094,13,FALSE),"-")</f>
        <v>-</v>
      </c>
      <c r="M817" s="11" t="str">
        <f>IFERROR(VLOOKUP($B817,'(勿動)組件目錄表'!$D$15:$R$1094,14,FALSE),"-")</f>
        <v>-</v>
      </c>
      <c r="N817" s="15">
        <f t="shared" si="3"/>
        <v>0</v>
      </c>
      <c r="O817" s="16"/>
    </row>
    <row r="818" spans="1:15" ht="15.75" customHeight="1">
      <c r="A818" s="18"/>
      <c r="B818" s="7"/>
      <c r="C818" s="8" t="str">
        <f>IFERROR(VLOOKUP($B818,'(勿動)組件目錄表'!$D$15:$R$1094,2,FALSE),"-")</f>
        <v>-</v>
      </c>
      <c r="D818" s="8" t="str">
        <f>IFERROR(VLOOKUP($B818,'(勿動)組件目錄表'!$D$15:$R$1094,3,FALSE),"-")</f>
        <v>-</v>
      </c>
      <c r="E818" s="9" t="str">
        <f>IFERROR(VLOOKUP($B818,'(勿動)組件目錄表'!$D$15:$R$1094,4,FALSE),"-")</f>
        <v>-</v>
      </c>
      <c r="F818" s="10" t="str">
        <f>IFERROR(VLOOKUP($B818,'(勿動)組件目錄表'!$D$15:$R$1094,5,FALSE),"-")</f>
        <v>-</v>
      </c>
      <c r="G818" s="11" t="str">
        <f>IFERROR(VLOOKUP($B818,'(勿動)組件目錄表'!$D$15:$R$1094,8,FALSE),"-")</f>
        <v>-</v>
      </c>
      <c r="H818" s="11" t="str">
        <f>IFERROR(VLOOKUP($B818,'(勿動)組件目錄表'!$D$15:$R$1094,9,FALSE),"-")</f>
        <v>-</v>
      </c>
      <c r="I818" s="11" t="str">
        <f>IFERROR(VLOOKUP($B818,'(勿動)組件目錄表'!$D$15:$R$1094,10,FALSE),"-")</f>
        <v>-</v>
      </c>
      <c r="J818" s="11" t="str">
        <f>IFERROR(VLOOKUP($B818,'(勿動)組件目錄表'!$D$15:$R$1094,11,FALSE),"-")</f>
        <v>-</v>
      </c>
      <c r="K818" s="11" t="str">
        <f>IFERROR(VLOOKUP($B818,'(勿動)組件目錄表'!$D$15:$R$1094,12,FALSE),"-")</f>
        <v>-</v>
      </c>
      <c r="L818" s="11" t="str">
        <f>IFERROR(VLOOKUP($B818,'(勿動)組件目錄表'!$D$15:$R$1094,13,FALSE),"-")</f>
        <v>-</v>
      </c>
      <c r="M818" s="11" t="str">
        <f>IFERROR(VLOOKUP($B818,'(勿動)組件目錄表'!$D$15:$R$1094,14,FALSE),"-")</f>
        <v>-</v>
      </c>
      <c r="N818" s="15">
        <f t="shared" si="3"/>
        <v>0</v>
      </c>
      <c r="O818" s="16"/>
    </row>
    <row r="819" spans="1:15" ht="15.75" customHeight="1">
      <c r="A819" s="18"/>
      <c r="B819" s="7"/>
      <c r="C819" s="8" t="str">
        <f>IFERROR(VLOOKUP($B819,'(勿動)組件目錄表'!$D$15:$R$1094,2,FALSE),"-")</f>
        <v>-</v>
      </c>
      <c r="D819" s="8" t="str">
        <f>IFERROR(VLOOKUP($B819,'(勿動)組件目錄表'!$D$15:$R$1094,3,FALSE),"-")</f>
        <v>-</v>
      </c>
      <c r="E819" s="9" t="str">
        <f>IFERROR(VLOOKUP($B819,'(勿動)組件目錄表'!$D$15:$R$1094,4,FALSE),"-")</f>
        <v>-</v>
      </c>
      <c r="F819" s="10" t="str">
        <f>IFERROR(VLOOKUP($B819,'(勿動)組件目錄表'!$D$15:$R$1094,5,FALSE),"-")</f>
        <v>-</v>
      </c>
      <c r="G819" s="11" t="str">
        <f>IFERROR(VLOOKUP($B819,'(勿動)組件目錄表'!$D$15:$R$1094,8,FALSE),"-")</f>
        <v>-</v>
      </c>
      <c r="H819" s="11" t="str">
        <f>IFERROR(VLOOKUP($B819,'(勿動)組件目錄表'!$D$15:$R$1094,9,FALSE),"-")</f>
        <v>-</v>
      </c>
      <c r="I819" s="11" t="str">
        <f>IFERROR(VLOOKUP($B819,'(勿動)組件目錄表'!$D$15:$R$1094,10,FALSE),"-")</f>
        <v>-</v>
      </c>
      <c r="J819" s="11" t="str">
        <f>IFERROR(VLOOKUP($B819,'(勿動)組件目錄表'!$D$15:$R$1094,11,FALSE),"-")</f>
        <v>-</v>
      </c>
      <c r="K819" s="11" t="str">
        <f>IFERROR(VLOOKUP($B819,'(勿動)組件目錄表'!$D$15:$R$1094,12,FALSE),"-")</f>
        <v>-</v>
      </c>
      <c r="L819" s="11" t="str">
        <f>IFERROR(VLOOKUP($B819,'(勿動)組件目錄表'!$D$15:$R$1094,13,FALSE),"-")</f>
        <v>-</v>
      </c>
      <c r="M819" s="11" t="str">
        <f>IFERROR(VLOOKUP($B819,'(勿動)組件目錄表'!$D$15:$R$1094,14,FALSE),"-")</f>
        <v>-</v>
      </c>
      <c r="N819" s="15">
        <f t="shared" si="3"/>
        <v>0</v>
      </c>
      <c r="O819" s="16"/>
    </row>
    <row r="820" spans="1:15" ht="15.75" customHeight="1">
      <c r="A820" s="18"/>
      <c r="B820" s="7"/>
      <c r="C820" s="8" t="str">
        <f>IFERROR(VLOOKUP($B820,'(勿動)組件目錄表'!$D$15:$R$1094,2,FALSE),"-")</f>
        <v>-</v>
      </c>
      <c r="D820" s="8" t="str">
        <f>IFERROR(VLOOKUP($B820,'(勿動)組件目錄表'!$D$15:$R$1094,3,FALSE),"-")</f>
        <v>-</v>
      </c>
      <c r="E820" s="9" t="str">
        <f>IFERROR(VLOOKUP($B820,'(勿動)組件目錄表'!$D$15:$R$1094,4,FALSE),"-")</f>
        <v>-</v>
      </c>
      <c r="F820" s="10" t="str">
        <f>IFERROR(VLOOKUP($B820,'(勿動)組件目錄表'!$D$15:$R$1094,5,FALSE),"-")</f>
        <v>-</v>
      </c>
      <c r="G820" s="11" t="str">
        <f>IFERROR(VLOOKUP($B820,'(勿動)組件目錄表'!$D$15:$R$1094,8,FALSE),"-")</f>
        <v>-</v>
      </c>
      <c r="H820" s="11" t="str">
        <f>IFERROR(VLOOKUP($B820,'(勿動)組件目錄表'!$D$15:$R$1094,9,FALSE),"-")</f>
        <v>-</v>
      </c>
      <c r="I820" s="11" t="str">
        <f>IFERROR(VLOOKUP($B820,'(勿動)組件目錄表'!$D$15:$R$1094,10,FALSE),"-")</f>
        <v>-</v>
      </c>
      <c r="J820" s="11" t="str">
        <f>IFERROR(VLOOKUP($B820,'(勿動)組件目錄表'!$D$15:$R$1094,11,FALSE),"-")</f>
        <v>-</v>
      </c>
      <c r="K820" s="11" t="str">
        <f>IFERROR(VLOOKUP($B820,'(勿動)組件目錄表'!$D$15:$R$1094,12,FALSE),"-")</f>
        <v>-</v>
      </c>
      <c r="L820" s="11" t="str">
        <f>IFERROR(VLOOKUP($B820,'(勿動)組件目錄表'!$D$15:$R$1094,13,FALSE),"-")</f>
        <v>-</v>
      </c>
      <c r="M820" s="11" t="str">
        <f>IFERROR(VLOOKUP($B820,'(勿動)組件目錄表'!$D$15:$R$1094,14,FALSE),"-")</f>
        <v>-</v>
      </c>
      <c r="N820" s="15">
        <f t="shared" si="3"/>
        <v>0</v>
      </c>
      <c r="O820" s="16"/>
    </row>
    <row r="821" spans="1:15" ht="15.75" customHeight="1">
      <c r="A821" s="18"/>
      <c r="B821" s="7"/>
      <c r="C821" s="8" t="str">
        <f>IFERROR(VLOOKUP($B821,'(勿動)組件目錄表'!$D$15:$R$1094,2,FALSE),"-")</f>
        <v>-</v>
      </c>
      <c r="D821" s="8" t="str">
        <f>IFERROR(VLOOKUP($B821,'(勿動)組件目錄表'!$D$15:$R$1094,3,FALSE),"-")</f>
        <v>-</v>
      </c>
      <c r="E821" s="9" t="str">
        <f>IFERROR(VLOOKUP($B821,'(勿動)組件目錄表'!$D$15:$R$1094,4,FALSE),"-")</f>
        <v>-</v>
      </c>
      <c r="F821" s="10" t="str">
        <f>IFERROR(VLOOKUP($B821,'(勿動)組件目錄表'!$D$15:$R$1094,5,FALSE),"-")</f>
        <v>-</v>
      </c>
      <c r="G821" s="11" t="str">
        <f>IFERROR(VLOOKUP($B821,'(勿動)組件目錄表'!$D$15:$R$1094,8,FALSE),"-")</f>
        <v>-</v>
      </c>
      <c r="H821" s="11" t="str">
        <f>IFERROR(VLOOKUP($B821,'(勿動)組件目錄表'!$D$15:$R$1094,9,FALSE),"-")</f>
        <v>-</v>
      </c>
      <c r="I821" s="11" t="str">
        <f>IFERROR(VLOOKUP($B821,'(勿動)組件目錄表'!$D$15:$R$1094,10,FALSE),"-")</f>
        <v>-</v>
      </c>
      <c r="J821" s="11" t="str">
        <f>IFERROR(VLOOKUP($B821,'(勿動)組件目錄表'!$D$15:$R$1094,11,FALSE),"-")</f>
        <v>-</v>
      </c>
      <c r="K821" s="11" t="str">
        <f>IFERROR(VLOOKUP($B821,'(勿動)組件目錄表'!$D$15:$R$1094,12,FALSE),"-")</f>
        <v>-</v>
      </c>
      <c r="L821" s="11" t="str">
        <f>IFERROR(VLOOKUP($B821,'(勿動)組件目錄表'!$D$15:$R$1094,13,FALSE),"-")</f>
        <v>-</v>
      </c>
      <c r="M821" s="11" t="str">
        <f>IFERROR(VLOOKUP($B821,'(勿動)組件目錄表'!$D$15:$R$1094,14,FALSE),"-")</f>
        <v>-</v>
      </c>
      <c r="N821" s="15">
        <f t="shared" si="3"/>
        <v>0</v>
      </c>
      <c r="O821" s="16"/>
    </row>
    <row r="822" spans="1:15" ht="15.75" customHeight="1">
      <c r="A822" s="18"/>
      <c r="B822" s="7"/>
      <c r="C822" s="8" t="str">
        <f>IFERROR(VLOOKUP($B822,'(勿動)組件目錄表'!$D$15:$R$1094,2,FALSE),"-")</f>
        <v>-</v>
      </c>
      <c r="D822" s="8" t="str">
        <f>IFERROR(VLOOKUP($B822,'(勿動)組件目錄表'!$D$15:$R$1094,3,FALSE),"-")</f>
        <v>-</v>
      </c>
      <c r="E822" s="9" t="str">
        <f>IFERROR(VLOOKUP($B822,'(勿動)組件目錄表'!$D$15:$R$1094,4,FALSE),"-")</f>
        <v>-</v>
      </c>
      <c r="F822" s="10" t="str">
        <f>IFERROR(VLOOKUP($B822,'(勿動)組件目錄表'!$D$15:$R$1094,5,FALSE),"-")</f>
        <v>-</v>
      </c>
      <c r="G822" s="11" t="str">
        <f>IFERROR(VLOOKUP($B822,'(勿動)組件目錄表'!$D$15:$R$1094,8,FALSE),"-")</f>
        <v>-</v>
      </c>
      <c r="H822" s="11" t="str">
        <f>IFERROR(VLOOKUP($B822,'(勿動)組件目錄表'!$D$15:$R$1094,9,FALSE),"-")</f>
        <v>-</v>
      </c>
      <c r="I822" s="11" t="str">
        <f>IFERROR(VLOOKUP($B822,'(勿動)組件目錄表'!$D$15:$R$1094,10,FALSE),"-")</f>
        <v>-</v>
      </c>
      <c r="J822" s="11" t="str">
        <f>IFERROR(VLOOKUP($B822,'(勿動)組件目錄表'!$D$15:$R$1094,11,FALSE),"-")</f>
        <v>-</v>
      </c>
      <c r="K822" s="11" t="str">
        <f>IFERROR(VLOOKUP($B822,'(勿動)組件目錄表'!$D$15:$R$1094,12,FALSE),"-")</f>
        <v>-</v>
      </c>
      <c r="L822" s="11" t="str">
        <f>IFERROR(VLOOKUP($B822,'(勿動)組件目錄表'!$D$15:$R$1094,13,FALSE),"-")</f>
        <v>-</v>
      </c>
      <c r="M822" s="11" t="str">
        <f>IFERROR(VLOOKUP($B822,'(勿動)組件目錄表'!$D$15:$R$1094,14,FALSE),"-")</f>
        <v>-</v>
      </c>
      <c r="N822" s="15">
        <f t="shared" si="3"/>
        <v>0</v>
      </c>
      <c r="O822" s="16"/>
    </row>
    <row r="823" spans="1:15" ht="15.75" customHeight="1">
      <c r="A823" s="18"/>
      <c r="B823" s="7"/>
      <c r="C823" s="8" t="str">
        <f>IFERROR(VLOOKUP($B823,'(勿動)組件目錄表'!$D$15:$R$1094,2,FALSE),"-")</f>
        <v>-</v>
      </c>
      <c r="D823" s="8" t="str">
        <f>IFERROR(VLOOKUP($B823,'(勿動)組件目錄表'!$D$15:$R$1094,3,FALSE),"-")</f>
        <v>-</v>
      </c>
      <c r="E823" s="9" t="str">
        <f>IFERROR(VLOOKUP($B823,'(勿動)組件目錄表'!$D$15:$R$1094,4,FALSE),"-")</f>
        <v>-</v>
      </c>
      <c r="F823" s="10" t="str">
        <f>IFERROR(VLOOKUP($B823,'(勿動)組件目錄表'!$D$15:$R$1094,5,FALSE),"-")</f>
        <v>-</v>
      </c>
      <c r="G823" s="11" t="str">
        <f>IFERROR(VLOOKUP($B823,'(勿動)組件目錄表'!$D$15:$R$1094,8,FALSE),"-")</f>
        <v>-</v>
      </c>
      <c r="H823" s="11" t="str">
        <f>IFERROR(VLOOKUP($B823,'(勿動)組件目錄表'!$D$15:$R$1094,9,FALSE),"-")</f>
        <v>-</v>
      </c>
      <c r="I823" s="11" t="str">
        <f>IFERROR(VLOOKUP($B823,'(勿動)組件目錄表'!$D$15:$R$1094,10,FALSE),"-")</f>
        <v>-</v>
      </c>
      <c r="J823" s="11" t="str">
        <f>IFERROR(VLOOKUP($B823,'(勿動)組件目錄表'!$D$15:$R$1094,11,FALSE),"-")</f>
        <v>-</v>
      </c>
      <c r="K823" s="11" t="str">
        <f>IFERROR(VLOOKUP($B823,'(勿動)組件目錄表'!$D$15:$R$1094,12,FALSE),"-")</f>
        <v>-</v>
      </c>
      <c r="L823" s="11" t="str">
        <f>IFERROR(VLOOKUP($B823,'(勿動)組件目錄表'!$D$15:$R$1094,13,FALSE),"-")</f>
        <v>-</v>
      </c>
      <c r="M823" s="11" t="str">
        <f>IFERROR(VLOOKUP($B823,'(勿動)組件目錄表'!$D$15:$R$1094,14,FALSE),"-")</f>
        <v>-</v>
      </c>
      <c r="N823" s="15">
        <f t="shared" si="3"/>
        <v>0</v>
      </c>
      <c r="O823" s="16"/>
    </row>
    <row r="824" spans="1:15" ht="15.75" customHeight="1">
      <c r="A824" s="18"/>
      <c r="B824" s="7"/>
      <c r="C824" s="8" t="str">
        <f>IFERROR(VLOOKUP($B824,'(勿動)組件目錄表'!$D$15:$R$1094,2,FALSE),"-")</f>
        <v>-</v>
      </c>
      <c r="D824" s="8" t="str">
        <f>IFERROR(VLOOKUP($B824,'(勿動)組件目錄表'!$D$15:$R$1094,3,FALSE),"-")</f>
        <v>-</v>
      </c>
      <c r="E824" s="9" t="str">
        <f>IFERROR(VLOOKUP($B824,'(勿動)組件目錄表'!$D$15:$R$1094,4,FALSE),"-")</f>
        <v>-</v>
      </c>
      <c r="F824" s="10" t="str">
        <f>IFERROR(VLOOKUP($B824,'(勿動)組件目錄表'!$D$15:$R$1094,5,FALSE),"-")</f>
        <v>-</v>
      </c>
      <c r="G824" s="11" t="str">
        <f>IFERROR(VLOOKUP($B824,'(勿動)組件目錄表'!$D$15:$R$1094,8,FALSE),"-")</f>
        <v>-</v>
      </c>
      <c r="H824" s="11" t="str">
        <f>IFERROR(VLOOKUP($B824,'(勿動)組件目錄表'!$D$15:$R$1094,9,FALSE),"-")</f>
        <v>-</v>
      </c>
      <c r="I824" s="11" t="str">
        <f>IFERROR(VLOOKUP($B824,'(勿動)組件目錄表'!$D$15:$R$1094,10,FALSE),"-")</f>
        <v>-</v>
      </c>
      <c r="J824" s="11" t="str">
        <f>IFERROR(VLOOKUP($B824,'(勿動)組件目錄表'!$D$15:$R$1094,11,FALSE),"-")</f>
        <v>-</v>
      </c>
      <c r="K824" s="11" t="str">
        <f>IFERROR(VLOOKUP($B824,'(勿動)組件目錄表'!$D$15:$R$1094,12,FALSE),"-")</f>
        <v>-</v>
      </c>
      <c r="L824" s="11" t="str">
        <f>IFERROR(VLOOKUP($B824,'(勿動)組件目錄表'!$D$15:$R$1094,13,FALSE),"-")</f>
        <v>-</v>
      </c>
      <c r="M824" s="11" t="str">
        <f>IFERROR(VLOOKUP($B824,'(勿動)組件目錄表'!$D$15:$R$1094,14,FALSE),"-")</f>
        <v>-</v>
      </c>
      <c r="N824" s="15">
        <f t="shared" si="3"/>
        <v>0</v>
      </c>
      <c r="O824" s="16"/>
    </row>
    <row r="825" spans="1:15" ht="15.75" customHeight="1">
      <c r="A825" s="18"/>
      <c r="B825" s="7"/>
      <c r="C825" s="8" t="str">
        <f>IFERROR(VLOOKUP($B825,'(勿動)組件目錄表'!$D$15:$R$1094,2,FALSE),"-")</f>
        <v>-</v>
      </c>
      <c r="D825" s="8" t="str">
        <f>IFERROR(VLOOKUP($B825,'(勿動)組件目錄表'!$D$15:$R$1094,3,FALSE),"-")</f>
        <v>-</v>
      </c>
      <c r="E825" s="9" t="str">
        <f>IFERROR(VLOOKUP($B825,'(勿動)組件目錄表'!$D$15:$R$1094,4,FALSE),"-")</f>
        <v>-</v>
      </c>
      <c r="F825" s="10" t="str">
        <f>IFERROR(VLOOKUP($B825,'(勿動)組件目錄表'!$D$15:$R$1094,5,FALSE),"-")</f>
        <v>-</v>
      </c>
      <c r="G825" s="11" t="str">
        <f>IFERROR(VLOOKUP($B825,'(勿動)組件目錄表'!$D$15:$R$1094,8,FALSE),"-")</f>
        <v>-</v>
      </c>
      <c r="H825" s="11" t="str">
        <f>IFERROR(VLOOKUP($B825,'(勿動)組件目錄表'!$D$15:$R$1094,9,FALSE),"-")</f>
        <v>-</v>
      </c>
      <c r="I825" s="11" t="str">
        <f>IFERROR(VLOOKUP($B825,'(勿動)組件目錄表'!$D$15:$R$1094,10,FALSE),"-")</f>
        <v>-</v>
      </c>
      <c r="J825" s="11" t="str">
        <f>IFERROR(VLOOKUP($B825,'(勿動)組件目錄表'!$D$15:$R$1094,11,FALSE),"-")</f>
        <v>-</v>
      </c>
      <c r="K825" s="11" t="str">
        <f>IFERROR(VLOOKUP($B825,'(勿動)組件目錄表'!$D$15:$R$1094,12,FALSE),"-")</f>
        <v>-</v>
      </c>
      <c r="L825" s="11" t="str">
        <f>IFERROR(VLOOKUP($B825,'(勿動)組件目錄表'!$D$15:$R$1094,13,FALSE),"-")</f>
        <v>-</v>
      </c>
      <c r="M825" s="11" t="str">
        <f>IFERROR(VLOOKUP($B825,'(勿動)組件目錄表'!$D$15:$R$1094,14,FALSE),"-")</f>
        <v>-</v>
      </c>
      <c r="N825" s="15">
        <f t="shared" si="3"/>
        <v>0</v>
      </c>
      <c r="O825" s="16"/>
    </row>
    <row r="826" spans="1:15" ht="15.75" customHeight="1">
      <c r="A826" s="18"/>
      <c r="B826" s="7"/>
      <c r="C826" s="8" t="str">
        <f>IFERROR(VLOOKUP($B826,'(勿動)組件目錄表'!$D$15:$R$1094,2,FALSE),"-")</f>
        <v>-</v>
      </c>
      <c r="D826" s="8" t="str">
        <f>IFERROR(VLOOKUP($B826,'(勿動)組件目錄表'!$D$15:$R$1094,3,FALSE),"-")</f>
        <v>-</v>
      </c>
      <c r="E826" s="9" t="str">
        <f>IFERROR(VLOOKUP($B826,'(勿動)組件目錄表'!$D$15:$R$1094,4,FALSE),"-")</f>
        <v>-</v>
      </c>
      <c r="F826" s="10" t="str">
        <f>IFERROR(VLOOKUP($B826,'(勿動)組件目錄表'!$D$15:$R$1094,5,FALSE),"-")</f>
        <v>-</v>
      </c>
      <c r="G826" s="11" t="str">
        <f>IFERROR(VLOOKUP($B826,'(勿動)組件目錄表'!$D$15:$R$1094,8,FALSE),"-")</f>
        <v>-</v>
      </c>
      <c r="H826" s="11" t="str">
        <f>IFERROR(VLOOKUP($B826,'(勿動)組件目錄表'!$D$15:$R$1094,9,FALSE),"-")</f>
        <v>-</v>
      </c>
      <c r="I826" s="11" t="str">
        <f>IFERROR(VLOOKUP($B826,'(勿動)組件目錄表'!$D$15:$R$1094,10,FALSE),"-")</f>
        <v>-</v>
      </c>
      <c r="J826" s="11" t="str">
        <f>IFERROR(VLOOKUP($B826,'(勿動)組件目錄表'!$D$15:$R$1094,11,FALSE),"-")</f>
        <v>-</v>
      </c>
      <c r="K826" s="11" t="str">
        <f>IFERROR(VLOOKUP($B826,'(勿動)組件目錄表'!$D$15:$R$1094,12,FALSE),"-")</f>
        <v>-</v>
      </c>
      <c r="L826" s="11" t="str">
        <f>IFERROR(VLOOKUP($B826,'(勿動)組件目錄表'!$D$15:$R$1094,13,FALSE),"-")</f>
        <v>-</v>
      </c>
      <c r="M826" s="11" t="str">
        <f>IFERROR(VLOOKUP($B826,'(勿動)組件目錄表'!$D$15:$R$1094,14,FALSE),"-")</f>
        <v>-</v>
      </c>
      <c r="N826" s="15">
        <f t="shared" si="3"/>
        <v>0</v>
      </c>
      <c r="O826" s="16"/>
    </row>
    <row r="827" spans="1:15" ht="15.75" customHeight="1">
      <c r="A827" s="18"/>
      <c r="B827" s="7"/>
      <c r="C827" s="8" t="str">
        <f>IFERROR(VLOOKUP($B827,'(勿動)組件目錄表'!$D$15:$R$1094,2,FALSE),"-")</f>
        <v>-</v>
      </c>
      <c r="D827" s="8" t="str">
        <f>IFERROR(VLOOKUP($B827,'(勿動)組件目錄表'!$D$15:$R$1094,3,FALSE),"-")</f>
        <v>-</v>
      </c>
      <c r="E827" s="9" t="str">
        <f>IFERROR(VLOOKUP($B827,'(勿動)組件目錄表'!$D$15:$R$1094,4,FALSE),"-")</f>
        <v>-</v>
      </c>
      <c r="F827" s="10" t="str">
        <f>IFERROR(VLOOKUP($B827,'(勿動)組件目錄表'!$D$15:$R$1094,5,FALSE),"-")</f>
        <v>-</v>
      </c>
      <c r="G827" s="11" t="str">
        <f>IFERROR(VLOOKUP($B827,'(勿動)組件目錄表'!$D$15:$R$1094,8,FALSE),"-")</f>
        <v>-</v>
      </c>
      <c r="H827" s="11" t="str">
        <f>IFERROR(VLOOKUP($B827,'(勿動)組件目錄表'!$D$15:$R$1094,9,FALSE),"-")</f>
        <v>-</v>
      </c>
      <c r="I827" s="11" t="str">
        <f>IFERROR(VLOOKUP($B827,'(勿動)組件目錄表'!$D$15:$R$1094,10,FALSE),"-")</f>
        <v>-</v>
      </c>
      <c r="J827" s="11" t="str">
        <f>IFERROR(VLOOKUP($B827,'(勿動)組件目錄表'!$D$15:$R$1094,11,FALSE),"-")</f>
        <v>-</v>
      </c>
      <c r="K827" s="11" t="str">
        <f>IFERROR(VLOOKUP($B827,'(勿動)組件目錄表'!$D$15:$R$1094,12,FALSE),"-")</f>
        <v>-</v>
      </c>
      <c r="L827" s="11" t="str">
        <f>IFERROR(VLOOKUP($B827,'(勿動)組件目錄表'!$D$15:$R$1094,13,FALSE),"-")</f>
        <v>-</v>
      </c>
      <c r="M827" s="11" t="str">
        <f>IFERROR(VLOOKUP($B827,'(勿動)組件目錄表'!$D$15:$R$1094,14,FALSE),"-")</f>
        <v>-</v>
      </c>
      <c r="N827" s="15">
        <f t="shared" si="3"/>
        <v>0</v>
      </c>
      <c r="O827" s="16"/>
    </row>
    <row r="828" spans="1:15" ht="15.75" customHeight="1">
      <c r="A828" s="18"/>
      <c r="B828" s="7"/>
      <c r="C828" s="8" t="str">
        <f>IFERROR(VLOOKUP($B828,'(勿動)組件目錄表'!$D$15:$R$1094,2,FALSE),"-")</f>
        <v>-</v>
      </c>
      <c r="D828" s="8" t="str">
        <f>IFERROR(VLOOKUP($B828,'(勿動)組件目錄表'!$D$15:$R$1094,3,FALSE),"-")</f>
        <v>-</v>
      </c>
      <c r="E828" s="9" t="str">
        <f>IFERROR(VLOOKUP($B828,'(勿動)組件目錄表'!$D$15:$R$1094,4,FALSE),"-")</f>
        <v>-</v>
      </c>
      <c r="F828" s="10" t="str">
        <f>IFERROR(VLOOKUP($B828,'(勿動)組件目錄表'!$D$15:$R$1094,5,FALSE),"-")</f>
        <v>-</v>
      </c>
      <c r="G828" s="11" t="str">
        <f>IFERROR(VLOOKUP($B828,'(勿動)組件目錄表'!$D$15:$R$1094,8,FALSE),"-")</f>
        <v>-</v>
      </c>
      <c r="H828" s="11" t="str">
        <f>IFERROR(VLOOKUP($B828,'(勿動)組件目錄表'!$D$15:$R$1094,9,FALSE),"-")</f>
        <v>-</v>
      </c>
      <c r="I828" s="11" t="str">
        <f>IFERROR(VLOOKUP($B828,'(勿動)組件目錄表'!$D$15:$R$1094,10,FALSE),"-")</f>
        <v>-</v>
      </c>
      <c r="J828" s="11" t="str">
        <f>IFERROR(VLOOKUP($B828,'(勿動)組件目錄表'!$D$15:$R$1094,11,FALSE),"-")</f>
        <v>-</v>
      </c>
      <c r="K828" s="11" t="str">
        <f>IFERROR(VLOOKUP($B828,'(勿動)組件目錄表'!$D$15:$R$1094,12,FALSE),"-")</f>
        <v>-</v>
      </c>
      <c r="L828" s="11" t="str">
        <f>IFERROR(VLOOKUP($B828,'(勿動)組件目錄表'!$D$15:$R$1094,13,FALSE),"-")</f>
        <v>-</v>
      </c>
      <c r="M828" s="11" t="str">
        <f>IFERROR(VLOOKUP($B828,'(勿動)組件目錄表'!$D$15:$R$1094,14,FALSE),"-")</f>
        <v>-</v>
      </c>
      <c r="N828" s="15">
        <f t="shared" si="3"/>
        <v>0</v>
      </c>
      <c r="O828" s="16"/>
    </row>
    <row r="829" spans="1:15" ht="15.75" customHeight="1">
      <c r="A829" s="18"/>
      <c r="B829" s="7"/>
      <c r="C829" s="8" t="str">
        <f>IFERROR(VLOOKUP($B829,'(勿動)組件目錄表'!$D$15:$R$1094,2,FALSE),"-")</f>
        <v>-</v>
      </c>
      <c r="D829" s="8" t="str">
        <f>IFERROR(VLOOKUP($B829,'(勿動)組件目錄表'!$D$15:$R$1094,3,FALSE),"-")</f>
        <v>-</v>
      </c>
      <c r="E829" s="9" t="str">
        <f>IFERROR(VLOOKUP($B829,'(勿動)組件目錄表'!$D$15:$R$1094,4,FALSE),"-")</f>
        <v>-</v>
      </c>
      <c r="F829" s="10" t="str">
        <f>IFERROR(VLOOKUP($B829,'(勿動)組件目錄表'!$D$15:$R$1094,5,FALSE),"-")</f>
        <v>-</v>
      </c>
      <c r="G829" s="11" t="str">
        <f>IFERROR(VLOOKUP($B829,'(勿動)組件目錄表'!$D$15:$R$1094,8,FALSE),"-")</f>
        <v>-</v>
      </c>
      <c r="H829" s="11" t="str">
        <f>IFERROR(VLOOKUP($B829,'(勿動)組件目錄表'!$D$15:$R$1094,9,FALSE),"-")</f>
        <v>-</v>
      </c>
      <c r="I829" s="11" t="str">
        <f>IFERROR(VLOOKUP($B829,'(勿動)組件目錄表'!$D$15:$R$1094,10,FALSE),"-")</f>
        <v>-</v>
      </c>
      <c r="J829" s="11" t="str">
        <f>IFERROR(VLOOKUP($B829,'(勿動)組件目錄表'!$D$15:$R$1094,11,FALSE),"-")</f>
        <v>-</v>
      </c>
      <c r="K829" s="11" t="str">
        <f>IFERROR(VLOOKUP($B829,'(勿動)組件目錄表'!$D$15:$R$1094,12,FALSE),"-")</f>
        <v>-</v>
      </c>
      <c r="L829" s="11" t="str">
        <f>IFERROR(VLOOKUP($B829,'(勿動)組件目錄表'!$D$15:$R$1094,13,FALSE),"-")</f>
        <v>-</v>
      </c>
      <c r="M829" s="11" t="str">
        <f>IFERROR(VLOOKUP($B829,'(勿動)組件目錄表'!$D$15:$R$1094,14,FALSE),"-")</f>
        <v>-</v>
      </c>
      <c r="N829" s="15">
        <f t="shared" si="3"/>
        <v>0</v>
      </c>
      <c r="O829" s="16"/>
    </row>
    <row r="830" spans="1:15" ht="15.75" customHeight="1">
      <c r="A830" s="18"/>
      <c r="B830" s="7"/>
      <c r="C830" s="8" t="str">
        <f>IFERROR(VLOOKUP($B830,'(勿動)組件目錄表'!$D$15:$R$1094,2,FALSE),"-")</f>
        <v>-</v>
      </c>
      <c r="D830" s="8" t="str">
        <f>IFERROR(VLOOKUP($B830,'(勿動)組件目錄表'!$D$15:$R$1094,3,FALSE),"-")</f>
        <v>-</v>
      </c>
      <c r="E830" s="9" t="str">
        <f>IFERROR(VLOOKUP($B830,'(勿動)組件目錄表'!$D$15:$R$1094,4,FALSE),"-")</f>
        <v>-</v>
      </c>
      <c r="F830" s="10" t="str">
        <f>IFERROR(VLOOKUP($B830,'(勿動)組件目錄表'!$D$15:$R$1094,5,FALSE),"-")</f>
        <v>-</v>
      </c>
      <c r="G830" s="11" t="str">
        <f>IFERROR(VLOOKUP($B830,'(勿動)組件目錄表'!$D$15:$R$1094,8,FALSE),"-")</f>
        <v>-</v>
      </c>
      <c r="H830" s="11" t="str">
        <f>IFERROR(VLOOKUP($B830,'(勿動)組件目錄表'!$D$15:$R$1094,9,FALSE),"-")</f>
        <v>-</v>
      </c>
      <c r="I830" s="11" t="str">
        <f>IFERROR(VLOOKUP($B830,'(勿動)組件目錄表'!$D$15:$R$1094,10,FALSE),"-")</f>
        <v>-</v>
      </c>
      <c r="J830" s="11" t="str">
        <f>IFERROR(VLOOKUP($B830,'(勿動)組件目錄表'!$D$15:$R$1094,11,FALSE),"-")</f>
        <v>-</v>
      </c>
      <c r="K830" s="11" t="str">
        <f>IFERROR(VLOOKUP($B830,'(勿動)組件目錄表'!$D$15:$R$1094,12,FALSE),"-")</f>
        <v>-</v>
      </c>
      <c r="L830" s="11" t="str">
        <f>IFERROR(VLOOKUP($B830,'(勿動)組件目錄表'!$D$15:$R$1094,13,FALSE),"-")</f>
        <v>-</v>
      </c>
      <c r="M830" s="11" t="str">
        <f>IFERROR(VLOOKUP($B830,'(勿動)組件目錄表'!$D$15:$R$1094,14,FALSE),"-")</f>
        <v>-</v>
      </c>
      <c r="N830" s="15">
        <f t="shared" si="3"/>
        <v>0</v>
      </c>
      <c r="O830" s="16"/>
    </row>
    <row r="831" spans="1:15" ht="15.75" customHeight="1">
      <c r="A831" s="18"/>
      <c r="B831" s="7"/>
      <c r="C831" s="8" t="str">
        <f>IFERROR(VLOOKUP($B831,'(勿動)組件目錄表'!$D$15:$R$1094,2,FALSE),"-")</f>
        <v>-</v>
      </c>
      <c r="D831" s="8" t="str">
        <f>IFERROR(VLOOKUP($B831,'(勿動)組件目錄表'!$D$15:$R$1094,3,FALSE),"-")</f>
        <v>-</v>
      </c>
      <c r="E831" s="9" t="str">
        <f>IFERROR(VLOOKUP($B831,'(勿動)組件目錄表'!$D$15:$R$1094,4,FALSE),"-")</f>
        <v>-</v>
      </c>
      <c r="F831" s="10" t="str">
        <f>IFERROR(VLOOKUP($B831,'(勿動)組件目錄表'!$D$15:$R$1094,5,FALSE),"-")</f>
        <v>-</v>
      </c>
      <c r="G831" s="11" t="str">
        <f>IFERROR(VLOOKUP($B831,'(勿動)組件目錄表'!$D$15:$R$1094,8,FALSE),"-")</f>
        <v>-</v>
      </c>
      <c r="H831" s="11" t="str">
        <f>IFERROR(VLOOKUP($B831,'(勿動)組件目錄表'!$D$15:$R$1094,9,FALSE),"-")</f>
        <v>-</v>
      </c>
      <c r="I831" s="11" t="str">
        <f>IFERROR(VLOOKUP($B831,'(勿動)組件目錄表'!$D$15:$R$1094,10,FALSE),"-")</f>
        <v>-</v>
      </c>
      <c r="J831" s="11" t="str">
        <f>IFERROR(VLOOKUP($B831,'(勿動)組件目錄表'!$D$15:$R$1094,11,FALSE),"-")</f>
        <v>-</v>
      </c>
      <c r="K831" s="11" t="str">
        <f>IFERROR(VLOOKUP($B831,'(勿動)組件目錄表'!$D$15:$R$1094,12,FALSE),"-")</f>
        <v>-</v>
      </c>
      <c r="L831" s="11" t="str">
        <f>IFERROR(VLOOKUP($B831,'(勿動)組件目錄表'!$D$15:$R$1094,13,FALSE),"-")</f>
        <v>-</v>
      </c>
      <c r="M831" s="11" t="str">
        <f>IFERROR(VLOOKUP($B831,'(勿動)組件目錄表'!$D$15:$R$1094,14,FALSE),"-")</f>
        <v>-</v>
      </c>
      <c r="N831" s="15">
        <f t="shared" si="3"/>
        <v>0</v>
      </c>
      <c r="O831" s="16"/>
    </row>
    <row r="832" spans="1:15" ht="15.75" customHeight="1">
      <c r="A832" s="18"/>
      <c r="B832" s="7"/>
      <c r="C832" s="8" t="str">
        <f>IFERROR(VLOOKUP($B832,'(勿動)組件目錄表'!$D$15:$R$1094,2,FALSE),"-")</f>
        <v>-</v>
      </c>
      <c r="D832" s="8" t="str">
        <f>IFERROR(VLOOKUP($B832,'(勿動)組件目錄表'!$D$15:$R$1094,3,FALSE),"-")</f>
        <v>-</v>
      </c>
      <c r="E832" s="9" t="str">
        <f>IFERROR(VLOOKUP($B832,'(勿動)組件目錄表'!$D$15:$R$1094,4,FALSE),"-")</f>
        <v>-</v>
      </c>
      <c r="F832" s="10" t="str">
        <f>IFERROR(VLOOKUP($B832,'(勿動)組件目錄表'!$D$15:$R$1094,5,FALSE),"-")</f>
        <v>-</v>
      </c>
      <c r="G832" s="11" t="str">
        <f>IFERROR(VLOOKUP($B832,'(勿動)組件目錄表'!$D$15:$R$1094,8,FALSE),"-")</f>
        <v>-</v>
      </c>
      <c r="H832" s="11" t="str">
        <f>IFERROR(VLOOKUP($B832,'(勿動)組件目錄表'!$D$15:$R$1094,9,FALSE),"-")</f>
        <v>-</v>
      </c>
      <c r="I832" s="11" t="str">
        <f>IFERROR(VLOOKUP($B832,'(勿動)組件目錄表'!$D$15:$R$1094,10,FALSE),"-")</f>
        <v>-</v>
      </c>
      <c r="J832" s="11" t="str">
        <f>IFERROR(VLOOKUP($B832,'(勿動)組件目錄表'!$D$15:$R$1094,11,FALSE),"-")</f>
        <v>-</v>
      </c>
      <c r="K832" s="11" t="str">
        <f>IFERROR(VLOOKUP($B832,'(勿動)組件目錄表'!$D$15:$R$1094,12,FALSE),"-")</f>
        <v>-</v>
      </c>
      <c r="L832" s="11" t="str">
        <f>IFERROR(VLOOKUP($B832,'(勿動)組件目錄表'!$D$15:$R$1094,13,FALSE),"-")</f>
        <v>-</v>
      </c>
      <c r="M832" s="11" t="str">
        <f>IFERROR(VLOOKUP($B832,'(勿動)組件目錄表'!$D$15:$R$1094,14,FALSE),"-")</f>
        <v>-</v>
      </c>
      <c r="N832" s="15">
        <f t="shared" si="3"/>
        <v>0</v>
      </c>
      <c r="O832" s="16"/>
    </row>
    <row r="833" spans="1:15" ht="15.75" customHeight="1">
      <c r="A833" s="18"/>
      <c r="B833" s="7"/>
      <c r="C833" s="8" t="str">
        <f>IFERROR(VLOOKUP($B833,'(勿動)組件目錄表'!$D$15:$R$1094,2,FALSE),"-")</f>
        <v>-</v>
      </c>
      <c r="D833" s="8" t="str">
        <f>IFERROR(VLOOKUP($B833,'(勿動)組件目錄表'!$D$15:$R$1094,3,FALSE),"-")</f>
        <v>-</v>
      </c>
      <c r="E833" s="9" t="str">
        <f>IFERROR(VLOOKUP($B833,'(勿動)組件目錄表'!$D$15:$R$1094,4,FALSE),"-")</f>
        <v>-</v>
      </c>
      <c r="F833" s="10" t="str">
        <f>IFERROR(VLOOKUP($B833,'(勿動)組件目錄表'!$D$15:$R$1094,5,FALSE),"-")</f>
        <v>-</v>
      </c>
      <c r="G833" s="11" t="str">
        <f>IFERROR(VLOOKUP($B833,'(勿動)組件目錄表'!$D$15:$R$1094,8,FALSE),"-")</f>
        <v>-</v>
      </c>
      <c r="H833" s="11" t="str">
        <f>IFERROR(VLOOKUP($B833,'(勿動)組件目錄表'!$D$15:$R$1094,9,FALSE),"-")</f>
        <v>-</v>
      </c>
      <c r="I833" s="11" t="str">
        <f>IFERROR(VLOOKUP($B833,'(勿動)組件目錄表'!$D$15:$R$1094,10,FALSE),"-")</f>
        <v>-</v>
      </c>
      <c r="J833" s="11" t="str">
        <f>IFERROR(VLOOKUP($B833,'(勿動)組件目錄表'!$D$15:$R$1094,11,FALSE),"-")</f>
        <v>-</v>
      </c>
      <c r="K833" s="11" t="str">
        <f>IFERROR(VLOOKUP($B833,'(勿動)組件目錄表'!$D$15:$R$1094,12,FALSE),"-")</f>
        <v>-</v>
      </c>
      <c r="L833" s="11" t="str">
        <f>IFERROR(VLOOKUP($B833,'(勿動)組件目錄表'!$D$15:$R$1094,13,FALSE),"-")</f>
        <v>-</v>
      </c>
      <c r="M833" s="11" t="str">
        <f>IFERROR(VLOOKUP($B833,'(勿動)組件目錄表'!$D$15:$R$1094,14,FALSE),"-")</f>
        <v>-</v>
      </c>
      <c r="N833" s="15">
        <f t="shared" si="3"/>
        <v>0</v>
      </c>
      <c r="O833" s="16"/>
    </row>
    <row r="834" spans="1:15" ht="15.75" customHeight="1">
      <c r="A834" s="18"/>
      <c r="B834" s="7"/>
      <c r="C834" s="8" t="str">
        <f>IFERROR(VLOOKUP($B834,'(勿動)組件目錄表'!$D$15:$R$1094,2,FALSE),"-")</f>
        <v>-</v>
      </c>
      <c r="D834" s="8" t="str">
        <f>IFERROR(VLOOKUP($B834,'(勿動)組件目錄表'!$D$15:$R$1094,3,FALSE),"-")</f>
        <v>-</v>
      </c>
      <c r="E834" s="9" t="str">
        <f>IFERROR(VLOOKUP($B834,'(勿動)組件目錄表'!$D$15:$R$1094,4,FALSE),"-")</f>
        <v>-</v>
      </c>
      <c r="F834" s="10" t="str">
        <f>IFERROR(VLOOKUP($B834,'(勿動)組件目錄表'!$D$15:$R$1094,5,FALSE),"-")</f>
        <v>-</v>
      </c>
      <c r="G834" s="11" t="str">
        <f>IFERROR(VLOOKUP($B834,'(勿動)組件目錄表'!$D$15:$R$1094,8,FALSE),"-")</f>
        <v>-</v>
      </c>
      <c r="H834" s="11" t="str">
        <f>IFERROR(VLOOKUP($B834,'(勿動)組件目錄表'!$D$15:$R$1094,9,FALSE),"-")</f>
        <v>-</v>
      </c>
      <c r="I834" s="11" t="str">
        <f>IFERROR(VLOOKUP($B834,'(勿動)組件目錄表'!$D$15:$R$1094,10,FALSE),"-")</f>
        <v>-</v>
      </c>
      <c r="J834" s="11" t="str">
        <f>IFERROR(VLOOKUP($B834,'(勿動)組件目錄表'!$D$15:$R$1094,11,FALSE),"-")</f>
        <v>-</v>
      </c>
      <c r="K834" s="11" t="str">
        <f>IFERROR(VLOOKUP($B834,'(勿動)組件目錄表'!$D$15:$R$1094,12,FALSE),"-")</f>
        <v>-</v>
      </c>
      <c r="L834" s="11" t="str">
        <f>IFERROR(VLOOKUP($B834,'(勿動)組件目錄表'!$D$15:$R$1094,13,FALSE),"-")</f>
        <v>-</v>
      </c>
      <c r="M834" s="11" t="str">
        <f>IFERROR(VLOOKUP($B834,'(勿動)組件目錄表'!$D$15:$R$1094,14,FALSE),"-")</f>
        <v>-</v>
      </c>
      <c r="N834" s="15">
        <f t="shared" si="3"/>
        <v>0</v>
      </c>
      <c r="O834" s="16"/>
    </row>
    <row r="835" spans="1:15" ht="15.75" customHeight="1">
      <c r="A835" s="18"/>
      <c r="B835" s="7"/>
      <c r="C835" s="8" t="str">
        <f>IFERROR(VLOOKUP($B835,'(勿動)組件目錄表'!$D$15:$R$1094,2,FALSE),"-")</f>
        <v>-</v>
      </c>
      <c r="D835" s="8" t="str">
        <f>IFERROR(VLOOKUP($B835,'(勿動)組件目錄表'!$D$15:$R$1094,3,FALSE),"-")</f>
        <v>-</v>
      </c>
      <c r="E835" s="9" t="str">
        <f>IFERROR(VLOOKUP($B835,'(勿動)組件目錄表'!$D$15:$R$1094,4,FALSE),"-")</f>
        <v>-</v>
      </c>
      <c r="F835" s="10" t="str">
        <f>IFERROR(VLOOKUP($B835,'(勿動)組件目錄表'!$D$15:$R$1094,5,FALSE),"-")</f>
        <v>-</v>
      </c>
      <c r="G835" s="11" t="str">
        <f>IFERROR(VLOOKUP($B835,'(勿動)組件目錄表'!$D$15:$R$1094,8,FALSE),"-")</f>
        <v>-</v>
      </c>
      <c r="H835" s="11" t="str">
        <f>IFERROR(VLOOKUP($B835,'(勿動)組件目錄表'!$D$15:$R$1094,9,FALSE),"-")</f>
        <v>-</v>
      </c>
      <c r="I835" s="11" t="str">
        <f>IFERROR(VLOOKUP($B835,'(勿動)組件目錄表'!$D$15:$R$1094,10,FALSE),"-")</f>
        <v>-</v>
      </c>
      <c r="J835" s="11" t="str">
        <f>IFERROR(VLOOKUP($B835,'(勿動)組件目錄表'!$D$15:$R$1094,11,FALSE),"-")</f>
        <v>-</v>
      </c>
      <c r="K835" s="11" t="str">
        <f>IFERROR(VLOOKUP($B835,'(勿動)組件目錄表'!$D$15:$R$1094,12,FALSE),"-")</f>
        <v>-</v>
      </c>
      <c r="L835" s="11" t="str">
        <f>IFERROR(VLOOKUP($B835,'(勿動)組件目錄表'!$D$15:$R$1094,13,FALSE),"-")</f>
        <v>-</v>
      </c>
      <c r="M835" s="11" t="str">
        <f>IFERROR(VLOOKUP($B835,'(勿動)組件目錄表'!$D$15:$R$1094,14,FALSE),"-")</f>
        <v>-</v>
      </c>
      <c r="N835" s="15">
        <f t="shared" si="3"/>
        <v>0</v>
      </c>
      <c r="O835" s="16"/>
    </row>
    <row r="836" spans="1:15" ht="15.75" customHeight="1">
      <c r="A836" s="18"/>
      <c r="B836" s="7"/>
      <c r="C836" s="8" t="str">
        <f>IFERROR(VLOOKUP($B836,'(勿動)組件目錄表'!$D$15:$R$1094,2,FALSE),"-")</f>
        <v>-</v>
      </c>
      <c r="D836" s="8" t="str">
        <f>IFERROR(VLOOKUP($B836,'(勿動)組件目錄表'!$D$15:$R$1094,3,FALSE),"-")</f>
        <v>-</v>
      </c>
      <c r="E836" s="9" t="str">
        <f>IFERROR(VLOOKUP($B836,'(勿動)組件目錄表'!$D$15:$R$1094,4,FALSE),"-")</f>
        <v>-</v>
      </c>
      <c r="F836" s="10" t="str">
        <f>IFERROR(VLOOKUP($B836,'(勿動)組件目錄表'!$D$15:$R$1094,5,FALSE),"-")</f>
        <v>-</v>
      </c>
      <c r="G836" s="11" t="str">
        <f>IFERROR(VLOOKUP($B836,'(勿動)組件目錄表'!$D$15:$R$1094,8,FALSE),"-")</f>
        <v>-</v>
      </c>
      <c r="H836" s="11" t="str">
        <f>IFERROR(VLOOKUP($B836,'(勿動)組件目錄表'!$D$15:$R$1094,9,FALSE),"-")</f>
        <v>-</v>
      </c>
      <c r="I836" s="11" t="str">
        <f>IFERROR(VLOOKUP($B836,'(勿動)組件目錄表'!$D$15:$R$1094,10,FALSE),"-")</f>
        <v>-</v>
      </c>
      <c r="J836" s="11" t="str">
        <f>IFERROR(VLOOKUP($B836,'(勿動)組件目錄表'!$D$15:$R$1094,11,FALSE),"-")</f>
        <v>-</v>
      </c>
      <c r="K836" s="11" t="str">
        <f>IFERROR(VLOOKUP($B836,'(勿動)組件目錄表'!$D$15:$R$1094,12,FALSE),"-")</f>
        <v>-</v>
      </c>
      <c r="L836" s="11" t="str">
        <f>IFERROR(VLOOKUP($B836,'(勿動)組件目錄表'!$D$15:$R$1094,13,FALSE),"-")</f>
        <v>-</v>
      </c>
      <c r="M836" s="11" t="str">
        <f>IFERROR(VLOOKUP($B836,'(勿動)組件目錄表'!$D$15:$R$1094,14,FALSE),"-")</f>
        <v>-</v>
      </c>
      <c r="N836" s="15">
        <f t="shared" si="3"/>
        <v>0</v>
      </c>
      <c r="O836" s="16"/>
    </row>
    <row r="837" spans="1:15" ht="15.75" customHeight="1">
      <c r="A837" s="18"/>
      <c r="B837" s="7"/>
      <c r="C837" s="8" t="str">
        <f>IFERROR(VLOOKUP($B837,'(勿動)組件目錄表'!$D$15:$R$1094,2,FALSE),"-")</f>
        <v>-</v>
      </c>
      <c r="D837" s="8" t="str">
        <f>IFERROR(VLOOKUP($B837,'(勿動)組件目錄表'!$D$15:$R$1094,3,FALSE),"-")</f>
        <v>-</v>
      </c>
      <c r="E837" s="9" t="str">
        <f>IFERROR(VLOOKUP($B837,'(勿動)組件目錄表'!$D$15:$R$1094,4,FALSE),"-")</f>
        <v>-</v>
      </c>
      <c r="F837" s="10" t="str">
        <f>IFERROR(VLOOKUP($B837,'(勿動)組件目錄表'!$D$15:$R$1094,5,FALSE),"-")</f>
        <v>-</v>
      </c>
      <c r="G837" s="11" t="str">
        <f>IFERROR(VLOOKUP($B837,'(勿動)組件目錄表'!$D$15:$R$1094,8,FALSE),"-")</f>
        <v>-</v>
      </c>
      <c r="H837" s="11" t="str">
        <f>IFERROR(VLOOKUP($B837,'(勿動)組件目錄表'!$D$15:$R$1094,9,FALSE),"-")</f>
        <v>-</v>
      </c>
      <c r="I837" s="11" t="str">
        <f>IFERROR(VLOOKUP($B837,'(勿動)組件目錄表'!$D$15:$R$1094,10,FALSE),"-")</f>
        <v>-</v>
      </c>
      <c r="J837" s="11" t="str">
        <f>IFERROR(VLOOKUP($B837,'(勿動)組件目錄表'!$D$15:$R$1094,11,FALSE),"-")</f>
        <v>-</v>
      </c>
      <c r="K837" s="11" t="str">
        <f>IFERROR(VLOOKUP($B837,'(勿動)組件目錄表'!$D$15:$R$1094,12,FALSE),"-")</f>
        <v>-</v>
      </c>
      <c r="L837" s="11" t="str">
        <f>IFERROR(VLOOKUP($B837,'(勿動)組件目錄表'!$D$15:$R$1094,13,FALSE),"-")</f>
        <v>-</v>
      </c>
      <c r="M837" s="11" t="str">
        <f>IFERROR(VLOOKUP($B837,'(勿動)組件目錄表'!$D$15:$R$1094,14,FALSE),"-")</f>
        <v>-</v>
      </c>
      <c r="N837" s="15">
        <f t="shared" si="3"/>
        <v>0</v>
      </c>
      <c r="O837" s="16"/>
    </row>
    <row r="838" spans="1:15" ht="15.75" customHeight="1">
      <c r="A838" s="18"/>
      <c r="B838" s="7"/>
      <c r="C838" s="8" t="str">
        <f>IFERROR(VLOOKUP($B838,'(勿動)組件目錄表'!$D$15:$R$1094,2,FALSE),"-")</f>
        <v>-</v>
      </c>
      <c r="D838" s="8" t="str">
        <f>IFERROR(VLOOKUP($B838,'(勿動)組件目錄表'!$D$15:$R$1094,3,FALSE),"-")</f>
        <v>-</v>
      </c>
      <c r="E838" s="9" t="str">
        <f>IFERROR(VLOOKUP($B838,'(勿動)組件目錄表'!$D$15:$R$1094,4,FALSE),"-")</f>
        <v>-</v>
      </c>
      <c r="F838" s="10" t="str">
        <f>IFERROR(VLOOKUP($B838,'(勿動)組件目錄表'!$D$15:$R$1094,5,FALSE),"-")</f>
        <v>-</v>
      </c>
      <c r="G838" s="11" t="str">
        <f>IFERROR(VLOOKUP($B838,'(勿動)組件目錄表'!$D$15:$R$1094,8,FALSE),"-")</f>
        <v>-</v>
      </c>
      <c r="H838" s="11" t="str">
        <f>IFERROR(VLOOKUP($B838,'(勿動)組件目錄表'!$D$15:$R$1094,9,FALSE),"-")</f>
        <v>-</v>
      </c>
      <c r="I838" s="11" t="str">
        <f>IFERROR(VLOOKUP($B838,'(勿動)組件目錄表'!$D$15:$R$1094,10,FALSE),"-")</f>
        <v>-</v>
      </c>
      <c r="J838" s="11" t="str">
        <f>IFERROR(VLOOKUP($B838,'(勿動)組件目錄表'!$D$15:$R$1094,11,FALSE),"-")</f>
        <v>-</v>
      </c>
      <c r="K838" s="11" t="str">
        <f>IFERROR(VLOOKUP($B838,'(勿動)組件目錄表'!$D$15:$R$1094,12,FALSE),"-")</f>
        <v>-</v>
      </c>
      <c r="L838" s="11" t="str">
        <f>IFERROR(VLOOKUP($B838,'(勿動)組件目錄表'!$D$15:$R$1094,13,FALSE),"-")</f>
        <v>-</v>
      </c>
      <c r="M838" s="11" t="str">
        <f>IFERROR(VLOOKUP($B838,'(勿動)組件目錄表'!$D$15:$R$1094,14,FALSE),"-")</f>
        <v>-</v>
      </c>
      <c r="N838" s="15">
        <f t="shared" si="3"/>
        <v>0</v>
      </c>
      <c r="O838" s="16"/>
    </row>
    <row r="839" spans="1:15" ht="15.75" customHeight="1">
      <c r="A839" s="18"/>
      <c r="B839" s="7"/>
      <c r="C839" s="8" t="str">
        <f>IFERROR(VLOOKUP($B839,'(勿動)組件目錄表'!$D$15:$R$1094,2,FALSE),"-")</f>
        <v>-</v>
      </c>
      <c r="D839" s="8" t="str">
        <f>IFERROR(VLOOKUP($B839,'(勿動)組件目錄表'!$D$15:$R$1094,3,FALSE),"-")</f>
        <v>-</v>
      </c>
      <c r="E839" s="9" t="str">
        <f>IFERROR(VLOOKUP($B839,'(勿動)組件目錄表'!$D$15:$R$1094,4,FALSE),"-")</f>
        <v>-</v>
      </c>
      <c r="F839" s="10" t="str">
        <f>IFERROR(VLOOKUP($B839,'(勿動)組件目錄表'!$D$15:$R$1094,5,FALSE),"-")</f>
        <v>-</v>
      </c>
      <c r="G839" s="11" t="str">
        <f>IFERROR(VLOOKUP($B839,'(勿動)組件目錄表'!$D$15:$R$1094,8,FALSE),"-")</f>
        <v>-</v>
      </c>
      <c r="H839" s="11" t="str">
        <f>IFERROR(VLOOKUP($B839,'(勿動)組件目錄表'!$D$15:$R$1094,9,FALSE),"-")</f>
        <v>-</v>
      </c>
      <c r="I839" s="11" t="str">
        <f>IFERROR(VLOOKUP($B839,'(勿動)組件目錄表'!$D$15:$R$1094,10,FALSE),"-")</f>
        <v>-</v>
      </c>
      <c r="J839" s="11" t="str">
        <f>IFERROR(VLOOKUP($B839,'(勿動)組件目錄表'!$D$15:$R$1094,11,FALSE),"-")</f>
        <v>-</v>
      </c>
      <c r="K839" s="11" t="str">
        <f>IFERROR(VLOOKUP($B839,'(勿動)組件目錄表'!$D$15:$R$1094,12,FALSE),"-")</f>
        <v>-</v>
      </c>
      <c r="L839" s="11" t="str">
        <f>IFERROR(VLOOKUP($B839,'(勿動)組件目錄表'!$D$15:$R$1094,13,FALSE),"-")</f>
        <v>-</v>
      </c>
      <c r="M839" s="11" t="str">
        <f>IFERROR(VLOOKUP($B839,'(勿動)組件目錄表'!$D$15:$R$1094,14,FALSE),"-")</f>
        <v>-</v>
      </c>
      <c r="N839" s="15">
        <f t="shared" si="3"/>
        <v>0</v>
      </c>
      <c r="O839" s="16"/>
    </row>
    <row r="840" spans="1:15" ht="15.75" customHeight="1">
      <c r="A840" s="18"/>
      <c r="B840" s="7"/>
      <c r="C840" s="8" t="str">
        <f>IFERROR(VLOOKUP($B840,'(勿動)組件目錄表'!$D$15:$R$1094,2,FALSE),"-")</f>
        <v>-</v>
      </c>
      <c r="D840" s="8" t="str">
        <f>IFERROR(VLOOKUP($B840,'(勿動)組件目錄表'!$D$15:$R$1094,3,FALSE),"-")</f>
        <v>-</v>
      </c>
      <c r="E840" s="9" t="str">
        <f>IFERROR(VLOOKUP($B840,'(勿動)組件目錄表'!$D$15:$R$1094,4,FALSE),"-")</f>
        <v>-</v>
      </c>
      <c r="F840" s="10" t="str">
        <f>IFERROR(VLOOKUP($B840,'(勿動)組件目錄表'!$D$15:$R$1094,5,FALSE),"-")</f>
        <v>-</v>
      </c>
      <c r="G840" s="11" t="str">
        <f>IFERROR(VLOOKUP($B840,'(勿動)組件目錄表'!$D$15:$R$1094,8,FALSE),"-")</f>
        <v>-</v>
      </c>
      <c r="H840" s="11" t="str">
        <f>IFERROR(VLOOKUP($B840,'(勿動)組件目錄表'!$D$15:$R$1094,9,FALSE),"-")</f>
        <v>-</v>
      </c>
      <c r="I840" s="11" t="str">
        <f>IFERROR(VLOOKUP($B840,'(勿動)組件目錄表'!$D$15:$R$1094,10,FALSE),"-")</f>
        <v>-</v>
      </c>
      <c r="J840" s="11" t="str">
        <f>IFERROR(VLOOKUP($B840,'(勿動)組件目錄表'!$D$15:$R$1094,11,FALSE),"-")</f>
        <v>-</v>
      </c>
      <c r="K840" s="11" t="str">
        <f>IFERROR(VLOOKUP($B840,'(勿動)組件目錄表'!$D$15:$R$1094,12,FALSE),"-")</f>
        <v>-</v>
      </c>
      <c r="L840" s="11" t="str">
        <f>IFERROR(VLOOKUP($B840,'(勿動)組件目錄表'!$D$15:$R$1094,13,FALSE),"-")</f>
        <v>-</v>
      </c>
      <c r="M840" s="11" t="str">
        <f>IFERROR(VLOOKUP($B840,'(勿動)組件目錄表'!$D$15:$R$1094,14,FALSE),"-")</f>
        <v>-</v>
      </c>
      <c r="N840" s="15">
        <f t="shared" si="3"/>
        <v>0</v>
      </c>
      <c r="O840" s="16"/>
    </row>
    <row r="841" spans="1:15" ht="15.75" customHeight="1">
      <c r="A841" s="18"/>
      <c r="B841" s="7"/>
      <c r="C841" s="8" t="str">
        <f>IFERROR(VLOOKUP($B841,'(勿動)組件目錄表'!$D$15:$R$1094,2,FALSE),"-")</f>
        <v>-</v>
      </c>
      <c r="D841" s="8" t="str">
        <f>IFERROR(VLOOKUP($B841,'(勿動)組件目錄表'!$D$15:$R$1094,3,FALSE),"-")</f>
        <v>-</v>
      </c>
      <c r="E841" s="9" t="str">
        <f>IFERROR(VLOOKUP($B841,'(勿動)組件目錄表'!$D$15:$R$1094,4,FALSE),"-")</f>
        <v>-</v>
      </c>
      <c r="F841" s="10" t="str">
        <f>IFERROR(VLOOKUP($B841,'(勿動)組件目錄表'!$D$15:$R$1094,5,FALSE),"-")</f>
        <v>-</v>
      </c>
      <c r="G841" s="11" t="str">
        <f>IFERROR(VLOOKUP($B841,'(勿動)組件目錄表'!$D$15:$R$1094,8,FALSE),"-")</f>
        <v>-</v>
      </c>
      <c r="H841" s="11" t="str">
        <f>IFERROR(VLOOKUP($B841,'(勿動)組件目錄表'!$D$15:$R$1094,9,FALSE),"-")</f>
        <v>-</v>
      </c>
      <c r="I841" s="11" t="str">
        <f>IFERROR(VLOOKUP($B841,'(勿動)組件目錄表'!$D$15:$R$1094,10,FALSE),"-")</f>
        <v>-</v>
      </c>
      <c r="J841" s="11" t="str">
        <f>IFERROR(VLOOKUP($B841,'(勿動)組件目錄表'!$D$15:$R$1094,11,FALSE),"-")</f>
        <v>-</v>
      </c>
      <c r="K841" s="11" t="str">
        <f>IFERROR(VLOOKUP($B841,'(勿動)組件目錄表'!$D$15:$R$1094,12,FALSE),"-")</f>
        <v>-</v>
      </c>
      <c r="L841" s="11" t="str">
        <f>IFERROR(VLOOKUP($B841,'(勿動)組件目錄表'!$D$15:$R$1094,13,FALSE),"-")</f>
        <v>-</v>
      </c>
      <c r="M841" s="11" t="str">
        <f>IFERROR(VLOOKUP($B841,'(勿動)組件目錄表'!$D$15:$R$1094,14,FALSE),"-")</f>
        <v>-</v>
      </c>
      <c r="N841" s="15">
        <f t="shared" si="3"/>
        <v>0</v>
      </c>
      <c r="O841" s="16"/>
    </row>
    <row r="842" spans="1:15" ht="15.75" customHeight="1">
      <c r="A842" s="18"/>
      <c r="B842" s="7"/>
      <c r="C842" s="8" t="str">
        <f>IFERROR(VLOOKUP($B842,'(勿動)組件目錄表'!$D$15:$R$1094,2,FALSE),"-")</f>
        <v>-</v>
      </c>
      <c r="D842" s="8" t="str">
        <f>IFERROR(VLOOKUP($B842,'(勿動)組件目錄表'!$D$15:$R$1094,3,FALSE),"-")</f>
        <v>-</v>
      </c>
      <c r="E842" s="9" t="str">
        <f>IFERROR(VLOOKUP($B842,'(勿動)組件目錄表'!$D$15:$R$1094,4,FALSE),"-")</f>
        <v>-</v>
      </c>
      <c r="F842" s="10" t="str">
        <f>IFERROR(VLOOKUP($B842,'(勿動)組件目錄表'!$D$15:$R$1094,5,FALSE),"-")</f>
        <v>-</v>
      </c>
      <c r="G842" s="11" t="str">
        <f>IFERROR(VLOOKUP($B842,'(勿動)組件目錄表'!$D$15:$R$1094,8,FALSE),"-")</f>
        <v>-</v>
      </c>
      <c r="H842" s="11" t="str">
        <f>IFERROR(VLOOKUP($B842,'(勿動)組件目錄表'!$D$15:$R$1094,9,FALSE),"-")</f>
        <v>-</v>
      </c>
      <c r="I842" s="11" t="str">
        <f>IFERROR(VLOOKUP($B842,'(勿動)組件目錄表'!$D$15:$R$1094,10,FALSE),"-")</f>
        <v>-</v>
      </c>
      <c r="J842" s="11" t="str">
        <f>IFERROR(VLOOKUP($B842,'(勿動)組件目錄表'!$D$15:$R$1094,11,FALSE),"-")</f>
        <v>-</v>
      </c>
      <c r="K842" s="11" t="str">
        <f>IFERROR(VLOOKUP($B842,'(勿動)組件目錄表'!$D$15:$R$1094,12,FALSE),"-")</f>
        <v>-</v>
      </c>
      <c r="L842" s="11" t="str">
        <f>IFERROR(VLOOKUP($B842,'(勿動)組件目錄表'!$D$15:$R$1094,13,FALSE),"-")</f>
        <v>-</v>
      </c>
      <c r="M842" s="11" t="str">
        <f>IFERROR(VLOOKUP($B842,'(勿動)組件目錄表'!$D$15:$R$1094,14,FALSE),"-")</f>
        <v>-</v>
      </c>
      <c r="N842" s="15">
        <f t="shared" si="3"/>
        <v>0</v>
      </c>
      <c r="O842" s="16"/>
    </row>
    <row r="843" spans="1:15" ht="15.75" customHeight="1">
      <c r="A843" s="18"/>
      <c r="B843" s="7"/>
      <c r="C843" s="8" t="str">
        <f>IFERROR(VLOOKUP($B843,'(勿動)組件目錄表'!$D$15:$R$1094,2,FALSE),"-")</f>
        <v>-</v>
      </c>
      <c r="D843" s="8" t="str">
        <f>IFERROR(VLOOKUP($B843,'(勿動)組件目錄表'!$D$15:$R$1094,3,FALSE),"-")</f>
        <v>-</v>
      </c>
      <c r="E843" s="9" t="str">
        <f>IFERROR(VLOOKUP($B843,'(勿動)組件目錄表'!$D$15:$R$1094,4,FALSE),"-")</f>
        <v>-</v>
      </c>
      <c r="F843" s="10" t="str">
        <f>IFERROR(VLOOKUP($B843,'(勿動)組件目錄表'!$D$15:$R$1094,5,FALSE),"-")</f>
        <v>-</v>
      </c>
      <c r="G843" s="11" t="str">
        <f>IFERROR(VLOOKUP($B843,'(勿動)組件目錄表'!$D$15:$R$1094,8,FALSE),"-")</f>
        <v>-</v>
      </c>
      <c r="H843" s="11" t="str">
        <f>IFERROR(VLOOKUP($B843,'(勿動)組件目錄表'!$D$15:$R$1094,9,FALSE),"-")</f>
        <v>-</v>
      </c>
      <c r="I843" s="11" t="str">
        <f>IFERROR(VLOOKUP($B843,'(勿動)組件目錄表'!$D$15:$R$1094,10,FALSE),"-")</f>
        <v>-</v>
      </c>
      <c r="J843" s="11" t="str">
        <f>IFERROR(VLOOKUP($B843,'(勿動)組件目錄表'!$D$15:$R$1094,11,FALSE),"-")</f>
        <v>-</v>
      </c>
      <c r="K843" s="11" t="str">
        <f>IFERROR(VLOOKUP($B843,'(勿動)組件目錄表'!$D$15:$R$1094,12,FALSE),"-")</f>
        <v>-</v>
      </c>
      <c r="L843" s="11" t="str">
        <f>IFERROR(VLOOKUP($B843,'(勿動)組件目錄表'!$D$15:$R$1094,13,FALSE),"-")</f>
        <v>-</v>
      </c>
      <c r="M843" s="11" t="str">
        <f>IFERROR(VLOOKUP($B843,'(勿動)組件目錄表'!$D$15:$R$1094,14,FALSE),"-")</f>
        <v>-</v>
      </c>
      <c r="N843" s="15">
        <f t="shared" si="3"/>
        <v>0</v>
      </c>
      <c r="O843" s="16"/>
    </row>
    <row r="844" spans="1:15" ht="15.75" customHeight="1">
      <c r="A844" s="18"/>
      <c r="B844" s="7"/>
      <c r="C844" s="8" t="str">
        <f>IFERROR(VLOOKUP($B844,'(勿動)組件目錄表'!$D$15:$R$1094,2,FALSE),"-")</f>
        <v>-</v>
      </c>
      <c r="D844" s="8" t="str">
        <f>IFERROR(VLOOKUP($B844,'(勿動)組件目錄表'!$D$15:$R$1094,3,FALSE),"-")</f>
        <v>-</v>
      </c>
      <c r="E844" s="9" t="str">
        <f>IFERROR(VLOOKUP($B844,'(勿動)組件目錄表'!$D$15:$R$1094,4,FALSE),"-")</f>
        <v>-</v>
      </c>
      <c r="F844" s="10" t="str">
        <f>IFERROR(VLOOKUP($B844,'(勿動)組件目錄表'!$D$15:$R$1094,5,FALSE),"-")</f>
        <v>-</v>
      </c>
      <c r="G844" s="11" t="str">
        <f>IFERROR(VLOOKUP($B844,'(勿動)組件目錄表'!$D$15:$R$1094,8,FALSE),"-")</f>
        <v>-</v>
      </c>
      <c r="H844" s="11" t="str">
        <f>IFERROR(VLOOKUP($B844,'(勿動)組件目錄表'!$D$15:$R$1094,9,FALSE),"-")</f>
        <v>-</v>
      </c>
      <c r="I844" s="11" t="str">
        <f>IFERROR(VLOOKUP($B844,'(勿動)組件目錄表'!$D$15:$R$1094,10,FALSE),"-")</f>
        <v>-</v>
      </c>
      <c r="J844" s="11" t="str">
        <f>IFERROR(VLOOKUP($B844,'(勿動)組件目錄表'!$D$15:$R$1094,11,FALSE),"-")</f>
        <v>-</v>
      </c>
      <c r="K844" s="11" t="str">
        <f>IFERROR(VLOOKUP($B844,'(勿動)組件目錄表'!$D$15:$R$1094,12,FALSE),"-")</f>
        <v>-</v>
      </c>
      <c r="L844" s="11" t="str">
        <f>IFERROR(VLOOKUP($B844,'(勿動)組件目錄表'!$D$15:$R$1094,13,FALSE),"-")</f>
        <v>-</v>
      </c>
      <c r="M844" s="11" t="str">
        <f>IFERROR(VLOOKUP($B844,'(勿動)組件目錄表'!$D$15:$R$1094,14,FALSE),"-")</f>
        <v>-</v>
      </c>
      <c r="N844" s="15">
        <f t="shared" si="3"/>
        <v>0</v>
      </c>
      <c r="O844" s="16"/>
    </row>
    <row r="845" spans="1:15" ht="15.75" customHeight="1">
      <c r="A845" s="18"/>
      <c r="B845" s="7"/>
      <c r="C845" s="8" t="str">
        <f>IFERROR(VLOOKUP($B845,'(勿動)組件目錄表'!$D$15:$R$1094,2,FALSE),"-")</f>
        <v>-</v>
      </c>
      <c r="D845" s="8" t="str">
        <f>IFERROR(VLOOKUP($B845,'(勿動)組件目錄表'!$D$15:$R$1094,3,FALSE),"-")</f>
        <v>-</v>
      </c>
      <c r="E845" s="9" t="str">
        <f>IFERROR(VLOOKUP($B845,'(勿動)組件目錄表'!$D$15:$R$1094,4,FALSE),"-")</f>
        <v>-</v>
      </c>
      <c r="F845" s="10" t="str">
        <f>IFERROR(VLOOKUP($B845,'(勿動)組件目錄表'!$D$15:$R$1094,5,FALSE),"-")</f>
        <v>-</v>
      </c>
      <c r="G845" s="11" t="str">
        <f>IFERROR(VLOOKUP($B845,'(勿動)組件目錄表'!$D$15:$R$1094,8,FALSE),"-")</f>
        <v>-</v>
      </c>
      <c r="H845" s="11" t="str">
        <f>IFERROR(VLOOKUP($B845,'(勿動)組件目錄表'!$D$15:$R$1094,9,FALSE),"-")</f>
        <v>-</v>
      </c>
      <c r="I845" s="11" t="str">
        <f>IFERROR(VLOOKUP($B845,'(勿動)組件目錄表'!$D$15:$R$1094,10,FALSE),"-")</f>
        <v>-</v>
      </c>
      <c r="J845" s="11" t="str">
        <f>IFERROR(VLOOKUP($B845,'(勿動)組件目錄表'!$D$15:$R$1094,11,FALSE),"-")</f>
        <v>-</v>
      </c>
      <c r="K845" s="11" t="str">
        <f>IFERROR(VLOOKUP($B845,'(勿動)組件目錄表'!$D$15:$R$1094,12,FALSE),"-")</f>
        <v>-</v>
      </c>
      <c r="L845" s="11" t="str">
        <f>IFERROR(VLOOKUP($B845,'(勿動)組件目錄表'!$D$15:$R$1094,13,FALSE),"-")</f>
        <v>-</v>
      </c>
      <c r="M845" s="11" t="str">
        <f>IFERROR(VLOOKUP($B845,'(勿動)組件目錄表'!$D$15:$R$1094,14,FALSE),"-")</f>
        <v>-</v>
      </c>
      <c r="N845" s="15">
        <f t="shared" si="3"/>
        <v>0</v>
      </c>
      <c r="O845" s="16"/>
    </row>
    <row r="846" spans="1:15" ht="15.75" customHeight="1">
      <c r="A846" s="18"/>
      <c r="B846" s="7"/>
      <c r="C846" s="8" t="str">
        <f>IFERROR(VLOOKUP($B846,'(勿動)組件目錄表'!$D$15:$R$1094,2,FALSE),"-")</f>
        <v>-</v>
      </c>
      <c r="D846" s="8" t="str">
        <f>IFERROR(VLOOKUP($B846,'(勿動)組件目錄表'!$D$15:$R$1094,3,FALSE),"-")</f>
        <v>-</v>
      </c>
      <c r="E846" s="9" t="str">
        <f>IFERROR(VLOOKUP($B846,'(勿動)組件目錄表'!$D$15:$R$1094,4,FALSE),"-")</f>
        <v>-</v>
      </c>
      <c r="F846" s="10" t="str">
        <f>IFERROR(VLOOKUP($B846,'(勿動)組件目錄表'!$D$15:$R$1094,5,FALSE),"-")</f>
        <v>-</v>
      </c>
      <c r="G846" s="11" t="str">
        <f>IFERROR(VLOOKUP($B846,'(勿動)組件目錄表'!$D$15:$R$1094,8,FALSE),"-")</f>
        <v>-</v>
      </c>
      <c r="H846" s="11" t="str">
        <f>IFERROR(VLOOKUP($B846,'(勿動)組件目錄表'!$D$15:$R$1094,9,FALSE),"-")</f>
        <v>-</v>
      </c>
      <c r="I846" s="11" t="str">
        <f>IFERROR(VLOOKUP($B846,'(勿動)組件目錄表'!$D$15:$R$1094,10,FALSE),"-")</f>
        <v>-</v>
      </c>
      <c r="J846" s="11" t="str">
        <f>IFERROR(VLOOKUP($B846,'(勿動)組件目錄表'!$D$15:$R$1094,11,FALSE),"-")</f>
        <v>-</v>
      </c>
      <c r="K846" s="11" t="str">
        <f>IFERROR(VLOOKUP($B846,'(勿動)組件目錄表'!$D$15:$R$1094,12,FALSE),"-")</f>
        <v>-</v>
      </c>
      <c r="L846" s="11" t="str">
        <f>IFERROR(VLOOKUP($B846,'(勿動)組件目錄表'!$D$15:$R$1094,13,FALSE),"-")</f>
        <v>-</v>
      </c>
      <c r="M846" s="11" t="str">
        <f>IFERROR(VLOOKUP($B846,'(勿動)組件目錄表'!$D$15:$R$1094,14,FALSE),"-")</f>
        <v>-</v>
      </c>
      <c r="N846" s="15">
        <f t="shared" si="3"/>
        <v>0</v>
      </c>
      <c r="O846" s="16"/>
    </row>
    <row r="847" spans="1:15" ht="15.75" customHeight="1">
      <c r="A847" s="18"/>
      <c r="B847" s="7"/>
      <c r="C847" s="8" t="str">
        <f>IFERROR(VLOOKUP($B847,'(勿動)組件目錄表'!$D$15:$R$1094,2,FALSE),"-")</f>
        <v>-</v>
      </c>
      <c r="D847" s="8" t="str">
        <f>IFERROR(VLOOKUP($B847,'(勿動)組件目錄表'!$D$15:$R$1094,3,FALSE),"-")</f>
        <v>-</v>
      </c>
      <c r="E847" s="9" t="str">
        <f>IFERROR(VLOOKUP($B847,'(勿動)組件目錄表'!$D$15:$R$1094,4,FALSE),"-")</f>
        <v>-</v>
      </c>
      <c r="F847" s="10" t="str">
        <f>IFERROR(VLOOKUP($B847,'(勿動)組件目錄表'!$D$15:$R$1094,5,FALSE),"-")</f>
        <v>-</v>
      </c>
      <c r="G847" s="11" t="str">
        <f>IFERROR(VLOOKUP($B847,'(勿動)組件目錄表'!$D$15:$R$1094,8,FALSE),"-")</f>
        <v>-</v>
      </c>
      <c r="H847" s="11" t="str">
        <f>IFERROR(VLOOKUP($B847,'(勿動)組件目錄表'!$D$15:$R$1094,9,FALSE),"-")</f>
        <v>-</v>
      </c>
      <c r="I847" s="11" t="str">
        <f>IFERROR(VLOOKUP($B847,'(勿動)組件目錄表'!$D$15:$R$1094,10,FALSE),"-")</f>
        <v>-</v>
      </c>
      <c r="J847" s="11" t="str">
        <f>IFERROR(VLOOKUP($B847,'(勿動)組件目錄表'!$D$15:$R$1094,11,FALSE),"-")</f>
        <v>-</v>
      </c>
      <c r="K847" s="11" t="str">
        <f>IFERROR(VLOOKUP($B847,'(勿動)組件目錄表'!$D$15:$R$1094,12,FALSE),"-")</f>
        <v>-</v>
      </c>
      <c r="L847" s="11" t="str">
        <f>IFERROR(VLOOKUP($B847,'(勿動)組件目錄表'!$D$15:$R$1094,13,FALSE),"-")</f>
        <v>-</v>
      </c>
      <c r="M847" s="11" t="str">
        <f>IFERROR(VLOOKUP($B847,'(勿動)組件目錄表'!$D$15:$R$1094,14,FALSE),"-")</f>
        <v>-</v>
      </c>
      <c r="N847" s="15">
        <f t="shared" si="3"/>
        <v>0</v>
      </c>
      <c r="O847" s="16"/>
    </row>
    <row r="848" spans="1:15" ht="15.75" customHeight="1">
      <c r="A848" s="18"/>
      <c r="B848" s="7"/>
      <c r="C848" s="8" t="str">
        <f>IFERROR(VLOOKUP($B848,'(勿動)組件目錄表'!$D$15:$R$1094,2,FALSE),"-")</f>
        <v>-</v>
      </c>
      <c r="D848" s="8" t="str">
        <f>IFERROR(VLOOKUP($B848,'(勿動)組件目錄表'!$D$15:$R$1094,3,FALSE),"-")</f>
        <v>-</v>
      </c>
      <c r="E848" s="9" t="str">
        <f>IFERROR(VLOOKUP($B848,'(勿動)組件目錄表'!$D$15:$R$1094,4,FALSE),"-")</f>
        <v>-</v>
      </c>
      <c r="F848" s="10" t="str">
        <f>IFERROR(VLOOKUP($B848,'(勿動)組件目錄表'!$D$15:$R$1094,5,FALSE),"-")</f>
        <v>-</v>
      </c>
      <c r="G848" s="11" t="str">
        <f>IFERROR(VLOOKUP($B848,'(勿動)組件目錄表'!$D$15:$R$1094,8,FALSE),"-")</f>
        <v>-</v>
      </c>
      <c r="H848" s="11" t="str">
        <f>IFERROR(VLOOKUP($B848,'(勿動)組件目錄表'!$D$15:$R$1094,9,FALSE),"-")</f>
        <v>-</v>
      </c>
      <c r="I848" s="11" t="str">
        <f>IFERROR(VLOOKUP($B848,'(勿動)組件目錄表'!$D$15:$R$1094,10,FALSE),"-")</f>
        <v>-</v>
      </c>
      <c r="J848" s="11" t="str">
        <f>IFERROR(VLOOKUP($B848,'(勿動)組件目錄表'!$D$15:$R$1094,11,FALSE),"-")</f>
        <v>-</v>
      </c>
      <c r="K848" s="11" t="str">
        <f>IFERROR(VLOOKUP($B848,'(勿動)組件目錄表'!$D$15:$R$1094,12,FALSE),"-")</f>
        <v>-</v>
      </c>
      <c r="L848" s="11" t="str">
        <f>IFERROR(VLOOKUP($B848,'(勿動)組件目錄表'!$D$15:$R$1094,13,FALSE),"-")</f>
        <v>-</v>
      </c>
      <c r="M848" s="11" t="str">
        <f>IFERROR(VLOOKUP($B848,'(勿動)組件目錄表'!$D$15:$R$1094,14,FALSE),"-")</f>
        <v>-</v>
      </c>
      <c r="N848" s="15">
        <f t="shared" si="3"/>
        <v>0</v>
      </c>
      <c r="O848" s="16"/>
    </row>
    <row r="849" spans="1:15" ht="15.75" customHeight="1">
      <c r="A849" s="18"/>
      <c r="B849" s="7"/>
      <c r="C849" s="8" t="str">
        <f>IFERROR(VLOOKUP($B849,'(勿動)組件目錄表'!$D$15:$R$1094,2,FALSE),"-")</f>
        <v>-</v>
      </c>
      <c r="D849" s="8" t="str">
        <f>IFERROR(VLOOKUP($B849,'(勿動)組件目錄表'!$D$15:$R$1094,3,FALSE),"-")</f>
        <v>-</v>
      </c>
      <c r="E849" s="9" t="str">
        <f>IFERROR(VLOOKUP($B849,'(勿動)組件目錄表'!$D$15:$R$1094,4,FALSE),"-")</f>
        <v>-</v>
      </c>
      <c r="F849" s="10" t="str">
        <f>IFERROR(VLOOKUP($B849,'(勿動)組件目錄表'!$D$15:$R$1094,5,FALSE),"-")</f>
        <v>-</v>
      </c>
      <c r="G849" s="11" t="str">
        <f>IFERROR(VLOOKUP($B849,'(勿動)組件目錄表'!$D$15:$R$1094,8,FALSE),"-")</f>
        <v>-</v>
      </c>
      <c r="H849" s="11" t="str">
        <f>IFERROR(VLOOKUP($B849,'(勿動)組件目錄表'!$D$15:$R$1094,9,FALSE),"-")</f>
        <v>-</v>
      </c>
      <c r="I849" s="11" t="str">
        <f>IFERROR(VLOOKUP($B849,'(勿動)組件目錄表'!$D$15:$R$1094,10,FALSE),"-")</f>
        <v>-</v>
      </c>
      <c r="J849" s="11" t="str">
        <f>IFERROR(VLOOKUP($B849,'(勿動)組件目錄表'!$D$15:$R$1094,11,FALSE),"-")</f>
        <v>-</v>
      </c>
      <c r="K849" s="11" t="str">
        <f>IFERROR(VLOOKUP($B849,'(勿動)組件目錄表'!$D$15:$R$1094,12,FALSE),"-")</f>
        <v>-</v>
      </c>
      <c r="L849" s="11" t="str">
        <f>IFERROR(VLOOKUP($B849,'(勿動)組件目錄表'!$D$15:$R$1094,13,FALSE),"-")</f>
        <v>-</v>
      </c>
      <c r="M849" s="11" t="str">
        <f>IFERROR(VLOOKUP($B849,'(勿動)組件目錄表'!$D$15:$R$1094,14,FALSE),"-")</f>
        <v>-</v>
      </c>
      <c r="N849" s="15">
        <f t="shared" si="3"/>
        <v>0</v>
      </c>
      <c r="O849" s="16"/>
    </row>
    <row r="850" spans="1:15" ht="15.75" customHeight="1">
      <c r="A850" s="18"/>
      <c r="B850" s="7"/>
      <c r="C850" s="8" t="str">
        <f>IFERROR(VLOOKUP($B850,'(勿動)組件目錄表'!$D$15:$R$1094,2,FALSE),"-")</f>
        <v>-</v>
      </c>
      <c r="D850" s="8" t="str">
        <f>IFERROR(VLOOKUP($B850,'(勿動)組件目錄表'!$D$15:$R$1094,3,FALSE),"-")</f>
        <v>-</v>
      </c>
      <c r="E850" s="9" t="str">
        <f>IFERROR(VLOOKUP($B850,'(勿動)組件目錄表'!$D$15:$R$1094,4,FALSE),"-")</f>
        <v>-</v>
      </c>
      <c r="F850" s="10" t="str">
        <f>IFERROR(VLOOKUP($B850,'(勿動)組件目錄表'!$D$15:$R$1094,5,FALSE),"-")</f>
        <v>-</v>
      </c>
      <c r="G850" s="11" t="str">
        <f>IFERROR(VLOOKUP($B850,'(勿動)組件目錄表'!$D$15:$R$1094,8,FALSE),"-")</f>
        <v>-</v>
      </c>
      <c r="H850" s="11" t="str">
        <f>IFERROR(VLOOKUP($B850,'(勿動)組件目錄表'!$D$15:$R$1094,9,FALSE),"-")</f>
        <v>-</v>
      </c>
      <c r="I850" s="11" t="str">
        <f>IFERROR(VLOOKUP($B850,'(勿動)組件目錄表'!$D$15:$R$1094,10,FALSE),"-")</f>
        <v>-</v>
      </c>
      <c r="J850" s="11" t="str">
        <f>IFERROR(VLOOKUP($B850,'(勿動)組件目錄表'!$D$15:$R$1094,11,FALSE),"-")</f>
        <v>-</v>
      </c>
      <c r="K850" s="11" t="str">
        <f>IFERROR(VLOOKUP($B850,'(勿動)組件目錄表'!$D$15:$R$1094,12,FALSE),"-")</f>
        <v>-</v>
      </c>
      <c r="L850" s="11" t="str">
        <f>IFERROR(VLOOKUP($B850,'(勿動)組件目錄表'!$D$15:$R$1094,13,FALSE),"-")</f>
        <v>-</v>
      </c>
      <c r="M850" s="11" t="str">
        <f>IFERROR(VLOOKUP($B850,'(勿動)組件目錄表'!$D$15:$R$1094,14,FALSE),"-")</f>
        <v>-</v>
      </c>
      <c r="N850" s="15">
        <f t="shared" si="3"/>
        <v>0</v>
      </c>
      <c r="O850" s="16"/>
    </row>
    <row r="851" spans="1:15" ht="15.75" customHeight="1">
      <c r="A851" s="18"/>
      <c r="B851" s="7"/>
      <c r="C851" s="8" t="str">
        <f>IFERROR(VLOOKUP($B851,'(勿動)組件目錄表'!$D$15:$R$1094,2,FALSE),"-")</f>
        <v>-</v>
      </c>
      <c r="D851" s="8" t="str">
        <f>IFERROR(VLOOKUP($B851,'(勿動)組件目錄表'!$D$15:$R$1094,3,FALSE),"-")</f>
        <v>-</v>
      </c>
      <c r="E851" s="9" t="str">
        <f>IFERROR(VLOOKUP($B851,'(勿動)組件目錄表'!$D$15:$R$1094,4,FALSE),"-")</f>
        <v>-</v>
      </c>
      <c r="F851" s="10" t="str">
        <f>IFERROR(VLOOKUP($B851,'(勿動)組件目錄表'!$D$15:$R$1094,5,FALSE),"-")</f>
        <v>-</v>
      </c>
      <c r="G851" s="11" t="str">
        <f>IFERROR(VLOOKUP($B851,'(勿動)組件目錄表'!$D$15:$R$1094,8,FALSE),"-")</f>
        <v>-</v>
      </c>
      <c r="H851" s="11" t="str">
        <f>IFERROR(VLOOKUP($B851,'(勿動)組件目錄表'!$D$15:$R$1094,9,FALSE),"-")</f>
        <v>-</v>
      </c>
      <c r="I851" s="11" t="str">
        <f>IFERROR(VLOOKUP($B851,'(勿動)組件目錄表'!$D$15:$R$1094,10,FALSE),"-")</f>
        <v>-</v>
      </c>
      <c r="J851" s="11" t="str">
        <f>IFERROR(VLOOKUP($B851,'(勿動)組件目錄表'!$D$15:$R$1094,11,FALSE),"-")</f>
        <v>-</v>
      </c>
      <c r="K851" s="11" t="str">
        <f>IFERROR(VLOOKUP($B851,'(勿動)組件目錄表'!$D$15:$R$1094,12,FALSE),"-")</f>
        <v>-</v>
      </c>
      <c r="L851" s="11" t="str">
        <f>IFERROR(VLOOKUP($B851,'(勿動)組件目錄表'!$D$15:$R$1094,13,FALSE),"-")</f>
        <v>-</v>
      </c>
      <c r="M851" s="11" t="str">
        <f>IFERROR(VLOOKUP($B851,'(勿動)組件目錄表'!$D$15:$R$1094,14,FALSE),"-")</f>
        <v>-</v>
      </c>
      <c r="N851" s="15">
        <f t="shared" si="3"/>
        <v>0</v>
      </c>
      <c r="O851" s="16"/>
    </row>
    <row r="852" spans="1:15" ht="15.75" customHeight="1">
      <c r="A852" s="18"/>
      <c r="B852" s="7"/>
      <c r="C852" s="8" t="str">
        <f>IFERROR(VLOOKUP($B852,'(勿動)組件目錄表'!$D$15:$R$1094,2,FALSE),"-")</f>
        <v>-</v>
      </c>
      <c r="D852" s="8" t="str">
        <f>IFERROR(VLOOKUP($B852,'(勿動)組件目錄表'!$D$15:$R$1094,3,FALSE),"-")</f>
        <v>-</v>
      </c>
      <c r="E852" s="9" t="str">
        <f>IFERROR(VLOOKUP($B852,'(勿動)組件目錄表'!$D$15:$R$1094,4,FALSE),"-")</f>
        <v>-</v>
      </c>
      <c r="F852" s="10" t="str">
        <f>IFERROR(VLOOKUP($B852,'(勿動)組件目錄表'!$D$15:$R$1094,5,FALSE),"-")</f>
        <v>-</v>
      </c>
      <c r="G852" s="11" t="str">
        <f>IFERROR(VLOOKUP($B852,'(勿動)組件目錄表'!$D$15:$R$1094,8,FALSE),"-")</f>
        <v>-</v>
      </c>
      <c r="H852" s="11" t="str">
        <f>IFERROR(VLOOKUP($B852,'(勿動)組件目錄表'!$D$15:$R$1094,9,FALSE),"-")</f>
        <v>-</v>
      </c>
      <c r="I852" s="11" t="str">
        <f>IFERROR(VLOOKUP($B852,'(勿動)組件目錄表'!$D$15:$R$1094,10,FALSE),"-")</f>
        <v>-</v>
      </c>
      <c r="J852" s="11" t="str">
        <f>IFERROR(VLOOKUP($B852,'(勿動)組件目錄表'!$D$15:$R$1094,11,FALSE),"-")</f>
        <v>-</v>
      </c>
      <c r="K852" s="11" t="str">
        <f>IFERROR(VLOOKUP($B852,'(勿動)組件目錄表'!$D$15:$R$1094,12,FALSE),"-")</f>
        <v>-</v>
      </c>
      <c r="L852" s="11" t="str">
        <f>IFERROR(VLOOKUP($B852,'(勿動)組件目錄表'!$D$15:$R$1094,13,FALSE),"-")</f>
        <v>-</v>
      </c>
      <c r="M852" s="11" t="str">
        <f>IFERROR(VLOOKUP($B852,'(勿動)組件目錄表'!$D$15:$R$1094,14,FALSE),"-")</f>
        <v>-</v>
      </c>
      <c r="N852" s="15">
        <f t="shared" si="3"/>
        <v>0</v>
      </c>
      <c r="O852" s="16"/>
    </row>
    <row r="853" spans="1:15" ht="15.75" customHeight="1">
      <c r="A853" s="18"/>
      <c r="B853" s="7"/>
      <c r="C853" s="8" t="str">
        <f>IFERROR(VLOOKUP($B853,'(勿動)組件目錄表'!$D$15:$R$1094,2,FALSE),"-")</f>
        <v>-</v>
      </c>
      <c r="D853" s="8" t="str">
        <f>IFERROR(VLOOKUP($B853,'(勿動)組件目錄表'!$D$15:$R$1094,3,FALSE),"-")</f>
        <v>-</v>
      </c>
      <c r="E853" s="9" t="str">
        <f>IFERROR(VLOOKUP($B853,'(勿動)組件目錄表'!$D$15:$R$1094,4,FALSE),"-")</f>
        <v>-</v>
      </c>
      <c r="F853" s="10" t="str">
        <f>IFERROR(VLOOKUP($B853,'(勿動)組件目錄表'!$D$15:$R$1094,5,FALSE),"-")</f>
        <v>-</v>
      </c>
      <c r="G853" s="11" t="str">
        <f>IFERROR(VLOOKUP($B853,'(勿動)組件目錄表'!$D$15:$R$1094,8,FALSE),"-")</f>
        <v>-</v>
      </c>
      <c r="H853" s="11" t="str">
        <f>IFERROR(VLOOKUP($B853,'(勿動)組件目錄表'!$D$15:$R$1094,9,FALSE),"-")</f>
        <v>-</v>
      </c>
      <c r="I853" s="11" t="str">
        <f>IFERROR(VLOOKUP($B853,'(勿動)組件目錄表'!$D$15:$R$1094,10,FALSE),"-")</f>
        <v>-</v>
      </c>
      <c r="J853" s="11" t="str">
        <f>IFERROR(VLOOKUP($B853,'(勿動)組件目錄表'!$D$15:$R$1094,11,FALSE),"-")</f>
        <v>-</v>
      </c>
      <c r="K853" s="11" t="str">
        <f>IFERROR(VLOOKUP($B853,'(勿動)組件目錄表'!$D$15:$R$1094,12,FALSE),"-")</f>
        <v>-</v>
      </c>
      <c r="L853" s="11" t="str">
        <f>IFERROR(VLOOKUP($B853,'(勿動)組件目錄表'!$D$15:$R$1094,13,FALSE),"-")</f>
        <v>-</v>
      </c>
      <c r="M853" s="11" t="str">
        <f>IFERROR(VLOOKUP($B853,'(勿動)組件目錄表'!$D$15:$R$1094,14,FALSE),"-")</f>
        <v>-</v>
      </c>
      <c r="N853" s="15">
        <f t="shared" si="3"/>
        <v>0</v>
      </c>
      <c r="O853" s="16"/>
    </row>
    <row r="854" spans="1:15" ht="15.75" customHeight="1">
      <c r="A854" s="18"/>
      <c r="B854" s="7"/>
      <c r="C854" s="8" t="str">
        <f>IFERROR(VLOOKUP($B854,'(勿動)組件目錄表'!$D$15:$R$1094,2,FALSE),"-")</f>
        <v>-</v>
      </c>
      <c r="D854" s="8" t="str">
        <f>IFERROR(VLOOKUP($B854,'(勿動)組件目錄表'!$D$15:$R$1094,3,FALSE),"-")</f>
        <v>-</v>
      </c>
      <c r="E854" s="9" t="str">
        <f>IFERROR(VLOOKUP($B854,'(勿動)組件目錄表'!$D$15:$R$1094,4,FALSE),"-")</f>
        <v>-</v>
      </c>
      <c r="F854" s="10" t="str">
        <f>IFERROR(VLOOKUP($B854,'(勿動)組件目錄表'!$D$15:$R$1094,5,FALSE),"-")</f>
        <v>-</v>
      </c>
      <c r="G854" s="11" t="str">
        <f>IFERROR(VLOOKUP($B854,'(勿動)組件目錄表'!$D$15:$R$1094,8,FALSE),"-")</f>
        <v>-</v>
      </c>
      <c r="H854" s="11" t="str">
        <f>IFERROR(VLOOKUP($B854,'(勿動)組件目錄表'!$D$15:$R$1094,9,FALSE),"-")</f>
        <v>-</v>
      </c>
      <c r="I854" s="11" t="str">
        <f>IFERROR(VLOOKUP($B854,'(勿動)組件目錄表'!$D$15:$R$1094,10,FALSE),"-")</f>
        <v>-</v>
      </c>
      <c r="J854" s="11" t="str">
        <f>IFERROR(VLOOKUP($B854,'(勿動)組件目錄表'!$D$15:$R$1094,11,FALSE),"-")</f>
        <v>-</v>
      </c>
      <c r="K854" s="11" t="str">
        <f>IFERROR(VLOOKUP($B854,'(勿動)組件目錄表'!$D$15:$R$1094,12,FALSE),"-")</f>
        <v>-</v>
      </c>
      <c r="L854" s="11" t="str">
        <f>IFERROR(VLOOKUP($B854,'(勿動)組件目錄表'!$D$15:$R$1094,13,FALSE),"-")</f>
        <v>-</v>
      </c>
      <c r="M854" s="11" t="str">
        <f>IFERROR(VLOOKUP($B854,'(勿動)組件目錄表'!$D$15:$R$1094,14,FALSE),"-")</f>
        <v>-</v>
      </c>
      <c r="N854" s="15">
        <f t="shared" si="3"/>
        <v>0</v>
      </c>
      <c r="O854" s="16"/>
    </row>
    <row r="855" spans="1:15" ht="15.75" customHeight="1">
      <c r="A855" s="18"/>
      <c r="B855" s="7"/>
      <c r="C855" s="8" t="str">
        <f>IFERROR(VLOOKUP($B855,'(勿動)組件目錄表'!$D$15:$R$1094,2,FALSE),"-")</f>
        <v>-</v>
      </c>
      <c r="D855" s="8" t="str">
        <f>IFERROR(VLOOKUP($B855,'(勿動)組件目錄表'!$D$15:$R$1094,3,FALSE),"-")</f>
        <v>-</v>
      </c>
      <c r="E855" s="9" t="str">
        <f>IFERROR(VLOOKUP($B855,'(勿動)組件目錄表'!$D$15:$R$1094,4,FALSE),"-")</f>
        <v>-</v>
      </c>
      <c r="F855" s="10" t="str">
        <f>IFERROR(VLOOKUP($B855,'(勿動)組件目錄表'!$D$15:$R$1094,5,FALSE),"-")</f>
        <v>-</v>
      </c>
      <c r="G855" s="11" t="str">
        <f>IFERROR(VLOOKUP($B855,'(勿動)組件目錄表'!$D$15:$R$1094,8,FALSE),"-")</f>
        <v>-</v>
      </c>
      <c r="H855" s="11" t="str">
        <f>IFERROR(VLOOKUP($B855,'(勿動)組件目錄表'!$D$15:$R$1094,9,FALSE),"-")</f>
        <v>-</v>
      </c>
      <c r="I855" s="11" t="str">
        <f>IFERROR(VLOOKUP($B855,'(勿動)組件目錄表'!$D$15:$R$1094,10,FALSE),"-")</f>
        <v>-</v>
      </c>
      <c r="J855" s="11" t="str">
        <f>IFERROR(VLOOKUP($B855,'(勿動)組件目錄表'!$D$15:$R$1094,11,FALSE),"-")</f>
        <v>-</v>
      </c>
      <c r="K855" s="11" t="str">
        <f>IFERROR(VLOOKUP($B855,'(勿動)組件目錄表'!$D$15:$R$1094,12,FALSE),"-")</f>
        <v>-</v>
      </c>
      <c r="L855" s="11" t="str">
        <f>IFERROR(VLOOKUP($B855,'(勿動)組件目錄表'!$D$15:$R$1094,13,FALSE),"-")</f>
        <v>-</v>
      </c>
      <c r="M855" s="11" t="str">
        <f>IFERROR(VLOOKUP($B855,'(勿動)組件目錄表'!$D$15:$R$1094,14,FALSE),"-")</f>
        <v>-</v>
      </c>
      <c r="N855" s="15">
        <f t="shared" si="3"/>
        <v>0</v>
      </c>
      <c r="O855" s="16"/>
    </row>
    <row r="856" spans="1:15" ht="15.75" customHeight="1">
      <c r="A856" s="18"/>
      <c r="B856" s="7"/>
      <c r="C856" s="8" t="str">
        <f>IFERROR(VLOOKUP($B856,'(勿動)組件目錄表'!$D$15:$R$1094,2,FALSE),"-")</f>
        <v>-</v>
      </c>
      <c r="D856" s="8" t="str">
        <f>IFERROR(VLOOKUP($B856,'(勿動)組件目錄表'!$D$15:$R$1094,3,FALSE),"-")</f>
        <v>-</v>
      </c>
      <c r="E856" s="9" t="str">
        <f>IFERROR(VLOOKUP($B856,'(勿動)組件目錄表'!$D$15:$R$1094,4,FALSE),"-")</f>
        <v>-</v>
      </c>
      <c r="F856" s="10" t="str">
        <f>IFERROR(VLOOKUP($B856,'(勿動)組件目錄表'!$D$15:$R$1094,5,FALSE),"-")</f>
        <v>-</v>
      </c>
      <c r="G856" s="11" t="str">
        <f>IFERROR(VLOOKUP($B856,'(勿動)組件目錄表'!$D$15:$R$1094,8,FALSE),"-")</f>
        <v>-</v>
      </c>
      <c r="H856" s="11" t="str">
        <f>IFERROR(VLOOKUP($B856,'(勿動)組件目錄表'!$D$15:$R$1094,9,FALSE),"-")</f>
        <v>-</v>
      </c>
      <c r="I856" s="11" t="str">
        <f>IFERROR(VLOOKUP($B856,'(勿動)組件目錄表'!$D$15:$R$1094,10,FALSE),"-")</f>
        <v>-</v>
      </c>
      <c r="J856" s="11" t="str">
        <f>IFERROR(VLOOKUP($B856,'(勿動)組件目錄表'!$D$15:$R$1094,11,FALSE),"-")</f>
        <v>-</v>
      </c>
      <c r="K856" s="11" t="str">
        <f>IFERROR(VLOOKUP($B856,'(勿動)組件目錄表'!$D$15:$R$1094,12,FALSE),"-")</f>
        <v>-</v>
      </c>
      <c r="L856" s="11" t="str">
        <f>IFERROR(VLOOKUP($B856,'(勿動)組件目錄表'!$D$15:$R$1094,13,FALSE),"-")</f>
        <v>-</v>
      </c>
      <c r="M856" s="11" t="str">
        <f>IFERROR(VLOOKUP($B856,'(勿動)組件目錄表'!$D$15:$R$1094,14,FALSE),"-")</f>
        <v>-</v>
      </c>
      <c r="N856" s="15">
        <f t="shared" si="3"/>
        <v>0</v>
      </c>
      <c r="O856" s="16"/>
    </row>
    <row r="857" spans="1:15" ht="15.75" customHeight="1">
      <c r="A857" s="18"/>
      <c r="B857" s="7"/>
      <c r="C857" s="8" t="str">
        <f>IFERROR(VLOOKUP($B857,'(勿動)組件目錄表'!$D$15:$R$1094,2,FALSE),"-")</f>
        <v>-</v>
      </c>
      <c r="D857" s="8" t="str">
        <f>IFERROR(VLOOKUP($B857,'(勿動)組件目錄表'!$D$15:$R$1094,3,FALSE),"-")</f>
        <v>-</v>
      </c>
      <c r="E857" s="9" t="str">
        <f>IFERROR(VLOOKUP($B857,'(勿動)組件目錄表'!$D$15:$R$1094,4,FALSE),"-")</f>
        <v>-</v>
      </c>
      <c r="F857" s="10" t="str">
        <f>IFERROR(VLOOKUP($B857,'(勿動)組件目錄表'!$D$15:$R$1094,5,FALSE),"-")</f>
        <v>-</v>
      </c>
      <c r="G857" s="11" t="str">
        <f>IFERROR(VLOOKUP($B857,'(勿動)組件目錄表'!$D$15:$R$1094,8,FALSE),"-")</f>
        <v>-</v>
      </c>
      <c r="H857" s="11" t="str">
        <f>IFERROR(VLOOKUP($B857,'(勿動)組件目錄表'!$D$15:$R$1094,9,FALSE),"-")</f>
        <v>-</v>
      </c>
      <c r="I857" s="11" t="str">
        <f>IFERROR(VLOOKUP($B857,'(勿動)組件目錄表'!$D$15:$R$1094,10,FALSE),"-")</f>
        <v>-</v>
      </c>
      <c r="J857" s="11" t="str">
        <f>IFERROR(VLOOKUP($B857,'(勿動)組件目錄表'!$D$15:$R$1094,11,FALSE),"-")</f>
        <v>-</v>
      </c>
      <c r="K857" s="11" t="str">
        <f>IFERROR(VLOOKUP($B857,'(勿動)組件目錄表'!$D$15:$R$1094,12,FALSE),"-")</f>
        <v>-</v>
      </c>
      <c r="L857" s="11" t="str">
        <f>IFERROR(VLOOKUP($B857,'(勿動)組件目錄表'!$D$15:$R$1094,13,FALSE),"-")</f>
        <v>-</v>
      </c>
      <c r="M857" s="11" t="str">
        <f>IFERROR(VLOOKUP($B857,'(勿動)組件目錄表'!$D$15:$R$1094,14,FALSE),"-")</f>
        <v>-</v>
      </c>
      <c r="N857" s="15">
        <f t="shared" si="3"/>
        <v>0</v>
      </c>
      <c r="O857" s="16"/>
    </row>
    <row r="858" spans="1:15" ht="15.75" customHeight="1">
      <c r="A858" s="18"/>
      <c r="B858" s="7"/>
      <c r="C858" s="8" t="str">
        <f>IFERROR(VLOOKUP($B858,'(勿動)組件目錄表'!$D$15:$R$1094,2,FALSE),"-")</f>
        <v>-</v>
      </c>
      <c r="D858" s="8" t="str">
        <f>IFERROR(VLOOKUP($B858,'(勿動)組件目錄表'!$D$15:$R$1094,3,FALSE),"-")</f>
        <v>-</v>
      </c>
      <c r="E858" s="9" t="str">
        <f>IFERROR(VLOOKUP($B858,'(勿動)組件目錄表'!$D$15:$R$1094,4,FALSE),"-")</f>
        <v>-</v>
      </c>
      <c r="F858" s="10" t="str">
        <f>IFERROR(VLOOKUP($B858,'(勿動)組件目錄表'!$D$15:$R$1094,5,FALSE),"-")</f>
        <v>-</v>
      </c>
      <c r="G858" s="11" t="str">
        <f>IFERROR(VLOOKUP($B858,'(勿動)組件目錄表'!$D$15:$R$1094,8,FALSE),"-")</f>
        <v>-</v>
      </c>
      <c r="H858" s="11" t="str">
        <f>IFERROR(VLOOKUP($B858,'(勿動)組件目錄表'!$D$15:$R$1094,9,FALSE),"-")</f>
        <v>-</v>
      </c>
      <c r="I858" s="11" t="str">
        <f>IFERROR(VLOOKUP($B858,'(勿動)組件目錄表'!$D$15:$R$1094,10,FALSE),"-")</f>
        <v>-</v>
      </c>
      <c r="J858" s="11" t="str">
        <f>IFERROR(VLOOKUP($B858,'(勿動)組件目錄表'!$D$15:$R$1094,11,FALSE),"-")</f>
        <v>-</v>
      </c>
      <c r="K858" s="11" t="str">
        <f>IFERROR(VLOOKUP($B858,'(勿動)組件目錄表'!$D$15:$R$1094,12,FALSE),"-")</f>
        <v>-</v>
      </c>
      <c r="L858" s="11" t="str">
        <f>IFERROR(VLOOKUP($B858,'(勿動)組件目錄表'!$D$15:$R$1094,13,FALSE),"-")</f>
        <v>-</v>
      </c>
      <c r="M858" s="11" t="str">
        <f>IFERROR(VLOOKUP($B858,'(勿動)組件目錄表'!$D$15:$R$1094,14,FALSE),"-")</f>
        <v>-</v>
      </c>
      <c r="N858" s="15">
        <f t="shared" si="3"/>
        <v>0</v>
      </c>
      <c r="O858" s="16"/>
    </row>
    <row r="859" spans="1:15" ht="15.75" customHeight="1">
      <c r="A859" s="18"/>
      <c r="B859" s="7"/>
      <c r="C859" s="8" t="str">
        <f>IFERROR(VLOOKUP($B859,'(勿動)組件目錄表'!$D$15:$R$1094,2,FALSE),"-")</f>
        <v>-</v>
      </c>
      <c r="D859" s="8" t="str">
        <f>IFERROR(VLOOKUP($B859,'(勿動)組件目錄表'!$D$15:$R$1094,3,FALSE),"-")</f>
        <v>-</v>
      </c>
      <c r="E859" s="9" t="str">
        <f>IFERROR(VLOOKUP($B859,'(勿動)組件目錄表'!$D$15:$R$1094,4,FALSE),"-")</f>
        <v>-</v>
      </c>
      <c r="F859" s="10" t="str">
        <f>IFERROR(VLOOKUP($B859,'(勿動)組件目錄表'!$D$15:$R$1094,5,FALSE),"-")</f>
        <v>-</v>
      </c>
      <c r="G859" s="11" t="str">
        <f>IFERROR(VLOOKUP($B859,'(勿動)組件目錄表'!$D$15:$R$1094,8,FALSE),"-")</f>
        <v>-</v>
      </c>
      <c r="H859" s="11" t="str">
        <f>IFERROR(VLOOKUP($B859,'(勿動)組件目錄表'!$D$15:$R$1094,9,FALSE),"-")</f>
        <v>-</v>
      </c>
      <c r="I859" s="11" t="str">
        <f>IFERROR(VLOOKUP($B859,'(勿動)組件目錄表'!$D$15:$R$1094,10,FALSE),"-")</f>
        <v>-</v>
      </c>
      <c r="J859" s="11" t="str">
        <f>IFERROR(VLOOKUP($B859,'(勿動)組件目錄表'!$D$15:$R$1094,11,FALSE),"-")</f>
        <v>-</v>
      </c>
      <c r="K859" s="11" t="str">
        <f>IFERROR(VLOOKUP($B859,'(勿動)組件目錄表'!$D$15:$R$1094,12,FALSE),"-")</f>
        <v>-</v>
      </c>
      <c r="L859" s="11" t="str">
        <f>IFERROR(VLOOKUP($B859,'(勿動)組件目錄表'!$D$15:$R$1094,13,FALSE),"-")</f>
        <v>-</v>
      </c>
      <c r="M859" s="11" t="str">
        <f>IFERROR(VLOOKUP($B859,'(勿動)組件目錄表'!$D$15:$R$1094,14,FALSE),"-")</f>
        <v>-</v>
      </c>
      <c r="N859" s="15">
        <f t="shared" si="3"/>
        <v>0</v>
      </c>
      <c r="O859" s="16"/>
    </row>
    <row r="860" spans="1:15" ht="15.75" customHeight="1">
      <c r="A860" s="18"/>
      <c r="B860" s="7"/>
      <c r="C860" s="8" t="str">
        <f>IFERROR(VLOOKUP($B860,'(勿動)組件目錄表'!$D$15:$R$1094,2,FALSE),"-")</f>
        <v>-</v>
      </c>
      <c r="D860" s="8" t="str">
        <f>IFERROR(VLOOKUP($B860,'(勿動)組件目錄表'!$D$15:$R$1094,3,FALSE),"-")</f>
        <v>-</v>
      </c>
      <c r="E860" s="9" t="str">
        <f>IFERROR(VLOOKUP($B860,'(勿動)組件目錄表'!$D$15:$R$1094,4,FALSE),"-")</f>
        <v>-</v>
      </c>
      <c r="F860" s="10" t="str">
        <f>IFERROR(VLOOKUP($B860,'(勿動)組件目錄表'!$D$15:$R$1094,5,FALSE),"-")</f>
        <v>-</v>
      </c>
      <c r="G860" s="11" t="str">
        <f>IFERROR(VLOOKUP($B860,'(勿動)組件目錄表'!$D$15:$R$1094,8,FALSE),"-")</f>
        <v>-</v>
      </c>
      <c r="H860" s="11" t="str">
        <f>IFERROR(VLOOKUP($B860,'(勿動)組件目錄表'!$D$15:$R$1094,9,FALSE),"-")</f>
        <v>-</v>
      </c>
      <c r="I860" s="11" t="str">
        <f>IFERROR(VLOOKUP($B860,'(勿動)組件目錄表'!$D$15:$R$1094,10,FALSE),"-")</f>
        <v>-</v>
      </c>
      <c r="J860" s="11" t="str">
        <f>IFERROR(VLOOKUP($B860,'(勿動)組件目錄表'!$D$15:$R$1094,11,FALSE),"-")</f>
        <v>-</v>
      </c>
      <c r="K860" s="11" t="str">
        <f>IFERROR(VLOOKUP($B860,'(勿動)組件目錄表'!$D$15:$R$1094,12,FALSE),"-")</f>
        <v>-</v>
      </c>
      <c r="L860" s="11" t="str">
        <f>IFERROR(VLOOKUP($B860,'(勿動)組件目錄表'!$D$15:$R$1094,13,FALSE),"-")</f>
        <v>-</v>
      </c>
      <c r="M860" s="11" t="str">
        <f>IFERROR(VLOOKUP($B860,'(勿動)組件目錄表'!$D$15:$R$1094,14,FALSE),"-")</f>
        <v>-</v>
      </c>
      <c r="N860" s="15">
        <f t="shared" si="3"/>
        <v>0</v>
      </c>
      <c r="O860" s="16"/>
    </row>
    <row r="861" spans="1:15" ht="15.75" customHeight="1">
      <c r="A861" s="18"/>
      <c r="B861" s="7"/>
      <c r="C861" s="8" t="str">
        <f>IFERROR(VLOOKUP($B861,'(勿動)組件目錄表'!$D$15:$R$1094,2,FALSE),"-")</f>
        <v>-</v>
      </c>
      <c r="D861" s="8" t="str">
        <f>IFERROR(VLOOKUP($B861,'(勿動)組件目錄表'!$D$15:$R$1094,3,FALSE),"-")</f>
        <v>-</v>
      </c>
      <c r="E861" s="9" t="str">
        <f>IFERROR(VLOOKUP($B861,'(勿動)組件目錄表'!$D$15:$R$1094,4,FALSE),"-")</f>
        <v>-</v>
      </c>
      <c r="F861" s="10" t="str">
        <f>IFERROR(VLOOKUP($B861,'(勿動)組件目錄表'!$D$15:$R$1094,5,FALSE),"-")</f>
        <v>-</v>
      </c>
      <c r="G861" s="11" t="str">
        <f>IFERROR(VLOOKUP($B861,'(勿動)組件目錄表'!$D$15:$R$1094,8,FALSE),"-")</f>
        <v>-</v>
      </c>
      <c r="H861" s="11" t="str">
        <f>IFERROR(VLOOKUP($B861,'(勿動)組件目錄表'!$D$15:$R$1094,9,FALSE),"-")</f>
        <v>-</v>
      </c>
      <c r="I861" s="11" t="str">
        <f>IFERROR(VLOOKUP($B861,'(勿動)組件目錄表'!$D$15:$R$1094,10,FALSE),"-")</f>
        <v>-</v>
      </c>
      <c r="J861" s="11" t="str">
        <f>IFERROR(VLOOKUP($B861,'(勿動)組件目錄表'!$D$15:$R$1094,11,FALSE),"-")</f>
        <v>-</v>
      </c>
      <c r="K861" s="11" t="str">
        <f>IFERROR(VLOOKUP($B861,'(勿動)組件目錄表'!$D$15:$R$1094,12,FALSE),"-")</f>
        <v>-</v>
      </c>
      <c r="L861" s="11" t="str">
        <f>IFERROR(VLOOKUP($B861,'(勿動)組件目錄表'!$D$15:$R$1094,13,FALSE),"-")</f>
        <v>-</v>
      </c>
      <c r="M861" s="11" t="str">
        <f>IFERROR(VLOOKUP($B861,'(勿動)組件目錄表'!$D$15:$R$1094,14,FALSE),"-")</f>
        <v>-</v>
      </c>
      <c r="N861" s="15">
        <f t="shared" si="3"/>
        <v>0</v>
      </c>
      <c r="O861" s="16"/>
    </row>
    <row r="862" spans="1:15" ht="15.75" customHeight="1">
      <c r="A862" s="18"/>
      <c r="B862" s="7"/>
      <c r="C862" s="8" t="str">
        <f>IFERROR(VLOOKUP($B862,'(勿動)組件目錄表'!$D$15:$R$1094,2,FALSE),"-")</f>
        <v>-</v>
      </c>
      <c r="D862" s="8" t="str">
        <f>IFERROR(VLOOKUP($B862,'(勿動)組件目錄表'!$D$15:$R$1094,3,FALSE),"-")</f>
        <v>-</v>
      </c>
      <c r="E862" s="9" t="str">
        <f>IFERROR(VLOOKUP($B862,'(勿動)組件目錄表'!$D$15:$R$1094,4,FALSE),"-")</f>
        <v>-</v>
      </c>
      <c r="F862" s="10" t="str">
        <f>IFERROR(VLOOKUP($B862,'(勿動)組件目錄表'!$D$15:$R$1094,5,FALSE),"-")</f>
        <v>-</v>
      </c>
      <c r="G862" s="11" t="str">
        <f>IFERROR(VLOOKUP($B862,'(勿動)組件目錄表'!$D$15:$R$1094,8,FALSE),"-")</f>
        <v>-</v>
      </c>
      <c r="H862" s="11" t="str">
        <f>IFERROR(VLOOKUP($B862,'(勿動)組件目錄表'!$D$15:$R$1094,9,FALSE),"-")</f>
        <v>-</v>
      </c>
      <c r="I862" s="11" t="str">
        <f>IFERROR(VLOOKUP($B862,'(勿動)組件目錄表'!$D$15:$R$1094,10,FALSE),"-")</f>
        <v>-</v>
      </c>
      <c r="J862" s="11" t="str">
        <f>IFERROR(VLOOKUP($B862,'(勿動)組件目錄表'!$D$15:$R$1094,11,FALSE),"-")</f>
        <v>-</v>
      </c>
      <c r="K862" s="11" t="str">
        <f>IFERROR(VLOOKUP($B862,'(勿動)組件目錄表'!$D$15:$R$1094,12,FALSE),"-")</f>
        <v>-</v>
      </c>
      <c r="L862" s="11" t="str">
        <f>IFERROR(VLOOKUP($B862,'(勿動)組件目錄表'!$D$15:$R$1094,13,FALSE),"-")</f>
        <v>-</v>
      </c>
      <c r="M862" s="11" t="str">
        <f>IFERROR(VLOOKUP($B862,'(勿動)組件目錄表'!$D$15:$R$1094,14,FALSE),"-")</f>
        <v>-</v>
      </c>
      <c r="N862" s="15">
        <f t="shared" si="3"/>
        <v>0</v>
      </c>
      <c r="O862" s="16"/>
    </row>
    <row r="863" spans="1:15" ht="15.75" customHeight="1">
      <c r="A863" s="18"/>
      <c r="B863" s="7"/>
      <c r="C863" s="8" t="str">
        <f>IFERROR(VLOOKUP($B863,'(勿動)組件目錄表'!$D$15:$R$1094,2,FALSE),"-")</f>
        <v>-</v>
      </c>
      <c r="D863" s="8" t="str">
        <f>IFERROR(VLOOKUP($B863,'(勿動)組件目錄表'!$D$15:$R$1094,3,FALSE),"-")</f>
        <v>-</v>
      </c>
      <c r="E863" s="9" t="str">
        <f>IFERROR(VLOOKUP($B863,'(勿動)組件目錄表'!$D$15:$R$1094,4,FALSE),"-")</f>
        <v>-</v>
      </c>
      <c r="F863" s="10" t="str">
        <f>IFERROR(VLOOKUP($B863,'(勿動)組件目錄表'!$D$15:$R$1094,5,FALSE),"-")</f>
        <v>-</v>
      </c>
      <c r="G863" s="11" t="str">
        <f>IFERROR(VLOOKUP($B863,'(勿動)組件目錄表'!$D$15:$R$1094,8,FALSE),"-")</f>
        <v>-</v>
      </c>
      <c r="H863" s="11" t="str">
        <f>IFERROR(VLOOKUP($B863,'(勿動)組件目錄表'!$D$15:$R$1094,9,FALSE),"-")</f>
        <v>-</v>
      </c>
      <c r="I863" s="11" t="str">
        <f>IFERROR(VLOOKUP($B863,'(勿動)組件目錄表'!$D$15:$R$1094,10,FALSE),"-")</f>
        <v>-</v>
      </c>
      <c r="J863" s="11" t="str">
        <f>IFERROR(VLOOKUP($B863,'(勿動)組件目錄表'!$D$15:$R$1094,11,FALSE),"-")</f>
        <v>-</v>
      </c>
      <c r="K863" s="11" t="str">
        <f>IFERROR(VLOOKUP($B863,'(勿動)組件目錄表'!$D$15:$R$1094,12,FALSE),"-")</f>
        <v>-</v>
      </c>
      <c r="L863" s="11" t="str">
        <f>IFERROR(VLOOKUP($B863,'(勿動)組件目錄表'!$D$15:$R$1094,13,FALSE),"-")</f>
        <v>-</v>
      </c>
      <c r="M863" s="11" t="str">
        <f>IFERROR(VLOOKUP($B863,'(勿動)組件目錄表'!$D$15:$R$1094,14,FALSE),"-")</f>
        <v>-</v>
      </c>
      <c r="N863" s="15">
        <f t="shared" si="3"/>
        <v>0</v>
      </c>
      <c r="O863" s="16"/>
    </row>
    <row r="864" spans="1:15" ht="15.75" customHeight="1">
      <c r="A864" s="18"/>
      <c r="B864" s="7"/>
      <c r="C864" s="8" t="str">
        <f>IFERROR(VLOOKUP($B864,'(勿動)組件目錄表'!$D$15:$R$1094,2,FALSE),"-")</f>
        <v>-</v>
      </c>
      <c r="D864" s="8" t="str">
        <f>IFERROR(VLOOKUP($B864,'(勿動)組件目錄表'!$D$15:$R$1094,3,FALSE),"-")</f>
        <v>-</v>
      </c>
      <c r="E864" s="9" t="str">
        <f>IFERROR(VLOOKUP($B864,'(勿動)組件目錄表'!$D$15:$R$1094,4,FALSE),"-")</f>
        <v>-</v>
      </c>
      <c r="F864" s="10" t="str">
        <f>IFERROR(VLOOKUP($B864,'(勿動)組件目錄表'!$D$15:$R$1094,5,FALSE),"-")</f>
        <v>-</v>
      </c>
      <c r="G864" s="11" t="str">
        <f>IFERROR(VLOOKUP($B864,'(勿動)組件目錄表'!$D$15:$R$1094,8,FALSE),"-")</f>
        <v>-</v>
      </c>
      <c r="H864" s="11" t="str">
        <f>IFERROR(VLOOKUP($B864,'(勿動)組件目錄表'!$D$15:$R$1094,9,FALSE),"-")</f>
        <v>-</v>
      </c>
      <c r="I864" s="11" t="str">
        <f>IFERROR(VLOOKUP($B864,'(勿動)組件目錄表'!$D$15:$R$1094,10,FALSE),"-")</f>
        <v>-</v>
      </c>
      <c r="J864" s="11" t="str">
        <f>IFERROR(VLOOKUP($B864,'(勿動)組件目錄表'!$D$15:$R$1094,11,FALSE),"-")</f>
        <v>-</v>
      </c>
      <c r="K864" s="11" t="str">
        <f>IFERROR(VLOOKUP($B864,'(勿動)組件目錄表'!$D$15:$R$1094,12,FALSE),"-")</f>
        <v>-</v>
      </c>
      <c r="L864" s="11" t="str">
        <f>IFERROR(VLOOKUP($B864,'(勿動)組件目錄表'!$D$15:$R$1094,13,FALSE),"-")</f>
        <v>-</v>
      </c>
      <c r="M864" s="11" t="str">
        <f>IFERROR(VLOOKUP($B864,'(勿動)組件目錄表'!$D$15:$R$1094,14,FALSE),"-")</f>
        <v>-</v>
      </c>
      <c r="N864" s="15">
        <f t="shared" si="3"/>
        <v>0</v>
      </c>
      <c r="O864" s="16"/>
    </row>
    <row r="865" spans="1:15" ht="15.75" customHeight="1">
      <c r="A865" s="18"/>
      <c r="B865" s="7"/>
      <c r="C865" s="8" t="str">
        <f>IFERROR(VLOOKUP($B865,'(勿動)組件目錄表'!$D$15:$R$1094,2,FALSE),"-")</f>
        <v>-</v>
      </c>
      <c r="D865" s="8" t="str">
        <f>IFERROR(VLOOKUP($B865,'(勿動)組件目錄表'!$D$15:$R$1094,3,FALSE),"-")</f>
        <v>-</v>
      </c>
      <c r="E865" s="9" t="str">
        <f>IFERROR(VLOOKUP($B865,'(勿動)組件目錄表'!$D$15:$R$1094,4,FALSE),"-")</f>
        <v>-</v>
      </c>
      <c r="F865" s="10" t="str">
        <f>IFERROR(VLOOKUP($B865,'(勿動)組件目錄表'!$D$15:$R$1094,5,FALSE),"-")</f>
        <v>-</v>
      </c>
      <c r="G865" s="11" t="str">
        <f>IFERROR(VLOOKUP($B865,'(勿動)組件目錄表'!$D$15:$R$1094,8,FALSE),"-")</f>
        <v>-</v>
      </c>
      <c r="H865" s="11" t="str">
        <f>IFERROR(VLOOKUP($B865,'(勿動)組件目錄表'!$D$15:$R$1094,9,FALSE),"-")</f>
        <v>-</v>
      </c>
      <c r="I865" s="11" t="str">
        <f>IFERROR(VLOOKUP($B865,'(勿動)組件目錄表'!$D$15:$R$1094,10,FALSE),"-")</f>
        <v>-</v>
      </c>
      <c r="J865" s="11" t="str">
        <f>IFERROR(VLOOKUP($B865,'(勿動)組件目錄表'!$D$15:$R$1094,11,FALSE),"-")</f>
        <v>-</v>
      </c>
      <c r="K865" s="11" t="str">
        <f>IFERROR(VLOOKUP($B865,'(勿動)組件目錄表'!$D$15:$R$1094,12,FALSE),"-")</f>
        <v>-</v>
      </c>
      <c r="L865" s="11" t="str">
        <f>IFERROR(VLOOKUP($B865,'(勿動)組件目錄表'!$D$15:$R$1094,13,FALSE),"-")</f>
        <v>-</v>
      </c>
      <c r="M865" s="11" t="str">
        <f>IFERROR(VLOOKUP($B865,'(勿動)組件目錄表'!$D$15:$R$1094,14,FALSE),"-")</f>
        <v>-</v>
      </c>
      <c r="N865" s="15">
        <f t="shared" si="3"/>
        <v>0</v>
      </c>
      <c r="O865" s="16"/>
    </row>
    <row r="866" spans="1:15" ht="15.75" customHeight="1">
      <c r="A866" s="18"/>
      <c r="B866" s="7"/>
      <c r="C866" s="8" t="str">
        <f>IFERROR(VLOOKUP($B866,'(勿動)組件目錄表'!$D$15:$R$1094,2,FALSE),"-")</f>
        <v>-</v>
      </c>
      <c r="D866" s="8" t="str">
        <f>IFERROR(VLOOKUP($B866,'(勿動)組件目錄表'!$D$15:$R$1094,3,FALSE),"-")</f>
        <v>-</v>
      </c>
      <c r="E866" s="9" t="str">
        <f>IFERROR(VLOOKUP($B866,'(勿動)組件目錄表'!$D$15:$R$1094,4,FALSE),"-")</f>
        <v>-</v>
      </c>
      <c r="F866" s="10" t="str">
        <f>IFERROR(VLOOKUP($B866,'(勿動)組件目錄表'!$D$15:$R$1094,5,FALSE),"-")</f>
        <v>-</v>
      </c>
      <c r="G866" s="11" t="str">
        <f>IFERROR(VLOOKUP($B866,'(勿動)組件目錄表'!$D$15:$R$1094,8,FALSE),"-")</f>
        <v>-</v>
      </c>
      <c r="H866" s="11" t="str">
        <f>IFERROR(VLOOKUP($B866,'(勿動)組件目錄表'!$D$15:$R$1094,9,FALSE),"-")</f>
        <v>-</v>
      </c>
      <c r="I866" s="11" t="str">
        <f>IFERROR(VLOOKUP($B866,'(勿動)組件目錄表'!$D$15:$R$1094,10,FALSE),"-")</f>
        <v>-</v>
      </c>
      <c r="J866" s="11" t="str">
        <f>IFERROR(VLOOKUP($B866,'(勿動)組件目錄表'!$D$15:$R$1094,11,FALSE),"-")</f>
        <v>-</v>
      </c>
      <c r="K866" s="11" t="str">
        <f>IFERROR(VLOOKUP($B866,'(勿動)組件目錄表'!$D$15:$R$1094,12,FALSE),"-")</f>
        <v>-</v>
      </c>
      <c r="L866" s="11" t="str">
        <f>IFERROR(VLOOKUP($B866,'(勿動)組件目錄表'!$D$15:$R$1094,13,FALSE),"-")</f>
        <v>-</v>
      </c>
      <c r="M866" s="11" t="str">
        <f>IFERROR(VLOOKUP($B866,'(勿動)組件目錄表'!$D$15:$R$1094,14,FALSE),"-")</f>
        <v>-</v>
      </c>
      <c r="N866" s="15">
        <f t="shared" si="3"/>
        <v>0</v>
      </c>
      <c r="O866" s="16"/>
    </row>
    <row r="867" spans="1:15" ht="15.75" customHeight="1">
      <c r="A867" s="18"/>
      <c r="B867" s="7"/>
      <c r="C867" s="8" t="str">
        <f>IFERROR(VLOOKUP($B867,'(勿動)組件目錄表'!$D$15:$R$1094,2,FALSE),"-")</f>
        <v>-</v>
      </c>
      <c r="D867" s="8" t="str">
        <f>IFERROR(VLOOKUP($B867,'(勿動)組件目錄表'!$D$15:$R$1094,3,FALSE),"-")</f>
        <v>-</v>
      </c>
      <c r="E867" s="9" t="str">
        <f>IFERROR(VLOOKUP($B867,'(勿動)組件目錄表'!$D$15:$R$1094,4,FALSE),"-")</f>
        <v>-</v>
      </c>
      <c r="F867" s="10" t="str">
        <f>IFERROR(VLOOKUP($B867,'(勿動)組件目錄表'!$D$15:$R$1094,5,FALSE),"-")</f>
        <v>-</v>
      </c>
      <c r="G867" s="11" t="str">
        <f>IFERROR(VLOOKUP($B867,'(勿動)組件目錄表'!$D$15:$R$1094,8,FALSE),"-")</f>
        <v>-</v>
      </c>
      <c r="H867" s="11" t="str">
        <f>IFERROR(VLOOKUP($B867,'(勿動)組件目錄表'!$D$15:$R$1094,9,FALSE),"-")</f>
        <v>-</v>
      </c>
      <c r="I867" s="11" t="str">
        <f>IFERROR(VLOOKUP($B867,'(勿動)組件目錄表'!$D$15:$R$1094,10,FALSE),"-")</f>
        <v>-</v>
      </c>
      <c r="J867" s="11" t="str">
        <f>IFERROR(VLOOKUP($B867,'(勿動)組件目錄表'!$D$15:$R$1094,11,FALSE),"-")</f>
        <v>-</v>
      </c>
      <c r="K867" s="11" t="str">
        <f>IFERROR(VLOOKUP($B867,'(勿動)組件目錄表'!$D$15:$R$1094,12,FALSE),"-")</f>
        <v>-</v>
      </c>
      <c r="L867" s="11" t="str">
        <f>IFERROR(VLOOKUP($B867,'(勿動)組件目錄表'!$D$15:$R$1094,13,FALSE),"-")</f>
        <v>-</v>
      </c>
      <c r="M867" s="11" t="str">
        <f>IFERROR(VLOOKUP($B867,'(勿動)組件目錄表'!$D$15:$R$1094,14,FALSE),"-")</f>
        <v>-</v>
      </c>
      <c r="N867" s="15">
        <f t="shared" si="3"/>
        <v>0</v>
      </c>
      <c r="O867" s="16"/>
    </row>
    <row r="868" spans="1:15" ht="15.75" customHeight="1">
      <c r="A868" s="18"/>
      <c r="B868" s="7"/>
      <c r="C868" s="8" t="str">
        <f>IFERROR(VLOOKUP($B868,'(勿動)組件目錄表'!$D$15:$R$1094,2,FALSE),"-")</f>
        <v>-</v>
      </c>
      <c r="D868" s="8" t="str">
        <f>IFERROR(VLOOKUP($B868,'(勿動)組件目錄表'!$D$15:$R$1094,3,FALSE),"-")</f>
        <v>-</v>
      </c>
      <c r="E868" s="9" t="str">
        <f>IFERROR(VLOOKUP($B868,'(勿動)組件目錄表'!$D$15:$R$1094,4,FALSE),"-")</f>
        <v>-</v>
      </c>
      <c r="F868" s="10" t="str">
        <f>IFERROR(VLOOKUP($B868,'(勿動)組件目錄表'!$D$15:$R$1094,5,FALSE),"-")</f>
        <v>-</v>
      </c>
      <c r="G868" s="11" t="str">
        <f>IFERROR(VLOOKUP($B868,'(勿動)組件目錄表'!$D$15:$R$1094,8,FALSE),"-")</f>
        <v>-</v>
      </c>
      <c r="H868" s="11" t="str">
        <f>IFERROR(VLOOKUP($B868,'(勿動)組件目錄表'!$D$15:$R$1094,9,FALSE),"-")</f>
        <v>-</v>
      </c>
      <c r="I868" s="11" t="str">
        <f>IFERROR(VLOOKUP($B868,'(勿動)組件目錄表'!$D$15:$R$1094,10,FALSE),"-")</f>
        <v>-</v>
      </c>
      <c r="J868" s="11" t="str">
        <f>IFERROR(VLOOKUP($B868,'(勿動)組件目錄表'!$D$15:$R$1094,11,FALSE),"-")</f>
        <v>-</v>
      </c>
      <c r="K868" s="11" t="str">
        <f>IFERROR(VLOOKUP($B868,'(勿動)組件目錄表'!$D$15:$R$1094,12,FALSE),"-")</f>
        <v>-</v>
      </c>
      <c r="L868" s="11" t="str">
        <f>IFERROR(VLOOKUP($B868,'(勿動)組件目錄表'!$D$15:$R$1094,13,FALSE),"-")</f>
        <v>-</v>
      </c>
      <c r="M868" s="11" t="str">
        <f>IFERROR(VLOOKUP($B868,'(勿動)組件目錄表'!$D$15:$R$1094,14,FALSE),"-")</f>
        <v>-</v>
      </c>
      <c r="N868" s="15">
        <f t="shared" si="3"/>
        <v>0</v>
      </c>
      <c r="O868" s="16"/>
    </row>
    <row r="869" spans="1:15" ht="15.75" customHeight="1">
      <c r="A869" s="18"/>
      <c r="B869" s="7"/>
      <c r="C869" s="8" t="str">
        <f>IFERROR(VLOOKUP($B869,'(勿動)組件目錄表'!$D$15:$R$1094,2,FALSE),"-")</f>
        <v>-</v>
      </c>
      <c r="D869" s="8" t="str">
        <f>IFERROR(VLOOKUP($B869,'(勿動)組件目錄表'!$D$15:$R$1094,3,FALSE),"-")</f>
        <v>-</v>
      </c>
      <c r="E869" s="9" t="str">
        <f>IFERROR(VLOOKUP($B869,'(勿動)組件目錄表'!$D$15:$R$1094,4,FALSE),"-")</f>
        <v>-</v>
      </c>
      <c r="F869" s="10" t="str">
        <f>IFERROR(VLOOKUP($B869,'(勿動)組件目錄表'!$D$15:$R$1094,5,FALSE),"-")</f>
        <v>-</v>
      </c>
      <c r="G869" s="11" t="str">
        <f>IFERROR(VLOOKUP($B869,'(勿動)組件目錄表'!$D$15:$R$1094,8,FALSE),"-")</f>
        <v>-</v>
      </c>
      <c r="H869" s="11" t="str">
        <f>IFERROR(VLOOKUP($B869,'(勿動)組件目錄表'!$D$15:$R$1094,9,FALSE),"-")</f>
        <v>-</v>
      </c>
      <c r="I869" s="11" t="str">
        <f>IFERROR(VLOOKUP($B869,'(勿動)組件目錄表'!$D$15:$R$1094,10,FALSE),"-")</f>
        <v>-</v>
      </c>
      <c r="J869" s="11" t="str">
        <f>IFERROR(VLOOKUP($B869,'(勿動)組件目錄表'!$D$15:$R$1094,11,FALSE),"-")</f>
        <v>-</v>
      </c>
      <c r="K869" s="11" t="str">
        <f>IFERROR(VLOOKUP($B869,'(勿動)組件目錄表'!$D$15:$R$1094,12,FALSE),"-")</f>
        <v>-</v>
      </c>
      <c r="L869" s="11" t="str">
        <f>IFERROR(VLOOKUP($B869,'(勿動)組件目錄表'!$D$15:$R$1094,13,FALSE),"-")</f>
        <v>-</v>
      </c>
      <c r="M869" s="11" t="str">
        <f>IFERROR(VLOOKUP($B869,'(勿動)組件目錄表'!$D$15:$R$1094,14,FALSE),"-")</f>
        <v>-</v>
      </c>
      <c r="N869" s="15">
        <f t="shared" si="3"/>
        <v>0</v>
      </c>
      <c r="O869" s="16"/>
    </row>
    <row r="870" spans="1:15" ht="15.75" customHeight="1">
      <c r="A870" s="18"/>
      <c r="B870" s="7"/>
      <c r="C870" s="8" t="str">
        <f>IFERROR(VLOOKUP($B870,'(勿動)組件目錄表'!$D$15:$R$1094,2,FALSE),"-")</f>
        <v>-</v>
      </c>
      <c r="D870" s="8" t="str">
        <f>IFERROR(VLOOKUP($B870,'(勿動)組件目錄表'!$D$15:$R$1094,3,FALSE),"-")</f>
        <v>-</v>
      </c>
      <c r="E870" s="9" t="str">
        <f>IFERROR(VLOOKUP($B870,'(勿動)組件目錄表'!$D$15:$R$1094,4,FALSE),"-")</f>
        <v>-</v>
      </c>
      <c r="F870" s="10" t="str">
        <f>IFERROR(VLOOKUP($B870,'(勿動)組件目錄表'!$D$15:$R$1094,5,FALSE),"-")</f>
        <v>-</v>
      </c>
      <c r="G870" s="11" t="str">
        <f>IFERROR(VLOOKUP($B870,'(勿動)組件目錄表'!$D$15:$R$1094,8,FALSE),"-")</f>
        <v>-</v>
      </c>
      <c r="H870" s="11" t="str">
        <f>IFERROR(VLOOKUP($B870,'(勿動)組件目錄表'!$D$15:$R$1094,9,FALSE),"-")</f>
        <v>-</v>
      </c>
      <c r="I870" s="11" t="str">
        <f>IFERROR(VLOOKUP($B870,'(勿動)組件目錄表'!$D$15:$R$1094,10,FALSE),"-")</f>
        <v>-</v>
      </c>
      <c r="J870" s="11" t="str">
        <f>IFERROR(VLOOKUP($B870,'(勿動)組件目錄表'!$D$15:$R$1094,11,FALSE),"-")</f>
        <v>-</v>
      </c>
      <c r="K870" s="11" t="str">
        <f>IFERROR(VLOOKUP($B870,'(勿動)組件目錄表'!$D$15:$R$1094,12,FALSE),"-")</f>
        <v>-</v>
      </c>
      <c r="L870" s="11" t="str">
        <f>IFERROR(VLOOKUP($B870,'(勿動)組件目錄表'!$D$15:$R$1094,13,FALSE),"-")</f>
        <v>-</v>
      </c>
      <c r="M870" s="11" t="str">
        <f>IFERROR(VLOOKUP($B870,'(勿動)組件目錄表'!$D$15:$R$1094,14,FALSE),"-")</f>
        <v>-</v>
      </c>
      <c r="N870" s="15">
        <f t="shared" si="3"/>
        <v>0</v>
      </c>
      <c r="O870" s="16"/>
    </row>
    <row r="871" spans="1:15" ht="15.75" customHeight="1">
      <c r="A871" s="18"/>
      <c r="B871" s="7"/>
      <c r="C871" s="8" t="str">
        <f>IFERROR(VLOOKUP($B871,'(勿動)組件目錄表'!$D$15:$R$1094,2,FALSE),"-")</f>
        <v>-</v>
      </c>
      <c r="D871" s="8" t="str">
        <f>IFERROR(VLOOKUP($B871,'(勿動)組件目錄表'!$D$15:$R$1094,3,FALSE),"-")</f>
        <v>-</v>
      </c>
      <c r="E871" s="9" t="str">
        <f>IFERROR(VLOOKUP($B871,'(勿動)組件目錄表'!$D$15:$R$1094,4,FALSE),"-")</f>
        <v>-</v>
      </c>
      <c r="F871" s="10" t="str">
        <f>IFERROR(VLOOKUP($B871,'(勿動)組件目錄表'!$D$15:$R$1094,5,FALSE),"-")</f>
        <v>-</v>
      </c>
      <c r="G871" s="11" t="str">
        <f>IFERROR(VLOOKUP($B871,'(勿動)組件目錄表'!$D$15:$R$1094,8,FALSE),"-")</f>
        <v>-</v>
      </c>
      <c r="H871" s="11" t="str">
        <f>IFERROR(VLOOKUP($B871,'(勿動)組件目錄表'!$D$15:$R$1094,9,FALSE),"-")</f>
        <v>-</v>
      </c>
      <c r="I871" s="11" t="str">
        <f>IFERROR(VLOOKUP($B871,'(勿動)組件目錄表'!$D$15:$R$1094,10,FALSE),"-")</f>
        <v>-</v>
      </c>
      <c r="J871" s="11" t="str">
        <f>IFERROR(VLOOKUP($B871,'(勿動)組件目錄表'!$D$15:$R$1094,11,FALSE),"-")</f>
        <v>-</v>
      </c>
      <c r="K871" s="11" t="str">
        <f>IFERROR(VLOOKUP($B871,'(勿動)組件目錄表'!$D$15:$R$1094,12,FALSE),"-")</f>
        <v>-</v>
      </c>
      <c r="L871" s="11" t="str">
        <f>IFERROR(VLOOKUP($B871,'(勿動)組件目錄表'!$D$15:$R$1094,13,FALSE),"-")</f>
        <v>-</v>
      </c>
      <c r="M871" s="11" t="str">
        <f>IFERROR(VLOOKUP($B871,'(勿動)組件目錄表'!$D$15:$R$1094,14,FALSE),"-")</f>
        <v>-</v>
      </c>
      <c r="N871" s="15">
        <f t="shared" si="3"/>
        <v>0</v>
      </c>
      <c r="O871" s="16"/>
    </row>
    <row r="872" spans="1:15" ht="15.75" customHeight="1">
      <c r="A872" s="18"/>
      <c r="B872" s="7"/>
      <c r="C872" s="8" t="str">
        <f>IFERROR(VLOOKUP($B872,'(勿動)組件目錄表'!$D$15:$R$1094,2,FALSE),"-")</f>
        <v>-</v>
      </c>
      <c r="D872" s="8" t="str">
        <f>IFERROR(VLOOKUP($B872,'(勿動)組件目錄表'!$D$15:$R$1094,3,FALSE),"-")</f>
        <v>-</v>
      </c>
      <c r="E872" s="9" t="str">
        <f>IFERROR(VLOOKUP($B872,'(勿動)組件目錄表'!$D$15:$R$1094,4,FALSE),"-")</f>
        <v>-</v>
      </c>
      <c r="F872" s="10" t="str">
        <f>IFERROR(VLOOKUP($B872,'(勿動)組件目錄表'!$D$15:$R$1094,5,FALSE),"-")</f>
        <v>-</v>
      </c>
      <c r="G872" s="11" t="str">
        <f>IFERROR(VLOOKUP($B872,'(勿動)組件目錄表'!$D$15:$R$1094,8,FALSE),"-")</f>
        <v>-</v>
      </c>
      <c r="H872" s="11" t="str">
        <f>IFERROR(VLOOKUP($B872,'(勿動)組件目錄表'!$D$15:$R$1094,9,FALSE),"-")</f>
        <v>-</v>
      </c>
      <c r="I872" s="11" t="str">
        <f>IFERROR(VLOOKUP($B872,'(勿動)組件目錄表'!$D$15:$R$1094,10,FALSE),"-")</f>
        <v>-</v>
      </c>
      <c r="J872" s="11" t="str">
        <f>IFERROR(VLOOKUP($B872,'(勿動)組件目錄表'!$D$15:$R$1094,11,FALSE),"-")</f>
        <v>-</v>
      </c>
      <c r="K872" s="11" t="str">
        <f>IFERROR(VLOOKUP($B872,'(勿動)組件目錄表'!$D$15:$R$1094,12,FALSE),"-")</f>
        <v>-</v>
      </c>
      <c r="L872" s="11" t="str">
        <f>IFERROR(VLOOKUP($B872,'(勿動)組件目錄表'!$D$15:$R$1094,13,FALSE),"-")</f>
        <v>-</v>
      </c>
      <c r="M872" s="11" t="str">
        <f>IFERROR(VLOOKUP($B872,'(勿動)組件目錄表'!$D$15:$R$1094,14,FALSE),"-")</f>
        <v>-</v>
      </c>
      <c r="N872" s="15">
        <f t="shared" si="3"/>
        <v>0</v>
      </c>
      <c r="O872" s="16"/>
    </row>
    <row r="873" spans="1:15" ht="15.75" customHeight="1">
      <c r="A873" s="18"/>
      <c r="B873" s="7"/>
      <c r="C873" s="8" t="str">
        <f>IFERROR(VLOOKUP($B873,'(勿動)組件目錄表'!$D$15:$R$1094,2,FALSE),"-")</f>
        <v>-</v>
      </c>
      <c r="D873" s="8" t="str">
        <f>IFERROR(VLOOKUP($B873,'(勿動)組件目錄表'!$D$15:$R$1094,3,FALSE),"-")</f>
        <v>-</v>
      </c>
      <c r="E873" s="9" t="str">
        <f>IFERROR(VLOOKUP($B873,'(勿動)組件目錄表'!$D$15:$R$1094,4,FALSE),"-")</f>
        <v>-</v>
      </c>
      <c r="F873" s="10" t="str">
        <f>IFERROR(VLOOKUP($B873,'(勿動)組件目錄表'!$D$15:$R$1094,5,FALSE),"-")</f>
        <v>-</v>
      </c>
      <c r="G873" s="11" t="str">
        <f>IFERROR(VLOOKUP($B873,'(勿動)組件目錄表'!$D$15:$R$1094,8,FALSE),"-")</f>
        <v>-</v>
      </c>
      <c r="H873" s="11" t="str">
        <f>IFERROR(VLOOKUP($B873,'(勿動)組件目錄表'!$D$15:$R$1094,9,FALSE),"-")</f>
        <v>-</v>
      </c>
      <c r="I873" s="11" t="str">
        <f>IFERROR(VLOOKUP($B873,'(勿動)組件目錄表'!$D$15:$R$1094,10,FALSE),"-")</f>
        <v>-</v>
      </c>
      <c r="J873" s="11" t="str">
        <f>IFERROR(VLOOKUP($B873,'(勿動)組件目錄表'!$D$15:$R$1094,11,FALSE),"-")</f>
        <v>-</v>
      </c>
      <c r="K873" s="11" t="str">
        <f>IFERROR(VLOOKUP($B873,'(勿動)組件目錄表'!$D$15:$R$1094,12,FALSE),"-")</f>
        <v>-</v>
      </c>
      <c r="L873" s="11" t="str">
        <f>IFERROR(VLOOKUP($B873,'(勿動)組件目錄表'!$D$15:$R$1094,13,FALSE),"-")</f>
        <v>-</v>
      </c>
      <c r="M873" s="11" t="str">
        <f>IFERROR(VLOOKUP($B873,'(勿動)組件目錄表'!$D$15:$R$1094,14,FALSE),"-")</f>
        <v>-</v>
      </c>
      <c r="N873" s="15">
        <f t="shared" si="3"/>
        <v>0</v>
      </c>
      <c r="O873" s="16"/>
    </row>
    <row r="874" spans="1:15" ht="15.75" customHeight="1">
      <c r="A874" s="18"/>
      <c r="B874" s="7"/>
      <c r="C874" s="8" t="str">
        <f>IFERROR(VLOOKUP($B874,'(勿動)組件目錄表'!$D$15:$R$1094,2,FALSE),"-")</f>
        <v>-</v>
      </c>
      <c r="D874" s="8" t="str">
        <f>IFERROR(VLOOKUP($B874,'(勿動)組件目錄表'!$D$15:$R$1094,3,FALSE),"-")</f>
        <v>-</v>
      </c>
      <c r="E874" s="9" t="str">
        <f>IFERROR(VLOOKUP($B874,'(勿動)組件目錄表'!$D$15:$R$1094,4,FALSE),"-")</f>
        <v>-</v>
      </c>
      <c r="F874" s="10" t="str">
        <f>IFERROR(VLOOKUP($B874,'(勿動)組件目錄表'!$D$15:$R$1094,5,FALSE),"-")</f>
        <v>-</v>
      </c>
      <c r="G874" s="11" t="str">
        <f>IFERROR(VLOOKUP($B874,'(勿動)組件目錄表'!$D$15:$R$1094,8,FALSE),"-")</f>
        <v>-</v>
      </c>
      <c r="H874" s="11" t="str">
        <f>IFERROR(VLOOKUP($B874,'(勿動)組件目錄表'!$D$15:$R$1094,9,FALSE),"-")</f>
        <v>-</v>
      </c>
      <c r="I874" s="11" t="str">
        <f>IFERROR(VLOOKUP($B874,'(勿動)組件目錄表'!$D$15:$R$1094,10,FALSE),"-")</f>
        <v>-</v>
      </c>
      <c r="J874" s="11" t="str">
        <f>IFERROR(VLOOKUP($B874,'(勿動)組件目錄表'!$D$15:$R$1094,11,FALSE),"-")</f>
        <v>-</v>
      </c>
      <c r="K874" s="11" t="str">
        <f>IFERROR(VLOOKUP($B874,'(勿動)組件目錄表'!$D$15:$R$1094,12,FALSE),"-")</f>
        <v>-</v>
      </c>
      <c r="L874" s="11" t="str">
        <f>IFERROR(VLOOKUP($B874,'(勿動)組件目錄表'!$D$15:$R$1094,13,FALSE),"-")</f>
        <v>-</v>
      </c>
      <c r="M874" s="11" t="str">
        <f>IFERROR(VLOOKUP($B874,'(勿動)組件目錄表'!$D$15:$R$1094,14,FALSE),"-")</f>
        <v>-</v>
      </c>
      <c r="N874" s="15">
        <f t="shared" si="3"/>
        <v>0</v>
      </c>
      <c r="O874" s="16"/>
    </row>
    <row r="875" spans="1:15" ht="15.75" customHeight="1">
      <c r="A875" s="18"/>
      <c r="B875" s="7"/>
      <c r="C875" s="8" t="str">
        <f>IFERROR(VLOOKUP($B875,'(勿動)組件目錄表'!$D$15:$R$1094,2,FALSE),"-")</f>
        <v>-</v>
      </c>
      <c r="D875" s="8" t="str">
        <f>IFERROR(VLOOKUP($B875,'(勿動)組件目錄表'!$D$15:$R$1094,3,FALSE),"-")</f>
        <v>-</v>
      </c>
      <c r="E875" s="9" t="str">
        <f>IFERROR(VLOOKUP($B875,'(勿動)組件目錄表'!$D$15:$R$1094,4,FALSE),"-")</f>
        <v>-</v>
      </c>
      <c r="F875" s="10" t="str">
        <f>IFERROR(VLOOKUP($B875,'(勿動)組件目錄表'!$D$15:$R$1094,5,FALSE),"-")</f>
        <v>-</v>
      </c>
      <c r="G875" s="11" t="str">
        <f>IFERROR(VLOOKUP($B875,'(勿動)組件目錄表'!$D$15:$R$1094,8,FALSE),"-")</f>
        <v>-</v>
      </c>
      <c r="H875" s="11" t="str">
        <f>IFERROR(VLOOKUP($B875,'(勿動)組件目錄表'!$D$15:$R$1094,9,FALSE),"-")</f>
        <v>-</v>
      </c>
      <c r="I875" s="11" t="str">
        <f>IFERROR(VLOOKUP($B875,'(勿動)組件目錄表'!$D$15:$R$1094,10,FALSE),"-")</f>
        <v>-</v>
      </c>
      <c r="J875" s="11" t="str">
        <f>IFERROR(VLOOKUP($B875,'(勿動)組件目錄表'!$D$15:$R$1094,11,FALSE),"-")</f>
        <v>-</v>
      </c>
      <c r="K875" s="11" t="str">
        <f>IFERROR(VLOOKUP($B875,'(勿動)組件目錄表'!$D$15:$R$1094,12,FALSE),"-")</f>
        <v>-</v>
      </c>
      <c r="L875" s="11" t="str">
        <f>IFERROR(VLOOKUP($B875,'(勿動)組件目錄表'!$D$15:$R$1094,13,FALSE),"-")</f>
        <v>-</v>
      </c>
      <c r="M875" s="11" t="str">
        <f>IFERROR(VLOOKUP($B875,'(勿動)組件目錄表'!$D$15:$R$1094,14,FALSE),"-")</f>
        <v>-</v>
      </c>
      <c r="N875" s="15">
        <f t="shared" si="3"/>
        <v>0</v>
      </c>
      <c r="O875" s="16"/>
    </row>
    <row r="876" spans="1:15" ht="15.75" customHeight="1">
      <c r="A876" s="18"/>
      <c r="B876" s="7"/>
      <c r="C876" s="8" t="str">
        <f>IFERROR(VLOOKUP($B876,'(勿動)組件目錄表'!$D$15:$R$1094,2,FALSE),"-")</f>
        <v>-</v>
      </c>
      <c r="D876" s="8" t="str">
        <f>IFERROR(VLOOKUP($B876,'(勿動)組件目錄表'!$D$15:$R$1094,3,FALSE),"-")</f>
        <v>-</v>
      </c>
      <c r="E876" s="9" t="str">
        <f>IFERROR(VLOOKUP($B876,'(勿動)組件目錄表'!$D$15:$R$1094,4,FALSE),"-")</f>
        <v>-</v>
      </c>
      <c r="F876" s="10" t="str">
        <f>IFERROR(VLOOKUP($B876,'(勿動)組件目錄表'!$D$15:$R$1094,5,FALSE),"-")</f>
        <v>-</v>
      </c>
      <c r="G876" s="11" t="str">
        <f>IFERROR(VLOOKUP($B876,'(勿動)組件目錄表'!$D$15:$R$1094,8,FALSE),"-")</f>
        <v>-</v>
      </c>
      <c r="H876" s="11" t="str">
        <f>IFERROR(VLOOKUP($B876,'(勿動)組件目錄表'!$D$15:$R$1094,9,FALSE),"-")</f>
        <v>-</v>
      </c>
      <c r="I876" s="11" t="str">
        <f>IFERROR(VLOOKUP($B876,'(勿動)組件目錄表'!$D$15:$R$1094,10,FALSE),"-")</f>
        <v>-</v>
      </c>
      <c r="J876" s="11" t="str">
        <f>IFERROR(VLOOKUP($B876,'(勿動)組件目錄表'!$D$15:$R$1094,11,FALSE),"-")</f>
        <v>-</v>
      </c>
      <c r="K876" s="11" t="str">
        <f>IFERROR(VLOOKUP($B876,'(勿動)組件目錄表'!$D$15:$R$1094,12,FALSE),"-")</f>
        <v>-</v>
      </c>
      <c r="L876" s="11" t="str">
        <f>IFERROR(VLOOKUP($B876,'(勿動)組件目錄表'!$D$15:$R$1094,13,FALSE),"-")</f>
        <v>-</v>
      </c>
      <c r="M876" s="11" t="str">
        <f>IFERROR(VLOOKUP($B876,'(勿動)組件目錄表'!$D$15:$R$1094,14,FALSE),"-")</f>
        <v>-</v>
      </c>
      <c r="N876" s="15">
        <f t="shared" si="3"/>
        <v>0</v>
      </c>
      <c r="O876" s="16"/>
    </row>
    <row r="877" spans="1:15" ht="15.75" customHeight="1">
      <c r="A877" s="18"/>
      <c r="B877" s="7"/>
      <c r="C877" s="8" t="str">
        <f>IFERROR(VLOOKUP($B877,'(勿動)組件目錄表'!$D$15:$R$1094,2,FALSE),"-")</f>
        <v>-</v>
      </c>
      <c r="D877" s="8" t="str">
        <f>IFERROR(VLOOKUP($B877,'(勿動)組件目錄表'!$D$15:$R$1094,3,FALSE),"-")</f>
        <v>-</v>
      </c>
      <c r="E877" s="9" t="str">
        <f>IFERROR(VLOOKUP($B877,'(勿動)組件目錄表'!$D$15:$R$1094,4,FALSE),"-")</f>
        <v>-</v>
      </c>
      <c r="F877" s="10" t="str">
        <f>IFERROR(VLOOKUP($B877,'(勿動)組件目錄表'!$D$15:$R$1094,5,FALSE),"-")</f>
        <v>-</v>
      </c>
      <c r="G877" s="11" t="str">
        <f>IFERROR(VLOOKUP($B877,'(勿動)組件目錄表'!$D$15:$R$1094,8,FALSE),"-")</f>
        <v>-</v>
      </c>
      <c r="H877" s="11" t="str">
        <f>IFERROR(VLOOKUP($B877,'(勿動)組件目錄表'!$D$15:$R$1094,9,FALSE),"-")</f>
        <v>-</v>
      </c>
      <c r="I877" s="11" t="str">
        <f>IFERROR(VLOOKUP($B877,'(勿動)組件目錄表'!$D$15:$R$1094,10,FALSE),"-")</f>
        <v>-</v>
      </c>
      <c r="J877" s="11" t="str">
        <f>IFERROR(VLOOKUP($B877,'(勿動)組件目錄表'!$D$15:$R$1094,11,FALSE),"-")</f>
        <v>-</v>
      </c>
      <c r="K877" s="11" t="str">
        <f>IFERROR(VLOOKUP($B877,'(勿動)組件目錄表'!$D$15:$R$1094,12,FALSE),"-")</f>
        <v>-</v>
      </c>
      <c r="L877" s="11" t="str">
        <f>IFERROR(VLOOKUP($B877,'(勿動)組件目錄表'!$D$15:$R$1094,13,FALSE),"-")</f>
        <v>-</v>
      </c>
      <c r="M877" s="11" t="str">
        <f>IFERROR(VLOOKUP($B877,'(勿動)組件目錄表'!$D$15:$R$1094,14,FALSE),"-")</f>
        <v>-</v>
      </c>
      <c r="N877" s="15">
        <f t="shared" ref="N877:N999" si="4">SUMPRODUCT((G877:M877&lt;&gt;"-") * NOT(_xlfn.ISFORMULA(G877:M877)) )</f>
        <v>0</v>
      </c>
      <c r="O877" s="16"/>
    </row>
    <row r="878" spans="1:15" ht="15.75" customHeight="1">
      <c r="A878" s="18"/>
      <c r="B878" s="7"/>
      <c r="C878" s="8" t="str">
        <f>IFERROR(VLOOKUP($B878,'(勿動)組件目錄表'!$D$15:$R$1094,2,FALSE),"-")</f>
        <v>-</v>
      </c>
      <c r="D878" s="8" t="str">
        <f>IFERROR(VLOOKUP($B878,'(勿動)組件目錄表'!$D$15:$R$1094,3,FALSE),"-")</f>
        <v>-</v>
      </c>
      <c r="E878" s="9" t="str">
        <f>IFERROR(VLOOKUP($B878,'(勿動)組件目錄表'!$D$15:$R$1094,4,FALSE),"-")</f>
        <v>-</v>
      </c>
      <c r="F878" s="10" t="str">
        <f>IFERROR(VLOOKUP($B878,'(勿動)組件目錄表'!$D$15:$R$1094,5,FALSE),"-")</f>
        <v>-</v>
      </c>
      <c r="G878" s="11" t="str">
        <f>IFERROR(VLOOKUP($B878,'(勿動)組件目錄表'!$D$15:$R$1094,8,FALSE),"-")</f>
        <v>-</v>
      </c>
      <c r="H878" s="11" t="str">
        <f>IFERROR(VLOOKUP($B878,'(勿動)組件目錄表'!$D$15:$R$1094,9,FALSE),"-")</f>
        <v>-</v>
      </c>
      <c r="I878" s="11" t="str">
        <f>IFERROR(VLOOKUP($B878,'(勿動)組件目錄表'!$D$15:$R$1094,10,FALSE),"-")</f>
        <v>-</v>
      </c>
      <c r="J878" s="11" t="str">
        <f>IFERROR(VLOOKUP($B878,'(勿動)組件目錄表'!$D$15:$R$1094,11,FALSE),"-")</f>
        <v>-</v>
      </c>
      <c r="K878" s="11" t="str">
        <f>IFERROR(VLOOKUP($B878,'(勿動)組件目錄表'!$D$15:$R$1094,12,FALSE),"-")</f>
        <v>-</v>
      </c>
      <c r="L878" s="11" t="str">
        <f>IFERROR(VLOOKUP($B878,'(勿動)組件目錄表'!$D$15:$R$1094,13,FALSE),"-")</f>
        <v>-</v>
      </c>
      <c r="M878" s="11" t="str">
        <f>IFERROR(VLOOKUP($B878,'(勿動)組件目錄表'!$D$15:$R$1094,14,FALSE),"-")</f>
        <v>-</v>
      </c>
      <c r="N878" s="15">
        <f t="shared" si="4"/>
        <v>0</v>
      </c>
      <c r="O878" s="16"/>
    </row>
    <row r="879" spans="1:15" ht="15.75" customHeight="1">
      <c r="A879" s="18"/>
      <c r="B879" s="7"/>
      <c r="C879" s="8" t="str">
        <f>IFERROR(VLOOKUP($B879,'(勿動)組件目錄表'!$D$15:$R$1094,2,FALSE),"-")</f>
        <v>-</v>
      </c>
      <c r="D879" s="8" t="str">
        <f>IFERROR(VLOOKUP($B879,'(勿動)組件目錄表'!$D$15:$R$1094,3,FALSE),"-")</f>
        <v>-</v>
      </c>
      <c r="E879" s="9" t="str">
        <f>IFERROR(VLOOKUP($B879,'(勿動)組件目錄表'!$D$15:$R$1094,4,FALSE),"-")</f>
        <v>-</v>
      </c>
      <c r="F879" s="10" t="str">
        <f>IFERROR(VLOOKUP($B879,'(勿動)組件目錄表'!$D$15:$R$1094,5,FALSE),"-")</f>
        <v>-</v>
      </c>
      <c r="G879" s="11" t="str">
        <f>IFERROR(VLOOKUP($B879,'(勿動)組件目錄表'!$D$15:$R$1094,8,FALSE),"-")</f>
        <v>-</v>
      </c>
      <c r="H879" s="11" t="str">
        <f>IFERROR(VLOOKUP($B879,'(勿動)組件目錄表'!$D$15:$R$1094,9,FALSE),"-")</f>
        <v>-</v>
      </c>
      <c r="I879" s="11" t="str">
        <f>IFERROR(VLOOKUP($B879,'(勿動)組件目錄表'!$D$15:$R$1094,10,FALSE),"-")</f>
        <v>-</v>
      </c>
      <c r="J879" s="11" t="str">
        <f>IFERROR(VLOOKUP($B879,'(勿動)組件目錄表'!$D$15:$R$1094,11,FALSE),"-")</f>
        <v>-</v>
      </c>
      <c r="K879" s="11" t="str">
        <f>IFERROR(VLOOKUP($B879,'(勿動)組件目錄表'!$D$15:$R$1094,12,FALSE),"-")</f>
        <v>-</v>
      </c>
      <c r="L879" s="11" t="str">
        <f>IFERROR(VLOOKUP($B879,'(勿動)組件目錄表'!$D$15:$R$1094,13,FALSE),"-")</f>
        <v>-</v>
      </c>
      <c r="M879" s="11" t="str">
        <f>IFERROR(VLOOKUP($B879,'(勿動)組件目錄表'!$D$15:$R$1094,14,FALSE),"-")</f>
        <v>-</v>
      </c>
      <c r="N879" s="15">
        <f t="shared" si="4"/>
        <v>0</v>
      </c>
      <c r="O879" s="16"/>
    </row>
    <row r="880" spans="1:15" ht="15.75" customHeight="1">
      <c r="A880" s="18"/>
      <c r="B880" s="7"/>
      <c r="C880" s="8" t="str">
        <f>IFERROR(VLOOKUP($B880,'(勿動)組件目錄表'!$D$15:$R$1094,2,FALSE),"-")</f>
        <v>-</v>
      </c>
      <c r="D880" s="8" t="str">
        <f>IFERROR(VLOOKUP($B880,'(勿動)組件目錄表'!$D$15:$R$1094,3,FALSE),"-")</f>
        <v>-</v>
      </c>
      <c r="E880" s="9" t="str">
        <f>IFERROR(VLOOKUP($B880,'(勿動)組件目錄表'!$D$15:$R$1094,4,FALSE),"-")</f>
        <v>-</v>
      </c>
      <c r="F880" s="10" t="str">
        <f>IFERROR(VLOOKUP($B880,'(勿動)組件目錄表'!$D$15:$R$1094,5,FALSE),"-")</f>
        <v>-</v>
      </c>
      <c r="G880" s="11" t="str">
        <f>IFERROR(VLOOKUP($B880,'(勿動)組件目錄表'!$D$15:$R$1094,8,FALSE),"-")</f>
        <v>-</v>
      </c>
      <c r="H880" s="11" t="str">
        <f>IFERROR(VLOOKUP($B880,'(勿動)組件目錄表'!$D$15:$R$1094,9,FALSE),"-")</f>
        <v>-</v>
      </c>
      <c r="I880" s="11" t="str">
        <f>IFERROR(VLOOKUP($B880,'(勿動)組件目錄表'!$D$15:$R$1094,10,FALSE),"-")</f>
        <v>-</v>
      </c>
      <c r="J880" s="11" t="str">
        <f>IFERROR(VLOOKUP($B880,'(勿動)組件目錄表'!$D$15:$R$1094,11,FALSE),"-")</f>
        <v>-</v>
      </c>
      <c r="K880" s="11" t="str">
        <f>IFERROR(VLOOKUP($B880,'(勿動)組件目錄表'!$D$15:$R$1094,12,FALSE),"-")</f>
        <v>-</v>
      </c>
      <c r="L880" s="11" t="str">
        <f>IFERROR(VLOOKUP($B880,'(勿動)組件目錄表'!$D$15:$R$1094,13,FALSE),"-")</f>
        <v>-</v>
      </c>
      <c r="M880" s="11" t="str">
        <f>IFERROR(VLOOKUP($B880,'(勿動)組件目錄表'!$D$15:$R$1094,14,FALSE),"-")</f>
        <v>-</v>
      </c>
      <c r="N880" s="15">
        <f t="shared" si="4"/>
        <v>0</v>
      </c>
      <c r="O880" s="16"/>
    </row>
    <row r="881" spans="1:15" ht="15.75" customHeight="1">
      <c r="A881" s="18"/>
      <c r="B881" s="7"/>
      <c r="C881" s="8" t="str">
        <f>IFERROR(VLOOKUP($B881,'(勿動)組件目錄表'!$D$15:$R$1094,2,FALSE),"-")</f>
        <v>-</v>
      </c>
      <c r="D881" s="8" t="str">
        <f>IFERROR(VLOOKUP($B881,'(勿動)組件目錄表'!$D$15:$R$1094,3,FALSE),"-")</f>
        <v>-</v>
      </c>
      <c r="E881" s="9" t="str">
        <f>IFERROR(VLOOKUP($B881,'(勿動)組件目錄表'!$D$15:$R$1094,4,FALSE),"-")</f>
        <v>-</v>
      </c>
      <c r="F881" s="10" t="str">
        <f>IFERROR(VLOOKUP($B881,'(勿動)組件目錄表'!$D$15:$R$1094,5,FALSE),"-")</f>
        <v>-</v>
      </c>
      <c r="G881" s="11" t="str">
        <f>IFERROR(VLOOKUP($B881,'(勿動)組件目錄表'!$D$15:$R$1094,8,FALSE),"-")</f>
        <v>-</v>
      </c>
      <c r="H881" s="11" t="str">
        <f>IFERROR(VLOOKUP($B881,'(勿動)組件目錄表'!$D$15:$R$1094,9,FALSE),"-")</f>
        <v>-</v>
      </c>
      <c r="I881" s="11" t="str">
        <f>IFERROR(VLOOKUP($B881,'(勿動)組件目錄表'!$D$15:$R$1094,10,FALSE),"-")</f>
        <v>-</v>
      </c>
      <c r="J881" s="11" t="str">
        <f>IFERROR(VLOOKUP($B881,'(勿動)組件目錄表'!$D$15:$R$1094,11,FALSE),"-")</f>
        <v>-</v>
      </c>
      <c r="K881" s="11" t="str">
        <f>IFERROR(VLOOKUP($B881,'(勿動)組件目錄表'!$D$15:$R$1094,12,FALSE),"-")</f>
        <v>-</v>
      </c>
      <c r="L881" s="11" t="str">
        <f>IFERROR(VLOOKUP($B881,'(勿動)組件目錄表'!$D$15:$R$1094,13,FALSE),"-")</f>
        <v>-</v>
      </c>
      <c r="M881" s="11" t="str">
        <f>IFERROR(VLOOKUP($B881,'(勿動)組件目錄表'!$D$15:$R$1094,14,FALSE),"-")</f>
        <v>-</v>
      </c>
      <c r="N881" s="15">
        <f t="shared" si="4"/>
        <v>0</v>
      </c>
      <c r="O881" s="16"/>
    </row>
    <row r="882" spans="1:15" ht="15.75" customHeight="1">
      <c r="A882" s="18"/>
      <c r="B882" s="7"/>
      <c r="C882" s="8" t="str">
        <f>IFERROR(VLOOKUP($B882,'(勿動)組件目錄表'!$D$15:$R$1094,2,FALSE),"-")</f>
        <v>-</v>
      </c>
      <c r="D882" s="8" t="str">
        <f>IFERROR(VLOOKUP($B882,'(勿動)組件目錄表'!$D$15:$R$1094,3,FALSE),"-")</f>
        <v>-</v>
      </c>
      <c r="E882" s="9" t="str">
        <f>IFERROR(VLOOKUP($B882,'(勿動)組件目錄表'!$D$15:$R$1094,4,FALSE),"-")</f>
        <v>-</v>
      </c>
      <c r="F882" s="10" t="str">
        <f>IFERROR(VLOOKUP($B882,'(勿動)組件目錄表'!$D$15:$R$1094,5,FALSE),"-")</f>
        <v>-</v>
      </c>
      <c r="G882" s="11" t="str">
        <f>IFERROR(VLOOKUP($B882,'(勿動)組件目錄表'!$D$15:$R$1094,8,FALSE),"-")</f>
        <v>-</v>
      </c>
      <c r="H882" s="11" t="str">
        <f>IFERROR(VLOOKUP($B882,'(勿動)組件目錄表'!$D$15:$R$1094,9,FALSE),"-")</f>
        <v>-</v>
      </c>
      <c r="I882" s="11" t="str">
        <f>IFERROR(VLOOKUP($B882,'(勿動)組件目錄表'!$D$15:$R$1094,10,FALSE),"-")</f>
        <v>-</v>
      </c>
      <c r="J882" s="11" t="str">
        <f>IFERROR(VLOOKUP($B882,'(勿動)組件目錄表'!$D$15:$R$1094,11,FALSE),"-")</f>
        <v>-</v>
      </c>
      <c r="K882" s="11" t="str">
        <f>IFERROR(VLOOKUP($B882,'(勿動)組件目錄表'!$D$15:$R$1094,12,FALSE),"-")</f>
        <v>-</v>
      </c>
      <c r="L882" s="11" t="str">
        <f>IFERROR(VLOOKUP($B882,'(勿動)組件目錄表'!$D$15:$R$1094,13,FALSE),"-")</f>
        <v>-</v>
      </c>
      <c r="M882" s="11" t="str">
        <f>IFERROR(VLOOKUP($B882,'(勿動)組件目錄表'!$D$15:$R$1094,14,FALSE),"-")</f>
        <v>-</v>
      </c>
      <c r="N882" s="15">
        <f t="shared" si="4"/>
        <v>0</v>
      </c>
      <c r="O882" s="16"/>
    </row>
    <row r="883" spans="1:15" ht="15.75" customHeight="1">
      <c r="A883" s="18"/>
      <c r="B883" s="7"/>
      <c r="C883" s="8" t="str">
        <f>IFERROR(VLOOKUP($B883,'(勿動)組件目錄表'!$D$15:$R$1094,2,FALSE),"-")</f>
        <v>-</v>
      </c>
      <c r="D883" s="8" t="str">
        <f>IFERROR(VLOOKUP($B883,'(勿動)組件目錄表'!$D$15:$R$1094,3,FALSE),"-")</f>
        <v>-</v>
      </c>
      <c r="E883" s="9" t="str">
        <f>IFERROR(VLOOKUP($B883,'(勿動)組件目錄表'!$D$15:$R$1094,4,FALSE),"-")</f>
        <v>-</v>
      </c>
      <c r="F883" s="10" t="str">
        <f>IFERROR(VLOOKUP($B883,'(勿動)組件目錄表'!$D$15:$R$1094,5,FALSE),"-")</f>
        <v>-</v>
      </c>
      <c r="G883" s="11" t="str">
        <f>IFERROR(VLOOKUP($B883,'(勿動)組件目錄表'!$D$15:$R$1094,8,FALSE),"-")</f>
        <v>-</v>
      </c>
      <c r="H883" s="11" t="str">
        <f>IFERROR(VLOOKUP($B883,'(勿動)組件目錄表'!$D$15:$R$1094,9,FALSE),"-")</f>
        <v>-</v>
      </c>
      <c r="I883" s="11" t="str">
        <f>IFERROR(VLOOKUP($B883,'(勿動)組件目錄表'!$D$15:$R$1094,10,FALSE),"-")</f>
        <v>-</v>
      </c>
      <c r="J883" s="11" t="str">
        <f>IFERROR(VLOOKUP($B883,'(勿動)組件目錄表'!$D$15:$R$1094,11,FALSE),"-")</f>
        <v>-</v>
      </c>
      <c r="K883" s="11" t="str">
        <f>IFERROR(VLOOKUP($B883,'(勿動)組件目錄表'!$D$15:$R$1094,12,FALSE),"-")</f>
        <v>-</v>
      </c>
      <c r="L883" s="11" t="str">
        <f>IFERROR(VLOOKUP($B883,'(勿動)組件目錄表'!$D$15:$R$1094,13,FALSE),"-")</f>
        <v>-</v>
      </c>
      <c r="M883" s="11" t="str">
        <f>IFERROR(VLOOKUP($B883,'(勿動)組件目錄表'!$D$15:$R$1094,14,FALSE),"-")</f>
        <v>-</v>
      </c>
      <c r="N883" s="15">
        <f t="shared" si="4"/>
        <v>0</v>
      </c>
      <c r="O883" s="16"/>
    </row>
    <row r="884" spans="1:15" ht="15.75" customHeight="1">
      <c r="A884" s="18"/>
      <c r="B884" s="7"/>
      <c r="C884" s="8" t="str">
        <f>IFERROR(VLOOKUP($B884,'(勿動)組件目錄表'!$D$15:$R$1094,2,FALSE),"-")</f>
        <v>-</v>
      </c>
      <c r="D884" s="8" t="str">
        <f>IFERROR(VLOOKUP($B884,'(勿動)組件目錄表'!$D$15:$R$1094,3,FALSE),"-")</f>
        <v>-</v>
      </c>
      <c r="E884" s="9" t="str">
        <f>IFERROR(VLOOKUP($B884,'(勿動)組件目錄表'!$D$15:$R$1094,4,FALSE),"-")</f>
        <v>-</v>
      </c>
      <c r="F884" s="10" t="str">
        <f>IFERROR(VLOOKUP($B884,'(勿動)組件目錄表'!$D$15:$R$1094,5,FALSE),"-")</f>
        <v>-</v>
      </c>
      <c r="G884" s="11" t="str">
        <f>IFERROR(VLOOKUP($B884,'(勿動)組件目錄表'!$D$15:$R$1094,8,FALSE),"-")</f>
        <v>-</v>
      </c>
      <c r="H884" s="11" t="str">
        <f>IFERROR(VLOOKUP($B884,'(勿動)組件目錄表'!$D$15:$R$1094,9,FALSE),"-")</f>
        <v>-</v>
      </c>
      <c r="I884" s="11" t="str">
        <f>IFERROR(VLOOKUP($B884,'(勿動)組件目錄表'!$D$15:$R$1094,10,FALSE),"-")</f>
        <v>-</v>
      </c>
      <c r="J884" s="11" t="str">
        <f>IFERROR(VLOOKUP($B884,'(勿動)組件目錄表'!$D$15:$R$1094,11,FALSE),"-")</f>
        <v>-</v>
      </c>
      <c r="K884" s="11" t="str">
        <f>IFERROR(VLOOKUP($B884,'(勿動)組件目錄表'!$D$15:$R$1094,12,FALSE),"-")</f>
        <v>-</v>
      </c>
      <c r="L884" s="11" t="str">
        <f>IFERROR(VLOOKUP($B884,'(勿動)組件目錄表'!$D$15:$R$1094,13,FALSE),"-")</f>
        <v>-</v>
      </c>
      <c r="M884" s="11" t="str">
        <f>IFERROR(VLOOKUP($B884,'(勿動)組件目錄表'!$D$15:$R$1094,14,FALSE),"-")</f>
        <v>-</v>
      </c>
      <c r="N884" s="15">
        <f t="shared" si="4"/>
        <v>0</v>
      </c>
      <c r="O884" s="16"/>
    </row>
    <row r="885" spans="1:15" ht="15.75" customHeight="1">
      <c r="A885" s="18"/>
      <c r="B885" s="7"/>
      <c r="C885" s="8" t="str">
        <f>IFERROR(VLOOKUP($B885,'(勿動)組件目錄表'!$D$15:$R$1094,2,FALSE),"-")</f>
        <v>-</v>
      </c>
      <c r="D885" s="8" t="str">
        <f>IFERROR(VLOOKUP($B885,'(勿動)組件目錄表'!$D$15:$R$1094,3,FALSE),"-")</f>
        <v>-</v>
      </c>
      <c r="E885" s="9" t="str">
        <f>IFERROR(VLOOKUP($B885,'(勿動)組件目錄表'!$D$15:$R$1094,4,FALSE),"-")</f>
        <v>-</v>
      </c>
      <c r="F885" s="10" t="str">
        <f>IFERROR(VLOOKUP($B885,'(勿動)組件目錄表'!$D$15:$R$1094,5,FALSE),"-")</f>
        <v>-</v>
      </c>
      <c r="G885" s="11" t="str">
        <f>IFERROR(VLOOKUP($B885,'(勿動)組件目錄表'!$D$15:$R$1094,8,FALSE),"-")</f>
        <v>-</v>
      </c>
      <c r="H885" s="11" t="str">
        <f>IFERROR(VLOOKUP($B885,'(勿動)組件目錄表'!$D$15:$R$1094,9,FALSE),"-")</f>
        <v>-</v>
      </c>
      <c r="I885" s="11" t="str">
        <f>IFERROR(VLOOKUP($B885,'(勿動)組件目錄表'!$D$15:$R$1094,10,FALSE),"-")</f>
        <v>-</v>
      </c>
      <c r="J885" s="11" t="str">
        <f>IFERROR(VLOOKUP($B885,'(勿動)組件目錄表'!$D$15:$R$1094,11,FALSE),"-")</f>
        <v>-</v>
      </c>
      <c r="K885" s="11" t="str">
        <f>IFERROR(VLOOKUP($B885,'(勿動)組件目錄表'!$D$15:$R$1094,12,FALSE),"-")</f>
        <v>-</v>
      </c>
      <c r="L885" s="11" t="str">
        <f>IFERROR(VLOOKUP($B885,'(勿動)組件目錄表'!$D$15:$R$1094,13,FALSE),"-")</f>
        <v>-</v>
      </c>
      <c r="M885" s="11" t="str">
        <f>IFERROR(VLOOKUP($B885,'(勿動)組件目錄表'!$D$15:$R$1094,14,FALSE),"-")</f>
        <v>-</v>
      </c>
      <c r="N885" s="15">
        <f t="shared" si="4"/>
        <v>0</v>
      </c>
      <c r="O885" s="16"/>
    </row>
    <row r="886" spans="1:15" ht="15.75" customHeight="1">
      <c r="A886" s="18"/>
      <c r="B886" s="7"/>
      <c r="C886" s="8" t="str">
        <f>IFERROR(VLOOKUP($B886,'(勿動)組件目錄表'!$D$15:$R$1094,2,FALSE),"-")</f>
        <v>-</v>
      </c>
      <c r="D886" s="8" t="str">
        <f>IFERROR(VLOOKUP($B886,'(勿動)組件目錄表'!$D$15:$R$1094,3,FALSE),"-")</f>
        <v>-</v>
      </c>
      <c r="E886" s="9" t="str">
        <f>IFERROR(VLOOKUP($B886,'(勿動)組件目錄表'!$D$15:$R$1094,4,FALSE),"-")</f>
        <v>-</v>
      </c>
      <c r="F886" s="10" t="str">
        <f>IFERROR(VLOOKUP($B886,'(勿動)組件目錄表'!$D$15:$R$1094,5,FALSE),"-")</f>
        <v>-</v>
      </c>
      <c r="G886" s="11" t="str">
        <f>IFERROR(VLOOKUP($B886,'(勿動)組件目錄表'!$D$15:$R$1094,8,FALSE),"-")</f>
        <v>-</v>
      </c>
      <c r="H886" s="11" t="str">
        <f>IFERROR(VLOOKUP($B886,'(勿動)組件目錄表'!$D$15:$R$1094,9,FALSE),"-")</f>
        <v>-</v>
      </c>
      <c r="I886" s="11" t="str">
        <f>IFERROR(VLOOKUP($B886,'(勿動)組件目錄表'!$D$15:$R$1094,10,FALSE),"-")</f>
        <v>-</v>
      </c>
      <c r="J886" s="11" t="str">
        <f>IFERROR(VLOOKUP($B886,'(勿動)組件目錄表'!$D$15:$R$1094,11,FALSE),"-")</f>
        <v>-</v>
      </c>
      <c r="K886" s="11" t="str">
        <f>IFERROR(VLOOKUP($B886,'(勿動)組件目錄表'!$D$15:$R$1094,12,FALSE),"-")</f>
        <v>-</v>
      </c>
      <c r="L886" s="11" t="str">
        <f>IFERROR(VLOOKUP($B886,'(勿動)組件目錄表'!$D$15:$R$1094,13,FALSE),"-")</f>
        <v>-</v>
      </c>
      <c r="M886" s="11" t="str">
        <f>IFERROR(VLOOKUP($B886,'(勿動)組件目錄表'!$D$15:$R$1094,14,FALSE),"-")</f>
        <v>-</v>
      </c>
      <c r="N886" s="15">
        <f t="shared" si="4"/>
        <v>0</v>
      </c>
      <c r="O886" s="16"/>
    </row>
    <row r="887" spans="1:15" ht="15.75" customHeight="1">
      <c r="A887" s="18"/>
      <c r="B887" s="7"/>
      <c r="C887" s="8" t="str">
        <f>IFERROR(VLOOKUP($B887,'(勿動)組件目錄表'!$D$15:$R$1094,2,FALSE),"-")</f>
        <v>-</v>
      </c>
      <c r="D887" s="8" t="str">
        <f>IFERROR(VLOOKUP($B887,'(勿動)組件目錄表'!$D$15:$R$1094,3,FALSE),"-")</f>
        <v>-</v>
      </c>
      <c r="E887" s="9" t="str">
        <f>IFERROR(VLOOKUP($B887,'(勿動)組件目錄表'!$D$15:$R$1094,4,FALSE),"-")</f>
        <v>-</v>
      </c>
      <c r="F887" s="10" t="str">
        <f>IFERROR(VLOOKUP($B887,'(勿動)組件目錄表'!$D$15:$R$1094,5,FALSE),"-")</f>
        <v>-</v>
      </c>
      <c r="G887" s="11" t="str">
        <f>IFERROR(VLOOKUP($B887,'(勿動)組件目錄表'!$D$15:$R$1094,8,FALSE),"-")</f>
        <v>-</v>
      </c>
      <c r="H887" s="11" t="str">
        <f>IFERROR(VLOOKUP($B887,'(勿動)組件目錄表'!$D$15:$R$1094,9,FALSE),"-")</f>
        <v>-</v>
      </c>
      <c r="I887" s="11" t="str">
        <f>IFERROR(VLOOKUP($B887,'(勿動)組件目錄表'!$D$15:$R$1094,10,FALSE),"-")</f>
        <v>-</v>
      </c>
      <c r="J887" s="11" t="str">
        <f>IFERROR(VLOOKUP($B887,'(勿動)組件目錄表'!$D$15:$R$1094,11,FALSE),"-")</f>
        <v>-</v>
      </c>
      <c r="K887" s="11" t="str">
        <f>IFERROR(VLOOKUP($B887,'(勿動)組件目錄表'!$D$15:$R$1094,12,FALSE),"-")</f>
        <v>-</v>
      </c>
      <c r="L887" s="11" t="str">
        <f>IFERROR(VLOOKUP($B887,'(勿動)組件目錄表'!$D$15:$R$1094,13,FALSE),"-")</f>
        <v>-</v>
      </c>
      <c r="M887" s="11" t="str">
        <f>IFERROR(VLOOKUP($B887,'(勿動)組件目錄表'!$D$15:$R$1094,14,FALSE),"-")</f>
        <v>-</v>
      </c>
      <c r="N887" s="15">
        <f t="shared" si="4"/>
        <v>0</v>
      </c>
      <c r="O887" s="16"/>
    </row>
    <row r="888" spans="1:15" ht="15.75" customHeight="1">
      <c r="A888" s="18"/>
      <c r="B888" s="7"/>
      <c r="C888" s="8" t="str">
        <f>IFERROR(VLOOKUP($B888,'(勿動)組件目錄表'!$D$15:$R$1094,2,FALSE),"-")</f>
        <v>-</v>
      </c>
      <c r="D888" s="8" t="str">
        <f>IFERROR(VLOOKUP($B888,'(勿動)組件目錄表'!$D$15:$R$1094,3,FALSE),"-")</f>
        <v>-</v>
      </c>
      <c r="E888" s="9" t="str">
        <f>IFERROR(VLOOKUP($B888,'(勿動)組件目錄表'!$D$15:$R$1094,4,FALSE),"-")</f>
        <v>-</v>
      </c>
      <c r="F888" s="10" t="str">
        <f>IFERROR(VLOOKUP($B888,'(勿動)組件目錄表'!$D$15:$R$1094,5,FALSE),"-")</f>
        <v>-</v>
      </c>
      <c r="G888" s="11" t="str">
        <f>IFERROR(VLOOKUP($B888,'(勿動)組件目錄表'!$D$15:$R$1094,8,FALSE),"-")</f>
        <v>-</v>
      </c>
      <c r="H888" s="11" t="str">
        <f>IFERROR(VLOOKUP($B888,'(勿動)組件目錄表'!$D$15:$R$1094,9,FALSE),"-")</f>
        <v>-</v>
      </c>
      <c r="I888" s="11" t="str">
        <f>IFERROR(VLOOKUP($B888,'(勿動)組件目錄表'!$D$15:$R$1094,10,FALSE),"-")</f>
        <v>-</v>
      </c>
      <c r="J888" s="11" t="str">
        <f>IFERROR(VLOOKUP($B888,'(勿動)組件目錄表'!$D$15:$R$1094,11,FALSE),"-")</f>
        <v>-</v>
      </c>
      <c r="K888" s="11" t="str">
        <f>IFERROR(VLOOKUP($B888,'(勿動)組件目錄表'!$D$15:$R$1094,12,FALSE),"-")</f>
        <v>-</v>
      </c>
      <c r="L888" s="11" t="str">
        <f>IFERROR(VLOOKUP($B888,'(勿動)組件目錄表'!$D$15:$R$1094,13,FALSE),"-")</f>
        <v>-</v>
      </c>
      <c r="M888" s="11" t="str">
        <f>IFERROR(VLOOKUP($B888,'(勿動)組件目錄表'!$D$15:$R$1094,14,FALSE),"-")</f>
        <v>-</v>
      </c>
      <c r="N888" s="15">
        <f t="shared" si="4"/>
        <v>0</v>
      </c>
      <c r="O888" s="16"/>
    </row>
    <row r="889" spans="1:15" ht="15.75" customHeight="1">
      <c r="A889" s="18"/>
      <c r="B889" s="7"/>
      <c r="C889" s="8" t="str">
        <f>IFERROR(VLOOKUP($B889,'(勿動)組件目錄表'!$D$15:$R$1094,2,FALSE),"-")</f>
        <v>-</v>
      </c>
      <c r="D889" s="8" t="str">
        <f>IFERROR(VLOOKUP($B889,'(勿動)組件目錄表'!$D$15:$R$1094,3,FALSE),"-")</f>
        <v>-</v>
      </c>
      <c r="E889" s="9" t="str">
        <f>IFERROR(VLOOKUP($B889,'(勿動)組件目錄表'!$D$15:$R$1094,4,FALSE),"-")</f>
        <v>-</v>
      </c>
      <c r="F889" s="10" t="str">
        <f>IFERROR(VLOOKUP($B889,'(勿動)組件目錄表'!$D$15:$R$1094,5,FALSE),"-")</f>
        <v>-</v>
      </c>
      <c r="G889" s="11" t="str">
        <f>IFERROR(VLOOKUP($B889,'(勿動)組件目錄表'!$D$15:$R$1094,8,FALSE),"-")</f>
        <v>-</v>
      </c>
      <c r="H889" s="11" t="str">
        <f>IFERROR(VLOOKUP($B889,'(勿動)組件目錄表'!$D$15:$R$1094,9,FALSE),"-")</f>
        <v>-</v>
      </c>
      <c r="I889" s="11" t="str">
        <f>IFERROR(VLOOKUP($B889,'(勿動)組件目錄表'!$D$15:$R$1094,10,FALSE),"-")</f>
        <v>-</v>
      </c>
      <c r="J889" s="11" t="str">
        <f>IFERROR(VLOOKUP($B889,'(勿動)組件目錄表'!$D$15:$R$1094,11,FALSE),"-")</f>
        <v>-</v>
      </c>
      <c r="K889" s="11" t="str">
        <f>IFERROR(VLOOKUP($B889,'(勿動)組件目錄表'!$D$15:$R$1094,12,FALSE),"-")</f>
        <v>-</v>
      </c>
      <c r="L889" s="11" t="str">
        <f>IFERROR(VLOOKUP($B889,'(勿動)組件目錄表'!$D$15:$R$1094,13,FALSE),"-")</f>
        <v>-</v>
      </c>
      <c r="M889" s="11" t="str">
        <f>IFERROR(VLOOKUP($B889,'(勿動)組件目錄表'!$D$15:$R$1094,14,FALSE),"-")</f>
        <v>-</v>
      </c>
      <c r="N889" s="15">
        <f t="shared" si="4"/>
        <v>0</v>
      </c>
      <c r="O889" s="16"/>
    </row>
    <row r="890" spans="1:15" ht="15.75" customHeight="1">
      <c r="A890" s="18"/>
      <c r="B890" s="7"/>
      <c r="C890" s="8" t="str">
        <f>IFERROR(VLOOKUP($B890,'(勿動)組件目錄表'!$D$15:$R$1094,2,FALSE),"-")</f>
        <v>-</v>
      </c>
      <c r="D890" s="8" t="str">
        <f>IFERROR(VLOOKUP($B890,'(勿動)組件目錄表'!$D$15:$R$1094,3,FALSE),"-")</f>
        <v>-</v>
      </c>
      <c r="E890" s="9" t="str">
        <f>IFERROR(VLOOKUP($B890,'(勿動)組件目錄表'!$D$15:$R$1094,4,FALSE),"-")</f>
        <v>-</v>
      </c>
      <c r="F890" s="10" t="str">
        <f>IFERROR(VLOOKUP($B890,'(勿動)組件目錄表'!$D$15:$R$1094,5,FALSE),"-")</f>
        <v>-</v>
      </c>
      <c r="G890" s="11" t="str">
        <f>IFERROR(VLOOKUP($B890,'(勿動)組件目錄表'!$D$15:$R$1094,8,FALSE),"-")</f>
        <v>-</v>
      </c>
      <c r="H890" s="11" t="str">
        <f>IFERROR(VLOOKUP($B890,'(勿動)組件目錄表'!$D$15:$R$1094,9,FALSE),"-")</f>
        <v>-</v>
      </c>
      <c r="I890" s="11" t="str">
        <f>IFERROR(VLOOKUP($B890,'(勿動)組件目錄表'!$D$15:$R$1094,10,FALSE),"-")</f>
        <v>-</v>
      </c>
      <c r="J890" s="11" t="str">
        <f>IFERROR(VLOOKUP($B890,'(勿動)組件目錄表'!$D$15:$R$1094,11,FALSE),"-")</f>
        <v>-</v>
      </c>
      <c r="K890" s="11" t="str">
        <f>IFERROR(VLOOKUP($B890,'(勿動)組件目錄表'!$D$15:$R$1094,12,FALSE),"-")</f>
        <v>-</v>
      </c>
      <c r="L890" s="11" t="str">
        <f>IFERROR(VLOOKUP($B890,'(勿動)組件目錄表'!$D$15:$R$1094,13,FALSE),"-")</f>
        <v>-</v>
      </c>
      <c r="M890" s="11" t="str">
        <f>IFERROR(VLOOKUP($B890,'(勿動)組件目錄表'!$D$15:$R$1094,14,FALSE),"-")</f>
        <v>-</v>
      </c>
      <c r="N890" s="15">
        <f t="shared" si="4"/>
        <v>0</v>
      </c>
      <c r="O890" s="16"/>
    </row>
    <row r="891" spans="1:15" ht="15.75" customHeight="1">
      <c r="A891" s="18"/>
      <c r="B891" s="7"/>
      <c r="C891" s="8" t="str">
        <f>IFERROR(VLOOKUP($B891,'(勿動)組件目錄表'!$D$15:$R$1094,2,FALSE),"-")</f>
        <v>-</v>
      </c>
      <c r="D891" s="8" t="str">
        <f>IFERROR(VLOOKUP($B891,'(勿動)組件目錄表'!$D$15:$R$1094,3,FALSE),"-")</f>
        <v>-</v>
      </c>
      <c r="E891" s="9" t="str">
        <f>IFERROR(VLOOKUP($B891,'(勿動)組件目錄表'!$D$15:$R$1094,4,FALSE),"-")</f>
        <v>-</v>
      </c>
      <c r="F891" s="10" t="str">
        <f>IFERROR(VLOOKUP($B891,'(勿動)組件目錄表'!$D$15:$R$1094,5,FALSE),"-")</f>
        <v>-</v>
      </c>
      <c r="G891" s="11" t="str">
        <f>IFERROR(VLOOKUP($B891,'(勿動)組件目錄表'!$D$15:$R$1094,8,FALSE),"-")</f>
        <v>-</v>
      </c>
      <c r="H891" s="11" t="str">
        <f>IFERROR(VLOOKUP($B891,'(勿動)組件目錄表'!$D$15:$R$1094,9,FALSE),"-")</f>
        <v>-</v>
      </c>
      <c r="I891" s="11" t="str">
        <f>IFERROR(VLOOKUP($B891,'(勿動)組件目錄表'!$D$15:$R$1094,10,FALSE),"-")</f>
        <v>-</v>
      </c>
      <c r="J891" s="11" t="str">
        <f>IFERROR(VLOOKUP($B891,'(勿動)組件目錄表'!$D$15:$R$1094,11,FALSE),"-")</f>
        <v>-</v>
      </c>
      <c r="K891" s="11" t="str">
        <f>IFERROR(VLOOKUP($B891,'(勿動)組件目錄表'!$D$15:$R$1094,12,FALSE),"-")</f>
        <v>-</v>
      </c>
      <c r="L891" s="11" t="str">
        <f>IFERROR(VLOOKUP($B891,'(勿動)組件目錄表'!$D$15:$R$1094,13,FALSE),"-")</f>
        <v>-</v>
      </c>
      <c r="M891" s="11" t="str">
        <f>IFERROR(VLOOKUP($B891,'(勿動)組件目錄表'!$D$15:$R$1094,14,FALSE),"-")</f>
        <v>-</v>
      </c>
      <c r="N891" s="15">
        <f t="shared" si="4"/>
        <v>0</v>
      </c>
      <c r="O891" s="16"/>
    </row>
    <row r="892" spans="1:15" ht="15.75" customHeight="1">
      <c r="A892" s="18"/>
      <c r="B892" s="7"/>
      <c r="C892" s="8" t="str">
        <f>IFERROR(VLOOKUP($B892,'(勿動)組件目錄表'!$D$15:$R$1094,2,FALSE),"-")</f>
        <v>-</v>
      </c>
      <c r="D892" s="8" t="str">
        <f>IFERROR(VLOOKUP($B892,'(勿動)組件目錄表'!$D$15:$R$1094,3,FALSE),"-")</f>
        <v>-</v>
      </c>
      <c r="E892" s="9" t="str">
        <f>IFERROR(VLOOKUP($B892,'(勿動)組件目錄表'!$D$15:$R$1094,4,FALSE),"-")</f>
        <v>-</v>
      </c>
      <c r="F892" s="10" t="str">
        <f>IFERROR(VLOOKUP($B892,'(勿動)組件目錄表'!$D$15:$R$1094,5,FALSE),"-")</f>
        <v>-</v>
      </c>
      <c r="G892" s="11" t="str">
        <f>IFERROR(VLOOKUP($B892,'(勿動)組件目錄表'!$D$15:$R$1094,8,FALSE),"-")</f>
        <v>-</v>
      </c>
      <c r="H892" s="11" t="str">
        <f>IFERROR(VLOOKUP($B892,'(勿動)組件目錄表'!$D$15:$R$1094,9,FALSE),"-")</f>
        <v>-</v>
      </c>
      <c r="I892" s="11" t="str">
        <f>IFERROR(VLOOKUP($B892,'(勿動)組件目錄表'!$D$15:$R$1094,10,FALSE),"-")</f>
        <v>-</v>
      </c>
      <c r="J892" s="11" t="str">
        <f>IFERROR(VLOOKUP($B892,'(勿動)組件目錄表'!$D$15:$R$1094,11,FALSE),"-")</f>
        <v>-</v>
      </c>
      <c r="K892" s="11" t="str">
        <f>IFERROR(VLOOKUP($B892,'(勿動)組件目錄表'!$D$15:$R$1094,12,FALSE),"-")</f>
        <v>-</v>
      </c>
      <c r="L892" s="11" t="str">
        <f>IFERROR(VLOOKUP($B892,'(勿動)組件目錄表'!$D$15:$R$1094,13,FALSE),"-")</f>
        <v>-</v>
      </c>
      <c r="M892" s="11" t="str">
        <f>IFERROR(VLOOKUP($B892,'(勿動)組件目錄表'!$D$15:$R$1094,14,FALSE),"-")</f>
        <v>-</v>
      </c>
      <c r="N892" s="15">
        <f t="shared" si="4"/>
        <v>0</v>
      </c>
      <c r="O892" s="16"/>
    </row>
    <row r="893" spans="1:15" ht="15.75" customHeight="1">
      <c r="A893" s="18"/>
      <c r="B893" s="7"/>
      <c r="C893" s="8" t="str">
        <f>IFERROR(VLOOKUP($B893,'(勿動)組件目錄表'!$D$15:$R$1094,2,FALSE),"-")</f>
        <v>-</v>
      </c>
      <c r="D893" s="8" t="str">
        <f>IFERROR(VLOOKUP($B893,'(勿動)組件目錄表'!$D$15:$R$1094,3,FALSE),"-")</f>
        <v>-</v>
      </c>
      <c r="E893" s="9" t="str">
        <f>IFERROR(VLOOKUP($B893,'(勿動)組件目錄表'!$D$15:$R$1094,4,FALSE),"-")</f>
        <v>-</v>
      </c>
      <c r="F893" s="10" t="str">
        <f>IFERROR(VLOOKUP($B893,'(勿動)組件目錄表'!$D$15:$R$1094,5,FALSE),"-")</f>
        <v>-</v>
      </c>
      <c r="G893" s="11" t="str">
        <f>IFERROR(VLOOKUP($B893,'(勿動)組件目錄表'!$D$15:$R$1094,8,FALSE),"-")</f>
        <v>-</v>
      </c>
      <c r="H893" s="11" t="str">
        <f>IFERROR(VLOOKUP($B893,'(勿動)組件目錄表'!$D$15:$R$1094,9,FALSE),"-")</f>
        <v>-</v>
      </c>
      <c r="I893" s="11" t="str">
        <f>IFERROR(VLOOKUP($B893,'(勿動)組件目錄表'!$D$15:$R$1094,10,FALSE),"-")</f>
        <v>-</v>
      </c>
      <c r="J893" s="11" t="str">
        <f>IFERROR(VLOOKUP($B893,'(勿動)組件目錄表'!$D$15:$R$1094,11,FALSE),"-")</f>
        <v>-</v>
      </c>
      <c r="K893" s="11" t="str">
        <f>IFERROR(VLOOKUP($B893,'(勿動)組件目錄表'!$D$15:$R$1094,12,FALSE),"-")</f>
        <v>-</v>
      </c>
      <c r="L893" s="11" t="str">
        <f>IFERROR(VLOOKUP($B893,'(勿動)組件目錄表'!$D$15:$R$1094,13,FALSE),"-")</f>
        <v>-</v>
      </c>
      <c r="M893" s="11" t="str">
        <f>IFERROR(VLOOKUP($B893,'(勿動)組件目錄表'!$D$15:$R$1094,14,FALSE),"-")</f>
        <v>-</v>
      </c>
      <c r="N893" s="15">
        <f t="shared" si="4"/>
        <v>0</v>
      </c>
      <c r="O893" s="16"/>
    </row>
    <row r="894" spans="1:15" ht="15.75" customHeight="1">
      <c r="A894" s="18"/>
      <c r="B894" s="7"/>
      <c r="C894" s="8" t="str">
        <f>IFERROR(VLOOKUP($B894,'(勿動)組件目錄表'!$D$15:$R$1094,2,FALSE),"-")</f>
        <v>-</v>
      </c>
      <c r="D894" s="8" t="str">
        <f>IFERROR(VLOOKUP($B894,'(勿動)組件目錄表'!$D$15:$R$1094,3,FALSE),"-")</f>
        <v>-</v>
      </c>
      <c r="E894" s="9" t="str">
        <f>IFERROR(VLOOKUP($B894,'(勿動)組件目錄表'!$D$15:$R$1094,4,FALSE),"-")</f>
        <v>-</v>
      </c>
      <c r="F894" s="10" t="str">
        <f>IFERROR(VLOOKUP($B894,'(勿動)組件目錄表'!$D$15:$R$1094,5,FALSE),"-")</f>
        <v>-</v>
      </c>
      <c r="G894" s="11" t="str">
        <f>IFERROR(VLOOKUP($B894,'(勿動)組件目錄表'!$D$15:$R$1094,8,FALSE),"-")</f>
        <v>-</v>
      </c>
      <c r="H894" s="11" t="str">
        <f>IFERROR(VLOOKUP($B894,'(勿動)組件目錄表'!$D$15:$R$1094,9,FALSE),"-")</f>
        <v>-</v>
      </c>
      <c r="I894" s="11" t="str">
        <f>IFERROR(VLOOKUP($B894,'(勿動)組件目錄表'!$D$15:$R$1094,10,FALSE),"-")</f>
        <v>-</v>
      </c>
      <c r="J894" s="11" t="str">
        <f>IFERROR(VLOOKUP($B894,'(勿動)組件目錄表'!$D$15:$R$1094,11,FALSE),"-")</f>
        <v>-</v>
      </c>
      <c r="K894" s="11" t="str">
        <f>IFERROR(VLOOKUP($B894,'(勿動)組件目錄表'!$D$15:$R$1094,12,FALSE),"-")</f>
        <v>-</v>
      </c>
      <c r="L894" s="11" t="str">
        <f>IFERROR(VLOOKUP($B894,'(勿動)組件目錄表'!$D$15:$R$1094,13,FALSE),"-")</f>
        <v>-</v>
      </c>
      <c r="M894" s="11" t="str">
        <f>IFERROR(VLOOKUP($B894,'(勿動)組件目錄表'!$D$15:$R$1094,14,FALSE),"-")</f>
        <v>-</v>
      </c>
      <c r="N894" s="15">
        <f t="shared" si="4"/>
        <v>0</v>
      </c>
      <c r="O894" s="16"/>
    </row>
    <row r="895" spans="1:15" ht="15.75" customHeight="1">
      <c r="A895" s="18"/>
      <c r="B895" s="7"/>
      <c r="C895" s="8" t="str">
        <f>IFERROR(VLOOKUP($B895,'(勿動)組件目錄表'!$D$15:$R$1094,2,FALSE),"-")</f>
        <v>-</v>
      </c>
      <c r="D895" s="8" t="str">
        <f>IFERROR(VLOOKUP($B895,'(勿動)組件目錄表'!$D$15:$R$1094,3,FALSE),"-")</f>
        <v>-</v>
      </c>
      <c r="E895" s="9" t="str">
        <f>IFERROR(VLOOKUP($B895,'(勿動)組件目錄表'!$D$15:$R$1094,4,FALSE),"-")</f>
        <v>-</v>
      </c>
      <c r="F895" s="10" t="str">
        <f>IFERROR(VLOOKUP($B895,'(勿動)組件目錄表'!$D$15:$R$1094,5,FALSE),"-")</f>
        <v>-</v>
      </c>
      <c r="G895" s="11" t="str">
        <f>IFERROR(VLOOKUP($B895,'(勿動)組件目錄表'!$D$15:$R$1094,8,FALSE),"-")</f>
        <v>-</v>
      </c>
      <c r="H895" s="11" t="str">
        <f>IFERROR(VLOOKUP($B895,'(勿動)組件目錄表'!$D$15:$R$1094,9,FALSE),"-")</f>
        <v>-</v>
      </c>
      <c r="I895" s="11" t="str">
        <f>IFERROR(VLOOKUP($B895,'(勿動)組件目錄表'!$D$15:$R$1094,10,FALSE),"-")</f>
        <v>-</v>
      </c>
      <c r="J895" s="11" t="str">
        <f>IFERROR(VLOOKUP($B895,'(勿動)組件目錄表'!$D$15:$R$1094,11,FALSE),"-")</f>
        <v>-</v>
      </c>
      <c r="K895" s="11" t="str">
        <f>IFERROR(VLOOKUP($B895,'(勿動)組件目錄表'!$D$15:$R$1094,12,FALSE),"-")</f>
        <v>-</v>
      </c>
      <c r="L895" s="11" t="str">
        <f>IFERROR(VLOOKUP($B895,'(勿動)組件目錄表'!$D$15:$R$1094,13,FALSE),"-")</f>
        <v>-</v>
      </c>
      <c r="M895" s="11" t="str">
        <f>IFERROR(VLOOKUP($B895,'(勿動)組件目錄表'!$D$15:$R$1094,14,FALSE),"-")</f>
        <v>-</v>
      </c>
      <c r="N895" s="15">
        <f t="shared" si="4"/>
        <v>0</v>
      </c>
      <c r="O895" s="16"/>
    </row>
    <row r="896" spans="1:15" ht="15.75" customHeight="1">
      <c r="A896" s="18"/>
      <c r="B896" s="7"/>
      <c r="C896" s="8" t="str">
        <f>IFERROR(VLOOKUP($B896,'(勿動)組件目錄表'!$D$15:$R$1094,2,FALSE),"-")</f>
        <v>-</v>
      </c>
      <c r="D896" s="8" t="str">
        <f>IFERROR(VLOOKUP($B896,'(勿動)組件目錄表'!$D$15:$R$1094,3,FALSE),"-")</f>
        <v>-</v>
      </c>
      <c r="E896" s="9" t="str">
        <f>IFERROR(VLOOKUP($B896,'(勿動)組件目錄表'!$D$15:$R$1094,4,FALSE),"-")</f>
        <v>-</v>
      </c>
      <c r="F896" s="10" t="str">
        <f>IFERROR(VLOOKUP($B896,'(勿動)組件目錄表'!$D$15:$R$1094,5,FALSE),"-")</f>
        <v>-</v>
      </c>
      <c r="G896" s="11" t="str">
        <f>IFERROR(VLOOKUP($B896,'(勿動)組件目錄表'!$D$15:$R$1094,8,FALSE),"-")</f>
        <v>-</v>
      </c>
      <c r="H896" s="11" t="str">
        <f>IFERROR(VLOOKUP($B896,'(勿動)組件目錄表'!$D$15:$R$1094,9,FALSE),"-")</f>
        <v>-</v>
      </c>
      <c r="I896" s="11" t="str">
        <f>IFERROR(VLOOKUP($B896,'(勿動)組件目錄表'!$D$15:$R$1094,10,FALSE),"-")</f>
        <v>-</v>
      </c>
      <c r="J896" s="11" t="str">
        <f>IFERROR(VLOOKUP($B896,'(勿動)組件目錄表'!$D$15:$R$1094,11,FALSE),"-")</f>
        <v>-</v>
      </c>
      <c r="K896" s="11" t="str">
        <f>IFERROR(VLOOKUP($B896,'(勿動)組件目錄表'!$D$15:$R$1094,12,FALSE),"-")</f>
        <v>-</v>
      </c>
      <c r="L896" s="11" t="str">
        <f>IFERROR(VLOOKUP($B896,'(勿動)組件目錄表'!$D$15:$R$1094,13,FALSE),"-")</f>
        <v>-</v>
      </c>
      <c r="M896" s="11" t="str">
        <f>IFERROR(VLOOKUP($B896,'(勿動)組件目錄表'!$D$15:$R$1094,14,FALSE),"-")</f>
        <v>-</v>
      </c>
      <c r="N896" s="15">
        <f t="shared" si="4"/>
        <v>0</v>
      </c>
      <c r="O896" s="16"/>
    </row>
    <row r="897" spans="1:15" ht="15.75" customHeight="1">
      <c r="A897" s="18"/>
      <c r="B897" s="7"/>
      <c r="C897" s="8" t="str">
        <f>IFERROR(VLOOKUP($B897,'(勿動)組件目錄表'!$D$15:$R$1094,2,FALSE),"-")</f>
        <v>-</v>
      </c>
      <c r="D897" s="8" t="str">
        <f>IFERROR(VLOOKUP($B897,'(勿動)組件目錄表'!$D$15:$R$1094,3,FALSE),"-")</f>
        <v>-</v>
      </c>
      <c r="E897" s="9" t="str">
        <f>IFERROR(VLOOKUP($B897,'(勿動)組件目錄表'!$D$15:$R$1094,4,FALSE),"-")</f>
        <v>-</v>
      </c>
      <c r="F897" s="10" t="str">
        <f>IFERROR(VLOOKUP($B897,'(勿動)組件目錄表'!$D$15:$R$1094,5,FALSE),"-")</f>
        <v>-</v>
      </c>
      <c r="G897" s="11" t="str">
        <f>IFERROR(VLOOKUP($B897,'(勿動)組件目錄表'!$D$15:$R$1094,8,FALSE),"-")</f>
        <v>-</v>
      </c>
      <c r="H897" s="11" t="str">
        <f>IFERROR(VLOOKUP($B897,'(勿動)組件目錄表'!$D$15:$R$1094,9,FALSE),"-")</f>
        <v>-</v>
      </c>
      <c r="I897" s="11" t="str">
        <f>IFERROR(VLOOKUP($B897,'(勿動)組件目錄表'!$D$15:$R$1094,10,FALSE),"-")</f>
        <v>-</v>
      </c>
      <c r="J897" s="11" t="str">
        <f>IFERROR(VLOOKUP($B897,'(勿動)組件目錄表'!$D$15:$R$1094,11,FALSE),"-")</f>
        <v>-</v>
      </c>
      <c r="K897" s="11" t="str">
        <f>IFERROR(VLOOKUP($B897,'(勿動)組件目錄表'!$D$15:$R$1094,12,FALSE),"-")</f>
        <v>-</v>
      </c>
      <c r="L897" s="11" t="str">
        <f>IFERROR(VLOOKUP($B897,'(勿動)組件目錄表'!$D$15:$R$1094,13,FALSE),"-")</f>
        <v>-</v>
      </c>
      <c r="M897" s="11" t="str">
        <f>IFERROR(VLOOKUP($B897,'(勿動)組件目錄表'!$D$15:$R$1094,14,FALSE),"-")</f>
        <v>-</v>
      </c>
      <c r="N897" s="15">
        <f t="shared" si="4"/>
        <v>0</v>
      </c>
      <c r="O897" s="16"/>
    </row>
    <row r="898" spans="1:15" ht="15.75" customHeight="1">
      <c r="A898" s="18"/>
      <c r="B898" s="7"/>
      <c r="C898" s="8" t="str">
        <f>IFERROR(VLOOKUP($B898,'(勿動)組件目錄表'!$D$15:$R$1094,2,FALSE),"-")</f>
        <v>-</v>
      </c>
      <c r="D898" s="8" t="str">
        <f>IFERROR(VLOOKUP($B898,'(勿動)組件目錄表'!$D$15:$R$1094,3,FALSE),"-")</f>
        <v>-</v>
      </c>
      <c r="E898" s="9" t="str">
        <f>IFERROR(VLOOKUP($B898,'(勿動)組件目錄表'!$D$15:$R$1094,4,FALSE),"-")</f>
        <v>-</v>
      </c>
      <c r="F898" s="10" t="str">
        <f>IFERROR(VLOOKUP($B898,'(勿動)組件目錄表'!$D$15:$R$1094,5,FALSE),"-")</f>
        <v>-</v>
      </c>
      <c r="G898" s="11" t="str">
        <f>IFERROR(VLOOKUP($B898,'(勿動)組件目錄表'!$D$15:$R$1094,8,FALSE),"-")</f>
        <v>-</v>
      </c>
      <c r="H898" s="11" t="str">
        <f>IFERROR(VLOOKUP($B898,'(勿動)組件目錄表'!$D$15:$R$1094,9,FALSE),"-")</f>
        <v>-</v>
      </c>
      <c r="I898" s="11" t="str">
        <f>IFERROR(VLOOKUP($B898,'(勿動)組件目錄表'!$D$15:$R$1094,10,FALSE),"-")</f>
        <v>-</v>
      </c>
      <c r="J898" s="11" t="str">
        <f>IFERROR(VLOOKUP($B898,'(勿動)組件目錄表'!$D$15:$R$1094,11,FALSE),"-")</f>
        <v>-</v>
      </c>
      <c r="K898" s="11" t="str">
        <f>IFERROR(VLOOKUP($B898,'(勿動)組件目錄表'!$D$15:$R$1094,12,FALSE),"-")</f>
        <v>-</v>
      </c>
      <c r="L898" s="11" t="str">
        <f>IFERROR(VLOOKUP($B898,'(勿動)組件目錄表'!$D$15:$R$1094,13,FALSE),"-")</f>
        <v>-</v>
      </c>
      <c r="M898" s="11" t="str">
        <f>IFERROR(VLOOKUP($B898,'(勿動)組件目錄表'!$D$15:$R$1094,14,FALSE),"-")</f>
        <v>-</v>
      </c>
      <c r="N898" s="15">
        <f t="shared" si="4"/>
        <v>0</v>
      </c>
      <c r="O898" s="16"/>
    </row>
    <row r="899" spans="1:15" ht="15.75" customHeight="1">
      <c r="A899" s="18"/>
      <c r="B899" s="7"/>
      <c r="C899" s="8" t="str">
        <f>IFERROR(VLOOKUP($B899,'(勿動)組件目錄表'!$D$15:$R$1094,2,FALSE),"-")</f>
        <v>-</v>
      </c>
      <c r="D899" s="8" t="str">
        <f>IFERROR(VLOOKUP($B899,'(勿動)組件目錄表'!$D$15:$R$1094,3,FALSE),"-")</f>
        <v>-</v>
      </c>
      <c r="E899" s="9" t="str">
        <f>IFERROR(VLOOKUP($B899,'(勿動)組件目錄表'!$D$15:$R$1094,4,FALSE),"-")</f>
        <v>-</v>
      </c>
      <c r="F899" s="10" t="str">
        <f>IFERROR(VLOOKUP($B899,'(勿動)組件目錄表'!$D$15:$R$1094,5,FALSE),"-")</f>
        <v>-</v>
      </c>
      <c r="G899" s="11" t="str">
        <f>IFERROR(VLOOKUP($B899,'(勿動)組件目錄表'!$D$15:$R$1094,8,FALSE),"-")</f>
        <v>-</v>
      </c>
      <c r="H899" s="11" t="str">
        <f>IFERROR(VLOOKUP($B899,'(勿動)組件目錄表'!$D$15:$R$1094,9,FALSE),"-")</f>
        <v>-</v>
      </c>
      <c r="I899" s="11" t="str">
        <f>IFERROR(VLOOKUP($B899,'(勿動)組件目錄表'!$D$15:$R$1094,10,FALSE),"-")</f>
        <v>-</v>
      </c>
      <c r="J899" s="11" t="str">
        <f>IFERROR(VLOOKUP($B899,'(勿動)組件目錄表'!$D$15:$R$1094,11,FALSE),"-")</f>
        <v>-</v>
      </c>
      <c r="K899" s="11" t="str">
        <f>IFERROR(VLOOKUP($B899,'(勿動)組件目錄表'!$D$15:$R$1094,12,FALSE),"-")</f>
        <v>-</v>
      </c>
      <c r="L899" s="11" t="str">
        <f>IFERROR(VLOOKUP($B899,'(勿動)組件目錄表'!$D$15:$R$1094,13,FALSE),"-")</f>
        <v>-</v>
      </c>
      <c r="M899" s="11" t="str">
        <f>IFERROR(VLOOKUP($B899,'(勿動)組件目錄表'!$D$15:$R$1094,14,FALSE),"-")</f>
        <v>-</v>
      </c>
      <c r="N899" s="15">
        <f t="shared" si="4"/>
        <v>0</v>
      </c>
      <c r="O899" s="16"/>
    </row>
    <row r="900" spans="1:15" ht="15.75" customHeight="1">
      <c r="A900" s="18"/>
      <c r="B900" s="7"/>
      <c r="C900" s="8" t="str">
        <f>IFERROR(VLOOKUP($B900,'(勿動)組件目錄表'!$D$15:$R$1094,2,FALSE),"-")</f>
        <v>-</v>
      </c>
      <c r="D900" s="8" t="str">
        <f>IFERROR(VLOOKUP($B900,'(勿動)組件目錄表'!$D$15:$R$1094,3,FALSE),"-")</f>
        <v>-</v>
      </c>
      <c r="E900" s="9" t="str">
        <f>IFERROR(VLOOKUP($B900,'(勿動)組件目錄表'!$D$15:$R$1094,4,FALSE),"-")</f>
        <v>-</v>
      </c>
      <c r="F900" s="10" t="str">
        <f>IFERROR(VLOOKUP($B900,'(勿動)組件目錄表'!$D$15:$R$1094,5,FALSE),"-")</f>
        <v>-</v>
      </c>
      <c r="G900" s="11" t="str">
        <f>IFERROR(VLOOKUP($B900,'(勿動)組件目錄表'!$D$15:$R$1094,8,FALSE),"-")</f>
        <v>-</v>
      </c>
      <c r="H900" s="11" t="str">
        <f>IFERROR(VLOOKUP($B900,'(勿動)組件目錄表'!$D$15:$R$1094,9,FALSE),"-")</f>
        <v>-</v>
      </c>
      <c r="I900" s="11" t="str">
        <f>IFERROR(VLOOKUP($B900,'(勿動)組件目錄表'!$D$15:$R$1094,10,FALSE),"-")</f>
        <v>-</v>
      </c>
      <c r="J900" s="11" t="str">
        <f>IFERROR(VLOOKUP($B900,'(勿動)組件目錄表'!$D$15:$R$1094,11,FALSE),"-")</f>
        <v>-</v>
      </c>
      <c r="K900" s="11" t="str">
        <f>IFERROR(VLOOKUP($B900,'(勿動)組件目錄表'!$D$15:$R$1094,12,FALSE),"-")</f>
        <v>-</v>
      </c>
      <c r="L900" s="11" t="str">
        <f>IFERROR(VLOOKUP($B900,'(勿動)組件目錄表'!$D$15:$R$1094,13,FALSE),"-")</f>
        <v>-</v>
      </c>
      <c r="M900" s="11" t="str">
        <f>IFERROR(VLOOKUP($B900,'(勿動)組件目錄表'!$D$15:$R$1094,14,FALSE),"-")</f>
        <v>-</v>
      </c>
      <c r="N900" s="15">
        <f t="shared" si="4"/>
        <v>0</v>
      </c>
      <c r="O900" s="16"/>
    </row>
    <row r="901" spans="1:15" ht="15.75" customHeight="1">
      <c r="A901" s="18"/>
      <c r="B901" s="7"/>
      <c r="C901" s="8" t="str">
        <f>IFERROR(VLOOKUP($B901,'(勿動)組件目錄表'!$D$15:$R$1094,2,FALSE),"-")</f>
        <v>-</v>
      </c>
      <c r="D901" s="8" t="str">
        <f>IFERROR(VLOOKUP($B901,'(勿動)組件目錄表'!$D$15:$R$1094,3,FALSE),"-")</f>
        <v>-</v>
      </c>
      <c r="E901" s="9" t="str">
        <f>IFERROR(VLOOKUP($B901,'(勿動)組件目錄表'!$D$15:$R$1094,4,FALSE),"-")</f>
        <v>-</v>
      </c>
      <c r="F901" s="10" t="str">
        <f>IFERROR(VLOOKUP($B901,'(勿動)組件目錄表'!$D$15:$R$1094,5,FALSE),"-")</f>
        <v>-</v>
      </c>
      <c r="G901" s="11" t="str">
        <f>IFERROR(VLOOKUP($B901,'(勿動)組件目錄表'!$D$15:$R$1094,8,FALSE),"-")</f>
        <v>-</v>
      </c>
      <c r="H901" s="11" t="str">
        <f>IFERROR(VLOOKUP($B901,'(勿動)組件目錄表'!$D$15:$R$1094,9,FALSE),"-")</f>
        <v>-</v>
      </c>
      <c r="I901" s="11" t="str">
        <f>IFERROR(VLOOKUP($B901,'(勿動)組件目錄表'!$D$15:$R$1094,10,FALSE),"-")</f>
        <v>-</v>
      </c>
      <c r="J901" s="11" t="str">
        <f>IFERROR(VLOOKUP($B901,'(勿動)組件目錄表'!$D$15:$R$1094,11,FALSE),"-")</f>
        <v>-</v>
      </c>
      <c r="K901" s="11" t="str">
        <f>IFERROR(VLOOKUP($B901,'(勿動)組件目錄表'!$D$15:$R$1094,12,FALSE),"-")</f>
        <v>-</v>
      </c>
      <c r="L901" s="11" t="str">
        <f>IFERROR(VLOOKUP($B901,'(勿動)組件目錄表'!$D$15:$R$1094,13,FALSE),"-")</f>
        <v>-</v>
      </c>
      <c r="M901" s="11" t="str">
        <f>IFERROR(VLOOKUP($B901,'(勿動)組件目錄表'!$D$15:$R$1094,14,FALSE),"-")</f>
        <v>-</v>
      </c>
      <c r="N901" s="15">
        <f t="shared" si="4"/>
        <v>0</v>
      </c>
      <c r="O901" s="16"/>
    </row>
    <row r="902" spans="1:15" ht="15.75" customHeight="1">
      <c r="A902" s="18"/>
      <c r="B902" s="7"/>
      <c r="C902" s="8" t="str">
        <f>IFERROR(VLOOKUP($B902,'(勿動)組件目錄表'!$D$15:$R$1094,2,FALSE),"-")</f>
        <v>-</v>
      </c>
      <c r="D902" s="8" t="str">
        <f>IFERROR(VLOOKUP($B902,'(勿動)組件目錄表'!$D$15:$R$1094,3,FALSE),"-")</f>
        <v>-</v>
      </c>
      <c r="E902" s="9" t="str">
        <f>IFERROR(VLOOKUP($B902,'(勿動)組件目錄表'!$D$15:$R$1094,4,FALSE),"-")</f>
        <v>-</v>
      </c>
      <c r="F902" s="10" t="str">
        <f>IFERROR(VLOOKUP($B902,'(勿動)組件目錄表'!$D$15:$R$1094,5,FALSE),"-")</f>
        <v>-</v>
      </c>
      <c r="G902" s="11" t="str">
        <f>IFERROR(VLOOKUP($B902,'(勿動)組件目錄表'!$D$15:$R$1094,8,FALSE),"-")</f>
        <v>-</v>
      </c>
      <c r="H902" s="11" t="str">
        <f>IFERROR(VLOOKUP($B902,'(勿動)組件目錄表'!$D$15:$R$1094,9,FALSE),"-")</f>
        <v>-</v>
      </c>
      <c r="I902" s="11" t="str">
        <f>IFERROR(VLOOKUP($B902,'(勿動)組件目錄表'!$D$15:$R$1094,10,FALSE),"-")</f>
        <v>-</v>
      </c>
      <c r="J902" s="11" t="str">
        <f>IFERROR(VLOOKUP($B902,'(勿動)組件目錄表'!$D$15:$R$1094,11,FALSE),"-")</f>
        <v>-</v>
      </c>
      <c r="K902" s="11" t="str">
        <f>IFERROR(VLOOKUP($B902,'(勿動)組件目錄表'!$D$15:$R$1094,12,FALSE),"-")</f>
        <v>-</v>
      </c>
      <c r="L902" s="11" t="str">
        <f>IFERROR(VLOOKUP($B902,'(勿動)組件目錄表'!$D$15:$R$1094,13,FALSE),"-")</f>
        <v>-</v>
      </c>
      <c r="M902" s="11" t="str">
        <f>IFERROR(VLOOKUP($B902,'(勿動)組件目錄表'!$D$15:$R$1094,14,FALSE),"-")</f>
        <v>-</v>
      </c>
      <c r="N902" s="15">
        <f t="shared" si="4"/>
        <v>0</v>
      </c>
      <c r="O902" s="16"/>
    </row>
    <row r="903" spans="1:15" ht="15.75" customHeight="1">
      <c r="A903" s="18"/>
      <c r="B903" s="7"/>
      <c r="C903" s="8" t="str">
        <f>IFERROR(VLOOKUP($B903,'(勿動)組件目錄表'!$D$15:$R$1094,2,FALSE),"-")</f>
        <v>-</v>
      </c>
      <c r="D903" s="8" t="str">
        <f>IFERROR(VLOOKUP($B903,'(勿動)組件目錄表'!$D$15:$R$1094,3,FALSE),"-")</f>
        <v>-</v>
      </c>
      <c r="E903" s="9" t="str">
        <f>IFERROR(VLOOKUP($B903,'(勿動)組件目錄表'!$D$15:$R$1094,4,FALSE),"-")</f>
        <v>-</v>
      </c>
      <c r="F903" s="10" t="str">
        <f>IFERROR(VLOOKUP($B903,'(勿動)組件目錄表'!$D$15:$R$1094,5,FALSE),"-")</f>
        <v>-</v>
      </c>
      <c r="G903" s="11" t="str">
        <f>IFERROR(VLOOKUP($B903,'(勿動)組件目錄表'!$D$15:$R$1094,8,FALSE),"-")</f>
        <v>-</v>
      </c>
      <c r="H903" s="11" t="str">
        <f>IFERROR(VLOOKUP($B903,'(勿動)組件目錄表'!$D$15:$R$1094,9,FALSE),"-")</f>
        <v>-</v>
      </c>
      <c r="I903" s="11" t="str">
        <f>IFERROR(VLOOKUP($B903,'(勿動)組件目錄表'!$D$15:$R$1094,10,FALSE),"-")</f>
        <v>-</v>
      </c>
      <c r="J903" s="11" t="str">
        <f>IFERROR(VLOOKUP($B903,'(勿動)組件目錄表'!$D$15:$R$1094,11,FALSE),"-")</f>
        <v>-</v>
      </c>
      <c r="K903" s="11" t="str">
        <f>IFERROR(VLOOKUP($B903,'(勿動)組件目錄表'!$D$15:$R$1094,12,FALSE),"-")</f>
        <v>-</v>
      </c>
      <c r="L903" s="11" t="str">
        <f>IFERROR(VLOOKUP($B903,'(勿動)組件目錄表'!$D$15:$R$1094,13,FALSE),"-")</f>
        <v>-</v>
      </c>
      <c r="M903" s="11" t="str">
        <f>IFERROR(VLOOKUP($B903,'(勿動)組件目錄表'!$D$15:$R$1094,14,FALSE),"-")</f>
        <v>-</v>
      </c>
      <c r="N903" s="15">
        <f t="shared" si="4"/>
        <v>0</v>
      </c>
      <c r="O903" s="16"/>
    </row>
    <row r="904" spans="1:15" ht="15.75" customHeight="1">
      <c r="A904" s="18"/>
      <c r="B904" s="7"/>
      <c r="C904" s="8" t="str">
        <f>IFERROR(VLOOKUP($B904,'(勿動)組件目錄表'!$D$15:$R$1094,2,FALSE),"-")</f>
        <v>-</v>
      </c>
      <c r="D904" s="8" t="str">
        <f>IFERROR(VLOOKUP($B904,'(勿動)組件目錄表'!$D$15:$R$1094,3,FALSE),"-")</f>
        <v>-</v>
      </c>
      <c r="E904" s="9" t="str">
        <f>IFERROR(VLOOKUP($B904,'(勿動)組件目錄表'!$D$15:$R$1094,4,FALSE),"-")</f>
        <v>-</v>
      </c>
      <c r="F904" s="10" t="str">
        <f>IFERROR(VLOOKUP($B904,'(勿動)組件目錄表'!$D$15:$R$1094,5,FALSE),"-")</f>
        <v>-</v>
      </c>
      <c r="G904" s="11" t="str">
        <f>IFERROR(VLOOKUP($B904,'(勿動)組件目錄表'!$D$15:$R$1094,8,FALSE),"-")</f>
        <v>-</v>
      </c>
      <c r="H904" s="11" t="str">
        <f>IFERROR(VLOOKUP($B904,'(勿動)組件目錄表'!$D$15:$R$1094,9,FALSE),"-")</f>
        <v>-</v>
      </c>
      <c r="I904" s="11" t="str">
        <f>IFERROR(VLOOKUP($B904,'(勿動)組件目錄表'!$D$15:$R$1094,10,FALSE),"-")</f>
        <v>-</v>
      </c>
      <c r="J904" s="11" t="str">
        <f>IFERROR(VLOOKUP($B904,'(勿動)組件目錄表'!$D$15:$R$1094,11,FALSE),"-")</f>
        <v>-</v>
      </c>
      <c r="K904" s="11" t="str">
        <f>IFERROR(VLOOKUP($B904,'(勿動)組件目錄表'!$D$15:$R$1094,12,FALSE),"-")</f>
        <v>-</v>
      </c>
      <c r="L904" s="11" t="str">
        <f>IFERROR(VLOOKUP($B904,'(勿動)組件目錄表'!$D$15:$R$1094,13,FALSE),"-")</f>
        <v>-</v>
      </c>
      <c r="M904" s="11" t="str">
        <f>IFERROR(VLOOKUP($B904,'(勿動)組件目錄表'!$D$15:$R$1094,14,FALSE),"-")</f>
        <v>-</v>
      </c>
      <c r="N904" s="15">
        <f t="shared" si="4"/>
        <v>0</v>
      </c>
      <c r="O904" s="16"/>
    </row>
    <row r="905" spans="1:15" ht="15.75" customHeight="1">
      <c r="A905" s="18"/>
      <c r="B905" s="7"/>
      <c r="C905" s="8" t="str">
        <f>IFERROR(VLOOKUP($B905,'(勿動)組件目錄表'!$D$15:$R$1094,2,FALSE),"-")</f>
        <v>-</v>
      </c>
      <c r="D905" s="8" t="str">
        <f>IFERROR(VLOOKUP($B905,'(勿動)組件目錄表'!$D$15:$R$1094,3,FALSE),"-")</f>
        <v>-</v>
      </c>
      <c r="E905" s="9" t="str">
        <f>IFERROR(VLOOKUP($B905,'(勿動)組件目錄表'!$D$15:$R$1094,4,FALSE),"-")</f>
        <v>-</v>
      </c>
      <c r="F905" s="10" t="str">
        <f>IFERROR(VLOOKUP($B905,'(勿動)組件目錄表'!$D$15:$R$1094,5,FALSE),"-")</f>
        <v>-</v>
      </c>
      <c r="G905" s="11" t="str">
        <f>IFERROR(VLOOKUP($B905,'(勿動)組件目錄表'!$D$15:$R$1094,8,FALSE),"-")</f>
        <v>-</v>
      </c>
      <c r="H905" s="11" t="str">
        <f>IFERROR(VLOOKUP($B905,'(勿動)組件目錄表'!$D$15:$R$1094,9,FALSE),"-")</f>
        <v>-</v>
      </c>
      <c r="I905" s="11" t="str">
        <f>IFERROR(VLOOKUP($B905,'(勿動)組件目錄表'!$D$15:$R$1094,10,FALSE),"-")</f>
        <v>-</v>
      </c>
      <c r="J905" s="11" t="str">
        <f>IFERROR(VLOOKUP($B905,'(勿動)組件目錄表'!$D$15:$R$1094,11,FALSE),"-")</f>
        <v>-</v>
      </c>
      <c r="K905" s="11" t="str">
        <f>IFERROR(VLOOKUP($B905,'(勿動)組件目錄表'!$D$15:$R$1094,12,FALSE),"-")</f>
        <v>-</v>
      </c>
      <c r="L905" s="11" t="str">
        <f>IFERROR(VLOOKUP($B905,'(勿動)組件目錄表'!$D$15:$R$1094,13,FALSE),"-")</f>
        <v>-</v>
      </c>
      <c r="M905" s="11" t="str">
        <f>IFERROR(VLOOKUP($B905,'(勿動)組件目錄表'!$D$15:$R$1094,14,FALSE),"-")</f>
        <v>-</v>
      </c>
      <c r="N905" s="15">
        <f t="shared" si="4"/>
        <v>0</v>
      </c>
      <c r="O905" s="16"/>
    </row>
    <row r="906" spans="1:15" ht="15.75" customHeight="1">
      <c r="A906" s="18"/>
      <c r="B906" s="7"/>
      <c r="C906" s="8" t="str">
        <f>IFERROR(VLOOKUP($B906,'(勿動)組件目錄表'!$D$15:$R$1094,2,FALSE),"-")</f>
        <v>-</v>
      </c>
      <c r="D906" s="8" t="str">
        <f>IFERROR(VLOOKUP($B906,'(勿動)組件目錄表'!$D$15:$R$1094,3,FALSE),"-")</f>
        <v>-</v>
      </c>
      <c r="E906" s="9" t="str">
        <f>IFERROR(VLOOKUP($B906,'(勿動)組件目錄表'!$D$15:$R$1094,4,FALSE),"-")</f>
        <v>-</v>
      </c>
      <c r="F906" s="10" t="str">
        <f>IFERROR(VLOOKUP($B906,'(勿動)組件目錄表'!$D$15:$R$1094,5,FALSE),"-")</f>
        <v>-</v>
      </c>
      <c r="G906" s="11" t="str">
        <f>IFERROR(VLOOKUP($B906,'(勿動)組件目錄表'!$D$15:$R$1094,8,FALSE),"-")</f>
        <v>-</v>
      </c>
      <c r="H906" s="11" t="str">
        <f>IFERROR(VLOOKUP($B906,'(勿動)組件目錄表'!$D$15:$R$1094,9,FALSE),"-")</f>
        <v>-</v>
      </c>
      <c r="I906" s="11" t="str">
        <f>IFERROR(VLOOKUP($B906,'(勿動)組件目錄表'!$D$15:$R$1094,10,FALSE),"-")</f>
        <v>-</v>
      </c>
      <c r="J906" s="11" t="str">
        <f>IFERROR(VLOOKUP($B906,'(勿動)組件目錄表'!$D$15:$R$1094,11,FALSE),"-")</f>
        <v>-</v>
      </c>
      <c r="K906" s="11" t="str">
        <f>IFERROR(VLOOKUP($B906,'(勿動)組件目錄表'!$D$15:$R$1094,12,FALSE),"-")</f>
        <v>-</v>
      </c>
      <c r="L906" s="11" t="str">
        <f>IFERROR(VLOOKUP($B906,'(勿動)組件目錄表'!$D$15:$R$1094,13,FALSE),"-")</f>
        <v>-</v>
      </c>
      <c r="M906" s="11" t="str">
        <f>IFERROR(VLOOKUP($B906,'(勿動)組件目錄表'!$D$15:$R$1094,14,FALSE),"-")</f>
        <v>-</v>
      </c>
      <c r="N906" s="15">
        <f t="shared" si="4"/>
        <v>0</v>
      </c>
      <c r="O906" s="16"/>
    </row>
    <row r="907" spans="1:15" ht="15.75" customHeight="1">
      <c r="A907" s="18"/>
      <c r="B907" s="7"/>
      <c r="C907" s="8" t="str">
        <f>IFERROR(VLOOKUP($B907,'(勿動)組件目錄表'!$D$15:$R$1094,2,FALSE),"-")</f>
        <v>-</v>
      </c>
      <c r="D907" s="8" t="str">
        <f>IFERROR(VLOOKUP($B907,'(勿動)組件目錄表'!$D$15:$R$1094,3,FALSE),"-")</f>
        <v>-</v>
      </c>
      <c r="E907" s="9" t="str">
        <f>IFERROR(VLOOKUP($B907,'(勿動)組件目錄表'!$D$15:$R$1094,4,FALSE),"-")</f>
        <v>-</v>
      </c>
      <c r="F907" s="10" t="str">
        <f>IFERROR(VLOOKUP($B907,'(勿動)組件目錄表'!$D$15:$R$1094,5,FALSE),"-")</f>
        <v>-</v>
      </c>
      <c r="G907" s="11" t="str">
        <f>IFERROR(VLOOKUP($B907,'(勿動)組件目錄表'!$D$15:$R$1094,8,FALSE),"-")</f>
        <v>-</v>
      </c>
      <c r="H907" s="11" t="str">
        <f>IFERROR(VLOOKUP($B907,'(勿動)組件目錄表'!$D$15:$R$1094,9,FALSE),"-")</f>
        <v>-</v>
      </c>
      <c r="I907" s="11" t="str">
        <f>IFERROR(VLOOKUP($B907,'(勿動)組件目錄表'!$D$15:$R$1094,10,FALSE),"-")</f>
        <v>-</v>
      </c>
      <c r="J907" s="11" t="str">
        <f>IFERROR(VLOOKUP($B907,'(勿動)組件目錄表'!$D$15:$R$1094,11,FALSE),"-")</f>
        <v>-</v>
      </c>
      <c r="K907" s="11" t="str">
        <f>IFERROR(VLOOKUP($B907,'(勿動)組件目錄表'!$D$15:$R$1094,12,FALSE),"-")</f>
        <v>-</v>
      </c>
      <c r="L907" s="11" t="str">
        <f>IFERROR(VLOOKUP($B907,'(勿動)組件目錄表'!$D$15:$R$1094,13,FALSE),"-")</f>
        <v>-</v>
      </c>
      <c r="M907" s="11" t="str">
        <f>IFERROR(VLOOKUP($B907,'(勿動)組件目錄表'!$D$15:$R$1094,14,FALSE),"-")</f>
        <v>-</v>
      </c>
      <c r="N907" s="15">
        <f t="shared" si="4"/>
        <v>0</v>
      </c>
      <c r="O907" s="16"/>
    </row>
    <row r="908" spans="1:15" ht="15.75" customHeight="1">
      <c r="A908" s="18"/>
      <c r="B908" s="7"/>
      <c r="C908" s="8" t="str">
        <f>IFERROR(VLOOKUP($B908,'(勿動)組件目錄表'!$D$15:$R$1094,2,FALSE),"-")</f>
        <v>-</v>
      </c>
      <c r="D908" s="8" t="str">
        <f>IFERROR(VLOOKUP($B908,'(勿動)組件目錄表'!$D$15:$R$1094,3,FALSE),"-")</f>
        <v>-</v>
      </c>
      <c r="E908" s="9" t="str">
        <f>IFERROR(VLOOKUP($B908,'(勿動)組件目錄表'!$D$15:$R$1094,4,FALSE),"-")</f>
        <v>-</v>
      </c>
      <c r="F908" s="10" t="str">
        <f>IFERROR(VLOOKUP($B908,'(勿動)組件目錄表'!$D$15:$R$1094,5,FALSE),"-")</f>
        <v>-</v>
      </c>
      <c r="G908" s="11" t="str">
        <f>IFERROR(VLOOKUP($B908,'(勿動)組件目錄表'!$D$15:$R$1094,8,FALSE),"-")</f>
        <v>-</v>
      </c>
      <c r="H908" s="11" t="str">
        <f>IFERROR(VLOOKUP($B908,'(勿動)組件目錄表'!$D$15:$R$1094,9,FALSE),"-")</f>
        <v>-</v>
      </c>
      <c r="I908" s="11" t="str">
        <f>IFERROR(VLOOKUP($B908,'(勿動)組件目錄表'!$D$15:$R$1094,10,FALSE),"-")</f>
        <v>-</v>
      </c>
      <c r="J908" s="11" t="str">
        <f>IFERROR(VLOOKUP($B908,'(勿動)組件目錄表'!$D$15:$R$1094,11,FALSE),"-")</f>
        <v>-</v>
      </c>
      <c r="K908" s="11" t="str">
        <f>IFERROR(VLOOKUP($B908,'(勿動)組件目錄表'!$D$15:$R$1094,12,FALSE),"-")</f>
        <v>-</v>
      </c>
      <c r="L908" s="11" t="str">
        <f>IFERROR(VLOOKUP($B908,'(勿動)組件目錄表'!$D$15:$R$1094,13,FALSE),"-")</f>
        <v>-</v>
      </c>
      <c r="M908" s="11" t="str">
        <f>IFERROR(VLOOKUP($B908,'(勿動)組件目錄表'!$D$15:$R$1094,14,FALSE),"-")</f>
        <v>-</v>
      </c>
      <c r="N908" s="15">
        <f t="shared" si="4"/>
        <v>0</v>
      </c>
      <c r="O908" s="16"/>
    </row>
    <row r="909" spans="1:15" ht="15.75" customHeight="1">
      <c r="A909" s="18"/>
      <c r="B909" s="7"/>
      <c r="C909" s="8" t="str">
        <f>IFERROR(VLOOKUP($B909,'(勿動)組件目錄表'!$D$15:$R$1094,2,FALSE),"-")</f>
        <v>-</v>
      </c>
      <c r="D909" s="8" t="str">
        <f>IFERROR(VLOOKUP($B909,'(勿動)組件目錄表'!$D$15:$R$1094,3,FALSE),"-")</f>
        <v>-</v>
      </c>
      <c r="E909" s="9" t="str">
        <f>IFERROR(VLOOKUP($B909,'(勿動)組件目錄表'!$D$15:$R$1094,4,FALSE),"-")</f>
        <v>-</v>
      </c>
      <c r="F909" s="10" t="str">
        <f>IFERROR(VLOOKUP($B909,'(勿動)組件目錄表'!$D$15:$R$1094,5,FALSE),"-")</f>
        <v>-</v>
      </c>
      <c r="G909" s="11" t="str">
        <f>IFERROR(VLOOKUP($B909,'(勿動)組件目錄表'!$D$15:$R$1094,8,FALSE),"-")</f>
        <v>-</v>
      </c>
      <c r="H909" s="11" t="str">
        <f>IFERROR(VLOOKUP($B909,'(勿動)組件目錄表'!$D$15:$R$1094,9,FALSE),"-")</f>
        <v>-</v>
      </c>
      <c r="I909" s="11" t="str">
        <f>IFERROR(VLOOKUP($B909,'(勿動)組件目錄表'!$D$15:$R$1094,10,FALSE),"-")</f>
        <v>-</v>
      </c>
      <c r="J909" s="11" t="str">
        <f>IFERROR(VLOOKUP($B909,'(勿動)組件目錄表'!$D$15:$R$1094,11,FALSE),"-")</f>
        <v>-</v>
      </c>
      <c r="K909" s="11" t="str">
        <f>IFERROR(VLOOKUP($B909,'(勿動)組件目錄表'!$D$15:$R$1094,12,FALSE),"-")</f>
        <v>-</v>
      </c>
      <c r="L909" s="11" t="str">
        <f>IFERROR(VLOOKUP($B909,'(勿動)組件目錄表'!$D$15:$R$1094,13,FALSE),"-")</f>
        <v>-</v>
      </c>
      <c r="M909" s="11" t="str">
        <f>IFERROR(VLOOKUP($B909,'(勿動)組件目錄表'!$D$15:$R$1094,14,FALSE),"-")</f>
        <v>-</v>
      </c>
      <c r="N909" s="15">
        <f t="shared" si="4"/>
        <v>0</v>
      </c>
      <c r="O909" s="16"/>
    </row>
    <row r="910" spans="1:15" ht="15.75" customHeight="1">
      <c r="A910" s="18"/>
      <c r="B910" s="7"/>
      <c r="C910" s="8" t="str">
        <f>IFERROR(VLOOKUP($B910,'(勿動)組件目錄表'!$D$15:$R$1094,2,FALSE),"-")</f>
        <v>-</v>
      </c>
      <c r="D910" s="8" t="str">
        <f>IFERROR(VLOOKUP($B910,'(勿動)組件目錄表'!$D$15:$R$1094,3,FALSE),"-")</f>
        <v>-</v>
      </c>
      <c r="E910" s="9" t="str">
        <f>IFERROR(VLOOKUP($B910,'(勿動)組件目錄表'!$D$15:$R$1094,4,FALSE),"-")</f>
        <v>-</v>
      </c>
      <c r="F910" s="10" t="str">
        <f>IFERROR(VLOOKUP($B910,'(勿動)組件目錄表'!$D$15:$R$1094,5,FALSE),"-")</f>
        <v>-</v>
      </c>
      <c r="G910" s="11" t="str">
        <f>IFERROR(VLOOKUP($B910,'(勿動)組件目錄表'!$D$15:$R$1094,8,FALSE),"-")</f>
        <v>-</v>
      </c>
      <c r="H910" s="11" t="str">
        <f>IFERROR(VLOOKUP($B910,'(勿動)組件目錄表'!$D$15:$R$1094,9,FALSE),"-")</f>
        <v>-</v>
      </c>
      <c r="I910" s="11" t="str">
        <f>IFERROR(VLOOKUP($B910,'(勿動)組件目錄表'!$D$15:$R$1094,10,FALSE),"-")</f>
        <v>-</v>
      </c>
      <c r="J910" s="11" t="str">
        <f>IFERROR(VLOOKUP($B910,'(勿動)組件目錄表'!$D$15:$R$1094,11,FALSE),"-")</f>
        <v>-</v>
      </c>
      <c r="K910" s="11" t="str">
        <f>IFERROR(VLOOKUP($B910,'(勿動)組件目錄表'!$D$15:$R$1094,12,FALSE),"-")</f>
        <v>-</v>
      </c>
      <c r="L910" s="11" t="str">
        <f>IFERROR(VLOOKUP($B910,'(勿動)組件目錄表'!$D$15:$R$1094,13,FALSE),"-")</f>
        <v>-</v>
      </c>
      <c r="M910" s="11" t="str">
        <f>IFERROR(VLOOKUP($B910,'(勿動)組件目錄表'!$D$15:$R$1094,14,FALSE),"-")</f>
        <v>-</v>
      </c>
      <c r="N910" s="15">
        <f t="shared" si="4"/>
        <v>0</v>
      </c>
      <c r="O910" s="16"/>
    </row>
    <row r="911" spans="1:15" ht="15.75" customHeight="1">
      <c r="A911" s="18"/>
      <c r="B911" s="7"/>
      <c r="C911" s="8" t="str">
        <f>IFERROR(VLOOKUP($B911,'(勿動)組件目錄表'!$D$15:$R$1094,2,FALSE),"-")</f>
        <v>-</v>
      </c>
      <c r="D911" s="8" t="str">
        <f>IFERROR(VLOOKUP($B911,'(勿動)組件目錄表'!$D$15:$R$1094,3,FALSE),"-")</f>
        <v>-</v>
      </c>
      <c r="E911" s="9" t="str">
        <f>IFERROR(VLOOKUP($B911,'(勿動)組件目錄表'!$D$15:$R$1094,4,FALSE),"-")</f>
        <v>-</v>
      </c>
      <c r="F911" s="10" t="str">
        <f>IFERROR(VLOOKUP($B911,'(勿動)組件目錄表'!$D$15:$R$1094,5,FALSE),"-")</f>
        <v>-</v>
      </c>
      <c r="G911" s="11" t="str">
        <f>IFERROR(VLOOKUP($B911,'(勿動)組件目錄表'!$D$15:$R$1094,8,FALSE),"-")</f>
        <v>-</v>
      </c>
      <c r="H911" s="11" t="str">
        <f>IFERROR(VLOOKUP($B911,'(勿動)組件目錄表'!$D$15:$R$1094,9,FALSE),"-")</f>
        <v>-</v>
      </c>
      <c r="I911" s="11" t="str">
        <f>IFERROR(VLOOKUP($B911,'(勿動)組件目錄表'!$D$15:$R$1094,10,FALSE),"-")</f>
        <v>-</v>
      </c>
      <c r="J911" s="11" t="str">
        <f>IFERROR(VLOOKUP($B911,'(勿動)組件目錄表'!$D$15:$R$1094,11,FALSE),"-")</f>
        <v>-</v>
      </c>
      <c r="K911" s="11" t="str">
        <f>IFERROR(VLOOKUP($B911,'(勿動)組件目錄表'!$D$15:$R$1094,12,FALSE),"-")</f>
        <v>-</v>
      </c>
      <c r="L911" s="11" t="str">
        <f>IFERROR(VLOOKUP($B911,'(勿動)組件目錄表'!$D$15:$R$1094,13,FALSE),"-")</f>
        <v>-</v>
      </c>
      <c r="M911" s="11" t="str">
        <f>IFERROR(VLOOKUP($B911,'(勿動)組件目錄表'!$D$15:$R$1094,14,FALSE),"-")</f>
        <v>-</v>
      </c>
      <c r="N911" s="15">
        <f t="shared" si="4"/>
        <v>0</v>
      </c>
      <c r="O911" s="16"/>
    </row>
    <row r="912" spans="1:15" ht="15.75" customHeight="1">
      <c r="A912" s="18"/>
      <c r="B912" s="7"/>
      <c r="C912" s="8" t="str">
        <f>IFERROR(VLOOKUP($B912,'(勿動)組件目錄表'!$D$15:$R$1094,2,FALSE),"-")</f>
        <v>-</v>
      </c>
      <c r="D912" s="8" t="str">
        <f>IFERROR(VLOOKUP($B912,'(勿動)組件目錄表'!$D$15:$R$1094,3,FALSE),"-")</f>
        <v>-</v>
      </c>
      <c r="E912" s="9" t="str">
        <f>IFERROR(VLOOKUP($B912,'(勿動)組件目錄表'!$D$15:$R$1094,4,FALSE),"-")</f>
        <v>-</v>
      </c>
      <c r="F912" s="10" t="str">
        <f>IFERROR(VLOOKUP($B912,'(勿動)組件目錄表'!$D$15:$R$1094,5,FALSE),"-")</f>
        <v>-</v>
      </c>
      <c r="G912" s="11" t="str">
        <f>IFERROR(VLOOKUP($B912,'(勿動)組件目錄表'!$D$15:$R$1094,8,FALSE),"-")</f>
        <v>-</v>
      </c>
      <c r="H912" s="11" t="str">
        <f>IFERROR(VLOOKUP($B912,'(勿動)組件目錄表'!$D$15:$R$1094,9,FALSE),"-")</f>
        <v>-</v>
      </c>
      <c r="I912" s="11" t="str">
        <f>IFERROR(VLOOKUP($B912,'(勿動)組件目錄表'!$D$15:$R$1094,10,FALSE),"-")</f>
        <v>-</v>
      </c>
      <c r="J912" s="11" t="str">
        <f>IFERROR(VLOOKUP($B912,'(勿動)組件目錄表'!$D$15:$R$1094,11,FALSE),"-")</f>
        <v>-</v>
      </c>
      <c r="K912" s="11" t="str">
        <f>IFERROR(VLOOKUP($B912,'(勿動)組件目錄表'!$D$15:$R$1094,12,FALSE),"-")</f>
        <v>-</v>
      </c>
      <c r="L912" s="11" t="str">
        <f>IFERROR(VLOOKUP($B912,'(勿動)組件目錄表'!$D$15:$R$1094,13,FALSE),"-")</f>
        <v>-</v>
      </c>
      <c r="M912" s="11" t="str">
        <f>IFERROR(VLOOKUP($B912,'(勿動)組件目錄表'!$D$15:$R$1094,14,FALSE),"-")</f>
        <v>-</v>
      </c>
      <c r="N912" s="15">
        <f t="shared" si="4"/>
        <v>0</v>
      </c>
      <c r="O912" s="16"/>
    </row>
    <row r="913" spans="1:15" ht="15.75" customHeight="1">
      <c r="A913" s="18"/>
      <c r="B913" s="7"/>
      <c r="C913" s="8" t="str">
        <f>IFERROR(VLOOKUP($B913,'(勿動)組件目錄表'!$D$15:$R$1094,2,FALSE),"-")</f>
        <v>-</v>
      </c>
      <c r="D913" s="8" t="str">
        <f>IFERROR(VLOOKUP($B913,'(勿動)組件目錄表'!$D$15:$R$1094,3,FALSE),"-")</f>
        <v>-</v>
      </c>
      <c r="E913" s="9" t="str">
        <f>IFERROR(VLOOKUP($B913,'(勿動)組件目錄表'!$D$15:$R$1094,4,FALSE),"-")</f>
        <v>-</v>
      </c>
      <c r="F913" s="10" t="str">
        <f>IFERROR(VLOOKUP($B913,'(勿動)組件目錄表'!$D$15:$R$1094,5,FALSE),"-")</f>
        <v>-</v>
      </c>
      <c r="G913" s="11" t="str">
        <f>IFERROR(VLOOKUP($B913,'(勿動)組件目錄表'!$D$15:$R$1094,8,FALSE),"-")</f>
        <v>-</v>
      </c>
      <c r="H913" s="11" t="str">
        <f>IFERROR(VLOOKUP($B913,'(勿動)組件目錄表'!$D$15:$R$1094,9,FALSE),"-")</f>
        <v>-</v>
      </c>
      <c r="I913" s="11" t="str">
        <f>IFERROR(VLOOKUP($B913,'(勿動)組件目錄表'!$D$15:$R$1094,10,FALSE),"-")</f>
        <v>-</v>
      </c>
      <c r="J913" s="11" t="str">
        <f>IFERROR(VLOOKUP($B913,'(勿動)組件目錄表'!$D$15:$R$1094,11,FALSE),"-")</f>
        <v>-</v>
      </c>
      <c r="K913" s="11" t="str">
        <f>IFERROR(VLOOKUP($B913,'(勿動)組件目錄表'!$D$15:$R$1094,12,FALSE),"-")</f>
        <v>-</v>
      </c>
      <c r="L913" s="11" t="str">
        <f>IFERROR(VLOOKUP($B913,'(勿動)組件目錄表'!$D$15:$R$1094,13,FALSE),"-")</f>
        <v>-</v>
      </c>
      <c r="M913" s="11" t="str">
        <f>IFERROR(VLOOKUP($B913,'(勿動)組件目錄表'!$D$15:$R$1094,14,FALSE),"-")</f>
        <v>-</v>
      </c>
      <c r="N913" s="15">
        <f t="shared" si="4"/>
        <v>0</v>
      </c>
      <c r="O913" s="16"/>
    </row>
    <row r="914" spans="1:15" ht="15.75" customHeight="1">
      <c r="A914" s="18"/>
      <c r="B914" s="7"/>
      <c r="C914" s="8" t="str">
        <f>IFERROR(VLOOKUP($B914,'(勿動)組件目錄表'!$D$15:$R$1094,2,FALSE),"-")</f>
        <v>-</v>
      </c>
      <c r="D914" s="8" t="str">
        <f>IFERROR(VLOOKUP($B914,'(勿動)組件目錄表'!$D$15:$R$1094,3,FALSE),"-")</f>
        <v>-</v>
      </c>
      <c r="E914" s="9" t="str">
        <f>IFERROR(VLOOKUP($B914,'(勿動)組件目錄表'!$D$15:$R$1094,4,FALSE),"-")</f>
        <v>-</v>
      </c>
      <c r="F914" s="10" t="str">
        <f>IFERROR(VLOOKUP($B914,'(勿動)組件目錄表'!$D$15:$R$1094,5,FALSE),"-")</f>
        <v>-</v>
      </c>
      <c r="G914" s="11" t="str">
        <f>IFERROR(VLOOKUP($B914,'(勿動)組件目錄表'!$D$15:$R$1094,8,FALSE),"-")</f>
        <v>-</v>
      </c>
      <c r="H914" s="11" t="str">
        <f>IFERROR(VLOOKUP($B914,'(勿動)組件目錄表'!$D$15:$R$1094,9,FALSE),"-")</f>
        <v>-</v>
      </c>
      <c r="I914" s="11" t="str">
        <f>IFERROR(VLOOKUP($B914,'(勿動)組件目錄表'!$D$15:$R$1094,10,FALSE),"-")</f>
        <v>-</v>
      </c>
      <c r="J914" s="11" t="str">
        <f>IFERROR(VLOOKUP($B914,'(勿動)組件目錄表'!$D$15:$R$1094,11,FALSE),"-")</f>
        <v>-</v>
      </c>
      <c r="K914" s="11" t="str">
        <f>IFERROR(VLOOKUP($B914,'(勿動)組件目錄表'!$D$15:$R$1094,12,FALSE),"-")</f>
        <v>-</v>
      </c>
      <c r="L914" s="11" t="str">
        <f>IFERROR(VLOOKUP($B914,'(勿動)組件目錄表'!$D$15:$R$1094,13,FALSE),"-")</f>
        <v>-</v>
      </c>
      <c r="M914" s="11" t="str">
        <f>IFERROR(VLOOKUP($B914,'(勿動)組件目錄表'!$D$15:$R$1094,14,FALSE),"-")</f>
        <v>-</v>
      </c>
      <c r="N914" s="15">
        <f t="shared" si="4"/>
        <v>0</v>
      </c>
      <c r="O914" s="16"/>
    </row>
    <row r="915" spans="1:15" ht="15.75" customHeight="1">
      <c r="A915" s="18"/>
      <c r="B915" s="7"/>
      <c r="C915" s="8" t="str">
        <f>IFERROR(VLOOKUP($B915,'(勿動)組件目錄表'!$D$15:$R$1094,2,FALSE),"-")</f>
        <v>-</v>
      </c>
      <c r="D915" s="8" t="str">
        <f>IFERROR(VLOOKUP($B915,'(勿動)組件目錄表'!$D$15:$R$1094,3,FALSE),"-")</f>
        <v>-</v>
      </c>
      <c r="E915" s="9" t="str">
        <f>IFERROR(VLOOKUP($B915,'(勿動)組件目錄表'!$D$15:$R$1094,4,FALSE),"-")</f>
        <v>-</v>
      </c>
      <c r="F915" s="10" t="str">
        <f>IFERROR(VLOOKUP($B915,'(勿動)組件目錄表'!$D$15:$R$1094,5,FALSE),"-")</f>
        <v>-</v>
      </c>
      <c r="G915" s="11" t="str">
        <f>IFERROR(VLOOKUP($B915,'(勿動)組件目錄表'!$D$15:$R$1094,8,FALSE),"-")</f>
        <v>-</v>
      </c>
      <c r="H915" s="11" t="str">
        <f>IFERROR(VLOOKUP($B915,'(勿動)組件目錄表'!$D$15:$R$1094,9,FALSE),"-")</f>
        <v>-</v>
      </c>
      <c r="I915" s="11" t="str">
        <f>IFERROR(VLOOKUP($B915,'(勿動)組件目錄表'!$D$15:$R$1094,10,FALSE),"-")</f>
        <v>-</v>
      </c>
      <c r="J915" s="11" t="str">
        <f>IFERROR(VLOOKUP($B915,'(勿動)組件目錄表'!$D$15:$R$1094,11,FALSE),"-")</f>
        <v>-</v>
      </c>
      <c r="K915" s="11" t="str">
        <f>IFERROR(VLOOKUP($B915,'(勿動)組件目錄表'!$D$15:$R$1094,12,FALSE),"-")</f>
        <v>-</v>
      </c>
      <c r="L915" s="11" t="str">
        <f>IFERROR(VLOOKUP($B915,'(勿動)組件目錄表'!$D$15:$R$1094,13,FALSE),"-")</f>
        <v>-</v>
      </c>
      <c r="M915" s="11" t="str">
        <f>IFERROR(VLOOKUP($B915,'(勿動)組件目錄表'!$D$15:$R$1094,14,FALSE),"-")</f>
        <v>-</v>
      </c>
      <c r="N915" s="15">
        <f t="shared" si="4"/>
        <v>0</v>
      </c>
      <c r="O915" s="16"/>
    </row>
    <row r="916" spans="1:15" ht="15.75" customHeight="1">
      <c r="A916" s="18"/>
      <c r="B916" s="7"/>
      <c r="C916" s="8" t="str">
        <f>IFERROR(VLOOKUP($B916,'(勿動)組件目錄表'!$D$15:$R$1094,2,FALSE),"-")</f>
        <v>-</v>
      </c>
      <c r="D916" s="8" t="str">
        <f>IFERROR(VLOOKUP($B916,'(勿動)組件目錄表'!$D$15:$R$1094,3,FALSE),"-")</f>
        <v>-</v>
      </c>
      <c r="E916" s="9" t="str">
        <f>IFERROR(VLOOKUP($B916,'(勿動)組件目錄表'!$D$15:$R$1094,4,FALSE),"-")</f>
        <v>-</v>
      </c>
      <c r="F916" s="10" t="str">
        <f>IFERROR(VLOOKUP($B916,'(勿動)組件目錄表'!$D$15:$R$1094,5,FALSE),"-")</f>
        <v>-</v>
      </c>
      <c r="G916" s="11" t="str">
        <f>IFERROR(VLOOKUP($B916,'(勿動)組件目錄表'!$D$15:$R$1094,8,FALSE),"-")</f>
        <v>-</v>
      </c>
      <c r="H916" s="11" t="str">
        <f>IFERROR(VLOOKUP($B916,'(勿動)組件目錄表'!$D$15:$R$1094,9,FALSE),"-")</f>
        <v>-</v>
      </c>
      <c r="I916" s="11" t="str">
        <f>IFERROR(VLOOKUP($B916,'(勿動)組件目錄表'!$D$15:$R$1094,10,FALSE),"-")</f>
        <v>-</v>
      </c>
      <c r="J916" s="11" t="str">
        <f>IFERROR(VLOOKUP($B916,'(勿動)組件目錄表'!$D$15:$R$1094,11,FALSE),"-")</f>
        <v>-</v>
      </c>
      <c r="K916" s="11" t="str">
        <f>IFERROR(VLOOKUP($B916,'(勿動)組件目錄表'!$D$15:$R$1094,12,FALSE),"-")</f>
        <v>-</v>
      </c>
      <c r="L916" s="11" t="str">
        <f>IFERROR(VLOOKUP($B916,'(勿動)組件目錄表'!$D$15:$R$1094,13,FALSE),"-")</f>
        <v>-</v>
      </c>
      <c r="M916" s="11" t="str">
        <f>IFERROR(VLOOKUP($B916,'(勿動)組件目錄表'!$D$15:$R$1094,14,FALSE),"-")</f>
        <v>-</v>
      </c>
      <c r="N916" s="15">
        <f t="shared" si="4"/>
        <v>0</v>
      </c>
      <c r="O916" s="16"/>
    </row>
    <row r="917" spans="1:15" ht="15.75" customHeight="1">
      <c r="A917" s="18"/>
      <c r="B917" s="7"/>
      <c r="C917" s="8" t="str">
        <f>IFERROR(VLOOKUP($B917,'(勿動)組件目錄表'!$D$15:$R$1094,2,FALSE),"-")</f>
        <v>-</v>
      </c>
      <c r="D917" s="8" t="str">
        <f>IFERROR(VLOOKUP($B917,'(勿動)組件目錄表'!$D$15:$R$1094,3,FALSE),"-")</f>
        <v>-</v>
      </c>
      <c r="E917" s="9" t="str">
        <f>IFERROR(VLOOKUP($B917,'(勿動)組件目錄表'!$D$15:$R$1094,4,FALSE),"-")</f>
        <v>-</v>
      </c>
      <c r="F917" s="10" t="str">
        <f>IFERROR(VLOOKUP($B917,'(勿動)組件目錄表'!$D$15:$R$1094,5,FALSE),"-")</f>
        <v>-</v>
      </c>
      <c r="G917" s="11" t="str">
        <f>IFERROR(VLOOKUP($B917,'(勿動)組件目錄表'!$D$15:$R$1094,8,FALSE),"-")</f>
        <v>-</v>
      </c>
      <c r="H917" s="11" t="str">
        <f>IFERROR(VLOOKUP($B917,'(勿動)組件目錄表'!$D$15:$R$1094,9,FALSE),"-")</f>
        <v>-</v>
      </c>
      <c r="I917" s="11" t="str">
        <f>IFERROR(VLOOKUP($B917,'(勿動)組件目錄表'!$D$15:$R$1094,10,FALSE),"-")</f>
        <v>-</v>
      </c>
      <c r="J917" s="11" t="str">
        <f>IFERROR(VLOOKUP($B917,'(勿動)組件目錄表'!$D$15:$R$1094,11,FALSE),"-")</f>
        <v>-</v>
      </c>
      <c r="K917" s="11" t="str">
        <f>IFERROR(VLOOKUP($B917,'(勿動)組件目錄表'!$D$15:$R$1094,12,FALSE),"-")</f>
        <v>-</v>
      </c>
      <c r="L917" s="11" t="str">
        <f>IFERROR(VLOOKUP($B917,'(勿動)組件目錄表'!$D$15:$R$1094,13,FALSE),"-")</f>
        <v>-</v>
      </c>
      <c r="M917" s="11" t="str">
        <f>IFERROR(VLOOKUP($B917,'(勿動)組件目錄表'!$D$15:$R$1094,14,FALSE),"-")</f>
        <v>-</v>
      </c>
      <c r="N917" s="15">
        <f t="shared" si="4"/>
        <v>0</v>
      </c>
      <c r="O917" s="16"/>
    </row>
    <row r="918" spans="1:15" ht="15.75" customHeight="1">
      <c r="A918" s="18"/>
      <c r="B918" s="7"/>
      <c r="C918" s="8" t="str">
        <f>IFERROR(VLOOKUP($B918,'(勿動)組件目錄表'!$D$15:$R$1094,2,FALSE),"-")</f>
        <v>-</v>
      </c>
      <c r="D918" s="8" t="str">
        <f>IFERROR(VLOOKUP($B918,'(勿動)組件目錄表'!$D$15:$R$1094,3,FALSE),"-")</f>
        <v>-</v>
      </c>
      <c r="E918" s="9" t="str">
        <f>IFERROR(VLOOKUP($B918,'(勿動)組件目錄表'!$D$15:$R$1094,4,FALSE),"-")</f>
        <v>-</v>
      </c>
      <c r="F918" s="10" t="str">
        <f>IFERROR(VLOOKUP($B918,'(勿動)組件目錄表'!$D$15:$R$1094,5,FALSE),"-")</f>
        <v>-</v>
      </c>
      <c r="G918" s="11" t="str">
        <f>IFERROR(VLOOKUP($B918,'(勿動)組件目錄表'!$D$15:$R$1094,8,FALSE),"-")</f>
        <v>-</v>
      </c>
      <c r="H918" s="11" t="str">
        <f>IFERROR(VLOOKUP($B918,'(勿動)組件目錄表'!$D$15:$R$1094,9,FALSE),"-")</f>
        <v>-</v>
      </c>
      <c r="I918" s="11" t="str">
        <f>IFERROR(VLOOKUP($B918,'(勿動)組件目錄表'!$D$15:$R$1094,10,FALSE),"-")</f>
        <v>-</v>
      </c>
      <c r="J918" s="11" t="str">
        <f>IFERROR(VLOOKUP($B918,'(勿動)組件目錄表'!$D$15:$R$1094,11,FALSE),"-")</f>
        <v>-</v>
      </c>
      <c r="K918" s="11" t="str">
        <f>IFERROR(VLOOKUP($B918,'(勿動)組件目錄表'!$D$15:$R$1094,12,FALSE),"-")</f>
        <v>-</v>
      </c>
      <c r="L918" s="11" t="str">
        <f>IFERROR(VLOOKUP($B918,'(勿動)組件目錄表'!$D$15:$R$1094,13,FALSE),"-")</f>
        <v>-</v>
      </c>
      <c r="M918" s="11" t="str">
        <f>IFERROR(VLOOKUP($B918,'(勿動)組件目錄表'!$D$15:$R$1094,14,FALSE),"-")</f>
        <v>-</v>
      </c>
      <c r="N918" s="15">
        <f t="shared" si="4"/>
        <v>0</v>
      </c>
      <c r="O918" s="16"/>
    </row>
    <row r="919" spans="1:15" ht="15.75" customHeight="1">
      <c r="A919" s="18"/>
      <c r="B919" s="7"/>
      <c r="C919" s="8" t="str">
        <f>IFERROR(VLOOKUP($B919,'(勿動)組件目錄表'!$D$15:$R$1094,2,FALSE),"-")</f>
        <v>-</v>
      </c>
      <c r="D919" s="8" t="str">
        <f>IFERROR(VLOOKUP($B919,'(勿動)組件目錄表'!$D$15:$R$1094,3,FALSE),"-")</f>
        <v>-</v>
      </c>
      <c r="E919" s="9" t="str">
        <f>IFERROR(VLOOKUP($B919,'(勿動)組件目錄表'!$D$15:$R$1094,4,FALSE),"-")</f>
        <v>-</v>
      </c>
      <c r="F919" s="10" t="str">
        <f>IFERROR(VLOOKUP($B919,'(勿動)組件目錄表'!$D$15:$R$1094,5,FALSE),"-")</f>
        <v>-</v>
      </c>
      <c r="G919" s="11" t="str">
        <f>IFERROR(VLOOKUP($B919,'(勿動)組件目錄表'!$D$15:$R$1094,8,FALSE),"-")</f>
        <v>-</v>
      </c>
      <c r="H919" s="11" t="str">
        <f>IFERROR(VLOOKUP($B919,'(勿動)組件目錄表'!$D$15:$R$1094,9,FALSE),"-")</f>
        <v>-</v>
      </c>
      <c r="I919" s="11" t="str">
        <f>IFERROR(VLOOKUP($B919,'(勿動)組件目錄表'!$D$15:$R$1094,10,FALSE),"-")</f>
        <v>-</v>
      </c>
      <c r="J919" s="11" t="str">
        <f>IFERROR(VLOOKUP($B919,'(勿動)組件目錄表'!$D$15:$R$1094,11,FALSE),"-")</f>
        <v>-</v>
      </c>
      <c r="K919" s="11" t="str">
        <f>IFERROR(VLOOKUP($B919,'(勿動)組件目錄表'!$D$15:$R$1094,12,FALSE),"-")</f>
        <v>-</v>
      </c>
      <c r="L919" s="11" t="str">
        <f>IFERROR(VLOOKUP($B919,'(勿動)組件目錄表'!$D$15:$R$1094,13,FALSE),"-")</f>
        <v>-</v>
      </c>
      <c r="M919" s="11" t="str">
        <f>IFERROR(VLOOKUP($B919,'(勿動)組件目錄表'!$D$15:$R$1094,14,FALSE),"-")</f>
        <v>-</v>
      </c>
      <c r="N919" s="15">
        <f t="shared" si="4"/>
        <v>0</v>
      </c>
      <c r="O919" s="16"/>
    </row>
    <row r="920" spans="1:15" ht="15.75" customHeight="1">
      <c r="A920" s="18"/>
      <c r="B920" s="7"/>
      <c r="C920" s="8" t="str">
        <f>IFERROR(VLOOKUP($B920,'(勿動)組件目錄表'!$D$15:$R$1094,2,FALSE),"-")</f>
        <v>-</v>
      </c>
      <c r="D920" s="8" t="str">
        <f>IFERROR(VLOOKUP($B920,'(勿動)組件目錄表'!$D$15:$R$1094,3,FALSE),"-")</f>
        <v>-</v>
      </c>
      <c r="E920" s="9" t="str">
        <f>IFERROR(VLOOKUP($B920,'(勿動)組件目錄表'!$D$15:$R$1094,4,FALSE),"-")</f>
        <v>-</v>
      </c>
      <c r="F920" s="10" t="str">
        <f>IFERROR(VLOOKUP($B920,'(勿動)組件目錄表'!$D$15:$R$1094,5,FALSE),"-")</f>
        <v>-</v>
      </c>
      <c r="G920" s="11" t="str">
        <f>IFERROR(VLOOKUP($B920,'(勿動)組件目錄表'!$D$15:$R$1094,8,FALSE),"-")</f>
        <v>-</v>
      </c>
      <c r="H920" s="11" t="str">
        <f>IFERROR(VLOOKUP($B920,'(勿動)組件目錄表'!$D$15:$R$1094,9,FALSE),"-")</f>
        <v>-</v>
      </c>
      <c r="I920" s="11" t="str">
        <f>IFERROR(VLOOKUP($B920,'(勿動)組件目錄表'!$D$15:$R$1094,10,FALSE),"-")</f>
        <v>-</v>
      </c>
      <c r="J920" s="11" t="str">
        <f>IFERROR(VLOOKUP($B920,'(勿動)組件目錄表'!$D$15:$R$1094,11,FALSE),"-")</f>
        <v>-</v>
      </c>
      <c r="K920" s="11" t="str">
        <f>IFERROR(VLOOKUP($B920,'(勿動)組件目錄表'!$D$15:$R$1094,12,FALSE),"-")</f>
        <v>-</v>
      </c>
      <c r="L920" s="11" t="str">
        <f>IFERROR(VLOOKUP($B920,'(勿動)組件目錄表'!$D$15:$R$1094,13,FALSE),"-")</f>
        <v>-</v>
      </c>
      <c r="M920" s="11" t="str">
        <f>IFERROR(VLOOKUP($B920,'(勿動)組件目錄表'!$D$15:$R$1094,14,FALSE),"-")</f>
        <v>-</v>
      </c>
      <c r="N920" s="15">
        <f t="shared" si="4"/>
        <v>0</v>
      </c>
      <c r="O920" s="16"/>
    </row>
    <row r="921" spans="1:15" ht="15.75" customHeight="1">
      <c r="A921" s="18"/>
      <c r="B921" s="7"/>
      <c r="C921" s="8" t="str">
        <f>IFERROR(VLOOKUP($B921,'(勿動)組件目錄表'!$D$15:$R$1094,2,FALSE),"-")</f>
        <v>-</v>
      </c>
      <c r="D921" s="8" t="str">
        <f>IFERROR(VLOOKUP($B921,'(勿動)組件目錄表'!$D$15:$R$1094,3,FALSE),"-")</f>
        <v>-</v>
      </c>
      <c r="E921" s="9" t="str">
        <f>IFERROR(VLOOKUP($B921,'(勿動)組件目錄表'!$D$15:$R$1094,4,FALSE),"-")</f>
        <v>-</v>
      </c>
      <c r="F921" s="10" t="str">
        <f>IFERROR(VLOOKUP($B921,'(勿動)組件目錄表'!$D$15:$R$1094,5,FALSE),"-")</f>
        <v>-</v>
      </c>
      <c r="G921" s="11" t="str">
        <f>IFERROR(VLOOKUP($B921,'(勿動)組件目錄表'!$D$15:$R$1094,8,FALSE),"-")</f>
        <v>-</v>
      </c>
      <c r="H921" s="11" t="str">
        <f>IFERROR(VLOOKUP($B921,'(勿動)組件目錄表'!$D$15:$R$1094,9,FALSE),"-")</f>
        <v>-</v>
      </c>
      <c r="I921" s="11" t="str">
        <f>IFERROR(VLOOKUP($B921,'(勿動)組件目錄表'!$D$15:$R$1094,10,FALSE),"-")</f>
        <v>-</v>
      </c>
      <c r="J921" s="11" t="str">
        <f>IFERROR(VLOOKUP($B921,'(勿動)組件目錄表'!$D$15:$R$1094,11,FALSE),"-")</f>
        <v>-</v>
      </c>
      <c r="K921" s="11" t="str">
        <f>IFERROR(VLOOKUP($B921,'(勿動)組件目錄表'!$D$15:$R$1094,12,FALSE),"-")</f>
        <v>-</v>
      </c>
      <c r="L921" s="11" t="str">
        <f>IFERROR(VLOOKUP($B921,'(勿動)組件目錄表'!$D$15:$R$1094,13,FALSE),"-")</f>
        <v>-</v>
      </c>
      <c r="M921" s="11" t="str">
        <f>IFERROR(VLOOKUP($B921,'(勿動)組件目錄表'!$D$15:$R$1094,14,FALSE),"-")</f>
        <v>-</v>
      </c>
      <c r="N921" s="15">
        <f t="shared" si="4"/>
        <v>0</v>
      </c>
      <c r="O921" s="16"/>
    </row>
    <row r="922" spans="1:15" ht="15.75" customHeight="1">
      <c r="A922" s="18"/>
      <c r="B922" s="7"/>
      <c r="C922" s="8" t="str">
        <f>IFERROR(VLOOKUP($B922,'(勿動)組件目錄表'!$D$15:$R$1094,2,FALSE),"-")</f>
        <v>-</v>
      </c>
      <c r="D922" s="8" t="str">
        <f>IFERROR(VLOOKUP($B922,'(勿動)組件目錄表'!$D$15:$R$1094,3,FALSE),"-")</f>
        <v>-</v>
      </c>
      <c r="E922" s="9" t="str">
        <f>IFERROR(VLOOKUP($B922,'(勿動)組件目錄表'!$D$15:$R$1094,4,FALSE),"-")</f>
        <v>-</v>
      </c>
      <c r="F922" s="10" t="str">
        <f>IFERROR(VLOOKUP($B922,'(勿動)組件目錄表'!$D$15:$R$1094,5,FALSE),"-")</f>
        <v>-</v>
      </c>
      <c r="G922" s="11" t="str">
        <f>IFERROR(VLOOKUP($B922,'(勿動)組件目錄表'!$D$15:$R$1094,8,FALSE),"-")</f>
        <v>-</v>
      </c>
      <c r="H922" s="11" t="str">
        <f>IFERROR(VLOOKUP($B922,'(勿動)組件目錄表'!$D$15:$R$1094,9,FALSE),"-")</f>
        <v>-</v>
      </c>
      <c r="I922" s="11" t="str">
        <f>IFERROR(VLOOKUP($B922,'(勿動)組件目錄表'!$D$15:$R$1094,10,FALSE),"-")</f>
        <v>-</v>
      </c>
      <c r="J922" s="11" t="str">
        <f>IFERROR(VLOOKUP($B922,'(勿動)組件目錄表'!$D$15:$R$1094,11,FALSE),"-")</f>
        <v>-</v>
      </c>
      <c r="K922" s="11" t="str">
        <f>IFERROR(VLOOKUP($B922,'(勿動)組件目錄表'!$D$15:$R$1094,12,FALSE),"-")</f>
        <v>-</v>
      </c>
      <c r="L922" s="11" t="str">
        <f>IFERROR(VLOOKUP($B922,'(勿動)組件目錄表'!$D$15:$R$1094,13,FALSE),"-")</f>
        <v>-</v>
      </c>
      <c r="M922" s="11" t="str">
        <f>IFERROR(VLOOKUP($B922,'(勿動)組件目錄表'!$D$15:$R$1094,14,FALSE),"-")</f>
        <v>-</v>
      </c>
      <c r="N922" s="15">
        <f t="shared" si="4"/>
        <v>0</v>
      </c>
      <c r="O922" s="16"/>
    </row>
    <row r="923" spans="1:15" ht="15.75" customHeight="1">
      <c r="A923" s="18"/>
      <c r="B923" s="7"/>
      <c r="C923" s="8" t="str">
        <f>IFERROR(VLOOKUP($B923,'(勿動)組件目錄表'!$D$15:$R$1094,2,FALSE),"-")</f>
        <v>-</v>
      </c>
      <c r="D923" s="8" t="str">
        <f>IFERROR(VLOOKUP($B923,'(勿動)組件目錄表'!$D$15:$R$1094,3,FALSE),"-")</f>
        <v>-</v>
      </c>
      <c r="E923" s="9" t="str">
        <f>IFERROR(VLOOKUP($B923,'(勿動)組件目錄表'!$D$15:$R$1094,4,FALSE),"-")</f>
        <v>-</v>
      </c>
      <c r="F923" s="10" t="str">
        <f>IFERROR(VLOOKUP($B923,'(勿動)組件目錄表'!$D$15:$R$1094,5,FALSE),"-")</f>
        <v>-</v>
      </c>
      <c r="G923" s="11" t="str">
        <f>IFERROR(VLOOKUP($B923,'(勿動)組件目錄表'!$D$15:$R$1094,8,FALSE),"-")</f>
        <v>-</v>
      </c>
      <c r="H923" s="11" t="str">
        <f>IFERROR(VLOOKUP($B923,'(勿動)組件目錄表'!$D$15:$R$1094,9,FALSE),"-")</f>
        <v>-</v>
      </c>
      <c r="I923" s="11" t="str">
        <f>IFERROR(VLOOKUP($B923,'(勿動)組件目錄表'!$D$15:$R$1094,10,FALSE),"-")</f>
        <v>-</v>
      </c>
      <c r="J923" s="11" t="str">
        <f>IFERROR(VLOOKUP($B923,'(勿動)組件目錄表'!$D$15:$R$1094,11,FALSE),"-")</f>
        <v>-</v>
      </c>
      <c r="K923" s="11" t="str">
        <f>IFERROR(VLOOKUP($B923,'(勿動)組件目錄表'!$D$15:$R$1094,12,FALSE),"-")</f>
        <v>-</v>
      </c>
      <c r="L923" s="11" t="str">
        <f>IFERROR(VLOOKUP($B923,'(勿動)組件目錄表'!$D$15:$R$1094,13,FALSE),"-")</f>
        <v>-</v>
      </c>
      <c r="M923" s="11" t="str">
        <f>IFERROR(VLOOKUP($B923,'(勿動)組件目錄表'!$D$15:$R$1094,14,FALSE),"-")</f>
        <v>-</v>
      </c>
      <c r="N923" s="15">
        <f t="shared" si="4"/>
        <v>0</v>
      </c>
      <c r="O923" s="16"/>
    </row>
    <row r="924" spans="1:15" ht="15.75" customHeight="1">
      <c r="A924" s="18"/>
      <c r="B924" s="7"/>
      <c r="C924" s="8" t="str">
        <f>IFERROR(VLOOKUP($B924,'(勿動)組件目錄表'!$D$15:$R$1094,2,FALSE),"-")</f>
        <v>-</v>
      </c>
      <c r="D924" s="8" t="str">
        <f>IFERROR(VLOOKUP($B924,'(勿動)組件目錄表'!$D$15:$R$1094,3,FALSE),"-")</f>
        <v>-</v>
      </c>
      <c r="E924" s="9" t="str">
        <f>IFERROR(VLOOKUP($B924,'(勿動)組件目錄表'!$D$15:$R$1094,4,FALSE),"-")</f>
        <v>-</v>
      </c>
      <c r="F924" s="10" t="str">
        <f>IFERROR(VLOOKUP($B924,'(勿動)組件目錄表'!$D$15:$R$1094,5,FALSE),"-")</f>
        <v>-</v>
      </c>
      <c r="G924" s="11" t="str">
        <f>IFERROR(VLOOKUP($B924,'(勿動)組件目錄表'!$D$15:$R$1094,8,FALSE),"-")</f>
        <v>-</v>
      </c>
      <c r="H924" s="11" t="str">
        <f>IFERROR(VLOOKUP($B924,'(勿動)組件目錄表'!$D$15:$R$1094,9,FALSE),"-")</f>
        <v>-</v>
      </c>
      <c r="I924" s="11" t="str">
        <f>IFERROR(VLOOKUP($B924,'(勿動)組件目錄表'!$D$15:$R$1094,10,FALSE),"-")</f>
        <v>-</v>
      </c>
      <c r="J924" s="11" t="str">
        <f>IFERROR(VLOOKUP($B924,'(勿動)組件目錄表'!$D$15:$R$1094,11,FALSE),"-")</f>
        <v>-</v>
      </c>
      <c r="K924" s="11" t="str">
        <f>IFERROR(VLOOKUP($B924,'(勿動)組件目錄表'!$D$15:$R$1094,12,FALSE),"-")</f>
        <v>-</v>
      </c>
      <c r="L924" s="11" t="str">
        <f>IFERROR(VLOOKUP($B924,'(勿動)組件目錄表'!$D$15:$R$1094,13,FALSE),"-")</f>
        <v>-</v>
      </c>
      <c r="M924" s="11" t="str">
        <f>IFERROR(VLOOKUP($B924,'(勿動)組件目錄表'!$D$15:$R$1094,14,FALSE),"-")</f>
        <v>-</v>
      </c>
      <c r="N924" s="15">
        <f t="shared" si="4"/>
        <v>0</v>
      </c>
      <c r="O924" s="16"/>
    </row>
    <row r="925" spans="1:15" ht="15.75" customHeight="1">
      <c r="A925" s="18"/>
      <c r="B925" s="7"/>
      <c r="C925" s="8" t="str">
        <f>IFERROR(VLOOKUP($B925,'(勿動)組件目錄表'!$D$15:$R$1094,2,FALSE),"-")</f>
        <v>-</v>
      </c>
      <c r="D925" s="8" t="str">
        <f>IFERROR(VLOOKUP($B925,'(勿動)組件目錄表'!$D$15:$R$1094,3,FALSE),"-")</f>
        <v>-</v>
      </c>
      <c r="E925" s="9" t="str">
        <f>IFERROR(VLOOKUP($B925,'(勿動)組件目錄表'!$D$15:$R$1094,4,FALSE),"-")</f>
        <v>-</v>
      </c>
      <c r="F925" s="10" t="str">
        <f>IFERROR(VLOOKUP($B925,'(勿動)組件目錄表'!$D$15:$R$1094,5,FALSE),"-")</f>
        <v>-</v>
      </c>
      <c r="G925" s="11" t="str">
        <f>IFERROR(VLOOKUP($B925,'(勿動)組件目錄表'!$D$15:$R$1094,8,FALSE),"-")</f>
        <v>-</v>
      </c>
      <c r="H925" s="11" t="str">
        <f>IFERROR(VLOOKUP($B925,'(勿動)組件目錄表'!$D$15:$R$1094,9,FALSE),"-")</f>
        <v>-</v>
      </c>
      <c r="I925" s="11" t="str">
        <f>IFERROR(VLOOKUP($B925,'(勿動)組件目錄表'!$D$15:$R$1094,10,FALSE),"-")</f>
        <v>-</v>
      </c>
      <c r="J925" s="11" t="str">
        <f>IFERROR(VLOOKUP($B925,'(勿動)組件目錄表'!$D$15:$R$1094,11,FALSE),"-")</f>
        <v>-</v>
      </c>
      <c r="K925" s="11" t="str">
        <f>IFERROR(VLOOKUP($B925,'(勿動)組件目錄表'!$D$15:$R$1094,12,FALSE),"-")</f>
        <v>-</v>
      </c>
      <c r="L925" s="11" t="str">
        <f>IFERROR(VLOOKUP($B925,'(勿動)組件目錄表'!$D$15:$R$1094,13,FALSE),"-")</f>
        <v>-</v>
      </c>
      <c r="M925" s="11" t="str">
        <f>IFERROR(VLOOKUP($B925,'(勿動)組件目錄表'!$D$15:$R$1094,14,FALSE),"-")</f>
        <v>-</v>
      </c>
      <c r="N925" s="15">
        <f t="shared" si="4"/>
        <v>0</v>
      </c>
      <c r="O925" s="16"/>
    </row>
    <row r="926" spans="1:15" ht="15.75" customHeight="1">
      <c r="A926" s="18"/>
      <c r="B926" s="7"/>
      <c r="C926" s="8" t="str">
        <f>IFERROR(VLOOKUP($B926,'(勿動)組件目錄表'!$D$15:$R$1094,2,FALSE),"-")</f>
        <v>-</v>
      </c>
      <c r="D926" s="8" t="str">
        <f>IFERROR(VLOOKUP($B926,'(勿動)組件目錄表'!$D$15:$R$1094,3,FALSE),"-")</f>
        <v>-</v>
      </c>
      <c r="E926" s="9" t="str">
        <f>IFERROR(VLOOKUP($B926,'(勿動)組件目錄表'!$D$15:$R$1094,4,FALSE),"-")</f>
        <v>-</v>
      </c>
      <c r="F926" s="10" t="str">
        <f>IFERROR(VLOOKUP($B926,'(勿動)組件目錄表'!$D$15:$R$1094,5,FALSE),"-")</f>
        <v>-</v>
      </c>
      <c r="G926" s="11" t="str">
        <f>IFERROR(VLOOKUP($B926,'(勿動)組件目錄表'!$D$15:$R$1094,8,FALSE),"-")</f>
        <v>-</v>
      </c>
      <c r="H926" s="11" t="str">
        <f>IFERROR(VLOOKUP($B926,'(勿動)組件目錄表'!$D$15:$R$1094,9,FALSE),"-")</f>
        <v>-</v>
      </c>
      <c r="I926" s="11" t="str">
        <f>IFERROR(VLOOKUP($B926,'(勿動)組件目錄表'!$D$15:$R$1094,10,FALSE),"-")</f>
        <v>-</v>
      </c>
      <c r="J926" s="11" t="str">
        <f>IFERROR(VLOOKUP($B926,'(勿動)組件目錄表'!$D$15:$R$1094,11,FALSE),"-")</f>
        <v>-</v>
      </c>
      <c r="K926" s="11" t="str">
        <f>IFERROR(VLOOKUP($B926,'(勿動)組件目錄表'!$D$15:$R$1094,12,FALSE),"-")</f>
        <v>-</v>
      </c>
      <c r="L926" s="11" t="str">
        <f>IFERROR(VLOOKUP($B926,'(勿動)組件目錄表'!$D$15:$R$1094,13,FALSE),"-")</f>
        <v>-</v>
      </c>
      <c r="M926" s="11" t="str">
        <f>IFERROR(VLOOKUP($B926,'(勿動)組件目錄表'!$D$15:$R$1094,14,FALSE),"-")</f>
        <v>-</v>
      </c>
      <c r="N926" s="15">
        <f t="shared" si="4"/>
        <v>0</v>
      </c>
      <c r="O926" s="16"/>
    </row>
    <row r="927" spans="1:15" ht="15.75" customHeight="1">
      <c r="A927" s="18"/>
      <c r="B927" s="7"/>
      <c r="C927" s="8" t="str">
        <f>IFERROR(VLOOKUP($B927,'(勿動)組件目錄表'!$D$15:$R$1094,2,FALSE),"-")</f>
        <v>-</v>
      </c>
      <c r="D927" s="8" t="str">
        <f>IFERROR(VLOOKUP($B927,'(勿動)組件目錄表'!$D$15:$R$1094,3,FALSE),"-")</f>
        <v>-</v>
      </c>
      <c r="E927" s="9" t="str">
        <f>IFERROR(VLOOKUP($B927,'(勿動)組件目錄表'!$D$15:$R$1094,4,FALSE),"-")</f>
        <v>-</v>
      </c>
      <c r="F927" s="10" t="str">
        <f>IFERROR(VLOOKUP($B927,'(勿動)組件目錄表'!$D$15:$R$1094,5,FALSE),"-")</f>
        <v>-</v>
      </c>
      <c r="G927" s="11" t="str">
        <f>IFERROR(VLOOKUP($B927,'(勿動)組件目錄表'!$D$15:$R$1094,8,FALSE),"-")</f>
        <v>-</v>
      </c>
      <c r="H927" s="11" t="str">
        <f>IFERROR(VLOOKUP($B927,'(勿動)組件目錄表'!$D$15:$R$1094,9,FALSE),"-")</f>
        <v>-</v>
      </c>
      <c r="I927" s="11" t="str">
        <f>IFERROR(VLOOKUP($B927,'(勿動)組件目錄表'!$D$15:$R$1094,10,FALSE),"-")</f>
        <v>-</v>
      </c>
      <c r="J927" s="11" t="str">
        <f>IFERROR(VLOOKUP($B927,'(勿動)組件目錄表'!$D$15:$R$1094,11,FALSE),"-")</f>
        <v>-</v>
      </c>
      <c r="K927" s="11" t="str">
        <f>IFERROR(VLOOKUP($B927,'(勿動)組件目錄表'!$D$15:$R$1094,12,FALSE),"-")</f>
        <v>-</v>
      </c>
      <c r="L927" s="11" t="str">
        <f>IFERROR(VLOOKUP($B927,'(勿動)組件目錄表'!$D$15:$R$1094,13,FALSE),"-")</f>
        <v>-</v>
      </c>
      <c r="M927" s="11" t="str">
        <f>IFERROR(VLOOKUP($B927,'(勿動)組件目錄表'!$D$15:$R$1094,14,FALSE),"-")</f>
        <v>-</v>
      </c>
      <c r="N927" s="15">
        <f t="shared" si="4"/>
        <v>0</v>
      </c>
      <c r="O927" s="16"/>
    </row>
    <row r="928" spans="1:15" ht="15.75" customHeight="1">
      <c r="A928" s="18"/>
      <c r="B928" s="7"/>
      <c r="C928" s="8" t="str">
        <f>IFERROR(VLOOKUP($B928,'(勿動)組件目錄表'!$D$15:$R$1094,2,FALSE),"-")</f>
        <v>-</v>
      </c>
      <c r="D928" s="8" t="str">
        <f>IFERROR(VLOOKUP($B928,'(勿動)組件目錄表'!$D$15:$R$1094,3,FALSE),"-")</f>
        <v>-</v>
      </c>
      <c r="E928" s="9" t="str">
        <f>IFERROR(VLOOKUP($B928,'(勿動)組件目錄表'!$D$15:$R$1094,4,FALSE),"-")</f>
        <v>-</v>
      </c>
      <c r="F928" s="10" t="str">
        <f>IFERROR(VLOOKUP($B928,'(勿動)組件目錄表'!$D$15:$R$1094,5,FALSE),"-")</f>
        <v>-</v>
      </c>
      <c r="G928" s="11" t="str">
        <f>IFERROR(VLOOKUP($B928,'(勿動)組件目錄表'!$D$15:$R$1094,8,FALSE),"-")</f>
        <v>-</v>
      </c>
      <c r="H928" s="11" t="str">
        <f>IFERROR(VLOOKUP($B928,'(勿動)組件目錄表'!$D$15:$R$1094,9,FALSE),"-")</f>
        <v>-</v>
      </c>
      <c r="I928" s="11" t="str">
        <f>IFERROR(VLOOKUP($B928,'(勿動)組件目錄表'!$D$15:$R$1094,10,FALSE),"-")</f>
        <v>-</v>
      </c>
      <c r="J928" s="11" t="str">
        <f>IFERROR(VLOOKUP($B928,'(勿動)組件目錄表'!$D$15:$R$1094,11,FALSE),"-")</f>
        <v>-</v>
      </c>
      <c r="K928" s="11" t="str">
        <f>IFERROR(VLOOKUP($B928,'(勿動)組件目錄表'!$D$15:$R$1094,12,FALSE),"-")</f>
        <v>-</v>
      </c>
      <c r="L928" s="11" t="str">
        <f>IFERROR(VLOOKUP($B928,'(勿動)組件目錄表'!$D$15:$R$1094,13,FALSE),"-")</f>
        <v>-</v>
      </c>
      <c r="M928" s="11" t="str">
        <f>IFERROR(VLOOKUP($B928,'(勿動)組件目錄表'!$D$15:$R$1094,14,FALSE),"-")</f>
        <v>-</v>
      </c>
      <c r="N928" s="15">
        <f t="shared" si="4"/>
        <v>0</v>
      </c>
      <c r="O928" s="16"/>
    </row>
    <row r="929" spans="1:15" ht="15.75" customHeight="1">
      <c r="A929" s="18"/>
      <c r="B929" s="7"/>
      <c r="C929" s="8" t="str">
        <f>IFERROR(VLOOKUP($B929,'(勿動)組件目錄表'!$D$15:$R$1094,2,FALSE),"-")</f>
        <v>-</v>
      </c>
      <c r="D929" s="8" t="str">
        <f>IFERROR(VLOOKUP($B929,'(勿動)組件目錄表'!$D$15:$R$1094,3,FALSE),"-")</f>
        <v>-</v>
      </c>
      <c r="E929" s="9" t="str">
        <f>IFERROR(VLOOKUP($B929,'(勿動)組件目錄表'!$D$15:$R$1094,4,FALSE),"-")</f>
        <v>-</v>
      </c>
      <c r="F929" s="10" t="str">
        <f>IFERROR(VLOOKUP($B929,'(勿動)組件目錄表'!$D$15:$R$1094,5,FALSE),"-")</f>
        <v>-</v>
      </c>
      <c r="G929" s="11" t="str">
        <f>IFERROR(VLOOKUP($B929,'(勿動)組件目錄表'!$D$15:$R$1094,8,FALSE),"-")</f>
        <v>-</v>
      </c>
      <c r="H929" s="11" t="str">
        <f>IFERROR(VLOOKUP($B929,'(勿動)組件目錄表'!$D$15:$R$1094,9,FALSE),"-")</f>
        <v>-</v>
      </c>
      <c r="I929" s="11" t="str">
        <f>IFERROR(VLOOKUP($B929,'(勿動)組件目錄表'!$D$15:$R$1094,10,FALSE),"-")</f>
        <v>-</v>
      </c>
      <c r="J929" s="11" t="str">
        <f>IFERROR(VLOOKUP($B929,'(勿動)組件目錄表'!$D$15:$R$1094,11,FALSE),"-")</f>
        <v>-</v>
      </c>
      <c r="K929" s="11" t="str">
        <f>IFERROR(VLOOKUP($B929,'(勿動)組件目錄表'!$D$15:$R$1094,12,FALSE),"-")</f>
        <v>-</v>
      </c>
      <c r="L929" s="11" t="str">
        <f>IFERROR(VLOOKUP($B929,'(勿動)組件目錄表'!$D$15:$R$1094,13,FALSE),"-")</f>
        <v>-</v>
      </c>
      <c r="M929" s="11" t="str">
        <f>IFERROR(VLOOKUP($B929,'(勿動)組件目錄表'!$D$15:$R$1094,14,FALSE),"-")</f>
        <v>-</v>
      </c>
      <c r="N929" s="15">
        <f t="shared" si="4"/>
        <v>0</v>
      </c>
      <c r="O929" s="16"/>
    </row>
    <row r="930" spans="1:15" ht="15.75" customHeight="1">
      <c r="A930" s="18"/>
      <c r="B930" s="7"/>
      <c r="C930" s="8" t="str">
        <f>IFERROR(VLOOKUP($B930,'(勿動)組件目錄表'!$D$15:$R$1094,2,FALSE),"-")</f>
        <v>-</v>
      </c>
      <c r="D930" s="8" t="str">
        <f>IFERROR(VLOOKUP($B930,'(勿動)組件目錄表'!$D$15:$R$1094,3,FALSE),"-")</f>
        <v>-</v>
      </c>
      <c r="E930" s="9" t="str">
        <f>IFERROR(VLOOKUP($B930,'(勿動)組件目錄表'!$D$15:$R$1094,4,FALSE),"-")</f>
        <v>-</v>
      </c>
      <c r="F930" s="10" t="str">
        <f>IFERROR(VLOOKUP($B930,'(勿動)組件目錄表'!$D$15:$R$1094,5,FALSE),"-")</f>
        <v>-</v>
      </c>
      <c r="G930" s="11" t="str">
        <f>IFERROR(VLOOKUP($B930,'(勿動)組件目錄表'!$D$15:$R$1094,8,FALSE),"-")</f>
        <v>-</v>
      </c>
      <c r="H930" s="11" t="str">
        <f>IFERROR(VLOOKUP($B930,'(勿動)組件目錄表'!$D$15:$R$1094,9,FALSE),"-")</f>
        <v>-</v>
      </c>
      <c r="I930" s="11" t="str">
        <f>IFERROR(VLOOKUP($B930,'(勿動)組件目錄表'!$D$15:$R$1094,10,FALSE),"-")</f>
        <v>-</v>
      </c>
      <c r="J930" s="11" t="str">
        <f>IFERROR(VLOOKUP($B930,'(勿動)組件目錄表'!$D$15:$R$1094,11,FALSE),"-")</f>
        <v>-</v>
      </c>
      <c r="K930" s="11" t="str">
        <f>IFERROR(VLOOKUP($B930,'(勿動)組件目錄表'!$D$15:$R$1094,12,FALSE),"-")</f>
        <v>-</v>
      </c>
      <c r="L930" s="11" t="str">
        <f>IFERROR(VLOOKUP($B930,'(勿動)組件目錄表'!$D$15:$R$1094,13,FALSE),"-")</f>
        <v>-</v>
      </c>
      <c r="M930" s="11" t="str">
        <f>IFERROR(VLOOKUP($B930,'(勿動)組件目錄表'!$D$15:$R$1094,14,FALSE),"-")</f>
        <v>-</v>
      </c>
      <c r="N930" s="15">
        <f t="shared" si="4"/>
        <v>0</v>
      </c>
      <c r="O930" s="16"/>
    </row>
    <row r="931" spans="1:15" ht="15.75" customHeight="1">
      <c r="A931" s="18"/>
      <c r="B931" s="7"/>
      <c r="C931" s="8" t="str">
        <f>IFERROR(VLOOKUP($B931,'(勿動)組件目錄表'!$D$15:$R$1094,2,FALSE),"-")</f>
        <v>-</v>
      </c>
      <c r="D931" s="8" t="str">
        <f>IFERROR(VLOOKUP($B931,'(勿動)組件目錄表'!$D$15:$R$1094,3,FALSE),"-")</f>
        <v>-</v>
      </c>
      <c r="E931" s="9" t="str">
        <f>IFERROR(VLOOKUP($B931,'(勿動)組件目錄表'!$D$15:$R$1094,4,FALSE),"-")</f>
        <v>-</v>
      </c>
      <c r="F931" s="10" t="str">
        <f>IFERROR(VLOOKUP($B931,'(勿動)組件目錄表'!$D$15:$R$1094,5,FALSE),"-")</f>
        <v>-</v>
      </c>
      <c r="G931" s="11" t="str">
        <f>IFERROR(VLOOKUP($B931,'(勿動)組件目錄表'!$D$15:$R$1094,8,FALSE),"-")</f>
        <v>-</v>
      </c>
      <c r="H931" s="11" t="str">
        <f>IFERROR(VLOOKUP($B931,'(勿動)組件目錄表'!$D$15:$R$1094,9,FALSE),"-")</f>
        <v>-</v>
      </c>
      <c r="I931" s="11" t="str">
        <f>IFERROR(VLOOKUP($B931,'(勿動)組件目錄表'!$D$15:$R$1094,10,FALSE),"-")</f>
        <v>-</v>
      </c>
      <c r="J931" s="11" t="str">
        <f>IFERROR(VLOOKUP($B931,'(勿動)組件目錄表'!$D$15:$R$1094,11,FALSE),"-")</f>
        <v>-</v>
      </c>
      <c r="K931" s="11" t="str">
        <f>IFERROR(VLOOKUP($B931,'(勿動)組件目錄表'!$D$15:$R$1094,12,FALSE),"-")</f>
        <v>-</v>
      </c>
      <c r="L931" s="11" t="str">
        <f>IFERROR(VLOOKUP($B931,'(勿動)組件目錄表'!$D$15:$R$1094,13,FALSE),"-")</f>
        <v>-</v>
      </c>
      <c r="M931" s="11" t="str">
        <f>IFERROR(VLOOKUP($B931,'(勿動)組件目錄表'!$D$15:$R$1094,14,FALSE),"-")</f>
        <v>-</v>
      </c>
      <c r="N931" s="15">
        <f t="shared" si="4"/>
        <v>0</v>
      </c>
      <c r="O931" s="16"/>
    </row>
    <row r="932" spans="1:15" ht="15.75" customHeight="1">
      <c r="A932" s="18"/>
      <c r="B932" s="7"/>
      <c r="C932" s="8" t="str">
        <f>IFERROR(VLOOKUP($B932,'(勿動)組件目錄表'!$D$15:$R$1094,2,FALSE),"-")</f>
        <v>-</v>
      </c>
      <c r="D932" s="8" t="str">
        <f>IFERROR(VLOOKUP($B932,'(勿動)組件目錄表'!$D$15:$R$1094,3,FALSE),"-")</f>
        <v>-</v>
      </c>
      <c r="E932" s="9" t="str">
        <f>IFERROR(VLOOKUP($B932,'(勿動)組件目錄表'!$D$15:$R$1094,4,FALSE),"-")</f>
        <v>-</v>
      </c>
      <c r="F932" s="10" t="str">
        <f>IFERROR(VLOOKUP($B932,'(勿動)組件目錄表'!$D$15:$R$1094,5,FALSE),"-")</f>
        <v>-</v>
      </c>
      <c r="G932" s="11" t="str">
        <f>IFERROR(VLOOKUP($B932,'(勿動)組件目錄表'!$D$15:$R$1094,8,FALSE),"-")</f>
        <v>-</v>
      </c>
      <c r="H932" s="11" t="str">
        <f>IFERROR(VLOOKUP($B932,'(勿動)組件目錄表'!$D$15:$R$1094,9,FALSE),"-")</f>
        <v>-</v>
      </c>
      <c r="I932" s="11" t="str">
        <f>IFERROR(VLOOKUP($B932,'(勿動)組件目錄表'!$D$15:$R$1094,10,FALSE),"-")</f>
        <v>-</v>
      </c>
      <c r="J932" s="11" t="str">
        <f>IFERROR(VLOOKUP($B932,'(勿動)組件目錄表'!$D$15:$R$1094,11,FALSE),"-")</f>
        <v>-</v>
      </c>
      <c r="K932" s="11" t="str">
        <f>IFERROR(VLOOKUP($B932,'(勿動)組件目錄表'!$D$15:$R$1094,12,FALSE),"-")</f>
        <v>-</v>
      </c>
      <c r="L932" s="11" t="str">
        <f>IFERROR(VLOOKUP($B932,'(勿動)組件目錄表'!$D$15:$R$1094,13,FALSE),"-")</f>
        <v>-</v>
      </c>
      <c r="M932" s="11" t="str">
        <f>IFERROR(VLOOKUP($B932,'(勿動)組件目錄表'!$D$15:$R$1094,14,FALSE),"-")</f>
        <v>-</v>
      </c>
      <c r="N932" s="15">
        <f t="shared" si="4"/>
        <v>0</v>
      </c>
      <c r="O932" s="16"/>
    </row>
    <row r="933" spans="1:15" ht="15.75" customHeight="1">
      <c r="A933" s="18"/>
      <c r="B933" s="7"/>
      <c r="C933" s="8" t="str">
        <f>IFERROR(VLOOKUP($B933,'(勿動)組件目錄表'!$D$15:$R$1094,2,FALSE),"-")</f>
        <v>-</v>
      </c>
      <c r="D933" s="8" t="str">
        <f>IFERROR(VLOOKUP($B933,'(勿動)組件目錄表'!$D$15:$R$1094,3,FALSE),"-")</f>
        <v>-</v>
      </c>
      <c r="E933" s="9" t="str">
        <f>IFERROR(VLOOKUP($B933,'(勿動)組件目錄表'!$D$15:$R$1094,4,FALSE),"-")</f>
        <v>-</v>
      </c>
      <c r="F933" s="10" t="str">
        <f>IFERROR(VLOOKUP($B933,'(勿動)組件目錄表'!$D$15:$R$1094,5,FALSE),"-")</f>
        <v>-</v>
      </c>
      <c r="G933" s="11" t="str">
        <f>IFERROR(VLOOKUP($B933,'(勿動)組件目錄表'!$D$15:$R$1094,8,FALSE),"-")</f>
        <v>-</v>
      </c>
      <c r="H933" s="11" t="str">
        <f>IFERROR(VLOOKUP($B933,'(勿動)組件目錄表'!$D$15:$R$1094,9,FALSE),"-")</f>
        <v>-</v>
      </c>
      <c r="I933" s="11" t="str">
        <f>IFERROR(VLOOKUP($B933,'(勿動)組件目錄表'!$D$15:$R$1094,10,FALSE),"-")</f>
        <v>-</v>
      </c>
      <c r="J933" s="11" t="str">
        <f>IFERROR(VLOOKUP($B933,'(勿動)組件目錄表'!$D$15:$R$1094,11,FALSE),"-")</f>
        <v>-</v>
      </c>
      <c r="K933" s="11" t="str">
        <f>IFERROR(VLOOKUP($B933,'(勿動)組件目錄表'!$D$15:$R$1094,12,FALSE),"-")</f>
        <v>-</v>
      </c>
      <c r="L933" s="11" t="str">
        <f>IFERROR(VLOOKUP($B933,'(勿動)組件目錄表'!$D$15:$R$1094,13,FALSE),"-")</f>
        <v>-</v>
      </c>
      <c r="M933" s="11" t="str">
        <f>IFERROR(VLOOKUP($B933,'(勿動)組件目錄表'!$D$15:$R$1094,14,FALSE),"-")</f>
        <v>-</v>
      </c>
      <c r="N933" s="15">
        <f t="shared" si="4"/>
        <v>0</v>
      </c>
      <c r="O933" s="16"/>
    </row>
    <row r="934" spans="1:15" ht="15.75" customHeight="1">
      <c r="A934" s="18"/>
      <c r="B934" s="7"/>
      <c r="C934" s="8" t="str">
        <f>IFERROR(VLOOKUP($B934,'(勿動)組件目錄表'!$D$15:$R$1094,2,FALSE),"-")</f>
        <v>-</v>
      </c>
      <c r="D934" s="8" t="str">
        <f>IFERROR(VLOOKUP($B934,'(勿動)組件目錄表'!$D$15:$R$1094,3,FALSE),"-")</f>
        <v>-</v>
      </c>
      <c r="E934" s="9" t="str">
        <f>IFERROR(VLOOKUP($B934,'(勿動)組件目錄表'!$D$15:$R$1094,4,FALSE),"-")</f>
        <v>-</v>
      </c>
      <c r="F934" s="10" t="str">
        <f>IFERROR(VLOOKUP($B934,'(勿動)組件目錄表'!$D$15:$R$1094,5,FALSE),"-")</f>
        <v>-</v>
      </c>
      <c r="G934" s="11" t="str">
        <f>IFERROR(VLOOKUP($B934,'(勿動)組件目錄表'!$D$15:$R$1094,8,FALSE),"-")</f>
        <v>-</v>
      </c>
      <c r="H934" s="11" t="str">
        <f>IFERROR(VLOOKUP($B934,'(勿動)組件目錄表'!$D$15:$R$1094,9,FALSE),"-")</f>
        <v>-</v>
      </c>
      <c r="I934" s="11" t="str">
        <f>IFERROR(VLOOKUP($B934,'(勿動)組件目錄表'!$D$15:$R$1094,10,FALSE),"-")</f>
        <v>-</v>
      </c>
      <c r="J934" s="11" t="str">
        <f>IFERROR(VLOOKUP($B934,'(勿動)組件目錄表'!$D$15:$R$1094,11,FALSE),"-")</f>
        <v>-</v>
      </c>
      <c r="K934" s="11" t="str">
        <f>IFERROR(VLOOKUP($B934,'(勿動)組件目錄表'!$D$15:$R$1094,12,FALSE),"-")</f>
        <v>-</v>
      </c>
      <c r="L934" s="11" t="str">
        <f>IFERROR(VLOOKUP($B934,'(勿動)組件目錄表'!$D$15:$R$1094,13,FALSE),"-")</f>
        <v>-</v>
      </c>
      <c r="M934" s="11" t="str">
        <f>IFERROR(VLOOKUP($B934,'(勿動)組件目錄表'!$D$15:$R$1094,14,FALSE),"-")</f>
        <v>-</v>
      </c>
      <c r="N934" s="15">
        <f t="shared" si="4"/>
        <v>0</v>
      </c>
      <c r="O934" s="16"/>
    </row>
    <row r="935" spans="1:15" ht="15.75" customHeight="1">
      <c r="A935" s="18"/>
      <c r="B935" s="7"/>
      <c r="C935" s="8" t="str">
        <f>IFERROR(VLOOKUP($B935,'(勿動)組件目錄表'!$D$15:$R$1094,2,FALSE),"-")</f>
        <v>-</v>
      </c>
      <c r="D935" s="8" t="str">
        <f>IFERROR(VLOOKUP($B935,'(勿動)組件目錄表'!$D$15:$R$1094,3,FALSE),"-")</f>
        <v>-</v>
      </c>
      <c r="E935" s="9" t="str">
        <f>IFERROR(VLOOKUP($B935,'(勿動)組件目錄表'!$D$15:$R$1094,4,FALSE),"-")</f>
        <v>-</v>
      </c>
      <c r="F935" s="10" t="str">
        <f>IFERROR(VLOOKUP($B935,'(勿動)組件目錄表'!$D$15:$R$1094,5,FALSE),"-")</f>
        <v>-</v>
      </c>
      <c r="G935" s="11" t="str">
        <f>IFERROR(VLOOKUP($B935,'(勿動)組件目錄表'!$D$15:$R$1094,8,FALSE),"-")</f>
        <v>-</v>
      </c>
      <c r="H935" s="11" t="str">
        <f>IFERROR(VLOOKUP($B935,'(勿動)組件目錄表'!$D$15:$R$1094,9,FALSE),"-")</f>
        <v>-</v>
      </c>
      <c r="I935" s="11" t="str">
        <f>IFERROR(VLOOKUP($B935,'(勿動)組件目錄表'!$D$15:$R$1094,10,FALSE),"-")</f>
        <v>-</v>
      </c>
      <c r="J935" s="11" t="str">
        <f>IFERROR(VLOOKUP($B935,'(勿動)組件目錄表'!$D$15:$R$1094,11,FALSE),"-")</f>
        <v>-</v>
      </c>
      <c r="K935" s="11" t="str">
        <f>IFERROR(VLOOKUP($B935,'(勿動)組件目錄表'!$D$15:$R$1094,12,FALSE),"-")</f>
        <v>-</v>
      </c>
      <c r="L935" s="11" t="str">
        <f>IFERROR(VLOOKUP($B935,'(勿動)組件目錄表'!$D$15:$R$1094,13,FALSE),"-")</f>
        <v>-</v>
      </c>
      <c r="M935" s="11" t="str">
        <f>IFERROR(VLOOKUP($B935,'(勿動)組件目錄表'!$D$15:$R$1094,14,FALSE),"-")</f>
        <v>-</v>
      </c>
      <c r="N935" s="15">
        <f t="shared" si="4"/>
        <v>0</v>
      </c>
      <c r="O935" s="16"/>
    </row>
    <row r="936" spans="1:15" ht="15.75" customHeight="1">
      <c r="A936" s="18"/>
      <c r="B936" s="7"/>
      <c r="C936" s="8" t="str">
        <f>IFERROR(VLOOKUP($B936,'(勿動)組件目錄表'!$D$15:$R$1094,2,FALSE),"-")</f>
        <v>-</v>
      </c>
      <c r="D936" s="8" t="str">
        <f>IFERROR(VLOOKUP($B936,'(勿動)組件目錄表'!$D$15:$R$1094,3,FALSE),"-")</f>
        <v>-</v>
      </c>
      <c r="E936" s="9" t="str">
        <f>IFERROR(VLOOKUP($B936,'(勿動)組件目錄表'!$D$15:$R$1094,4,FALSE),"-")</f>
        <v>-</v>
      </c>
      <c r="F936" s="10" t="str">
        <f>IFERROR(VLOOKUP($B936,'(勿動)組件目錄表'!$D$15:$R$1094,5,FALSE),"-")</f>
        <v>-</v>
      </c>
      <c r="G936" s="11" t="str">
        <f>IFERROR(VLOOKUP($B936,'(勿動)組件目錄表'!$D$15:$R$1094,8,FALSE),"-")</f>
        <v>-</v>
      </c>
      <c r="H936" s="11" t="str">
        <f>IFERROR(VLOOKUP($B936,'(勿動)組件目錄表'!$D$15:$R$1094,9,FALSE),"-")</f>
        <v>-</v>
      </c>
      <c r="I936" s="11" t="str">
        <f>IFERROR(VLOOKUP($B936,'(勿動)組件目錄表'!$D$15:$R$1094,10,FALSE),"-")</f>
        <v>-</v>
      </c>
      <c r="J936" s="11" t="str">
        <f>IFERROR(VLOOKUP($B936,'(勿動)組件目錄表'!$D$15:$R$1094,11,FALSE),"-")</f>
        <v>-</v>
      </c>
      <c r="K936" s="11" t="str">
        <f>IFERROR(VLOOKUP($B936,'(勿動)組件目錄表'!$D$15:$R$1094,12,FALSE),"-")</f>
        <v>-</v>
      </c>
      <c r="L936" s="11" t="str">
        <f>IFERROR(VLOOKUP($B936,'(勿動)組件目錄表'!$D$15:$R$1094,13,FALSE),"-")</f>
        <v>-</v>
      </c>
      <c r="M936" s="11" t="str">
        <f>IFERROR(VLOOKUP($B936,'(勿動)組件目錄表'!$D$15:$R$1094,14,FALSE),"-")</f>
        <v>-</v>
      </c>
      <c r="N936" s="15">
        <f t="shared" si="4"/>
        <v>0</v>
      </c>
      <c r="O936" s="16"/>
    </row>
    <row r="937" spans="1:15" ht="15.75" customHeight="1">
      <c r="A937" s="18"/>
      <c r="B937" s="7"/>
      <c r="C937" s="8" t="str">
        <f>IFERROR(VLOOKUP($B937,'(勿動)組件目錄表'!$D$15:$R$1094,2,FALSE),"-")</f>
        <v>-</v>
      </c>
      <c r="D937" s="8" t="str">
        <f>IFERROR(VLOOKUP($B937,'(勿動)組件目錄表'!$D$15:$R$1094,3,FALSE),"-")</f>
        <v>-</v>
      </c>
      <c r="E937" s="9" t="str">
        <f>IFERROR(VLOOKUP($B937,'(勿動)組件目錄表'!$D$15:$R$1094,4,FALSE),"-")</f>
        <v>-</v>
      </c>
      <c r="F937" s="10" t="str">
        <f>IFERROR(VLOOKUP($B937,'(勿動)組件目錄表'!$D$15:$R$1094,5,FALSE),"-")</f>
        <v>-</v>
      </c>
      <c r="G937" s="11" t="str">
        <f>IFERROR(VLOOKUP($B937,'(勿動)組件目錄表'!$D$15:$R$1094,8,FALSE),"-")</f>
        <v>-</v>
      </c>
      <c r="H937" s="11" t="str">
        <f>IFERROR(VLOOKUP($B937,'(勿動)組件目錄表'!$D$15:$R$1094,9,FALSE),"-")</f>
        <v>-</v>
      </c>
      <c r="I937" s="11" t="str">
        <f>IFERROR(VLOOKUP($B937,'(勿動)組件目錄表'!$D$15:$R$1094,10,FALSE),"-")</f>
        <v>-</v>
      </c>
      <c r="J937" s="11" t="str">
        <f>IFERROR(VLOOKUP($B937,'(勿動)組件目錄表'!$D$15:$R$1094,11,FALSE),"-")</f>
        <v>-</v>
      </c>
      <c r="K937" s="11" t="str">
        <f>IFERROR(VLOOKUP($B937,'(勿動)組件目錄表'!$D$15:$R$1094,12,FALSE),"-")</f>
        <v>-</v>
      </c>
      <c r="L937" s="11" t="str">
        <f>IFERROR(VLOOKUP($B937,'(勿動)組件目錄表'!$D$15:$R$1094,13,FALSE),"-")</f>
        <v>-</v>
      </c>
      <c r="M937" s="11" t="str">
        <f>IFERROR(VLOOKUP($B937,'(勿動)組件目錄表'!$D$15:$R$1094,14,FALSE),"-")</f>
        <v>-</v>
      </c>
      <c r="N937" s="15">
        <f t="shared" si="4"/>
        <v>0</v>
      </c>
      <c r="O937" s="16"/>
    </row>
    <row r="938" spans="1:15" ht="15.75" customHeight="1">
      <c r="A938" s="18"/>
      <c r="B938" s="7"/>
      <c r="C938" s="8" t="str">
        <f>IFERROR(VLOOKUP($B938,'(勿動)組件目錄表'!$D$15:$R$1094,2,FALSE),"-")</f>
        <v>-</v>
      </c>
      <c r="D938" s="8" t="str">
        <f>IFERROR(VLOOKUP($B938,'(勿動)組件目錄表'!$D$15:$R$1094,3,FALSE),"-")</f>
        <v>-</v>
      </c>
      <c r="E938" s="9" t="str">
        <f>IFERROR(VLOOKUP($B938,'(勿動)組件目錄表'!$D$15:$R$1094,4,FALSE),"-")</f>
        <v>-</v>
      </c>
      <c r="F938" s="10" t="str">
        <f>IFERROR(VLOOKUP($B938,'(勿動)組件目錄表'!$D$15:$R$1094,5,FALSE),"-")</f>
        <v>-</v>
      </c>
      <c r="G938" s="11" t="str">
        <f>IFERROR(VLOOKUP($B938,'(勿動)組件目錄表'!$D$15:$R$1094,8,FALSE),"-")</f>
        <v>-</v>
      </c>
      <c r="H938" s="11" t="str">
        <f>IFERROR(VLOOKUP($B938,'(勿動)組件目錄表'!$D$15:$R$1094,9,FALSE),"-")</f>
        <v>-</v>
      </c>
      <c r="I938" s="11" t="str">
        <f>IFERROR(VLOOKUP($B938,'(勿動)組件目錄表'!$D$15:$R$1094,10,FALSE),"-")</f>
        <v>-</v>
      </c>
      <c r="J938" s="11" t="str">
        <f>IFERROR(VLOOKUP($B938,'(勿動)組件目錄表'!$D$15:$R$1094,11,FALSE),"-")</f>
        <v>-</v>
      </c>
      <c r="K938" s="11" t="str">
        <f>IFERROR(VLOOKUP($B938,'(勿動)組件目錄表'!$D$15:$R$1094,12,FALSE),"-")</f>
        <v>-</v>
      </c>
      <c r="L938" s="11" t="str">
        <f>IFERROR(VLOOKUP($B938,'(勿動)組件目錄表'!$D$15:$R$1094,13,FALSE),"-")</f>
        <v>-</v>
      </c>
      <c r="M938" s="11" t="str">
        <f>IFERROR(VLOOKUP($B938,'(勿動)組件目錄表'!$D$15:$R$1094,14,FALSE),"-")</f>
        <v>-</v>
      </c>
      <c r="N938" s="15">
        <f t="shared" si="4"/>
        <v>0</v>
      </c>
      <c r="O938" s="16"/>
    </row>
    <row r="939" spans="1:15" ht="15.75" customHeight="1">
      <c r="A939" s="18"/>
      <c r="B939" s="7"/>
      <c r="C939" s="8" t="str">
        <f>IFERROR(VLOOKUP($B939,'(勿動)組件目錄表'!$D$15:$R$1094,2,FALSE),"-")</f>
        <v>-</v>
      </c>
      <c r="D939" s="8" t="str">
        <f>IFERROR(VLOOKUP($B939,'(勿動)組件目錄表'!$D$15:$R$1094,3,FALSE),"-")</f>
        <v>-</v>
      </c>
      <c r="E939" s="9" t="str">
        <f>IFERROR(VLOOKUP($B939,'(勿動)組件目錄表'!$D$15:$R$1094,4,FALSE),"-")</f>
        <v>-</v>
      </c>
      <c r="F939" s="10" t="str">
        <f>IFERROR(VLOOKUP($B939,'(勿動)組件目錄表'!$D$15:$R$1094,5,FALSE),"-")</f>
        <v>-</v>
      </c>
      <c r="G939" s="11" t="str">
        <f>IFERROR(VLOOKUP($B939,'(勿動)組件目錄表'!$D$15:$R$1094,8,FALSE),"-")</f>
        <v>-</v>
      </c>
      <c r="H939" s="11" t="str">
        <f>IFERROR(VLOOKUP($B939,'(勿動)組件目錄表'!$D$15:$R$1094,9,FALSE),"-")</f>
        <v>-</v>
      </c>
      <c r="I939" s="11" t="str">
        <f>IFERROR(VLOOKUP($B939,'(勿動)組件目錄表'!$D$15:$R$1094,10,FALSE),"-")</f>
        <v>-</v>
      </c>
      <c r="J939" s="11" t="str">
        <f>IFERROR(VLOOKUP($B939,'(勿動)組件目錄表'!$D$15:$R$1094,11,FALSE),"-")</f>
        <v>-</v>
      </c>
      <c r="K939" s="11" t="str">
        <f>IFERROR(VLOOKUP($B939,'(勿動)組件目錄表'!$D$15:$R$1094,12,FALSE),"-")</f>
        <v>-</v>
      </c>
      <c r="L939" s="11" t="str">
        <f>IFERROR(VLOOKUP($B939,'(勿動)組件目錄表'!$D$15:$R$1094,13,FALSE),"-")</f>
        <v>-</v>
      </c>
      <c r="M939" s="11" t="str">
        <f>IFERROR(VLOOKUP($B939,'(勿動)組件目錄表'!$D$15:$R$1094,14,FALSE),"-")</f>
        <v>-</v>
      </c>
      <c r="N939" s="15">
        <f t="shared" si="4"/>
        <v>0</v>
      </c>
      <c r="O939" s="16"/>
    </row>
    <row r="940" spans="1:15" ht="15.75" customHeight="1">
      <c r="A940" s="18"/>
      <c r="B940" s="7"/>
      <c r="C940" s="8" t="str">
        <f>IFERROR(VLOOKUP($B940,'(勿動)組件目錄表'!$D$15:$R$1094,2,FALSE),"-")</f>
        <v>-</v>
      </c>
      <c r="D940" s="8" t="str">
        <f>IFERROR(VLOOKUP($B940,'(勿動)組件目錄表'!$D$15:$R$1094,3,FALSE),"-")</f>
        <v>-</v>
      </c>
      <c r="E940" s="9" t="str">
        <f>IFERROR(VLOOKUP($B940,'(勿動)組件目錄表'!$D$15:$R$1094,4,FALSE),"-")</f>
        <v>-</v>
      </c>
      <c r="F940" s="10" t="str">
        <f>IFERROR(VLOOKUP($B940,'(勿動)組件目錄表'!$D$15:$R$1094,5,FALSE),"-")</f>
        <v>-</v>
      </c>
      <c r="G940" s="11" t="str">
        <f>IFERROR(VLOOKUP($B940,'(勿動)組件目錄表'!$D$15:$R$1094,8,FALSE),"-")</f>
        <v>-</v>
      </c>
      <c r="H940" s="11" t="str">
        <f>IFERROR(VLOOKUP($B940,'(勿動)組件目錄表'!$D$15:$R$1094,9,FALSE),"-")</f>
        <v>-</v>
      </c>
      <c r="I940" s="11" t="str">
        <f>IFERROR(VLOOKUP($B940,'(勿動)組件目錄表'!$D$15:$R$1094,10,FALSE),"-")</f>
        <v>-</v>
      </c>
      <c r="J940" s="11" t="str">
        <f>IFERROR(VLOOKUP($B940,'(勿動)組件目錄表'!$D$15:$R$1094,11,FALSE),"-")</f>
        <v>-</v>
      </c>
      <c r="K940" s="11" t="str">
        <f>IFERROR(VLOOKUP($B940,'(勿動)組件目錄表'!$D$15:$R$1094,12,FALSE),"-")</f>
        <v>-</v>
      </c>
      <c r="L940" s="11" t="str">
        <f>IFERROR(VLOOKUP($B940,'(勿動)組件目錄表'!$D$15:$R$1094,13,FALSE),"-")</f>
        <v>-</v>
      </c>
      <c r="M940" s="11" t="str">
        <f>IFERROR(VLOOKUP($B940,'(勿動)組件目錄表'!$D$15:$R$1094,14,FALSE),"-")</f>
        <v>-</v>
      </c>
      <c r="N940" s="15">
        <f t="shared" si="4"/>
        <v>0</v>
      </c>
      <c r="O940" s="16"/>
    </row>
    <row r="941" spans="1:15" ht="15.75" customHeight="1">
      <c r="A941" s="18"/>
      <c r="B941" s="7"/>
      <c r="C941" s="8" t="str">
        <f>IFERROR(VLOOKUP($B941,'(勿動)組件目錄表'!$D$15:$R$1094,2,FALSE),"-")</f>
        <v>-</v>
      </c>
      <c r="D941" s="8" t="str">
        <f>IFERROR(VLOOKUP($B941,'(勿動)組件目錄表'!$D$15:$R$1094,3,FALSE),"-")</f>
        <v>-</v>
      </c>
      <c r="E941" s="9" t="str">
        <f>IFERROR(VLOOKUP($B941,'(勿動)組件目錄表'!$D$15:$R$1094,4,FALSE),"-")</f>
        <v>-</v>
      </c>
      <c r="F941" s="10" t="str">
        <f>IFERROR(VLOOKUP($B941,'(勿動)組件目錄表'!$D$15:$R$1094,5,FALSE),"-")</f>
        <v>-</v>
      </c>
      <c r="G941" s="11" t="str">
        <f>IFERROR(VLOOKUP($B941,'(勿動)組件目錄表'!$D$15:$R$1094,8,FALSE),"-")</f>
        <v>-</v>
      </c>
      <c r="H941" s="11" t="str">
        <f>IFERROR(VLOOKUP($B941,'(勿動)組件目錄表'!$D$15:$R$1094,9,FALSE),"-")</f>
        <v>-</v>
      </c>
      <c r="I941" s="11" t="str">
        <f>IFERROR(VLOOKUP($B941,'(勿動)組件目錄表'!$D$15:$R$1094,10,FALSE),"-")</f>
        <v>-</v>
      </c>
      <c r="J941" s="11" t="str">
        <f>IFERROR(VLOOKUP($B941,'(勿動)組件目錄表'!$D$15:$R$1094,11,FALSE),"-")</f>
        <v>-</v>
      </c>
      <c r="K941" s="11" t="str">
        <f>IFERROR(VLOOKUP($B941,'(勿動)組件目錄表'!$D$15:$R$1094,12,FALSE),"-")</f>
        <v>-</v>
      </c>
      <c r="L941" s="11" t="str">
        <f>IFERROR(VLOOKUP($B941,'(勿動)組件目錄表'!$D$15:$R$1094,13,FALSE),"-")</f>
        <v>-</v>
      </c>
      <c r="M941" s="11" t="str">
        <f>IFERROR(VLOOKUP($B941,'(勿動)組件目錄表'!$D$15:$R$1094,14,FALSE),"-")</f>
        <v>-</v>
      </c>
      <c r="N941" s="15">
        <f t="shared" si="4"/>
        <v>0</v>
      </c>
      <c r="O941" s="16"/>
    </row>
    <row r="942" spans="1:15" ht="15.75" customHeight="1">
      <c r="A942" s="18"/>
      <c r="B942" s="7"/>
      <c r="C942" s="8" t="str">
        <f>IFERROR(VLOOKUP($B942,'(勿動)組件目錄表'!$D$15:$R$1094,2,FALSE),"-")</f>
        <v>-</v>
      </c>
      <c r="D942" s="8" t="str">
        <f>IFERROR(VLOOKUP($B942,'(勿動)組件目錄表'!$D$15:$R$1094,3,FALSE),"-")</f>
        <v>-</v>
      </c>
      <c r="E942" s="9" t="str">
        <f>IFERROR(VLOOKUP($B942,'(勿動)組件目錄表'!$D$15:$R$1094,4,FALSE),"-")</f>
        <v>-</v>
      </c>
      <c r="F942" s="10" t="str">
        <f>IFERROR(VLOOKUP($B942,'(勿動)組件目錄表'!$D$15:$R$1094,5,FALSE),"-")</f>
        <v>-</v>
      </c>
      <c r="G942" s="11" t="str">
        <f>IFERROR(VLOOKUP($B942,'(勿動)組件目錄表'!$D$15:$R$1094,8,FALSE),"-")</f>
        <v>-</v>
      </c>
      <c r="H942" s="11" t="str">
        <f>IFERROR(VLOOKUP($B942,'(勿動)組件目錄表'!$D$15:$R$1094,9,FALSE),"-")</f>
        <v>-</v>
      </c>
      <c r="I942" s="11" t="str">
        <f>IFERROR(VLOOKUP($B942,'(勿動)組件目錄表'!$D$15:$R$1094,10,FALSE),"-")</f>
        <v>-</v>
      </c>
      <c r="J942" s="11" t="str">
        <f>IFERROR(VLOOKUP($B942,'(勿動)組件目錄表'!$D$15:$R$1094,11,FALSE),"-")</f>
        <v>-</v>
      </c>
      <c r="K942" s="11" t="str">
        <f>IFERROR(VLOOKUP($B942,'(勿動)組件目錄表'!$D$15:$R$1094,12,FALSE),"-")</f>
        <v>-</v>
      </c>
      <c r="L942" s="11" t="str">
        <f>IFERROR(VLOOKUP($B942,'(勿動)組件目錄表'!$D$15:$R$1094,13,FALSE),"-")</f>
        <v>-</v>
      </c>
      <c r="M942" s="11" t="str">
        <f>IFERROR(VLOOKUP($B942,'(勿動)組件目錄表'!$D$15:$R$1094,14,FALSE),"-")</f>
        <v>-</v>
      </c>
      <c r="N942" s="15">
        <f t="shared" si="4"/>
        <v>0</v>
      </c>
      <c r="O942" s="16"/>
    </row>
    <row r="943" spans="1:15" ht="15.75" customHeight="1">
      <c r="A943" s="18"/>
      <c r="B943" s="7"/>
      <c r="C943" s="8" t="str">
        <f>IFERROR(VLOOKUP($B943,'(勿動)組件目錄表'!$D$15:$R$1094,2,FALSE),"-")</f>
        <v>-</v>
      </c>
      <c r="D943" s="8" t="str">
        <f>IFERROR(VLOOKUP($B943,'(勿動)組件目錄表'!$D$15:$R$1094,3,FALSE),"-")</f>
        <v>-</v>
      </c>
      <c r="E943" s="9" t="str">
        <f>IFERROR(VLOOKUP($B943,'(勿動)組件目錄表'!$D$15:$R$1094,4,FALSE),"-")</f>
        <v>-</v>
      </c>
      <c r="F943" s="10" t="str">
        <f>IFERROR(VLOOKUP($B943,'(勿動)組件目錄表'!$D$15:$R$1094,5,FALSE),"-")</f>
        <v>-</v>
      </c>
      <c r="G943" s="11" t="str">
        <f>IFERROR(VLOOKUP($B943,'(勿動)組件目錄表'!$D$15:$R$1094,8,FALSE),"-")</f>
        <v>-</v>
      </c>
      <c r="H943" s="11" t="str">
        <f>IFERROR(VLOOKUP($B943,'(勿動)組件目錄表'!$D$15:$R$1094,9,FALSE),"-")</f>
        <v>-</v>
      </c>
      <c r="I943" s="11" t="str">
        <f>IFERROR(VLOOKUP($B943,'(勿動)組件目錄表'!$D$15:$R$1094,10,FALSE),"-")</f>
        <v>-</v>
      </c>
      <c r="J943" s="11" t="str">
        <f>IFERROR(VLOOKUP($B943,'(勿動)組件目錄表'!$D$15:$R$1094,11,FALSE),"-")</f>
        <v>-</v>
      </c>
      <c r="K943" s="11" t="str">
        <f>IFERROR(VLOOKUP($B943,'(勿動)組件目錄表'!$D$15:$R$1094,12,FALSE),"-")</f>
        <v>-</v>
      </c>
      <c r="L943" s="11" t="str">
        <f>IFERROR(VLOOKUP($B943,'(勿動)組件目錄表'!$D$15:$R$1094,13,FALSE),"-")</f>
        <v>-</v>
      </c>
      <c r="M943" s="11" t="str">
        <f>IFERROR(VLOOKUP($B943,'(勿動)組件目錄表'!$D$15:$R$1094,14,FALSE),"-")</f>
        <v>-</v>
      </c>
      <c r="N943" s="15">
        <f t="shared" si="4"/>
        <v>0</v>
      </c>
      <c r="O943" s="16"/>
    </row>
    <row r="944" spans="1:15" ht="15.75" customHeight="1">
      <c r="A944" s="18"/>
      <c r="B944" s="7"/>
      <c r="C944" s="8" t="str">
        <f>IFERROR(VLOOKUP($B944,'(勿動)組件目錄表'!$D$15:$R$1094,2,FALSE),"-")</f>
        <v>-</v>
      </c>
      <c r="D944" s="8" t="str">
        <f>IFERROR(VLOOKUP($B944,'(勿動)組件目錄表'!$D$15:$R$1094,3,FALSE),"-")</f>
        <v>-</v>
      </c>
      <c r="E944" s="9" t="str">
        <f>IFERROR(VLOOKUP($B944,'(勿動)組件目錄表'!$D$15:$R$1094,4,FALSE),"-")</f>
        <v>-</v>
      </c>
      <c r="F944" s="10" t="str">
        <f>IFERROR(VLOOKUP($B944,'(勿動)組件目錄表'!$D$15:$R$1094,5,FALSE),"-")</f>
        <v>-</v>
      </c>
      <c r="G944" s="11" t="str">
        <f>IFERROR(VLOOKUP($B944,'(勿動)組件目錄表'!$D$15:$R$1094,8,FALSE),"-")</f>
        <v>-</v>
      </c>
      <c r="H944" s="11" t="str">
        <f>IFERROR(VLOOKUP($B944,'(勿動)組件目錄表'!$D$15:$R$1094,9,FALSE),"-")</f>
        <v>-</v>
      </c>
      <c r="I944" s="11" t="str">
        <f>IFERROR(VLOOKUP($B944,'(勿動)組件目錄表'!$D$15:$R$1094,10,FALSE),"-")</f>
        <v>-</v>
      </c>
      <c r="J944" s="11" t="str">
        <f>IFERROR(VLOOKUP($B944,'(勿動)組件目錄表'!$D$15:$R$1094,11,FALSE),"-")</f>
        <v>-</v>
      </c>
      <c r="K944" s="11" t="str">
        <f>IFERROR(VLOOKUP($B944,'(勿動)組件目錄表'!$D$15:$R$1094,12,FALSE),"-")</f>
        <v>-</v>
      </c>
      <c r="L944" s="11" t="str">
        <f>IFERROR(VLOOKUP($B944,'(勿動)組件目錄表'!$D$15:$R$1094,13,FALSE),"-")</f>
        <v>-</v>
      </c>
      <c r="M944" s="11" t="str">
        <f>IFERROR(VLOOKUP($B944,'(勿動)組件目錄表'!$D$15:$R$1094,14,FALSE),"-")</f>
        <v>-</v>
      </c>
      <c r="N944" s="15">
        <f t="shared" si="4"/>
        <v>0</v>
      </c>
      <c r="O944" s="16"/>
    </row>
    <row r="945" spans="1:15" ht="15.75" customHeight="1">
      <c r="A945" s="18"/>
      <c r="B945" s="7"/>
      <c r="C945" s="8" t="str">
        <f>IFERROR(VLOOKUP($B945,'(勿動)組件目錄表'!$D$15:$R$1094,2,FALSE),"-")</f>
        <v>-</v>
      </c>
      <c r="D945" s="8" t="str">
        <f>IFERROR(VLOOKUP($B945,'(勿動)組件目錄表'!$D$15:$R$1094,3,FALSE),"-")</f>
        <v>-</v>
      </c>
      <c r="E945" s="9" t="str">
        <f>IFERROR(VLOOKUP($B945,'(勿動)組件目錄表'!$D$15:$R$1094,4,FALSE),"-")</f>
        <v>-</v>
      </c>
      <c r="F945" s="10" t="str">
        <f>IFERROR(VLOOKUP($B945,'(勿動)組件目錄表'!$D$15:$R$1094,5,FALSE),"-")</f>
        <v>-</v>
      </c>
      <c r="G945" s="11" t="str">
        <f>IFERROR(VLOOKUP($B945,'(勿動)組件目錄表'!$D$15:$R$1094,8,FALSE),"-")</f>
        <v>-</v>
      </c>
      <c r="H945" s="11" t="str">
        <f>IFERROR(VLOOKUP($B945,'(勿動)組件目錄表'!$D$15:$R$1094,9,FALSE),"-")</f>
        <v>-</v>
      </c>
      <c r="I945" s="11" t="str">
        <f>IFERROR(VLOOKUP($B945,'(勿動)組件目錄表'!$D$15:$R$1094,10,FALSE),"-")</f>
        <v>-</v>
      </c>
      <c r="J945" s="11" t="str">
        <f>IFERROR(VLOOKUP($B945,'(勿動)組件目錄表'!$D$15:$R$1094,11,FALSE),"-")</f>
        <v>-</v>
      </c>
      <c r="K945" s="11" t="str">
        <f>IFERROR(VLOOKUP($B945,'(勿動)組件目錄表'!$D$15:$R$1094,12,FALSE),"-")</f>
        <v>-</v>
      </c>
      <c r="L945" s="11" t="str">
        <f>IFERROR(VLOOKUP($B945,'(勿動)組件目錄表'!$D$15:$R$1094,13,FALSE),"-")</f>
        <v>-</v>
      </c>
      <c r="M945" s="11" t="str">
        <f>IFERROR(VLOOKUP($B945,'(勿動)組件目錄表'!$D$15:$R$1094,14,FALSE),"-")</f>
        <v>-</v>
      </c>
      <c r="N945" s="15">
        <f t="shared" si="4"/>
        <v>0</v>
      </c>
      <c r="O945" s="16"/>
    </row>
    <row r="946" spans="1:15" ht="15.75" customHeight="1">
      <c r="A946" s="18"/>
      <c r="B946" s="7"/>
      <c r="C946" s="8" t="str">
        <f>IFERROR(VLOOKUP($B946,'(勿動)組件目錄表'!$D$15:$R$1094,2,FALSE),"-")</f>
        <v>-</v>
      </c>
      <c r="D946" s="8" t="str">
        <f>IFERROR(VLOOKUP($B946,'(勿動)組件目錄表'!$D$15:$R$1094,3,FALSE),"-")</f>
        <v>-</v>
      </c>
      <c r="E946" s="9" t="str">
        <f>IFERROR(VLOOKUP($B946,'(勿動)組件目錄表'!$D$15:$R$1094,4,FALSE),"-")</f>
        <v>-</v>
      </c>
      <c r="F946" s="10" t="str">
        <f>IFERROR(VLOOKUP($B946,'(勿動)組件目錄表'!$D$15:$R$1094,5,FALSE),"-")</f>
        <v>-</v>
      </c>
      <c r="G946" s="11" t="str">
        <f>IFERROR(VLOOKUP($B946,'(勿動)組件目錄表'!$D$15:$R$1094,8,FALSE),"-")</f>
        <v>-</v>
      </c>
      <c r="H946" s="11" t="str">
        <f>IFERROR(VLOOKUP($B946,'(勿動)組件目錄表'!$D$15:$R$1094,9,FALSE),"-")</f>
        <v>-</v>
      </c>
      <c r="I946" s="11" t="str">
        <f>IFERROR(VLOOKUP($B946,'(勿動)組件目錄表'!$D$15:$R$1094,10,FALSE),"-")</f>
        <v>-</v>
      </c>
      <c r="J946" s="11" t="str">
        <f>IFERROR(VLOOKUP($B946,'(勿動)組件目錄表'!$D$15:$R$1094,11,FALSE),"-")</f>
        <v>-</v>
      </c>
      <c r="K946" s="11" t="str">
        <f>IFERROR(VLOOKUP($B946,'(勿動)組件目錄表'!$D$15:$R$1094,12,FALSE),"-")</f>
        <v>-</v>
      </c>
      <c r="L946" s="11" t="str">
        <f>IFERROR(VLOOKUP($B946,'(勿動)組件目錄表'!$D$15:$R$1094,13,FALSE),"-")</f>
        <v>-</v>
      </c>
      <c r="M946" s="11" t="str">
        <f>IFERROR(VLOOKUP($B946,'(勿動)組件目錄表'!$D$15:$R$1094,14,FALSE),"-")</f>
        <v>-</v>
      </c>
      <c r="N946" s="15">
        <f t="shared" si="4"/>
        <v>0</v>
      </c>
      <c r="O946" s="16"/>
    </row>
    <row r="947" spans="1:15" ht="15.75" customHeight="1">
      <c r="A947" s="18"/>
      <c r="B947" s="7"/>
      <c r="C947" s="8" t="str">
        <f>IFERROR(VLOOKUP($B947,'(勿動)組件目錄表'!$D$15:$R$1094,2,FALSE),"-")</f>
        <v>-</v>
      </c>
      <c r="D947" s="8" t="str">
        <f>IFERROR(VLOOKUP($B947,'(勿動)組件目錄表'!$D$15:$R$1094,3,FALSE),"-")</f>
        <v>-</v>
      </c>
      <c r="E947" s="9" t="str">
        <f>IFERROR(VLOOKUP($B947,'(勿動)組件目錄表'!$D$15:$R$1094,4,FALSE),"-")</f>
        <v>-</v>
      </c>
      <c r="F947" s="10" t="str">
        <f>IFERROR(VLOOKUP($B947,'(勿動)組件目錄表'!$D$15:$R$1094,5,FALSE),"-")</f>
        <v>-</v>
      </c>
      <c r="G947" s="11" t="str">
        <f>IFERROR(VLOOKUP($B947,'(勿動)組件目錄表'!$D$15:$R$1094,8,FALSE),"-")</f>
        <v>-</v>
      </c>
      <c r="H947" s="11" t="str">
        <f>IFERROR(VLOOKUP($B947,'(勿動)組件目錄表'!$D$15:$R$1094,9,FALSE),"-")</f>
        <v>-</v>
      </c>
      <c r="I947" s="11" t="str">
        <f>IFERROR(VLOOKUP($B947,'(勿動)組件目錄表'!$D$15:$R$1094,10,FALSE),"-")</f>
        <v>-</v>
      </c>
      <c r="J947" s="11" t="str">
        <f>IFERROR(VLOOKUP($B947,'(勿動)組件目錄表'!$D$15:$R$1094,11,FALSE),"-")</f>
        <v>-</v>
      </c>
      <c r="K947" s="11" t="str">
        <f>IFERROR(VLOOKUP($B947,'(勿動)組件目錄表'!$D$15:$R$1094,12,FALSE),"-")</f>
        <v>-</v>
      </c>
      <c r="L947" s="11" t="str">
        <f>IFERROR(VLOOKUP($B947,'(勿動)組件目錄表'!$D$15:$R$1094,13,FALSE),"-")</f>
        <v>-</v>
      </c>
      <c r="M947" s="11" t="str">
        <f>IFERROR(VLOOKUP($B947,'(勿動)組件目錄表'!$D$15:$R$1094,14,FALSE),"-")</f>
        <v>-</v>
      </c>
      <c r="N947" s="15">
        <f t="shared" si="4"/>
        <v>0</v>
      </c>
      <c r="O947" s="16"/>
    </row>
    <row r="948" spans="1:15" ht="15.75" customHeight="1">
      <c r="A948" s="18"/>
      <c r="B948" s="7"/>
      <c r="C948" s="8" t="str">
        <f>IFERROR(VLOOKUP($B948,'(勿動)組件目錄表'!$D$15:$R$1094,2,FALSE),"-")</f>
        <v>-</v>
      </c>
      <c r="D948" s="8" t="str">
        <f>IFERROR(VLOOKUP($B948,'(勿動)組件目錄表'!$D$15:$R$1094,3,FALSE),"-")</f>
        <v>-</v>
      </c>
      <c r="E948" s="9" t="str">
        <f>IFERROR(VLOOKUP($B948,'(勿動)組件目錄表'!$D$15:$R$1094,4,FALSE),"-")</f>
        <v>-</v>
      </c>
      <c r="F948" s="10" t="str">
        <f>IFERROR(VLOOKUP($B948,'(勿動)組件目錄表'!$D$15:$R$1094,5,FALSE),"-")</f>
        <v>-</v>
      </c>
      <c r="G948" s="11" t="str">
        <f>IFERROR(VLOOKUP($B948,'(勿動)組件目錄表'!$D$15:$R$1094,8,FALSE),"-")</f>
        <v>-</v>
      </c>
      <c r="H948" s="11" t="str">
        <f>IFERROR(VLOOKUP($B948,'(勿動)組件目錄表'!$D$15:$R$1094,9,FALSE),"-")</f>
        <v>-</v>
      </c>
      <c r="I948" s="11" t="str">
        <f>IFERROR(VLOOKUP($B948,'(勿動)組件目錄表'!$D$15:$R$1094,10,FALSE),"-")</f>
        <v>-</v>
      </c>
      <c r="J948" s="11" t="str">
        <f>IFERROR(VLOOKUP($B948,'(勿動)組件目錄表'!$D$15:$R$1094,11,FALSE),"-")</f>
        <v>-</v>
      </c>
      <c r="K948" s="11" t="str">
        <f>IFERROR(VLOOKUP($B948,'(勿動)組件目錄表'!$D$15:$R$1094,12,FALSE),"-")</f>
        <v>-</v>
      </c>
      <c r="L948" s="11" t="str">
        <f>IFERROR(VLOOKUP($B948,'(勿動)組件目錄表'!$D$15:$R$1094,13,FALSE),"-")</f>
        <v>-</v>
      </c>
      <c r="M948" s="11" t="str">
        <f>IFERROR(VLOOKUP($B948,'(勿動)組件目錄表'!$D$15:$R$1094,14,FALSE),"-")</f>
        <v>-</v>
      </c>
      <c r="N948" s="15">
        <f t="shared" si="4"/>
        <v>0</v>
      </c>
      <c r="O948" s="16"/>
    </row>
    <row r="949" spans="1:15" ht="15.75" customHeight="1">
      <c r="A949" s="18"/>
      <c r="B949" s="7"/>
      <c r="C949" s="8" t="str">
        <f>IFERROR(VLOOKUP($B949,'(勿動)組件目錄表'!$D$15:$R$1094,2,FALSE),"-")</f>
        <v>-</v>
      </c>
      <c r="D949" s="8" t="str">
        <f>IFERROR(VLOOKUP($B949,'(勿動)組件目錄表'!$D$15:$R$1094,3,FALSE),"-")</f>
        <v>-</v>
      </c>
      <c r="E949" s="9" t="str">
        <f>IFERROR(VLOOKUP($B949,'(勿動)組件目錄表'!$D$15:$R$1094,4,FALSE),"-")</f>
        <v>-</v>
      </c>
      <c r="F949" s="10" t="str">
        <f>IFERROR(VLOOKUP($B949,'(勿動)組件目錄表'!$D$15:$R$1094,5,FALSE),"-")</f>
        <v>-</v>
      </c>
      <c r="G949" s="11" t="str">
        <f>IFERROR(VLOOKUP($B949,'(勿動)組件目錄表'!$D$15:$R$1094,8,FALSE),"-")</f>
        <v>-</v>
      </c>
      <c r="H949" s="11" t="str">
        <f>IFERROR(VLOOKUP($B949,'(勿動)組件目錄表'!$D$15:$R$1094,9,FALSE),"-")</f>
        <v>-</v>
      </c>
      <c r="I949" s="11" t="str">
        <f>IFERROR(VLOOKUP($B949,'(勿動)組件目錄表'!$D$15:$R$1094,10,FALSE),"-")</f>
        <v>-</v>
      </c>
      <c r="J949" s="11" t="str">
        <f>IFERROR(VLOOKUP($B949,'(勿動)組件目錄表'!$D$15:$R$1094,11,FALSE),"-")</f>
        <v>-</v>
      </c>
      <c r="K949" s="11" t="str">
        <f>IFERROR(VLOOKUP($B949,'(勿動)組件目錄表'!$D$15:$R$1094,12,FALSE),"-")</f>
        <v>-</v>
      </c>
      <c r="L949" s="11" t="str">
        <f>IFERROR(VLOOKUP($B949,'(勿動)組件目錄表'!$D$15:$R$1094,13,FALSE),"-")</f>
        <v>-</v>
      </c>
      <c r="M949" s="11" t="str">
        <f>IFERROR(VLOOKUP($B949,'(勿動)組件目錄表'!$D$15:$R$1094,14,FALSE),"-")</f>
        <v>-</v>
      </c>
      <c r="N949" s="15">
        <f t="shared" si="4"/>
        <v>0</v>
      </c>
      <c r="O949" s="16"/>
    </row>
    <row r="950" spans="1:15" ht="15.75" customHeight="1">
      <c r="A950" s="18"/>
      <c r="B950" s="7"/>
      <c r="C950" s="8" t="str">
        <f>IFERROR(VLOOKUP($B950,'(勿動)組件目錄表'!$D$15:$R$1094,2,FALSE),"-")</f>
        <v>-</v>
      </c>
      <c r="D950" s="8" t="str">
        <f>IFERROR(VLOOKUP($B950,'(勿動)組件目錄表'!$D$15:$R$1094,3,FALSE),"-")</f>
        <v>-</v>
      </c>
      <c r="E950" s="9" t="str">
        <f>IFERROR(VLOOKUP($B950,'(勿動)組件目錄表'!$D$15:$R$1094,4,FALSE),"-")</f>
        <v>-</v>
      </c>
      <c r="F950" s="10" t="str">
        <f>IFERROR(VLOOKUP($B950,'(勿動)組件目錄表'!$D$15:$R$1094,5,FALSE),"-")</f>
        <v>-</v>
      </c>
      <c r="G950" s="11" t="str">
        <f>IFERROR(VLOOKUP($B950,'(勿動)組件目錄表'!$D$15:$R$1094,8,FALSE),"-")</f>
        <v>-</v>
      </c>
      <c r="H950" s="11" t="str">
        <f>IFERROR(VLOOKUP($B950,'(勿動)組件目錄表'!$D$15:$R$1094,9,FALSE),"-")</f>
        <v>-</v>
      </c>
      <c r="I950" s="11" t="str">
        <f>IFERROR(VLOOKUP($B950,'(勿動)組件目錄表'!$D$15:$R$1094,10,FALSE),"-")</f>
        <v>-</v>
      </c>
      <c r="J950" s="11" t="str">
        <f>IFERROR(VLOOKUP($B950,'(勿動)組件目錄表'!$D$15:$R$1094,11,FALSE),"-")</f>
        <v>-</v>
      </c>
      <c r="K950" s="11" t="str">
        <f>IFERROR(VLOOKUP($B950,'(勿動)組件目錄表'!$D$15:$R$1094,12,FALSE),"-")</f>
        <v>-</v>
      </c>
      <c r="L950" s="11" t="str">
        <f>IFERROR(VLOOKUP($B950,'(勿動)組件目錄表'!$D$15:$R$1094,13,FALSE),"-")</f>
        <v>-</v>
      </c>
      <c r="M950" s="11" t="str">
        <f>IFERROR(VLOOKUP($B950,'(勿動)組件目錄表'!$D$15:$R$1094,14,FALSE),"-")</f>
        <v>-</v>
      </c>
      <c r="N950" s="15">
        <f t="shared" si="4"/>
        <v>0</v>
      </c>
      <c r="O950" s="16"/>
    </row>
    <row r="951" spans="1:15" ht="15.75" customHeight="1">
      <c r="A951" s="18"/>
      <c r="B951" s="7"/>
      <c r="C951" s="8" t="str">
        <f>IFERROR(VLOOKUP($B951,'(勿動)組件目錄表'!$D$15:$R$1094,2,FALSE),"-")</f>
        <v>-</v>
      </c>
      <c r="D951" s="8" t="str">
        <f>IFERROR(VLOOKUP($B951,'(勿動)組件目錄表'!$D$15:$R$1094,3,FALSE),"-")</f>
        <v>-</v>
      </c>
      <c r="E951" s="9" t="str">
        <f>IFERROR(VLOOKUP($B951,'(勿動)組件目錄表'!$D$15:$R$1094,4,FALSE),"-")</f>
        <v>-</v>
      </c>
      <c r="F951" s="10" t="str">
        <f>IFERROR(VLOOKUP($B951,'(勿動)組件目錄表'!$D$15:$R$1094,5,FALSE),"-")</f>
        <v>-</v>
      </c>
      <c r="G951" s="11" t="str">
        <f>IFERROR(VLOOKUP($B951,'(勿動)組件目錄表'!$D$15:$R$1094,8,FALSE),"-")</f>
        <v>-</v>
      </c>
      <c r="H951" s="11" t="str">
        <f>IFERROR(VLOOKUP($B951,'(勿動)組件目錄表'!$D$15:$R$1094,9,FALSE),"-")</f>
        <v>-</v>
      </c>
      <c r="I951" s="11" t="str">
        <f>IFERROR(VLOOKUP($B951,'(勿動)組件目錄表'!$D$15:$R$1094,10,FALSE),"-")</f>
        <v>-</v>
      </c>
      <c r="J951" s="11" t="str">
        <f>IFERROR(VLOOKUP($B951,'(勿動)組件目錄表'!$D$15:$R$1094,11,FALSE),"-")</f>
        <v>-</v>
      </c>
      <c r="K951" s="11" t="str">
        <f>IFERROR(VLOOKUP($B951,'(勿動)組件目錄表'!$D$15:$R$1094,12,FALSE),"-")</f>
        <v>-</v>
      </c>
      <c r="L951" s="11" t="str">
        <f>IFERROR(VLOOKUP($B951,'(勿動)組件目錄表'!$D$15:$R$1094,13,FALSE),"-")</f>
        <v>-</v>
      </c>
      <c r="M951" s="11" t="str">
        <f>IFERROR(VLOOKUP($B951,'(勿動)組件目錄表'!$D$15:$R$1094,14,FALSE),"-")</f>
        <v>-</v>
      </c>
      <c r="N951" s="15">
        <f t="shared" si="4"/>
        <v>0</v>
      </c>
      <c r="O951" s="16"/>
    </row>
    <row r="952" spans="1:15" ht="15.75" customHeight="1">
      <c r="A952" s="18"/>
      <c r="B952" s="7"/>
      <c r="C952" s="8" t="str">
        <f>IFERROR(VLOOKUP($B952,'(勿動)組件目錄表'!$D$15:$R$1094,2,FALSE),"-")</f>
        <v>-</v>
      </c>
      <c r="D952" s="8" t="str">
        <f>IFERROR(VLOOKUP($B952,'(勿動)組件目錄表'!$D$15:$R$1094,3,FALSE),"-")</f>
        <v>-</v>
      </c>
      <c r="E952" s="9" t="str">
        <f>IFERROR(VLOOKUP($B952,'(勿動)組件目錄表'!$D$15:$R$1094,4,FALSE),"-")</f>
        <v>-</v>
      </c>
      <c r="F952" s="10" t="str">
        <f>IFERROR(VLOOKUP($B952,'(勿動)組件目錄表'!$D$15:$R$1094,5,FALSE),"-")</f>
        <v>-</v>
      </c>
      <c r="G952" s="11" t="str">
        <f>IFERROR(VLOOKUP($B952,'(勿動)組件目錄表'!$D$15:$R$1094,8,FALSE),"-")</f>
        <v>-</v>
      </c>
      <c r="H952" s="11" t="str">
        <f>IFERROR(VLOOKUP($B952,'(勿動)組件目錄表'!$D$15:$R$1094,9,FALSE),"-")</f>
        <v>-</v>
      </c>
      <c r="I952" s="11" t="str">
        <f>IFERROR(VLOOKUP($B952,'(勿動)組件目錄表'!$D$15:$R$1094,10,FALSE),"-")</f>
        <v>-</v>
      </c>
      <c r="J952" s="11" t="str">
        <f>IFERROR(VLOOKUP($B952,'(勿動)組件目錄表'!$D$15:$R$1094,11,FALSE),"-")</f>
        <v>-</v>
      </c>
      <c r="K952" s="11" t="str">
        <f>IFERROR(VLOOKUP($B952,'(勿動)組件目錄表'!$D$15:$R$1094,12,FALSE),"-")</f>
        <v>-</v>
      </c>
      <c r="L952" s="11" t="str">
        <f>IFERROR(VLOOKUP($B952,'(勿動)組件目錄表'!$D$15:$R$1094,13,FALSE),"-")</f>
        <v>-</v>
      </c>
      <c r="M952" s="11" t="str">
        <f>IFERROR(VLOOKUP($B952,'(勿動)組件目錄表'!$D$15:$R$1094,14,FALSE),"-")</f>
        <v>-</v>
      </c>
      <c r="N952" s="15">
        <f t="shared" si="4"/>
        <v>0</v>
      </c>
      <c r="O952" s="16"/>
    </row>
    <row r="953" spans="1:15" ht="15.75" customHeight="1">
      <c r="A953" s="18"/>
      <c r="B953" s="7"/>
      <c r="C953" s="8" t="str">
        <f>IFERROR(VLOOKUP($B953,'(勿動)組件目錄表'!$D$15:$R$1094,2,FALSE),"-")</f>
        <v>-</v>
      </c>
      <c r="D953" s="8" t="str">
        <f>IFERROR(VLOOKUP($B953,'(勿動)組件目錄表'!$D$15:$R$1094,3,FALSE),"-")</f>
        <v>-</v>
      </c>
      <c r="E953" s="9" t="str">
        <f>IFERROR(VLOOKUP($B953,'(勿動)組件目錄表'!$D$15:$R$1094,4,FALSE),"-")</f>
        <v>-</v>
      </c>
      <c r="F953" s="10" t="str">
        <f>IFERROR(VLOOKUP($B953,'(勿動)組件目錄表'!$D$15:$R$1094,5,FALSE),"-")</f>
        <v>-</v>
      </c>
      <c r="G953" s="11" t="str">
        <f>IFERROR(VLOOKUP($B953,'(勿動)組件目錄表'!$D$15:$R$1094,8,FALSE),"-")</f>
        <v>-</v>
      </c>
      <c r="H953" s="11" t="str">
        <f>IFERROR(VLOOKUP($B953,'(勿動)組件目錄表'!$D$15:$R$1094,9,FALSE),"-")</f>
        <v>-</v>
      </c>
      <c r="I953" s="11" t="str">
        <f>IFERROR(VLOOKUP($B953,'(勿動)組件目錄表'!$D$15:$R$1094,10,FALSE),"-")</f>
        <v>-</v>
      </c>
      <c r="J953" s="11" t="str">
        <f>IFERROR(VLOOKUP($B953,'(勿動)組件目錄表'!$D$15:$R$1094,11,FALSE),"-")</f>
        <v>-</v>
      </c>
      <c r="K953" s="11" t="str">
        <f>IFERROR(VLOOKUP($B953,'(勿動)組件目錄表'!$D$15:$R$1094,12,FALSE),"-")</f>
        <v>-</v>
      </c>
      <c r="L953" s="11" t="str">
        <f>IFERROR(VLOOKUP($B953,'(勿動)組件目錄表'!$D$15:$R$1094,13,FALSE),"-")</f>
        <v>-</v>
      </c>
      <c r="M953" s="11" t="str">
        <f>IFERROR(VLOOKUP($B953,'(勿動)組件目錄表'!$D$15:$R$1094,14,FALSE),"-")</f>
        <v>-</v>
      </c>
      <c r="N953" s="15">
        <f t="shared" si="4"/>
        <v>0</v>
      </c>
      <c r="O953" s="16"/>
    </row>
    <row r="954" spans="1:15" ht="15.75" customHeight="1">
      <c r="A954" s="18"/>
      <c r="B954" s="7"/>
      <c r="C954" s="8" t="str">
        <f>IFERROR(VLOOKUP($B954,'(勿動)組件目錄表'!$D$15:$R$1094,2,FALSE),"-")</f>
        <v>-</v>
      </c>
      <c r="D954" s="8" t="str">
        <f>IFERROR(VLOOKUP($B954,'(勿動)組件目錄表'!$D$15:$R$1094,3,FALSE),"-")</f>
        <v>-</v>
      </c>
      <c r="E954" s="9" t="str">
        <f>IFERROR(VLOOKUP($B954,'(勿動)組件目錄表'!$D$15:$R$1094,4,FALSE),"-")</f>
        <v>-</v>
      </c>
      <c r="F954" s="10" t="str">
        <f>IFERROR(VLOOKUP($B954,'(勿動)組件目錄表'!$D$15:$R$1094,5,FALSE),"-")</f>
        <v>-</v>
      </c>
      <c r="G954" s="11" t="str">
        <f>IFERROR(VLOOKUP($B954,'(勿動)組件目錄表'!$D$15:$R$1094,8,FALSE),"-")</f>
        <v>-</v>
      </c>
      <c r="H954" s="11" t="str">
        <f>IFERROR(VLOOKUP($B954,'(勿動)組件目錄表'!$D$15:$R$1094,9,FALSE),"-")</f>
        <v>-</v>
      </c>
      <c r="I954" s="11" t="str">
        <f>IFERROR(VLOOKUP($B954,'(勿動)組件目錄表'!$D$15:$R$1094,10,FALSE),"-")</f>
        <v>-</v>
      </c>
      <c r="J954" s="11" t="str">
        <f>IFERROR(VLOOKUP($B954,'(勿動)組件目錄表'!$D$15:$R$1094,11,FALSE),"-")</f>
        <v>-</v>
      </c>
      <c r="K954" s="11" t="str">
        <f>IFERROR(VLOOKUP($B954,'(勿動)組件目錄表'!$D$15:$R$1094,12,FALSE),"-")</f>
        <v>-</v>
      </c>
      <c r="L954" s="11" t="str">
        <f>IFERROR(VLOOKUP($B954,'(勿動)組件目錄表'!$D$15:$R$1094,13,FALSE),"-")</f>
        <v>-</v>
      </c>
      <c r="M954" s="11" t="str">
        <f>IFERROR(VLOOKUP($B954,'(勿動)組件目錄表'!$D$15:$R$1094,14,FALSE),"-")</f>
        <v>-</v>
      </c>
      <c r="N954" s="15">
        <f t="shared" si="4"/>
        <v>0</v>
      </c>
      <c r="O954" s="16"/>
    </row>
    <row r="955" spans="1:15" ht="15.75" customHeight="1">
      <c r="A955" s="18"/>
      <c r="B955" s="7"/>
      <c r="C955" s="8" t="str">
        <f>IFERROR(VLOOKUP($B955,'(勿動)組件目錄表'!$D$15:$R$1094,2,FALSE),"-")</f>
        <v>-</v>
      </c>
      <c r="D955" s="8" t="str">
        <f>IFERROR(VLOOKUP($B955,'(勿動)組件目錄表'!$D$15:$R$1094,3,FALSE),"-")</f>
        <v>-</v>
      </c>
      <c r="E955" s="9" t="str">
        <f>IFERROR(VLOOKUP($B955,'(勿動)組件目錄表'!$D$15:$R$1094,4,FALSE),"-")</f>
        <v>-</v>
      </c>
      <c r="F955" s="10" t="str">
        <f>IFERROR(VLOOKUP($B955,'(勿動)組件目錄表'!$D$15:$R$1094,5,FALSE),"-")</f>
        <v>-</v>
      </c>
      <c r="G955" s="11" t="str">
        <f>IFERROR(VLOOKUP($B955,'(勿動)組件目錄表'!$D$15:$R$1094,8,FALSE),"-")</f>
        <v>-</v>
      </c>
      <c r="H955" s="11" t="str">
        <f>IFERROR(VLOOKUP($B955,'(勿動)組件目錄表'!$D$15:$R$1094,9,FALSE),"-")</f>
        <v>-</v>
      </c>
      <c r="I955" s="11" t="str">
        <f>IFERROR(VLOOKUP($B955,'(勿動)組件目錄表'!$D$15:$R$1094,10,FALSE),"-")</f>
        <v>-</v>
      </c>
      <c r="J955" s="11" t="str">
        <f>IFERROR(VLOOKUP($B955,'(勿動)組件目錄表'!$D$15:$R$1094,11,FALSE),"-")</f>
        <v>-</v>
      </c>
      <c r="K955" s="11" t="str">
        <f>IFERROR(VLOOKUP($B955,'(勿動)組件目錄表'!$D$15:$R$1094,12,FALSE),"-")</f>
        <v>-</v>
      </c>
      <c r="L955" s="11" t="str">
        <f>IFERROR(VLOOKUP($B955,'(勿動)組件目錄表'!$D$15:$R$1094,13,FALSE),"-")</f>
        <v>-</v>
      </c>
      <c r="M955" s="11" t="str">
        <f>IFERROR(VLOOKUP($B955,'(勿動)組件目錄表'!$D$15:$R$1094,14,FALSE),"-")</f>
        <v>-</v>
      </c>
      <c r="N955" s="15">
        <f t="shared" si="4"/>
        <v>0</v>
      </c>
      <c r="O955" s="16"/>
    </row>
    <row r="956" spans="1:15" ht="15.75" customHeight="1">
      <c r="A956" s="18"/>
      <c r="B956" s="7"/>
      <c r="C956" s="8" t="str">
        <f>IFERROR(VLOOKUP($B956,'(勿動)組件目錄表'!$D$15:$R$1094,2,FALSE),"-")</f>
        <v>-</v>
      </c>
      <c r="D956" s="8" t="str">
        <f>IFERROR(VLOOKUP($B956,'(勿動)組件目錄表'!$D$15:$R$1094,3,FALSE),"-")</f>
        <v>-</v>
      </c>
      <c r="E956" s="9" t="str">
        <f>IFERROR(VLOOKUP($B956,'(勿動)組件目錄表'!$D$15:$R$1094,4,FALSE),"-")</f>
        <v>-</v>
      </c>
      <c r="F956" s="10" t="str">
        <f>IFERROR(VLOOKUP($B956,'(勿動)組件目錄表'!$D$15:$R$1094,5,FALSE),"-")</f>
        <v>-</v>
      </c>
      <c r="G956" s="11" t="str">
        <f>IFERROR(VLOOKUP($B956,'(勿動)組件目錄表'!$D$15:$R$1094,8,FALSE),"-")</f>
        <v>-</v>
      </c>
      <c r="H956" s="11" t="str">
        <f>IFERROR(VLOOKUP($B956,'(勿動)組件目錄表'!$D$15:$R$1094,9,FALSE),"-")</f>
        <v>-</v>
      </c>
      <c r="I956" s="11" t="str">
        <f>IFERROR(VLOOKUP($B956,'(勿動)組件目錄表'!$D$15:$R$1094,10,FALSE),"-")</f>
        <v>-</v>
      </c>
      <c r="J956" s="11" t="str">
        <f>IFERROR(VLOOKUP($B956,'(勿動)組件目錄表'!$D$15:$R$1094,11,FALSE),"-")</f>
        <v>-</v>
      </c>
      <c r="K956" s="11" t="str">
        <f>IFERROR(VLOOKUP($B956,'(勿動)組件目錄表'!$D$15:$R$1094,12,FALSE),"-")</f>
        <v>-</v>
      </c>
      <c r="L956" s="11" t="str">
        <f>IFERROR(VLOOKUP($B956,'(勿動)組件目錄表'!$D$15:$R$1094,13,FALSE),"-")</f>
        <v>-</v>
      </c>
      <c r="M956" s="11" t="str">
        <f>IFERROR(VLOOKUP($B956,'(勿動)組件目錄表'!$D$15:$R$1094,14,FALSE),"-")</f>
        <v>-</v>
      </c>
      <c r="N956" s="15">
        <f t="shared" si="4"/>
        <v>0</v>
      </c>
      <c r="O956" s="16"/>
    </row>
    <row r="957" spans="1:15" ht="15.75" customHeight="1">
      <c r="A957" s="18"/>
      <c r="B957" s="7"/>
      <c r="C957" s="8" t="str">
        <f>IFERROR(VLOOKUP($B957,'(勿動)組件目錄表'!$D$15:$R$1094,2,FALSE),"-")</f>
        <v>-</v>
      </c>
      <c r="D957" s="8" t="str">
        <f>IFERROR(VLOOKUP($B957,'(勿動)組件目錄表'!$D$15:$R$1094,3,FALSE),"-")</f>
        <v>-</v>
      </c>
      <c r="E957" s="9" t="str">
        <f>IFERROR(VLOOKUP($B957,'(勿動)組件目錄表'!$D$15:$R$1094,4,FALSE),"-")</f>
        <v>-</v>
      </c>
      <c r="F957" s="10" t="str">
        <f>IFERROR(VLOOKUP($B957,'(勿動)組件目錄表'!$D$15:$R$1094,5,FALSE),"-")</f>
        <v>-</v>
      </c>
      <c r="G957" s="11" t="str">
        <f>IFERROR(VLOOKUP($B957,'(勿動)組件目錄表'!$D$15:$R$1094,8,FALSE),"-")</f>
        <v>-</v>
      </c>
      <c r="H957" s="11" t="str">
        <f>IFERROR(VLOOKUP($B957,'(勿動)組件目錄表'!$D$15:$R$1094,9,FALSE),"-")</f>
        <v>-</v>
      </c>
      <c r="I957" s="11" t="str">
        <f>IFERROR(VLOOKUP($B957,'(勿動)組件目錄表'!$D$15:$R$1094,10,FALSE),"-")</f>
        <v>-</v>
      </c>
      <c r="J957" s="11" t="str">
        <f>IFERROR(VLOOKUP($B957,'(勿動)組件目錄表'!$D$15:$R$1094,11,FALSE),"-")</f>
        <v>-</v>
      </c>
      <c r="K957" s="11" t="str">
        <f>IFERROR(VLOOKUP($B957,'(勿動)組件目錄表'!$D$15:$R$1094,12,FALSE),"-")</f>
        <v>-</v>
      </c>
      <c r="L957" s="11" t="str">
        <f>IFERROR(VLOOKUP($B957,'(勿動)組件目錄表'!$D$15:$R$1094,13,FALSE),"-")</f>
        <v>-</v>
      </c>
      <c r="M957" s="11" t="str">
        <f>IFERROR(VLOOKUP($B957,'(勿動)組件目錄表'!$D$15:$R$1094,14,FALSE),"-")</f>
        <v>-</v>
      </c>
      <c r="N957" s="15">
        <f t="shared" si="4"/>
        <v>0</v>
      </c>
      <c r="O957" s="16"/>
    </row>
    <row r="958" spans="1:15" ht="15.75" customHeight="1">
      <c r="A958" s="18"/>
      <c r="B958" s="7"/>
      <c r="C958" s="8" t="str">
        <f>IFERROR(VLOOKUP($B958,'(勿動)組件目錄表'!$D$15:$R$1094,2,FALSE),"-")</f>
        <v>-</v>
      </c>
      <c r="D958" s="8" t="str">
        <f>IFERROR(VLOOKUP($B958,'(勿動)組件目錄表'!$D$15:$R$1094,3,FALSE),"-")</f>
        <v>-</v>
      </c>
      <c r="E958" s="9" t="str">
        <f>IFERROR(VLOOKUP($B958,'(勿動)組件目錄表'!$D$15:$R$1094,4,FALSE),"-")</f>
        <v>-</v>
      </c>
      <c r="F958" s="10" t="str">
        <f>IFERROR(VLOOKUP($B958,'(勿動)組件目錄表'!$D$15:$R$1094,5,FALSE),"-")</f>
        <v>-</v>
      </c>
      <c r="G958" s="11" t="str">
        <f>IFERROR(VLOOKUP($B958,'(勿動)組件目錄表'!$D$15:$R$1094,8,FALSE),"-")</f>
        <v>-</v>
      </c>
      <c r="H958" s="11" t="str">
        <f>IFERROR(VLOOKUP($B958,'(勿動)組件目錄表'!$D$15:$R$1094,9,FALSE),"-")</f>
        <v>-</v>
      </c>
      <c r="I958" s="11" t="str">
        <f>IFERROR(VLOOKUP($B958,'(勿動)組件目錄表'!$D$15:$R$1094,10,FALSE),"-")</f>
        <v>-</v>
      </c>
      <c r="J958" s="11" t="str">
        <f>IFERROR(VLOOKUP($B958,'(勿動)組件目錄表'!$D$15:$R$1094,11,FALSE),"-")</f>
        <v>-</v>
      </c>
      <c r="K958" s="11" t="str">
        <f>IFERROR(VLOOKUP($B958,'(勿動)組件目錄表'!$D$15:$R$1094,12,FALSE),"-")</f>
        <v>-</v>
      </c>
      <c r="L958" s="11" t="str">
        <f>IFERROR(VLOOKUP($B958,'(勿動)組件目錄表'!$D$15:$R$1094,13,FALSE),"-")</f>
        <v>-</v>
      </c>
      <c r="M958" s="11" t="str">
        <f>IFERROR(VLOOKUP($B958,'(勿動)組件目錄表'!$D$15:$R$1094,14,FALSE),"-")</f>
        <v>-</v>
      </c>
      <c r="N958" s="15">
        <f t="shared" si="4"/>
        <v>0</v>
      </c>
      <c r="O958" s="16"/>
    </row>
    <row r="959" spans="1:15" ht="15.75" customHeight="1">
      <c r="A959" s="18"/>
      <c r="B959" s="7"/>
      <c r="C959" s="8" t="str">
        <f>IFERROR(VLOOKUP($B959,'(勿動)組件目錄表'!$D$15:$R$1094,2,FALSE),"-")</f>
        <v>-</v>
      </c>
      <c r="D959" s="8" t="str">
        <f>IFERROR(VLOOKUP($B959,'(勿動)組件目錄表'!$D$15:$R$1094,3,FALSE),"-")</f>
        <v>-</v>
      </c>
      <c r="E959" s="9" t="str">
        <f>IFERROR(VLOOKUP($B959,'(勿動)組件目錄表'!$D$15:$R$1094,4,FALSE),"-")</f>
        <v>-</v>
      </c>
      <c r="F959" s="10" t="str">
        <f>IFERROR(VLOOKUP($B959,'(勿動)組件目錄表'!$D$15:$R$1094,5,FALSE),"-")</f>
        <v>-</v>
      </c>
      <c r="G959" s="11" t="str">
        <f>IFERROR(VLOOKUP($B959,'(勿動)組件目錄表'!$D$15:$R$1094,8,FALSE),"-")</f>
        <v>-</v>
      </c>
      <c r="H959" s="11" t="str">
        <f>IFERROR(VLOOKUP($B959,'(勿動)組件目錄表'!$D$15:$R$1094,9,FALSE),"-")</f>
        <v>-</v>
      </c>
      <c r="I959" s="11" t="str">
        <f>IFERROR(VLOOKUP($B959,'(勿動)組件目錄表'!$D$15:$R$1094,10,FALSE),"-")</f>
        <v>-</v>
      </c>
      <c r="J959" s="11" t="str">
        <f>IFERROR(VLOOKUP($B959,'(勿動)組件目錄表'!$D$15:$R$1094,11,FALSE),"-")</f>
        <v>-</v>
      </c>
      <c r="K959" s="11" t="str">
        <f>IFERROR(VLOOKUP($B959,'(勿動)組件目錄表'!$D$15:$R$1094,12,FALSE),"-")</f>
        <v>-</v>
      </c>
      <c r="L959" s="11" t="str">
        <f>IFERROR(VLOOKUP($B959,'(勿動)組件目錄表'!$D$15:$R$1094,13,FALSE),"-")</f>
        <v>-</v>
      </c>
      <c r="M959" s="11" t="str">
        <f>IFERROR(VLOOKUP($B959,'(勿動)組件目錄表'!$D$15:$R$1094,14,FALSE),"-")</f>
        <v>-</v>
      </c>
      <c r="N959" s="15">
        <f t="shared" si="4"/>
        <v>0</v>
      </c>
      <c r="O959" s="16"/>
    </row>
    <row r="960" spans="1:15" ht="15.75" customHeight="1">
      <c r="A960" s="18"/>
      <c r="B960" s="7"/>
      <c r="C960" s="8" t="str">
        <f>IFERROR(VLOOKUP($B960,'(勿動)組件目錄表'!$D$15:$R$1094,2,FALSE),"-")</f>
        <v>-</v>
      </c>
      <c r="D960" s="8" t="str">
        <f>IFERROR(VLOOKUP($B960,'(勿動)組件目錄表'!$D$15:$R$1094,3,FALSE),"-")</f>
        <v>-</v>
      </c>
      <c r="E960" s="9" t="str">
        <f>IFERROR(VLOOKUP($B960,'(勿動)組件目錄表'!$D$15:$R$1094,4,FALSE),"-")</f>
        <v>-</v>
      </c>
      <c r="F960" s="10" t="str">
        <f>IFERROR(VLOOKUP($B960,'(勿動)組件目錄表'!$D$15:$R$1094,5,FALSE),"-")</f>
        <v>-</v>
      </c>
      <c r="G960" s="11" t="str">
        <f>IFERROR(VLOOKUP($B960,'(勿動)組件目錄表'!$D$15:$R$1094,8,FALSE),"-")</f>
        <v>-</v>
      </c>
      <c r="H960" s="11" t="str">
        <f>IFERROR(VLOOKUP($B960,'(勿動)組件目錄表'!$D$15:$R$1094,9,FALSE),"-")</f>
        <v>-</v>
      </c>
      <c r="I960" s="11" t="str">
        <f>IFERROR(VLOOKUP($B960,'(勿動)組件目錄表'!$D$15:$R$1094,10,FALSE),"-")</f>
        <v>-</v>
      </c>
      <c r="J960" s="11" t="str">
        <f>IFERROR(VLOOKUP($B960,'(勿動)組件目錄表'!$D$15:$R$1094,11,FALSE),"-")</f>
        <v>-</v>
      </c>
      <c r="K960" s="11" t="str">
        <f>IFERROR(VLOOKUP($B960,'(勿動)組件目錄表'!$D$15:$R$1094,12,FALSE),"-")</f>
        <v>-</v>
      </c>
      <c r="L960" s="11" t="str">
        <f>IFERROR(VLOOKUP($B960,'(勿動)組件目錄表'!$D$15:$R$1094,13,FALSE),"-")</f>
        <v>-</v>
      </c>
      <c r="M960" s="11" t="str">
        <f>IFERROR(VLOOKUP($B960,'(勿動)組件目錄表'!$D$15:$R$1094,14,FALSE),"-")</f>
        <v>-</v>
      </c>
      <c r="N960" s="15">
        <f t="shared" si="4"/>
        <v>0</v>
      </c>
      <c r="O960" s="16"/>
    </row>
    <row r="961" spans="1:15" ht="15.75" customHeight="1">
      <c r="A961" s="18"/>
      <c r="B961" s="7"/>
      <c r="C961" s="8" t="str">
        <f>IFERROR(VLOOKUP($B961,'(勿動)組件目錄表'!$D$15:$R$1094,2,FALSE),"-")</f>
        <v>-</v>
      </c>
      <c r="D961" s="8" t="str">
        <f>IFERROR(VLOOKUP($B961,'(勿動)組件目錄表'!$D$15:$R$1094,3,FALSE),"-")</f>
        <v>-</v>
      </c>
      <c r="E961" s="9" t="str">
        <f>IFERROR(VLOOKUP($B961,'(勿動)組件目錄表'!$D$15:$R$1094,4,FALSE),"-")</f>
        <v>-</v>
      </c>
      <c r="F961" s="10" t="str">
        <f>IFERROR(VLOOKUP($B961,'(勿動)組件目錄表'!$D$15:$R$1094,5,FALSE),"-")</f>
        <v>-</v>
      </c>
      <c r="G961" s="11" t="str">
        <f>IFERROR(VLOOKUP($B961,'(勿動)組件目錄表'!$D$15:$R$1094,8,FALSE),"-")</f>
        <v>-</v>
      </c>
      <c r="H961" s="11" t="str">
        <f>IFERROR(VLOOKUP($B961,'(勿動)組件目錄表'!$D$15:$R$1094,9,FALSE),"-")</f>
        <v>-</v>
      </c>
      <c r="I961" s="11" t="str">
        <f>IFERROR(VLOOKUP($B961,'(勿動)組件目錄表'!$D$15:$R$1094,10,FALSE),"-")</f>
        <v>-</v>
      </c>
      <c r="J961" s="11" t="str">
        <f>IFERROR(VLOOKUP($B961,'(勿動)組件目錄表'!$D$15:$R$1094,11,FALSE),"-")</f>
        <v>-</v>
      </c>
      <c r="K961" s="11" t="str">
        <f>IFERROR(VLOOKUP($B961,'(勿動)組件目錄表'!$D$15:$R$1094,12,FALSE),"-")</f>
        <v>-</v>
      </c>
      <c r="L961" s="11" t="str">
        <f>IFERROR(VLOOKUP($B961,'(勿動)組件目錄表'!$D$15:$R$1094,13,FALSE),"-")</f>
        <v>-</v>
      </c>
      <c r="M961" s="11" t="str">
        <f>IFERROR(VLOOKUP($B961,'(勿動)組件目錄表'!$D$15:$R$1094,14,FALSE),"-")</f>
        <v>-</v>
      </c>
      <c r="N961" s="15">
        <f t="shared" si="4"/>
        <v>0</v>
      </c>
      <c r="O961" s="16"/>
    </row>
    <row r="962" spans="1:15" ht="15.75" customHeight="1">
      <c r="A962" s="18"/>
      <c r="B962" s="7"/>
      <c r="C962" s="8" t="str">
        <f>IFERROR(VLOOKUP($B962,'(勿動)組件目錄表'!$D$15:$R$1094,2,FALSE),"-")</f>
        <v>-</v>
      </c>
      <c r="D962" s="8" t="str">
        <f>IFERROR(VLOOKUP($B962,'(勿動)組件目錄表'!$D$15:$R$1094,3,FALSE),"-")</f>
        <v>-</v>
      </c>
      <c r="E962" s="9" t="str">
        <f>IFERROR(VLOOKUP($B962,'(勿動)組件目錄表'!$D$15:$R$1094,4,FALSE),"-")</f>
        <v>-</v>
      </c>
      <c r="F962" s="10" t="str">
        <f>IFERROR(VLOOKUP($B962,'(勿動)組件目錄表'!$D$15:$R$1094,5,FALSE),"-")</f>
        <v>-</v>
      </c>
      <c r="G962" s="11" t="str">
        <f>IFERROR(VLOOKUP($B962,'(勿動)組件目錄表'!$D$15:$R$1094,8,FALSE),"-")</f>
        <v>-</v>
      </c>
      <c r="H962" s="11" t="str">
        <f>IFERROR(VLOOKUP($B962,'(勿動)組件目錄表'!$D$15:$R$1094,9,FALSE),"-")</f>
        <v>-</v>
      </c>
      <c r="I962" s="11" t="str">
        <f>IFERROR(VLOOKUP($B962,'(勿動)組件目錄表'!$D$15:$R$1094,10,FALSE),"-")</f>
        <v>-</v>
      </c>
      <c r="J962" s="11" t="str">
        <f>IFERROR(VLOOKUP($B962,'(勿動)組件目錄表'!$D$15:$R$1094,11,FALSE),"-")</f>
        <v>-</v>
      </c>
      <c r="K962" s="11" t="str">
        <f>IFERROR(VLOOKUP($B962,'(勿動)組件目錄表'!$D$15:$R$1094,12,FALSE),"-")</f>
        <v>-</v>
      </c>
      <c r="L962" s="11" t="str">
        <f>IFERROR(VLOOKUP($B962,'(勿動)組件目錄表'!$D$15:$R$1094,13,FALSE),"-")</f>
        <v>-</v>
      </c>
      <c r="M962" s="11" t="str">
        <f>IFERROR(VLOOKUP($B962,'(勿動)組件目錄表'!$D$15:$R$1094,14,FALSE),"-")</f>
        <v>-</v>
      </c>
      <c r="N962" s="15">
        <f t="shared" si="4"/>
        <v>0</v>
      </c>
      <c r="O962" s="16"/>
    </row>
    <row r="963" spans="1:15" ht="15.75" customHeight="1">
      <c r="A963" s="18"/>
      <c r="B963" s="7"/>
      <c r="C963" s="8" t="str">
        <f>IFERROR(VLOOKUP($B963,'(勿動)組件目錄表'!$D$15:$R$1094,2,FALSE),"-")</f>
        <v>-</v>
      </c>
      <c r="D963" s="8" t="str">
        <f>IFERROR(VLOOKUP($B963,'(勿動)組件目錄表'!$D$15:$R$1094,3,FALSE),"-")</f>
        <v>-</v>
      </c>
      <c r="E963" s="9" t="str">
        <f>IFERROR(VLOOKUP($B963,'(勿動)組件目錄表'!$D$15:$R$1094,4,FALSE),"-")</f>
        <v>-</v>
      </c>
      <c r="F963" s="10" t="str">
        <f>IFERROR(VLOOKUP($B963,'(勿動)組件目錄表'!$D$15:$R$1094,5,FALSE),"-")</f>
        <v>-</v>
      </c>
      <c r="G963" s="11" t="str">
        <f>IFERROR(VLOOKUP($B963,'(勿動)組件目錄表'!$D$15:$R$1094,8,FALSE),"-")</f>
        <v>-</v>
      </c>
      <c r="H963" s="11" t="str">
        <f>IFERROR(VLOOKUP($B963,'(勿動)組件目錄表'!$D$15:$R$1094,9,FALSE),"-")</f>
        <v>-</v>
      </c>
      <c r="I963" s="11" t="str">
        <f>IFERROR(VLOOKUP($B963,'(勿動)組件目錄表'!$D$15:$R$1094,10,FALSE),"-")</f>
        <v>-</v>
      </c>
      <c r="J963" s="11" t="str">
        <f>IFERROR(VLOOKUP($B963,'(勿動)組件目錄表'!$D$15:$R$1094,11,FALSE),"-")</f>
        <v>-</v>
      </c>
      <c r="K963" s="11" t="str">
        <f>IFERROR(VLOOKUP($B963,'(勿動)組件目錄表'!$D$15:$R$1094,12,FALSE),"-")</f>
        <v>-</v>
      </c>
      <c r="L963" s="11" t="str">
        <f>IFERROR(VLOOKUP($B963,'(勿動)組件目錄表'!$D$15:$R$1094,13,FALSE),"-")</f>
        <v>-</v>
      </c>
      <c r="M963" s="11" t="str">
        <f>IFERROR(VLOOKUP($B963,'(勿動)組件目錄表'!$D$15:$R$1094,14,FALSE),"-")</f>
        <v>-</v>
      </c>
      <c r="N963" s="15">
        <f t="shared" si="4"/>
        <v>0</v>
      </c>
      <c r="O963" s="16"/>
    </row>
    <row r="964" spans="1:15" ht="15.75" customHeight="1">
      <c r="A964" s="18"/>
      <c r="B964" s="7"/>
      <c r="C964" s="8" t="str">
        <f>IFERROR(VLOOKUP($B964,'(勿動)組件目錄表'!$D$15:$R$1094,2,FALSE),"-")</f>
        <v>-</v>
      </c>
      <c r="D964" s="8" t="str">
        <f>IFERROR(VLOOKUP($B964,'(勿動)組件目錄表'!$D$15:$R$1094,3,FALSE),"-")</f>
        <v>-</v>
      </c>
      <c r="E964" s="9" t="str">
        <f>IFERROR(VLOOKUP($B964,'(勿動)組件目錄表'!$D$15:$R$1094,4,FALSE),"-")</f>
        <v>-</v>
      </c>
      <c r="F964" s="10" t="str">
        <f>IFERROR(VLOOKUP($B964,'(勿動)組件目錄表'!$D$15:$R$1094,5,FALSE),"-")</f>
        <v>-</v>
      </c>
      <c r="G964" s="11" t="str">
        <f>IFERROR(VLOOKUP($B964,'(勿動)組件目錄表'!$D$15:$R$1094,8,FALSE),"-")</f>
        <v>-</v>
      </c>
      <c r="H964" s="11" t="str">
        <f>IFERROR(VLOOKUP($B964,'(勿動)組件目錄表'!$D$15:$R$1094,9,FALSE),"-")</f>
        <v>-</v>
      </c>
      <c r="I964" s="11" t="str">
        <f>IFERROR(VLOOKUP($B964,'(勿動)組件目錄表'!$D$15:$R$1094,10,FALSE),"-")</f>
        <v>-</v>
      </c>
      <c r="J964" s="11" t="str">
        <f>IFERROR(VLOOKUP($B964,'(勿動)組件目錄表'!$D$15:$R$1094,11,FALSE),"-")</f>
        <v>-</v>
      </c>
      <c r="K964" s="11" t="str">
        <f>IFERROR(VLOOKUP($B964,'(勿動)組件目錄表'!$D$15:$R$1094,12,FALSE),"-")</f>
        <v>-</v>
      </c>
      <c r="L964" s="11" t="str">
        <f>IFERROR(VLOOKUP($B964,'(勿動)組件目錄表'!$D$15:$R$1094,13,FALSE),"-")</f>
        <v>-</v>
      </c>
      <c r="M964" s="11" t="str">
        <f>IFERROR(VLOOKUP($B964,'(勿動)組件目錄表'!$D$15:$R$1094,14,FALSE),"-")</f>
        <v>-</v>
      </c>
      <c r="N964" s="15">
        <f t="shared" si="4"/>
        <v>0</v>
      </c>
      <c r="O964" s="16"/>
    </row>
    <row r="965" spans="1:15" ht="15.75" customHeight="1">
      <c r="A965" s="18"/>
      <c r="B965" s="7"/>
      <c r="C965" s="8" t="str">
        <f>IFERROR(VLOOKUP($B965,'(勿動)組件目錄表'!$D$15:$R$1094,2,FALSE),"-")</f>
        <v>-</v>
      </c>
      <c r="D965" s="8" t="str">
        <f>IFERROR(VLOOKUP($B965,'(勿動)組件目錄表'!$D$15:$R$1094,3,FALSE),"-")</f>
        <v>-</v>
      </c>
      <c r="E965" s="9" t="str">
        <f>IFERROR(VLOOKUP($B965,'(勿動)組件目錄表'!$D$15:$R$1094,4,FALSE),"-")</f>
        <v>-</v>
      </c>
      <c r="F965" s="10" t="str">
        <f>IFERROR(VLOOKUP($B965,'(勿動)組件目錄表'!$D$15:$R$1094,5,FALSE),"-")</f>
        <v>-</v>
      </c>
      <c r="G965" s="11" t="str">
        <f>IFERROR(VLOOKUP($B965,'(勿動)組件目錄表'!$D$15:$R$1094,8,FALSE),"-")</f>
        <v>-</v>
      </c>
      <c r="H965" s="11" t="str">
        <f>IFERROR(VLOOKUP($B965,'(勿動)組件目錄表'!$D$15:$R$1094,9,FALSE),"-")</f>
        <v>-</v>
      </c>
      <c r="I965" s="11" t="str">
        <f>IFERROR(VLOOKUP($B965,'(勿動)組件目錄表'!$D$15:$R$1094,10,FALSE),"-")</f>
        <v>-</v>
      </c>
      <c r="J965" s="11" t="str">
        <f>IFERROR(VLOOKUP($B965,'(勿動)組件目錄表'!$D$15:$R$1094,11,FALSE),"-")</f>
        <v>-</v>
      </c>
      <c r="K965" s="11" t="str">
        <f>IFERROR(VLOOKUP($B965,'(勿動)組件目錄表'!$D$15:$R$1094,12,FALSE),"-")</f>
        <v>-</v>
      </c>
      <c r="L965" s="11" t="str">
        <f>IFERROR(VLOOKUP($B965,'(勿動)組件目錄表'!$D$15:$R$1094,13,FALSE),"-")</f>
        <v>-</v>
      </c>
      <c r="M965" s="11" t="str">
        <f>IFERROR(VLOOKUP($B965,'(勿動)組件目錄表'!$D$15:$R$1094,14,FALSE),"-")</f>
        <v>-</v>
      </c>
      <c r="N965" s="15">
        <f t="shared" si="4"/>
        <v>0</v>
      </c>
      <c r="O965" s="16"/>
    </row>
    <row r="966" spans="1:15" ht="15.75" customHeight="1">
      <c r="A966" s="18"/>
      <c r="B966" s="7"/>
      <c r="C966" s="8" t="str">
        <f>IFERROR(VLOOKUP($B966,'(勿動)組件目錄表'!$D$15:$R$1094,2,FALSE),"-")</f>
        <v>-</v>
      </c>
      <c r="D966" s="8" t="str">
        <f>IFERROR(VLOOKUP($B966,'(勿動)組件目錄表'!$D$15:$R$1094,3,FALSE),"-")</f>
        <v>-</v>
      </c>
      <c r="E966" s="9" t="str">
        <f>IFERROR(VLOOKUP($B966,'(勿動)組件目錄表'!$D$15:$R$1094,4,FALSE),"-")</f>
        <v>-</v>
      </c>
      <c r="F966" s="10" t="str">
        <f>IFERROR(VLOOKUP($B966,'(勿動)組件目錄表'!$D$15:$R$1094,5,FALSE),"-")</f>
        <v>-</v>
      </c>
      <c r="G966" s="11" t="str">
        <f>IFERROR(VLOOKUP($B966,'(勿動)組件目錄表'!$D$15:$R$1094,8,FALSE),"-")</f>
        <v>-</v>
      </c>
      <c r="H966" s="11" t="str">
        <f>IFERROR(VLOOKUP($B966,'(勿動)組件目錄表'!$D$15:$R$1094,9,FALSE),"-")</f>
        <v>-</v>
      </c>
      <c r="I966" s="11" t="str">
        <f>IFERROR(VLOOKUP($B966,'(勿動)組件目錄表'!$D$15:$R$1094,10,FALSE),"-")</f>
        <v>-</v>
      </c>
      <c r="J966" s="11" t="str">
        <f>IFERROR(VLOOKUP($B966,'(勿動)組件目錄表'!$D$15:$R$1094,11,FALSE),"-")</f>
        <v>-</v>
      </c>
      <c r="K966" s="11" t="str">
        <f>IFERROR(VLOOKUP($B966,'(勿動)組件目錄表'!$D$15:$R$1094,12,FALSE),"-")</f>
        <v>-</v>
      </c>
      <c r="L966" s="11" t="str">
        <f>IFERROR(VLOOKUP($B966,'(勿動)組件目錄表'!$D$15:$R$1094,13,FALSE),"-")</f>
        <v>-</v>
      </c>
      <c r="M966" s="11" t="str">
        <f>IFERROR(VLOOKUP($B966,'(勿動)組件目錄表'!$D$15:$R$1094,14,FALSE),"-")</f>
        <v>-</v>
      </c>
      <c r="N966" s="15">
        <f t="shared" si="4"/>
        <v>0</v>
      </c>
      <c r="O966" s="16"/>
    </row>
    <row r="967" spans="1:15" ht="15.75" customHeight="1">
      <c r="A967" s="18"/>
      <c r="B967" s="7"/>
      <c r="C967" s="8" t="str">
        <f>IFERROR(VLOOKUP($B967,'(勿動)組件目錄表'!$D$15:$R$1094,2,FALSE),"-")</f>
        <v>-</v>
      </c>
      <c r="D967" s="8" t="str">
        <f>IFERROR(VLOOKUP($B967,'(勿動)組件目錄表'!$D$15:$R$1094,3,FALSE),"-")</f>
        <v>-</v>
      </c>
      <c r="E967" s="9" t="str">
        <f>IFERROR(VLOOKUP($B967,'(勿動)組件目錄表'!$D$15:$R$1094,4,FALSE),"-")</f>
        <v>-</v>
      </c>
      <c r="F967" s="10" t="str">
        <f>IFERROR(VLOOKUP($B967,'(勿動)組件目錄表'!$D$15:$R$1094,5,FALSE),"-")</f>
        <v>-</v>
      </c>
      <c r="G967" s="11" t="str">
        <f>IFERROR(VLOOKUP($B967,'(勿動)組件目錄表'!$D$15:$R$1094,8,FALSE),"-")</f>
        <v>-</v>
      </c>
      <c r="H967" s="11" t="str">
        <f>IFERROR(VLOOKUP($B967,'(勿動)組件目錄表'!$D$15:$R$1094,9,FALSE),"-")</f>
        <v>-</v>
      </c>
      <c r="I967" s="11" t="str">
        <f>IFERROR(VLOOKUP($B967,'(勿動)組件目錄表'!$D$15:$R$1094,10,FALSE),"-")</f>
        <v>-</v>
      </c>
      <c r="J967" s="11" t="str">
        <f>IFERROR(VLOOKUP($B967,'(勿動)組件目錄表'!$D$15:$R$1094,11,FALSE),"-")</f>
        <v>-</v>
      </c>
      <c r="K967" s="11" t="str">
        <f>IFERROR(VLOOKUP($B967,'(勿動)組件目錄表'!$D$15:$R$1094,12,FALSE),"-")</f>
        <v>-</v>
      </c>
      <c r="L967" s="11" t="str">
        <f>IFERROR(VLOOKUP($B967,'(勿動)組件目錄表'!$D$15:$R$1094,13,FALSE),"-")</f>
        <v>-</v>
      </c>
      <c r="M967" s="11" t="str">
        <f>IFERROR(VLOOKUP($B967,'(勿動)組件目錄表'!$D$15:$R$1094,14,FALSE),"-")</f>
        <v>-</v>
      </c>
      <c r="N967" s="15">
        <f t="shared" si="4"/>
        <v>0</v>
      </c>
      <c r="O967" s="16"/>
    </row>
    <row r="968" spans="1:15" ht="15.75" customHeight="1">
      <c r="A968" s="18"/>
      <c r="B968" s="7"/>
      <c r="C968" s="8" t="str">
        <f>IFERROR(VLOOKUP($B968,'(勿動)組件目錄表'!$D$15:$R$1094,2,FALSE),"-")</f>
        <v>-</v>
      </c>
      <c r="D968" s="8" t="str">
        <f>IFERROR(VLOOKUP($B968,'(勿動)組件目錄表'!$D$15:$R$1094,3,FALSE),"-")</f>
        <v>-</v>
      </c>
      <c r="E968" s="9" t="str">
        <f>IFERROR(VLOOKUP($B968,'(勿動)組件目錄表'!$D$15:$R$1094,4,FALSE),"-")</f>
        <v>-</v>
      </c>
      <c r="F968" s="10" t="str">
        <f>IFERROR(VLOOKUP($B968,'(勿動)組件目錄表'!$D$15:$R$1094,5,FALSE),"-")</f>
        <v>-</v>
      </c>
      <c r="G968" s="11" t="str">
        <f>IFERROR(VLOOKUP($B968,'(勿動)組件目錄表'!$D$15:$R$1094,8,FALSE),"-")</f>
        <v>-</v>
      </c>
      <c r="H968" s="11" t="str">
        <f>IFERROR(VLOOKUP($B968,'(勿動)組件目錄表'!$D$15:$R$1094,9,FALSE),"-")</f>
        <v>-</v>
      </c>
      <c r="I968" s="11" t="str">
        <f>IFERROR(VLOOKUP($B968,'(勿動)組件目錄表'!$D$15:$R$1094,10,FALSE),"-")</f>
        <v>-</v>
      </c>
      <c r="J968" s="11" t="str">
        <f>IFERROR(VLOOKUP($B968,'(勿動)組件目錄表'!$D$15:$R$1094,11,FALSE),"-")</f>
        <v>-</v>
      </c>
      <c r="K968" s="11" t="str">
        <f>IFERROR(VLOOKUP($B968,'(勿動)組件目錄表'!$D$15:$R$1094,12,FALSE),"-")</f>
        <v>-</v>
      </c>
      <c r="L968" s="11" t="str">
        <f>IFERROR(VLOOKUP($B968,'(勿動)組件目錄表'!$D$15:$R$1094,13,FALSE),"-")</f>
        <v>-</v>
      </c>
      <c r="M968" s="11" t="str">
        <f>IFERROR(VLOOKUP($B968,'(勿動)組件目錄表'!$D$15:$R$1094,14,FALSE),"-")</f>
        <v>-</v>
      </c>
      <c r="N968" s="15">
        <f t="shared" si="4"/>
        <v>0</v>
      </c>
      <c r="O968" s="16"/>
    </row>
    <row r="969" spans="1:15" ht="15.75" customHeight="1">
      <c r="A969" s="18"/>
      <c r="B969" s="7"/>
      <c r="C969" s="8" t="str">
        <f>IFERROR(VLOOKUP($B969,'(勿動)組件目錄表'!$D$15:$R$1094,2,FALSE),"-")</f>
        <v>-</v>
      </c>
      <c r="D969" s="8" t="str">
        <f>IFERROR(VLOOKUP($B969,'(勿動)組件目錄表'!$D$15:$R$1094,3,FALSE),"-")</f>
        <v>-</v>
      </c>
      <c r="E969" s="9" t="str">
        <f>IFERROR(VLOOKUP($B969,'(勿動)組件目錄表'!$D$15:$R$1094,4,FALSE),"-")</f>
        <v>-</v>
      </c>
      <c r="F969" s="10" t="str">
        <f>IFERROR(VLOOKUP($B969,'(勿動)組件目錄表'!$D$15:$R$1094,5,FALSE),"-")</f>
        <v>-</v>
      </c>
      <c r="G969" s="11" t="str">
        <f>IFERROR(VLOOKUP($B969,'(勿動)組件目錄表'!$D$15:$R$1094,8,FALSE),"-")</f>
        <v>-</v>
      </c>
      <c r="H969" s="11" t="str">
        <f>IFERROR(VLOOKUP($B969,'(勿動)組件目錄表'!$D$15:$R$1094,9,FALSE),"-")</f>
        <v>-</v>
      </c>
      <c r="I969" s="11" t="str">
        <f>IFERROR(VLOOKUP($B969,'(勿動)組件目錄表'!$D$15:$R$1094,10,FALSE),"-")</f>
        <v>-</v>
      </c>
      <c r="J969" s="11" t="str">
        <f>IFERROR(VLOOKUP($B969,'(勿動)組件目錄表'!$D$15:$R$1094,11,FALSE),"-")</f>
        <v>-</v>
      </c>
      <c r="K969" s="11" t="str">
        <f>IFERROR(VLOOKUP($B969,'(勿動)組件目錄表'!$D$15:$R$1094,12,FALSE),"-")</f>
        <v>-</v>
      </c>
      <c r="L969" s="11" t="str">
        <f>IFERROR(VLOOKUP($B969,'(勿動)組件目錄表'!$D$15:$R$1094,13,FALSE),"-")</f>
        <v>-</v>
      </c>
      <c r="M969" s="11" t="str">
        <f>IFERROR(VLOOKUP($B969,'(勿動)組件目錄表'!$D$15:$R$1094,14,FALSE),"-")</f>
        <v>-</v>
      </c>
      <c r="N969" s="15">
        <f t="shared" si="4"/>
        <v>0</v>
      </c>
      <c r="O969" s="16"/>
    </row>
    <row r="970" spans="1:15" ht="15.75" customHeight="1">
      <c r="A970" s="18"/>
      <c r="B970" s="7"/>
      <c r="C970" s="8" t="str">
        <f>IFERROR(VLOOKUP($B970,'(勿動)組件目錄表'!$D$15:$R$1094,2,FALSE),"-")</f>
        <v>-</v>
      </c>
      <c r="D970" s="8" t="str">
        <f>IFERROR(VLOOKUP($B970,'(勿動)組件目錄表'!$D$15:$R$1094,3,FALSE),"-")</f>
        <v>-</v>
      </c>
      <c r="E970" s="9" t="str">
        <f>IFERROR(VLOOKUP($B970,'(勿動)組件目錄表'!$D$15:$R$1094,4,FALSE),"-")</f>
        <v>-</v>
      </c>
      <c r="F970" s="10" t="str">
        <f>IFERROR(VLOOKUP($B970,'(勿動)組件目錄表'!$D$15:$R$1094,5,FALSE),"-")</f>
        <v>-</v>
      </c>
      <c r="G970" s="11" t="str">
        <f>IFERROR(VLOOKUP($B970,'(勿動)組件目錄表'!$D$15:$R$1094,8,FALSE),"-")</f>
        <v>-</v>
      </c>
      <c r="H970" s="11" t="str">
        <f>IFERROR(VLOOKUP($B970,'(勿動)組件目錄表'!$D$15:$R$1094,9,FALSE),"-")</f>
        <v>-</v>
      </c>
      <c r="I970" s="11" t="str">
        <f>IFERROR(VLOOKUP($B970,'(勿動)組件目錄表'!$D$15:$R$1094,10,FALSE),"-")</f>
        <v>-</v>
      </c>
      <c r="J970" s="11" t="str">
        <f>IFERROR(VLOOKUP($B970,'(勿動)組件目錄表'!$D$15:$R$1094,11,FALSE),"-")</f>
        <v>-</v>
      </c>
      <c r="K970" s="11" t="str">
        <f>IFERROR(VLOOKUP($B970,'(勿動)組件目錄表'!$D$15:$R$1094,12,FALSE),"-")</f>
        <v>-</v>
      </c>
      <c r="L970" s="11" t="str">
        <f>IFERROR(VLOOKUP($B970,'(勿動)組件目錄表'!$D$15:$R$1094,13,FALSE),"-")</f>
        <v>-</v>
      </c>
      <c r="M970" s="11" t="str">
        <f>IFERROR(VLOOKUP($B970,'(勿動)組件目錄表'!$D$15:$R$1094,14,FALSE),"-")</f>
        <v>-</v>
      </c>
      <c r="N970" s="15">
        <f t="shared" si="4"/>
        <v>0</v>
      </c>
      <c r="O970" s="16"/>
    </row>
    <row r="971" spans="1:15" ht="15.75" customHeight="1">
      <c r="A971" s="18"/>
      <c r="B971" s="7"/>
      <c r="C971" s="8" t="str">
        <f>IFERROR(VLOOKUP($B971,'(勿動)組件目錄表'!$D$15:$R$1094,2,FALSE),"-")</f>
        <v>-</v>
      </c>
      <c r="D971" s="8" t="str">
        <f>IFERROR(VLOOKUP($B971,'(勿動)組件目錄表'!$D$15:$R$1094,3,FALSE),"-")</f>
        <v>-</v>
      </c>
      <c r="E971" s="9" t="str">
        <f>IFERROR(VLOOKUP($B971,'(勿動)組件目錄表'!$D$15:$R$1094,4,FALSE),"-")</f>
        <v>-</v>
      </c>
      <c r="F971" s="10" t="str">
        <f>IFERROR(VLOOKUP($B971,'(勿動)組件目錄表'!$D$15:$R$1094,5,FALSE),"-")</f>
        <v>-</v>
      </c>
      <c r="G971" s="11" t="str">
        <f>IFERROR(VLOOKUP($B971,'(勿動)組件目錄表'!$D$15:$R$1094,8,FALSE),"-")</f>
        <v>-</v>
      </c>
      <c r="H971" s="11" t="str">
        <f>IFERROR(VLOOKUP($B971,'(勿動)組件目錄表'!$D$15:$R$1094,9,FALSE),"-")</f>
        <v>-</v>
      </c>
      <c r="I971" s="11" t="str">
        <f>IFERROR(VLOOKUP($B971,'(勿動)組件目錄表'!$D$15:$R$1094,10,FALSE),"-")</f>
        <v>-</v>
      </c>
      <c r="J971" s="11" t="str">
        <f>IFERROR(VLOOKUP($B971,'(勿動)組件目錄表'!$D$15:$R$1094,11,FALSE),"-")</f>
        <v>-</v>
      </c>
      <c r="K971" s="11" t="str">
        <f>IFERROR(VLOOKUP($B971,'(勿動)組件目錄表'!$D$15:$R$1094,12,FALSE),"-")</f>
        <v>-</v>
      </c>
      <c r="L971" s="11" t="str">
        <f>IFERROR(VLOOKUP($B971,'(勿動)組件目錄表'!$D$15:$R$1094,13,FALSE),"-")</f>
        <v>-</v>
      </c>
      <c r="M971" s="11" t="str">
        <f>IFERROR(VLOOKUP($B971,'(勿動)組件目錄表'!$D$15:$R$1094,14,FALSE),"-")</f>
        <v>-</v>
      </c>
      <c r="N971" s="15">
        <f t="shared" si="4"/>
        <v>0</v>
      </c>
      <c r="O971" s="16"/>
    </row>
    <row r="972" spans="1:15" ht="15.75" customHeight="1">
      <c r="A972" s="18"/>
      <c r="B972" s="7"/>
      <c r="C972" s="8" t="str">
        <f>IFERROR(VLOOKUP($B972,'(勿動)組件目錄表'!$D$15:$R$1094,2,FALSE),"-")</f>
        <v>-</v>
      </c>
      <c r="D972" s="8" t="str">
        <f>IFERROR(VLOOKUP($B972,'(勿動)組件目錄表'!$D$15:$R$1094,3,FALSE),"-")</f>
        <v>-</v>
      </c>
      <c r="E972" s="9" t="str">
        <f>IFERROR(VLOOKUP($B972,'(勿動)組件目錄表'!$D$15:$R$1094,4,FALSE),"-")</f>
        <v>-</v>
      </c>
      <c r="F972" s="10" t="str">
        <f>IFERROR(VLOOKUP($B972,'(勿動)組件目錄表'!$D$15:$R$1094,5,FALSE),"-")</f>
        <v>-</v>
      </c>
      <c r="G972" s="11" t="str">
        <f>IFERROR(VLOOKUP($B972,'(勿動)組件目錄表'!$D$15:$R$1094,8,FALSE),"-")</f>
        <v>-</v>
      </c>
      <c r="H972" s="11" t="str">
        <f>IFERROR(VLOOKUP($B972,'(勿動)組件目錄表'!$D$15:$R$1094,9,FALSE),"-")</f>
        <v>-</v>
      </c>
      <c r="I972" s="11" t="str">
        <f>IFERROR(VLOOKUP($B972,'(勿動)組件目錄表'!$D$15:$R$1094,10,FALSE),"-")</f>
        <v>-</v>
      </c>
      <c r="J972" s="11" t="str">
        <f>IFERROR(VLOOKUP($B972,'(勿動)組件目錄表'!$D$15:$R$1094,11,FALSE),"-")</f>
        <v>-</v>
      </c>
      <c r="K972" s="11" t="str">
        <f>IFERROR(VLOOKUP($B972,'(勿動)組件目錄表'!$D$15:$R$1094,12,FALSE),"-")</f>
        <v>-</v>
      </c>
      <c r="L972" s="11" t="str">
        <f>IFERROR(VLOOKUP($B972,'(勿動)組件目錄表'!$D$15:$R$1094,13,FALSE),"-")</f>
        <v>-</v>
      </c>
      <c r="M972" s="11" t="str">
        <f>IFERROR(VLOOKUP($B972,'(勿動)組件目錄表'!$D$15:$R$1094,14,FALSE),"-")</f>
        <v>-</v>
      </c>
      <c r="N972" s="15">
        <f t="shared" si="4"/>
        <v>0</v>
      </c>
      <c r="O972" s="16"/>
    </row>
    <row r="973" spans="1:15" ht="15.75" customHeight="1">
      <c r="A973" s="18"/>
      <c r="B973" s="7"/>
      <c r="C973" s="8" t="str">
        <f>IFERROR(VLOOKUP($B973,'(勿動)組件目錄表'!$D$15:$R$1094,2,FALSE),"-")</f>
        <v>-</v>
      </c>
      <c r="D973" s="8" t="str">
        <f>IFERROR(VLOOKUP($B973,'(勿動)組件目錄表'!$D$15:$R$1094,3,FALSE),"-")</f>
        <v>-</v>
      </c>
      <c r="E973" s="9" t="str">
        <f>IFERROR(VLOOKUP($B973,'(勿動)組件目錄表'!$D$15:$R$1094,4,FALSE),"-")</f>
        <v>-</v>
      </c>
      <c r="F973" s="10" t="str">
        <f>IFERROR(VLOOKUP($B973,'(勿動)組件目錄表'!$D$15:$R$1094,5,FALSE),"-")</f>
        <v>-</v>
      </c>
      <c r="G973" s="11" t="str">
        <f>IFERROR(VLOOKUP($B973,'(勿動)組件目錄表'!$D$15:$R$1094,8,FALSE),"-")</f>
        <v>-</v>
      </c>
      <c r="H973" s="11" t="str">
        <f>IFERROR(VLOOKUP($B973,'(勿動)組件目錄表'!$D$15:$R$1094,9,FALSE),"-")</f>
        <v>-</v>
      </c>
      <c r="I973" s="11" t="str">
        <f>IFERROR(VLOOKUP($B973,'(勿動)組件目錄表'!$D$15:$R$1094,10,FALSE),"-")</f>
        <v>-</v>
      </c>
      <c r="J973" s="11" t="str">
        <f>IFERROR(VLOOKUP($B973,'(勿動)組件目錄表'!$D$15:$R$1094,11,FALSE),"-")</f>
        <v>-</v>
      </c>
      <c r="K973" s="11" t="str">
        <f>IFERROR(VLOOKUP($B973,'(勿動)組件目錄表'!$D$15:$R$1094,12,FALSE),"-")</f>
        <v>-</v>
      </c>
      <c r="L973" s="11" t="str">
        <f>IFERROR(VLOOKUP($B973,'(勿動)組件目錄表'!$D$15:$R$1094,13,FALSE),"-")</f>
        <v>-</v>
      </c>
      <c r="M973" s="11" t="str">
        <f>IFERROR(VLOOKUP($B973,'(勿動)組件目錄表'!$D$15:$R$1094,14,FALSE),"-")</f>
        <v>-</v>
      </c>
      <c r="N973" s="15">
        <f t="shared" si="4"/>
        <v>0</v>
      </c>
      <c r="O973" s="16"/>
    </row>
    <row r="974" spans="1:15" ht="15.75" customHeight="1">
      <c r="A974" s="18"/>
      <c r="B974" s="7"/>
      <c r="C974" s="8" t="str">
        <f>IFERROR(VLOOKUP($B974,'(勿動)組件目錄表'!$D$15:$R$1094,2,FALSE),"-")</f>
        <v>-</v>
      </c>
      <c r="D974" s="8" t="str">
        <f>IFERROR(VLOOKUP($B974,'(勿動)組件目錄表'!$D$15:$R$1094,3,FALSE),"-")</f>
        <v>-</v>
      </c>
      <c r="E974" s="9" t="str">
        <f>IFERROR(VLOOKUP($B974,'(勿動)組件目錄表'!$D$15:$R$1094,4,FALSE),"-")</f>
        <v>-</v>
      </c>
      <c r="F974" s="10" t="str">
        <f>IFERROR(VLOOKUP($B974,'(勿動)組件目錄表'!$D$15:$R$1094,5,FALSE),"-")</f>
        <v>-</v>
      </c>
      <c r="G974" s="11" t="str">
        <f>IFERROR(VLOOKUP($B974,'(勿動)組件目錄表'!$D$15:$R$1094,8,FALSE),"-")</f>
        <v>-</v>
      </c>
      <c r="H974" s="11" t="str">
        <f>IFERROR(VLOOKUP($B974,'(勿動)組件目錄表'!$D$15:$R$1094,9,FALSE),"-")</f>
        <v>-</v>
      </c>
      <c r="I974" s="11" t="str">
        <f>IFERROR(VLOOKUP($B974,'(勿動)組件目錄表'!$D$15:$R$1094,10,FALSE),"-")</f>
        <v>-</v>
      </c>
      <c r="J974" s="11" t="str">
        <f>IFERROR(VLOOKUP($B974,'(勿動)組件目錄表'!$D$15:$R$1094,11,FALSE),"-")</f>
        <v>-</v>
      </c>
      <c r="K974" s="11" t="str">
        <f>IFERROR(VLOOKUP($B974,'(勿動)組件目錄表'!$D$15:$R$1094,12,FALSE),"-")</f>
        <v>-</v>
      </c>
      <c r="L974" s="11" t="str">
        <f>IFERROR(VLOOKUP($B974,'(勿動)組件目錄表'!$D$15:$R$1094,13,FALSE),"-")</f>
        <v>-</v>
      </c>
      <c r="M974" s="11" t="str">
        <f>IFERROR(VLOOKUP($B974,'(勿動)組件目錄表'!$D$15:$R$1094,14,FALSE),"-")</f>
        <v>-</v>
      </c>
      <c r="N974" s="15">
        <f t="shared" si="4"/>
        <v>0</v>
      </c>
      <c r="O974" s="16"/>
    </row>
    <row r="975" spans="1:15" ht="15.75" customHeight="1">
      <c r="A975" s="18"/>
      <c r="B975" s="7"/>
      <c r="C975" s="8" t="str">
        <f>IFERROR(VLOOKUP($B975,'(勿動)組件目錄表'!$D$15:$R$1094,2,FALSE),"-")</f>
        <v>-</v>
      </c>
      <c r="D975" s="8" t="str">
        <f>IFERROR(VLOOKUP($B975,'(勿動)組件目錄表'!$D$15:$R$1094,3,FALSE),"-")</f>
        <v>-</v>
      </c>
      <c r="E975" s="9" t="str">
        <f>IFERROR(VLOOKUP($B975,'(勿動)組件目錄表'!$D$15:$R$1094,4,FALSE),"-")</f>
        <v>-</v>
      </c>
      <c r="F975" s="10" t="str">
        <f>IFERROR(VLOOKUP($B975,'(勿動)組件目錄表'!$D$15:$R$1094,5,FALSE),"-")</f>
        <v>-</v>
      </c>
      <c r="G975" s="11" t="str">
        <f>IFERROR(VLOOKUP($B975,'(勿動)組件目錄表'!$D$15:$R$1094,8,FALSE),"-")</f>
        <v>-</v>
      </c>
      <c r="H975" s="11" t="str">
        <f>IFERROR(VLOOKUP($B975,'(勿動)組件目錄表'!$D$15:$R$1094,9,FALSE),"-")</f>
        <v>-</v>
      </c>
      <c r="I975" s="11" t="str">
        <f>IFERROR(VLOOKUP($B975,'(勿動)組件目錄表'!$D$15:$R$1094,10,FALSE),"-")</f>
        <v>-</v>
      </c>
      <c r="J975" s="11" t="str">
        <f>IFERROR(VLOOKUP($B975,'(勿動)組件目錄表'!$D$15:$R$1094,11,FALSE),"-")</f>
        <v>-</v>
      </c>
      <c r="K975" s="11" t="str">
        <f>IFERROR(VLOOKUP($B975,'(勿動)組件目錄表'!$D$15:$R$1094,12,FALSE),"-")</f>
        <v>-</v>
      </c>
      <c r="L975" s="11" t="str">
        <f>IFERROR(VLOOKUP($B975,'(勿動)組件目錄表'!$D$15:$R$1094,13,FALSE),"-")</f>
        <v>-</v>
      </c>
      <c r="M975" s="11" t="str">
        <f>IFERROR(VLOOKUP($B975,'(勿動)組件目錄表'!$D$15:$R$1094,14,FALSE),"-")</f>
        <v>-</v>
      </c>
      <c r="N975" s="15">
        <f t="shared" si="4"/>
        <v>0</v>
      </c>
      <c r="O975" s="16"/>
    </row>
    <row r="976" spans="1:15" ht="15.75" customHeight="1">
      <c r="A976" s="18"/>
      <c r="B976" s="7"/>
      <c r="C976" s="8" t="str">
        <f>IFERROR(VLOOKUP($B976,'(勿動)組件目錄表'!$D$15:$R$1094,2,FALSE),"-")</f>
        <v>-</v>
      </c>
      <c r="D976" s="8" t="str">
        <f>IFERROR(VLOOKUP($B976,'(勿動)組件目錄表'!$D$15:$R$1094,3,FALSE),"-")</f>
        <v>-</v>
      </c>
      <c r="E976" s="9" t="str">
        <f>IFERROR(VLOOKUP($B976,'(勿動)組件目錄表'!$D$15:$R$1094,4,FALSE),"-")</f>
        <v>-</v>
      </c>
      <c r="F976" s="10" t="str">
        <f>IFERROR(VLOOKUP($B976,'(勿動)組件目錄表'!$D$15:$R$1094,5,FALSE),"-")</f>
        <v>-</v>
      </c>
      <c r="G976" s="11" t="str">
        <f>IFERROR(VLOOKUP($B976,'(勿動)組件目錄表'!$D$15:$R$1094,8,FALSE),"-")</f>
        <v>-</v>
      </c>
      <c r="H976" s="11" t="str">
        <f>IFERROR(VLOOKUP($B976,'(勿動)組件目錄表'!$D$15:$R$1094,9,FALSE),"-")</f>
        <v>-</v>
      </c>
      <c r="I976" s="11" t="str">
        <f>IFERROR(VLOOKUP($B976,'(勿動)組件目錄表'!$D$15:$R$1094,10,FALSE),"-")</f>
        <v>-</v>
      </c>
      <c r="J976" s="11" t="str">
        <f>IFERROR(VLOOKUP($B976,'(勿動)組件目錄表'!$D$15:$R$1094,11,FALSE),"-")</f>
        <v>-</v>
      </c>
      <c r="K976" s="11" t="str">
        <f>IFERROR(VLOOKUP($B976,'(勿動)組件目錄表'!$D$15:$R$1094,12,FALSE),"-")</f>
        <v>-</v>
      </c>
      <c r="L976" s="11" t="str">
        <f>IFERROR(VLOOKUP($B976,'(勿動)組件目錄表'!$D$15:$R$1094,13,FALSE),"-")</f>
        <v>-</v>
      </c>
      <c r="M976" s="11" t="str">
        <f>IFERROR(VLOOKUP($B976,'(勿動)組件目錄表'!$D$15:$R$1094,14,FALSE),"-")</f>
        <v>-</v>
      </c>
      <c r="N976" s="15">
        <f t="shared" si="4"/>
        <v>0</v>
      </c>
      <c r="O976" s="16"/>
    </row>
    <row r="977" spans="1:15" ht="15.75" customHeight="1">
      <c r="A977" s="18"/>
      <c r="B977" s="7"/>
      <c r="C977" s="8" t="str">
        <f>IFERROR(VLOOKUP($B977,'(勿動)組件目錄表'!$D$15:$R$1094,2,FALSE),"-")</f>
        <v>-</v>
      </c>
      <c r="D977" s="8" t="str">
        <f>IFERROR(VLOOKUP($B977,'(勿動)組件目錄表'!$D$15:$R$1094,3,FALSE),"-")</f>
        <v>-</v>
      </c>
      <c r="E977" s="9" t="str">
        <f>IFERROR(VLOOKUP($B977,'(勿動)組件目錄表'!$D$15:$R$1094,4,FALSE),"-")</f>
        <v>-</v>
      </c>
      <c r="F977" s="10" t="str">
        <f>IFERROR(VLOOKUP($B977,'(勿動)組件目錄表'!$D$15:$R$1094,5,FALSE),"-")</f>
        <v>-</v>
      </c>
      <c r="G977" s="11" t="str">
        <f>IFERROR(VLOOKUP($B977,'(勿動)組件目錄表'!$D$15:$R$1094,8,FALSE),"-")</f>
        <v>-</v>
      </c>
      <c r="H977" s="11" t="str">
        <f>IFERROR(VLOOKUP($B977,'(勿動)組件目錄表'!$D$15:$R$1094,9,FALSE),"-")</f>
        <v>-</v>
      </c>
      <c r="I977" s="11" t="str">
        <f>IFERROR(VLOOKUP($B977,'(勿動)組件目錄表'!$D$15:$R$1094,10,FALSE),"-")</f>
        <v>-</v>
      </c>
      <c r="J977" s="11" t="str">
        <f>IFERROR(VLOOKUP($B977,'(勿動)組件目錄表'!$D$15:$R$1094,11,FALSE),"-")</f>
        <v>-</v>
      </c>
      <c r="K977" s="11" t="str">
        <f>IFERROR(VLOOKUP($B977,'(勿動)組件目錄表'!$D$15:$R$1094,12,FALSE),"-")</f>
        <v>-</v>
      </c>
      <c r="L977" s="11" t="str">
        <f>IFERROR(VLOOKUP($B977,'(勿動)組件目錄表'!$D$15:$R$1094,13,FALSE),"-")</f>
        <v>-</v>
      </c>
      <c r="M977" s="11" t="str">
        <f>IFERROR(VLOOKUP($B977,'(勿動)組件目錄表'!$D$15:$R$1094,14,FALSE),"-")</f>
        <v>-</v>
      </c>
      <c r="N977" s="15">
        <f t="shared" si="4"/>
        <v>0</v>
      </c>
      <c r="O977" s="16"/>
    </row>
    <row r="978" spans="1:15" ht="15.75" customHeight="1">
      <c r="A978" s="18"/>
      <c r="B978" s="7"/>
      <c r="C978" s="8" t="str">
        <f>IFERROR(VLOOKUP($B978,'(勿動)組件目錄表'!$D$15:$R$1094,2,FALSE),"-")</f>
        <v>-</v>
      </c>
      <c r="D978" s="8" t="str">
        <f>IFERROR(VLOOKUP($B978,'(勿動)組件目錄表'!$D$15:$R$1094,3,FALSE),"-")</f>
        <v>-</v>
      </c>
      <c r="E978" s="9" t="str">
        <f>IFERROR(VLOOKUP($B978,'(勿動)組件目錄表'!$D$15:$R$1094,4,FALSE),"-")</f>
        <v>-</v>
      </c>
      <c r="F978" s="10" t="str">
        <f>IFERROR(VLOOKUP($B978,'(勿動)組件目錄表'!$D$15:$R$1094,5,FALSE),"-")</f>
        <v>-</v>
      </c>
      <c r="G978" s="11" t="str">
        <f>IFERROR(VLOOKUP($B978,'(勿動)組件目錄表'!$D$15:$R$1094,8,FALSE),"-")</f>
        <v>-</v>
      </c>
      <c r="H978" s="11" t="str">
        <f>IFERROR(VLOOKUP($B978,'(勿動)組件目錄表'!$D$15:$R$1094,9,FALSE),"-")</f>
        <v>-</v>
      </c>
      <c r="I978" s="11" t="str">
        <f>IFERROR(VLOOKUP($B978,'(勿動)組件目錄表'!$D$15:$R$1094,10,FALSE),"-")</f>
        <v>-</v>
      </c>
      <c r="J978" s="11" t="str">
        <f>IFERROR(VLOOKUP($B978,'(勿動)組件目錄表'!$D$15:$R$1094,11,FALSE),"-")</f>
        <v>-</v>
      </c>
      <c r="K978" s="11" t="str">
        <f>IFERROR(VLOOKUP($B978,'(勿動)組件目錄表'!$D$15:$R$1094,12,FALSE),"-")</f>
        <v>-</v>
      </c>
      <c r="L978" s="11" t="str">
        <f>IFERROR(VLOOKUP($B978,'(勿動)組件目錄表'!$D$15:$R$1094,13,FALSE),"-")</f>
        <v>-</v>
      </c>
      <c r="M978" s="11" t="str">
        <f>IFERROR(VLOOKUP($B978,'(勿動)組件目錄表'!$D$15:$R$1094,14,FALSE),"-")</f>
        <v>-</v>
      </c>
      <c r="N978" s="15">
        <f t="shared" si="4"/>
        <v>0</v>
      </c>
      <c r="O978" s="16"/>
    </row>
    <row r="979" spans="1:15" ht="15.75" customHeight="1">
      <c r="A979" s="18"/>
      <c r="B979" s="7"/>
      <c r="C979" s="8" t="str">
        <f>IFERROR(VLOOKUP($B979,'(勿動)組件目錄表'!$D$15:$R$1094,2,FALSE),"-")</f>
        <v>-</v>
      </c>
      <c r="D979" s="8" t="str">
        <f>IFERROR(VLOOKUP($B979,'(勿動)組件目錄表'!$D$15:$R$1094,3,FALSE),"-")</f>
        <v>-</v>
      </c>
      <c r="E979" s="9" t="str">
        <f>IFERROR(VLOOKUP($B979,'(勿動)組件目錄表'!$D$15:$R$1094,4,FALSE),"-")</f>
        <v>-</v>
      </c>
      <c r="F979" s="10" t="str">
        <f>IFERROR(VLOOKUP($B979,'(勿動)組件目錄表'!$D$15:$R$1094,5,FALSE),"-")</f>
        <v>-</v>
      </c>
      <c r="G979" s="11" t="str">
        <f>IFERROR(VLOOKUP($B979,'(勿動)組件目錄表'!$D$15:$R$1094,8,FALSE),"-")</f>
        <v>-</v>
      </c>
      <c r="H979" s="11" t="str">
        <f>IFERROR(VLOOKUP($B979,'(勿動)組件目錄表'!$D$15:$R$1094,9,FALSE),"-")</f>
        <v>-</v>
      </c>
      <c r="I979" s="11" t="str">
        <f>IFERROR(VLOOKUP($B979,'(勿動)組件目錄表'!$D$15:$R$1094,10,FALSE),"-")</f>
        <v>-</v>
      </c>
      <c r="J979" s="11" t="str">
        <f>IFERROR(VLOOKUP($B979,'(勿動)組件目錄表'!$D$15:$R$1094,11,FALSE),"-")</f>
        <v>-</v>
      </c>
      <c r="K979" s="11" t="str">
        <f>IFERROR(VLOOKUP($B979,'(勿動)組件目錄表'!$D$15:$R$1094,12,FALSE),"-")</f>
        <v>-</v>
      </c>
      <c r="L979" s="11" t="str">
        <f>IFERROR(VLOOKUP($B979,'(勿動)組件目錄表'!$D$15:$R$1094,13,FALSE),"-")</f>
        <v>-</v>
      </c>
      <c r="M979" s="11" t="str">
        <f>IFERROR(VLOOKUP($B979,'(勿動)組件目錄表'!$D$15:$R$1094,14,FALSE),"-")</f>
        <v>-</v>
      </c>
      <c r="N979" s="15">
        <f t="shared" si="4"/>
        <v>0</v>
      </c>
      <c r="O979" s="16"/>
    </row>
    <row r="980" spans="1:15" ht="15.75" customHeight="1">
      <c r="A980" s="18"/>
      <c r="B980" s="7"/>
      <c r="C980" s="8" t="str">
        <f>IFERROR(VLOOKUP($B980,'(勿動)組件目錄表'!$D$15:$R$1094,2,FALSE),"-")</f>
        <v>-</v>
      </c>
      <c r="D980" s="8" t="str">
        <f>IFERROR(VLOOKUP($B980,'(勿動)組件目錄表'!$D$15:$R$1094,3,FALSE),"-")</f>
        <v>-</v>
      </c>
      <c r="E980" s="9" t="str">
        <f>IFERROR(VLOOKUP($B980,'(勿動)組件目錄表'!$D$15:$R$1094,4,FALSE),"-")</f>
        <v>-</v>
      </c>
      <c r="F980" s="10" t="str">
        <f>IFERROR(VLOOKUP($B980,'(勿動)組件目錄表'!$D$15:$R$1094,5,FALSE),"-")</f>
        <v>-</v>
      </c>
      <c r="G980" s="11" t="str">
        <f>IFERROR(VLOOKUP($B980,'(勿動)組件目錄表'!$D$15:$R$1094,8,FALSE),"-")</f>
        <v>-</v>
      </c>
      <c r="H980" s="11" t="str">
        <f>IFERROR(VLOOKUP($B980,'(勿動)組件目錄表'!$D$15:$R$1094,9,FALSE),"-")</f>
        <v>-</v>
      </c>
      <c r="I980" s="11" t="str">
        <f>IFERROR(VLOOKUP($B980,'(勿動)組件目錄表'!$D$15:$R$1094,10,FALSE),"-")</f>
        <v>-</v>
      </c>
      <c r="J980" s="11" t="str">
        <f>IFERROR(VLOOKUP($B980,'(勿動)組件目錄表'!$D$15:$R$1094,11,FALSE),"-")</f>
        <v>-</v>
      </c>
      <c r="K980" s="11" t="str">
        <f>IFERROR(VLOOKUP($B980,'(勿動)組件目錄表'!$D$15:$R$1094,12,FALSE),"-")</f>
        <v>-</v>
      </c>
      <c r="L980" s="11" t="str">
        <f>IFERROR(VLOOKUP($B980,'(勿動)組件目錄表'!$D$15:$R$1094,13,FALSE),"-")</f>
        <v>-</v>
      </c>
      <c r="M980" s="11" t="str">
        <f>IFERROR(VLOOKUP($B980,'(勿動)組件目錄表'!$D$15:$R$1094,14,FALSE),"-")</f>
        <v>-</v>
      </c>
      <c r="N980" s="15">
        <f t="shared" si="4"/>
        <v>0</v>
      </c>
      <c r="O980" s="16"/>
    </row>
    <row r="981" spans="1:15" ht="15.75" customHeight="1">
      <c r="A981" s="18"/>
      <c r="B981" s="7"/>
      <c r="C981" s="8" t="str">
        <f>IFERROR(VLOOKUP($B981,'(勿動)組件目錄表'!$D$15:$R$1094,2,FALSE),"-")</f>
        <v>-</v>
      </c>
      <c r="D981" s="8" t="str">
        <f>IFERROR(VLOOKUP($B981,'(勿動)組件目錄表'!$D$15:$R$1094,3,FALSE),"-")</f>
        <v>-</v>
      </c>
      <c r="E981" s="9" t="str">
        <f>IFERROR(VLOOKUP($B981,'(勿動)組件目錄表'!$D$15:$R$1094,4,FALSE),"-")</f>
        <v>-</v>
      </c>
      <c r="F981" s="10" t="str">
        <f>IFERROR(VLOOKUP($B981,'(勿動)組件目錄表'!$D$15:$R$1094,5,FALSE),"-")</f>
        <v>-</v>
      </c>
      <c r="G981" s="11" t="str">
        <f>IFERROR(VLOOKUP($B981,'(勿動)組件目錄表'!$D$15:$R$1094,8,FALSE),"-")</f>
        <v>-</v>
      </c>
      <c r="H981" s="11" t="str">
        <f>IFERROR(VLOOKUP($B981,'(勿動)組件目錄表'!$D$15:$R$1094,9,FALSE),"-")</f>
        <v>-</v>
      </c>
      <c r="I981" s="11" t="str">
        <f>IFERROR(VLOOKUP($B981,'(勿動)組件目錄表'!$D$15:$R$1094,10,FALSE),"-")</f>
        <v>-</v>
      </c>
      <c r="J981" s="11" t="str">
        <f>IFERROR(VLOOKUP($B981,'(勿動)組件目錄表'!$D$15:$R$1094,11,FALSE),"-")</f>
        <v>-</v>
      </c>
      <c r="K981" s="11" t="str">
        <f>IFERROR(VLOOKUP($B981,'(勿動)組件目錄表'!$D$15:$R$1094,12,FALSE),"-")</f>
        <v>-</v>
      </c>
      <c r="L981" s="11" t="str">
        <f>IFERROR(VLOOKUP($B981,'(勿動)組件目錄表'!$D$15:$R$1094,13,FALSE),"-")</f>
        <v>-</v>
      </c>
      <c r="M981" s="11" t="str">
        <f>IFERROR(VLOOKUP($B981,'(勿動)組件目錄表'!$D$15:$R$1094,14,FALSE),"-")</f>
        <v>-</v>
      </c>
      <c r="N981" s="15">
        <f t="shared" si="4"/>
        <v>0</v>
      </c>
      <c r="O981" s="16"/>
    </row>
    <row r="982" spans="1:15" ht="15.75" customHeight="1">
      <c r="A982" s="18"/>
      <c r="B982" s="7"/>
      <c r="C982" s="8" t="str">
        <f>IFERROR(VLOOKUP($B982,'(勿動)組件目錄表'!$D$15:$R$1094,2,FALSE),"-")</f>
        <v>-</v>
      </c>
      <c r="D982" s="8" t="str">
        <f>IFERROR(VLOOKUP($B982,'(勿動)組件目錄表'!$D$15:$R$1094,3,FALSE),"-")</f>
        <v>-</v>
      </c>
      <c r="E982" s="9" t="str">
        <f>IFERROR(VLOOKUP($B982,'(勿動)組件目錄表'!$D$15:$R$1094,4,FALSE),"-")</f>
        <v>-</v>
      </c>
      <c r="F982" s="10" t="str">
        <f>IFERROR(VLOOKUP($B982,'(勿動)組件目錄表'!$D$15:$R$1094,5,FALSE),"-")</f>
        <v>-</v>
      </c>
      <c r="G982" s="11" t="str">
        <f>IFERROR(VLOOKUP($B982,'(勿動)組件目錄表'!$D$15:$R$1094,8,FALSE),"-")</f>
        <v>-</v>
      </c>
      <c r="H982" s="11" t="str">
        <f>IFERROR(VLOOKUP($B982,'(勿動)組件目錄表'!$D$15:$R$1094,9,FALSE),"-")</f>
        <v>-</v>
      </c>
      <c r="I982" s="11" t="str">
        <f>IFERROR(VLOOKUP($B982,'(勿動)組件目錄表'!$D$15:$R$1094,10,FALSE),"-")</f>
        <v>-</v>
      </c>
      <c r="J982" s="11" t="str">
        <f>IFERROR(VLOOKUP($B982,'(勿動)組件目錄表'!$D$15:$R$1094,11,FALSE),"-")</f>
        <v>-</v>
      </c>
      <c r="K982" s="11" t="str">
        <f>IFERROR(VLOOKUP($B982,'(勿動)組件目錄表'!$D$15:$R$1094,12,FALSE),"-")</f>
        <v>-</v>
      </c>
      <c r="L982" s="11" t="str">
        <f>IFERROR(VLOOKUP($B982,'(勿動)組件目錄表'!$D$15:$R$1094,13,FALSE),"-")</f>
        <v>-</v>
      </c>
      <c r="M982" s="11" t="str">
        <f>IFERROR(VLOOKUP($B982,'(勿動)組件目錄表'!$D$15:$R$1094,14,FALSE),"-")</f>
        <v>-</v>
      </c>
      <c r="N982" s="15">
        <f t="shared" si="4"/>
        <v>0</v>
      </c>
      <c r="O982" s="16"/>
    </row>
    <row r="983" spans="1:15" ht="15.75" customHeight="1">
      <c r="A983" s="18"/>
      <c r="B983" s="7"/>
      <c r="C983" s="8" t="str">
        <f>IFERROR(VLOOKUP($B983,'(勿動)組件目錄表'!$D$15:$R$1094,2,FALSE),"-")</f>
        <v>-</v>
      </c>
      <c r="D983" s="8" t="str">
        <f>IFERROR(VLOOKUP($B983,'(勿動)組件目錄表'!$D$15:$R$1094,3,FALSE),"-")</f>
        <v>-</v>
      </c>
      <c r="E983" s="9" t="str">
        <f>IFERROR(VLOOKUP($B983,'(勿動)組件目錄表'!$D$15:$R$1094,4,FALSE),"-")</f>
        <v>-</v>
      </c>
      <c r="F983" s="10" t="str">
        <f>IFERROR(VLOOKUP($B983,'(勿動)組件目錄表'!$D$15:$R$1094,5,FALSE),"-")</f>
        <v>-</v>
      </c>
      <c r="G983" s="11" t="str">
        <f>IFERROR(VLOOKUP($B983,'(勿動)組件目錄表'!$D$15:$R$1094,8,FALSE),"-")</f>
        <v>-</v>
      </c>
      <c r="H983" s="11" t="str">
        <f>IFERROR(VLOOKUP($B983,'(勿動)組件目錄表'!$D$15:$R$1094,9,FALSE),"-")</f>
        <v>-</v>
      </c>
      <c r="I983" s="11" t="str">
        <f>IFERROR(VLOOKUP($B983,'(勿動)組件目錄表'!$D$15:$R$1094,10,FALSE),"-")</f>
        <v>-</v>
      </c>
      <c r="J983" s="11" t="str">
        <f>IFERROR(VLOOKUP($B983,'(勿動)組件目錄表'!$D$15:$R$1094,11,FALSE),"-")</f>
        <v>-</v>
      </c>
      <c r="K983" s="11" t="str">
        <f>IFERROR(VLOOKUP($B983,'(勿動)組件目錄表'!$D$15:$R$1094,12,FALSE),"-")</f>
        <v>-</v>
      </c>
      <c r="L983" s="11" t="str">
        <f>IFERROR(VLOOKUP($B983,'(勿動)組件目錄表'!$D$15:$R$1094,13,FALSE),"-")</f>
        <v>-</v>
      </c>
      <c r="M983" s="11" t="str">
        <f>IFERROR(VLOOKUP($B983,'(勿動)組件目錄表'!$D$15:$R$1094,14,FALSE),"-")</f>
        <v>-</v>
      </c>
      <c r="N983" s="15">
        <f t="shared" si="4"/>
        <v>0</v>
      </c>
      <c r="O983" s="16"/>
    </row>
    <row r="984" spans="1:15" ht="15.75" customHeight="1">
      <c r="A984" s="18"/>
      <c r="B984" s="7"/>
      <c r="C984" s="8" t="str">
        <f>IFERROR(VLOOKUP($B984,'(勿動)組件目錄表'!$D$15:$R$1094,2,FALSE),"-")</f>
        <v>-</v>
      </c>
      <c r="D984" s="8" t="str">
        <f>IFERROR(VLOOKUP($B984,'(勿動)組件目錄表'!$D$15:$R$1094,3,FALSE),"-")</f>
        <v>-</v>
      </c>
      <c r="E984" s="9" t="str">
        <f>IFERROR(VLOOKUP($B984,'(勿動)組件目錄表'!$D$15:$R$1094,4,FALSE),"-")</f>
        <v>-</v>
      </c>
      <c r="F984" s="10" t="str">
        <f>IFERROR(VLOOKUP($B984,'(勿動)組件目錄表'!$D$15:$R$1094,5,FALSE),"-")</f>
        <v>-</v>
      </c>
      <c r="G984" s="11" t="str">
        <f>IFERROR(VLOOKUP($B984,'(勿動)組件目錄表'!$D$15:$R$1094,8,FALSE),"-")</f>
        <v>-</v>
      </c>
      <c r="H984" s="11" t="str">
        <f>IFERROR(VLOOKUP($B984,'(勿動)組件目錄表'!$D$15:$R$1094,9,FALSE),"-")</f>
        <v>-</v>
      </c>
      <c r="I984" s="11" t="str">
        <f>IFERROR(VLOOKUP($B984,'(勿動)組件目錄表'!$D$15:$R$1094,10,FALSE),"-")</f>
        <v>-</v>
      </c>
      <c r="J984" s="11" t="str">
        <f>IFERROR(VLOOKUP($B984,'(勿動)組件目錄表'!$D$15:$R$1094,11,FALSE),"-")</f>
        <v>-</v>
      </c>
      <c r="K984" s="11" t="str">
        <f>IFERROR(VLOOKUP($B984,'(勿動)組件目錄表'!$D$15:$R$1094,12,FALSE),"-")</f>
        <v>-</v>
      </c>
      <c r="L984" s="11" t="str">
        <f>IFERROR(VLOOKUP($B984,'(勿動)組件目錄表'!$D$15:$R$1094,13,FALSE),"-")</f>
        <v>-</v>
      </c>
      <c r="M984" s="11" t="str">
        <f>IFERROR(VLOOKUP($B984,'(勿動)組件目錄表'!$D$15:$R$1094,14,FALSE),"-")</f>
        <v>-</v>
      </c>
      <c r="N984" s="15">
        <f t="shared" si="4"/>
        <v>0</v>
      </c>
      <c r="O984" s="16"/>
    </row>
    <row r="985" spans="1:15" ht="15.75" customHeight="1">
      <c r="A985" s="18"/>
      <c r="B985" s="7"/>
      <c r="C985" s="8" t="str">
        <f>IFERROR(VLOOKUP($B985,'(勿動)組件目錄表'!$D$15:$R$1094,2,FALSE),"-")</f>
        <v>-</v>
      </c>
      <c r="D985" s="8" t="str">
        <f>IFERROR(VLOOKUP($B985,'(勿動)組件目錄表'!$D$15:$R$1094,3,FALSE),"-")</f>
        <v>-</v>
      </c>
      <c r="E985" s="9" t="str">
        <f>IFERROR(VLOOKUP($B985,'(勿動)組件目錄表'!$D$15:$R$1094,4,FALSE),"-")</f>
        <v>-</v>
      </c>
      <c r="F985" s="10" t="str">
        <f>IFERROR(VLOOKUP($B985,'(勿動)組件目錄表'!$D$15:$R$1094,5,FALSE),"-")</f>
        <v>-</v>
      </c>
      <c r="G985" s="11" t="str">
        <f>IFERROR(VLOOKUP($B985,'(勿動)組件目錄表'!$D$15:$R$1094,8,FALSE),"-")</f>
        <v>-</v>
      </c>
      <c r="H985" s="11" t="str">
        <f>IFERROR(VLOOKUP($B985,'(勿動)組件目錄表'!$D$15:$R$1094,9,FALSE),"-")</f>
        <v>-</v>
      </c>
      <c r="I985" s="11" t="str">
        <f>IFERROR(VLOOKUP($B985,'(勿動)組件目錄表'!$D$15:$R$1094,10,FALSE),"-")</f>
        <v>-</v>
      </c>
      <c r="J985" s="11" t="str">
        <f>IFERROR(VLOOKUP($B985,'(勿動)組件目錄表'!$D$15:$R$1094,11,FALSE),"-")</f>
        <v>-</v>
      </c>
      <c r="K985" s="11" t="str">
        <f>IFERROR(VLOOKUP($B985,'(勿動)組件目錄表'!$D$15:$R$1094,12,FALSE),"-")</f>
        <v>-</v>
      </c>
      <c r="L985" s="11" t="str">
        <f>IFERROR(VLOOKUP($B985,'(勿動)組件目錄表'!$D$15:$R$1094,13,FALSE),"-")</f>
        <v>-</v>
      </c>
      <c r="M985" s="11" t="str">
        <f>IFERROR(VLOOKUP($B985,'(勿動)組件目錄表'!$D$15:$R$1094,14,FALSE),"-")</f>
        <v>-</v>
      </c>
      <c r="N985" s="15">
        <f t="shared" si="4"/>
        <v>0</v>
      </c>
      <c r="O985" s="16"/>
    </row>
    <row r="986" spans="1:15" ht="15.75" customHeight="1">
      <c r="A986" s="18"/>
      <c r="B986" s="7"/>
      <c r="C986" s="8" t="str">
        <f>IFERROR(VLOOKUP($B986,'(勿動)組件目錄表'!$D$15:$R$1094,2,FALSE),"-")</f>
        <v>-</v>
      </c>
      <c r="D986" s="8" t="str">
        <f>IFERROR(VLOOKUP($B986,'(勿動)組件目錄表'!$D$15:$R$1094,3,FALSE),"-")</f>
        <v>-</v>
      </c>
      <c r="E986" s="9" t="str">
        <f>IFERROR(VLOOKUP($B986,'(勿動)組件目錄表'!$D$15:$R$1094,4,FALSE),"-")</f>
        <v>-</v>
      </c>
      <c r="F986" s="10" t="str">
        <f>IFERROR(VLOOKUP($B986,'(勿動)組件目錄表'!$D$15:$R$1094,5,FALSE),"-")</f>
        <v>-</v>
      </c>
      <c r="G986" s="11" t="str">
        <f>IFERROR(VLOOKUP($B986,'(勿動)組件目錄表'!$D$15:$R$1094,8,FALSE),"-")</f>
        <v>-</v>
      </c>
      <c r="H986" s="11" t="str">
        <f>IFERROR(VLOOKUP($B986,'(勿動)組件目錄表'!$D$15:$R$1094,9,FALSE),"-")</f>
        <v>-</v>
      </c>
      <c r="I986" s="11" t="str">
        <f>IFERROR(VLOOKUP($B986,'(勿動)組件目錄表'!$D$15:$R$1094,10,FALSE),"-")</f>
        <v>-</v>
      </c>
      <c r="J986" s="11" t="str">
        <f>IFERROR(VLOOKUP($B986,'(勿動)組件目錄表'!$D$15:$R$1094,11,FALSE),"-")</f>
        <v>-</v>
      </c>
      <c r="K986" s="11" t="str">
        <f>IFERROR(VLOOKUP($B986,'(勿動)組件目錄表'!$D$15:$R$1094,12,FALSE),"-")</f>
        <v>-</v>
      </c>
      <c r="L986" s="11" t="str">
        <f>IFERROR(VLOOKUP($B986,'(勿動)組件目錄表'!$D$15:$R$1094,13,FALSE),"-")</f>
        <v>-</v>
      </c>
      <c r="M986" s="11" t="str">
        <f>IFERROR(VLOOKUP($B986,'(勿動)組件目錄表'!$D$15:$R$1094,14,FALSE),"-")</f>
        <v>-</v>
      </c>
      <c r="N986" s="15">
        <f t="shared" si="4"/>
        <v>0</v>
      </c>
      <c r="O986" s="16"/>
    </row>
    <row r="987" spans="1:15" ht="15.75" customHeight="1">
      <c r="A987" s="18"/>
      <c r="B987" s="7"/>
      <c r="C987" s="8" t="str">
        <f>IFERROR(VLOOKUP($B987,'(勿動)組件目錄表'!$D$15:$R$1094,2,FALSE),"-")</f>
        <v>-</v>
      </c>
      <c r="D987" s="8" t="str">
        <f>IFERROR(VLOOKUP($B987,'(勿動)組件目錄表'!$D$15:$R$1094,3,FALSE),"-")</f>
        <v>-</v>
      </c>
      <c r="E987" s="9" t="str">
        <f>IFERROR(VLOOKUP($B987,'(勿動)組件目錄表'!$D$15:$R$1094,4,FALSE),"-")</f>
        <v>-</v>
      </c>
      <c r="F987" s="10" t="str">
        <f>IFERROR(VLOOKUP($B987,'(勿動)組件目錄表'!$D$15:$R$1094,5,FALSE),"-")</f>
        <v>-</v>
      </c>
      <c r="G987" s="11" t="str">
        <f>IFERROR(VLOOKUP($B987,'(勿動)組件目錄表'!$D$15:$R$1094,8,FALSE),"-")</f>
        <v>-</v>
      </c>
      <c r="H987" s="11" t="str">
        <f>IFERROR(VLOOKUP($B987,'(勿動)組件目錄表'!$D$15:$R$1094,9,FALSE),"-")</f>
        <v>-</v>
      </c>
      <c r="I987" s="11" t="str">
        <f>IFERROR(VLOOKUP($B987,'(勿動)組件目錄表'!$D$15:$R$1094,10,FALSE),"-")</f>
        <v>-</v>
      </c>
      <c r="J987" s="11" t="str">
        <f>IFERROR(VLOOKUP($B987,'(勿動)組件目錄表'!$D$15:$R$1094,11,FALSE),"-")</f>
        <v>-</v>
      </c>
      <c r="K987" s="11" t="str">
        <f>IFERROR(VLOOKUP($B987,'(勿動)組件目錄表'!$D$15:$R$1094,12,FALSE),"-")</f>
        <v>-</v>
      </c>
      <c r="L987" s="11" t="str">
        <f>IFERROR(VLOOKUP($B987,'(勿動)組件目錄表'!$D$15:$R$1094,13,FALSE),"-")</f>
        <v>-</v>
      </c>
      <c r="M987" s="11" t="str">
        <f>IFERROR(VLOOKUP($B987,'(勿動)組件目錄表'!$D$15:$R$1094,14,FALSE),"-")</f>
        <v>-</v>
      </c>
      <c r="N987" s="15">
        <f t="shared" si="4"/>
        <v>0</v>
      </c>
      <c r="O987" s="16"/>
    </row>
    <row r="988" spans="1:15" ht="15.75" customHeight="1">
      <c r="A988" s="18"/>
      <c r="B988" s="7"/>
      <c r="C988" s="8" t="str">
        <f>IFERROR(VLOOKUP($B988,'(勿動)組件目錄表'!$D$15:$R$1094,2,FALSE),"-")</f>
        <v>-</v>
      </c>
      <c r="D988" s="8" t="str">
        <f>IFERROR(VLOOKUP($B988,'(勿動)組件目錄表'!$D$15:$R$1094,3,FALSE),"-")</f>
        <v>-</v>
      </c>
      <c r="E988" s="9" t="str">
        <f>IFERROR(VLOOKUP($B988,'(勿動)組件目錄表'!$D$15:$R$1094,4,FALSE),"-")</f>
        <v>-</v>
      </c>
      <c r="F988" s="10" t="str">
        <f>IFERROR(VLOOKUP($B988,'(勿動)組件目錄表'!$D$15:$R$1094,5,FALSE),"-")</f>
        <v>-</v>
      </c>
      <c r="G988" s="11" t="str">
        <f>IFERROR(VLOOKUP($B988,'(勿動)組件目錄表'!$D$15:$R$1094,8,FALSE),"-")</f>
        <v>-</v>
      </c>
      <c r="H988" s="11" t="str">
        <f>IFERROR(VLOOKUP($B988,'(勿動)組件目錄表'!$D$15:$R$1094,9,FALSE),"-")</f>
        <v>-</v>
      </c>
      <c r="I988" s="11" t="str">
        <f>IFERROR(VLOOKUP($B988,'(勿動)組件目錄表'!$D$15:$R$1094,10,FALSE),"-")</f>
        <v>-</v>
      </c>
      <c r="J988" s="11" t="str">
        <f>IFERROR(VLOOKUP($B988,'(勿動)組件目錄表'!$D$15:$R$1094,11,FALSE),"-")</f>
        <v>-</v>
      </c>
      <c r="K988" s="11" t="str">
        <f>IFERROR(VLOOKUP($B988,'(勿動)組件目錄表'!$D$15:$R$1094,12,FALSE),"-")</f>
        <v>-</v>
      </c>
      <c r="L988" s="11" t="str">
        <f>IFERROR(VLOOKUP($B988,'(勿動)組件目錄表'!$D$15:$R$1094,13,FALSE),"-")</f>
        <v>-</v>
      </c>
      <c r="M988" s="11" t="str">
        <f>IFERROR(VLOOKUP($B988,'(勿動)組件目錄表'!$D$15:$R$1094,14,FALSE),"-")</f>
        <v>-</v>
      </c>
      <c r="N988" s="15">
        <f t="shared" si="4"/>
        <v>0</v>
      </c>
      <c r="O988" s="16"/>
    </row>
    <row r="989" spans="1:15" ht="15.75" customHeight="1">
      <c r="A989" s="18"/>
      <c r="B989" s="7"/>
      <c r="C989" s="8" t="str">
        <f>IFERROR(VLOOKUP($B989,'(勿動)組件目錄表'!$D$15:$R$1094,2,FALSE),"-")</f>
        <v>-</v>
      </c>
      <c r="D989" s="8" t="str">
        <f>IFERROR(VLOOKUP($B989,'(勿動)組件目錄表'!$D$15:$R$1094,3,FALSE),"-")</f>
        <v>-</v>
      </c>
      <c r="E989" s="9" t="str">
        <f>IFERROR(VLOOKUP($B989,'(勿動)組件目錄表'!$D$15:$R$1094,4,FALSE),"-")</f>
        <v>-</v>
      </c>
      <c r="F989" s="10" t="str">
        <f>IFERROR(VLOOKUP($B989,'(勿動)組件目錄表'!$D$15:$R$1094,5,FALSE),"-")</f>
        <v>-</v>
      </c>
      <c r="G989" s="11" t="str">
        <f>IFERROR(VLOOKUP($B989,'(勿動)組件目錄表'!$D$15:$R$1094,8,FALSE),"-")</f>
        <v>-</v>
      </c>
      <c r="H989" s="11" t="str">
        <f>IFERROR(VLOOKUP($B989,'(勿動)組件目錄表'!$D$15:$R$1094,9,FALSE),"-")</f>
        <v>-</v>
      </c>
      <c r="I989" s="11" t="str">
        <f>IFERROR(VLOOKUP($B989,'(勿動)組件目錄表'!$D$15:$R$1094,10,FALSE),"-")</f>
        <v>-</v>
      </c>
      <c r="J989" s="11" t="str">
        <f>IFERROR(VLOOKUP($B989,'(勿動)組件目錄表'!$D$15:$R$1094,11,FALSE),"-")</f>
        <v>-</v>
      </c>
      <c r="K989" s="11" t="str">
        <f>IFERROR(VLOOKUP($B989,'(勿動)組件目錄表'!$D$15:$R$1094,12,FALSE),"-")</f>
        <v>-</v>
      </c>
      <c r="L989" s="11" t="str">
        <f>IFERROR(VLOOKUP($B989,'(勿動)組件目錄表'!$D$15:$R$1094,13,FALSE),"-")</f>
        <v>-</v>
      </c>
      <c r="M989" s="11" t="str">
        <f>IFERROR(VLOOKUP($B989,'(勿動)組件目錄表'!$D$15:$R$1094,14,FALSE),"-")</f>
        <v>-</v>
      </c>
      <c r="N989" s="15">
        <f t="shared" si="4"/>
        <v>0</v>
      </c>
      <c r="O989" s="16"/>
    </row>
    <row r="990" spans="1:15" ht="15.75" customHeight="1">
      <c r="A990" s="18"/>
      <c r="B990" s="7"/>
      <c r="C990" s="8" t="str">
        <f>IFERROR(VLOOKUP($B990,'(勿動)組件目錄表'!$D$15:$R$1094,2,FALSE),"-")</f>
        <v>-</v>
      </c>
      <c r="D990" s="8" t="str">
        <f>IFERROR(VLOOKUP($B990,'(勿動)組件目錄表'!$D$15:$R$1094,3,FALSE),"-")</f>
        <v>-</v>
      </c>
      <c r="E990" s="9" t="str">
        <f>IFERROR(VLOOKUP($B990,'(勿動)組件目錄表'!$D$15:$R$1094,4,FALSE),"-")</f>
        <v>-</v>
      </c>
      <c r="F990" s="10" t="str">
        <f>IFERROR(VLOOKUP($B990,'(勿動)組件目錄表'!$D$15:$R$1094,5,FALSE),"-")</f>
        <v>-</v>
      </c>
      <c r="G990" s="11" t="str">
        <f>IFERROR(VLOOKUP($B990,'(勿動)組件目錄表'!$D$15:$R$1094,8,FALSE),"-")</f>
        <v>-</v>
      </c>
      <c r="H990" s="11" t="str">
        <f>IFERROR(VLOOKUP($B990,'(勿動)組件目錄表'!$D$15:$R$1094,9,FALSE),"-")</f>
        <v>-</v>
      </c>
      <c r="I990" s="11" t="str">
        <f>IFERROR(VLOOKUP($B990,'(勿動)組件目錄表'!$D$15:$R$1094,10,FALSE),"-")</f>
        <v>-</v>
      </c>
      <c r="J990" s="11" t="str">
        <f>IFERROR(VLOOKUP($B990,'(勿動)組件目錄表'!$D$15:$R$1094,11,FALSE),"-")</f>
        <v>-</v>
      </c>
      <c r="K990" s="11" t="str">
        <f>IFERROR(VLOOKUP($B990,'(勿動)組件目錄表'!$D$15:$R$1094,12,FALSE),"-")</f>
        <v>-</v>
      </c>
      <c r="L990" s="11" t="str">
        <f>IFERROR(VLOOKUP($B990,'(勿動)組件目錄表'!$D$15:$R$1094,13,FALSE),"-")</f>
        <v>-</v>
      </c>
      <c r="M990" s="11" t="str">
        <f>IFERROR(VLOOKUP($B990,'(勿動)組件目錄表'!$D$15:$R$1094,14,FALSE),"-")</f>
        <v>-</v>
      </c>
      <c r="N990" s="15">
        <f t="shared" si="4"/>
        <v>0</v>
      </c>
      <c r="O990" s="16"/>
    </row>
    <row r="991" spans="1:15" ht="15.75" customHeight="1">
      <c r="A991" s="18"/>
      <c r="B991" s="7"/>
      <c r="C991" s="8" t="str">
        <f>IFERROR(VLOOKUP($B991,'(勿動)組件目錄表'!$D$15:$R$1094,2,FALSE),"-")</f>
        <v>-</v>
      </c>
      <c r="D991" s="8" t="str">
        <f>IFERROR(VLOOKUP($B991,'(勿動)組件目錄表'!$D$15:$R$1094,3,FALSE),"-")</f>
        <v>-</v>
      </c>
      <c r="E991" s="9" t="str">
        <f>IFERROR(VLOOKUP($B991,'(勿動)組件目錄表'!$D$15:$R$1094,4,FALSE),"-")</f>
        <v>-</v>
      </c>
      <c r="F991" s="10" t="str">
        <f>IFERROR(VLOOKUP($B991,'(勿動)組件目錄表'!$D$15:$R$1094,5,FALSE),"-")</f>
        <v>-</v>
      </c>
      <c r="G991" s="11" t="str">
        <f>IFERROR(VLOOKUP($B991,'(勿動)組件目錄表'!$D$15:$R$1094,8,FALSE),"-")</f>
        <v>-</v>
      </c>
      <c r="H991" s="11" t="str">
        <f>IFERROR(VLOOKUP($B991,'(勿動)組件目錄表'!$D$15:$R$1094,9,FALSE),"-")</f>
        <v>-</v>
      </c>
      <c r="I991" s="11" t="str">
        <f>IFERROR(VLOOKUP($B991,'(勿動)組件目錄表'!$D$15:$R$1094,10,FALSE),"-")</f>
        <v>-</v>
      </c>
      <c r="J991" s="11" t="str">
        <f>IFERROR(VLOOKUP($B991,'(勿動)組件目錄表'!$D$15:$R$1094,11,FALSE),"-")</f>
        <v>-</v>
      </c>
      <c r="K991" s="11" t="str">
        <f>IFERROR(VLOOKUP($B991,'(勿動)組件目錄表'!$D$15:$R$1094,12,FALSE),"-")</f>
        <v>-</v>
      </c>
      <c r="L991" s="11" t="str">
        <f>IFERROR(VLOOKUP($B991,'(勿動)組件目錄表'!$D$15:$R$1094,13,FALSE),"-")</f>
        <v>-</v>
      </c>
      <c r="M991" s="11" t="str">
        <f>IFERROR(VLOOKUP($B991,'(勿動)組件目錄表'!$D$15:$R$1094,14,FALSE),"-")</f>
        <v>-</v>
      </c>
      <c r="N991" s="15">
        <f t="shared" si="4"/>
        <v>0</v>
      </c>
      <c r="O991" s="16"/>
    </row>
    <row r="992" spans="1:15" ht="15.75" customHeight="1">
      <c r="A992" s="18"/>
      <c r="B992" s="7"/>
      <c r="C992" s="8" t="str">
        <f>IFERROR(VLOOKUP($B992,'(勿動)組件目錄表'!$D$15:$R$1094,2,FALSE),"-")</f>
        <v>-</v>
      </c>
      <c r="D992" s="8" t="str">
        <f>IFERROR(VLOOKUP($B992,'(勿動)組件目錄表'!$D$15:$R$1094,3,FALSE),"-")</f>
        <v>-</v>
      </c>
      <c r="E992" s="9" t="str">
        <f>IFERROR(VLOOKUP($B992,'(勿動)組件目錄表'!$D$15:$R$1094,4,FALSE),"-")</f>
        <v>-</v>
      </c>
      <c r="F992" s="10" t="str">
        <f>IFERROR(VLOOKUP($B992,'(勿動)組件目錄表'!$D$15:$R$1094,5,FALSE),"-")</f>
        <v>-</v>
      </c>
      <c r="G992" s="11" t="str">
        <f>IFERROR(VLOOKUP($B992,'(勿動)組件目錄表'!$D$15:$R$1094,8,FALSE),"-")</f>
        <v>-</v>
      </c>
      <c r="H992" s="11" t="str">
        <f>IFERROR(VLOOKUP($B992,'(勿動)組件目錄表'!$D$15:$R$1094,9,FALSE),"-")</f>
        <v>-</v>
      </c>
      <c r="I992" s="11" t="str">
        <f>IFERROR(VLOOKUP($B992,'(勿動)組件目錄表'!$D$15:$R$1094,10,FALSE),"-")</f>
        <v>-</v>
      </c>
      <c r="J992" s="11" t="str">
        <f>IFERROR(VLOOKUP($B992,'(勿動)組件目錄表'!$D$15:$R$1094,11,FALSE),"-")</f>
        <v>-</v>
      </c>
      <c r="K992" s="11" t="str">
        <f>IFERROR(VLOOKUP($B992,'(勿動)組件目錄表'!$D$15:$R$1094,12,FALSE),"-")</f>
        <v>-</v>
      </c>
      <c r="L992" s="11" t="str">
        <f>IFERROR(VLOOKUP($B992,'(勿動)組件目錄表'!$D$15:$R$1094,13,FALSE),"-")</f>
        <v>-</v>
      </c>
      <c r="M992" s="11" t="str">
        <f>IFERROR(VLOOKUP($B992,'(勿動)組件目錄表'!$D$15:$R$1094,14,FALSE),"-")</f>
        <v>-</v>
      </c>
      <c r="N992" s="15">
        <f t="shared" si="4"/>
        <v>0</v>
      </c>
      <c r="O992" s="16"/>
    </row>
    <row r="993" spans="1:15" ht="15.75" customHeight="1">
      <c r="A993" s="18"/>
      <c r="B993" s="7"/>
      <c r="C993" s="8" t="str">
        <f>IFERROR(VLOOKUP($B993,'(勿動)組件目錄表'!$D$15:$R$1094,2,FALSE),"-")</f>
        <v>-</v>
      </c>
      <c r="D993" s="8" t="str">
        <f>IFERROR(VLOOKUP($B993,'(勿動)組件目錄表'!$D$15:$R$1094,3,FALSE),"-")</f>
        <v>-</v>
      </c>
      <c r="E993" s="9" t="str">
        <f>IFERROR(VLOOKUP($B993,'(勿動)組件目錄表'!$D$15:$R$1094,4,FALSE),"-")</f>
        <v>-</v>
      </c>
      <c r="F993" s="10" t="str">
        <f>IFERROR(VLOOKUP($B993,'(勿動)組件目錄表'!$D$15:$R$1094,5,FALSE),"-")</f>
        <v>-</v>
      </c>
      <c r="G993" s="11" t="str">
        <f>IFERROR(VLOOKUP($B993,'(勿動)組件目錄表'!$D$15:$R$1094,8,FALSE),"-")</f>
        <v>-</v>
      </c>
      <c r="H993" s="11" t="str">
        <f>IFERROR(VLOOKUP($B993,'(勿動)組件目錄表'!$D$15:$R$1094,9,FALSE),"-")</f>
        <v>-</v>
      </c>
      <c r="I993" s="11" t="str">
        <f>IFERROR(VLOOKUP($B993,'(勿動)組件目錄表'!$D$15:$R$1094,10,FALSE),"-")</f>
        <v>-</v>
      </c>
      <c r="J993" s="11" t="str">
        <f>IFERROR(VLOOKUP($B993,'(勿動)組件目錄表'!$D$15:$R$1094,11,FALSE),"-")</f>
        <v>-</v>
      </c>
      <c r="K993" s="11" t="str">
        <f>IFERROR(VLOOKUP($B993,'(勿動)組件目錄表'!$D$15:$R$1094,12,FALSE),"-")</f>
        <v>-</v>
      </c>
      <c r="L993" s="11" t="str">
        <f>IFERROR(VLOOKUP($B993,'(勿動)組件目錄表'!$D$15:$R$1094,13,FALSE),"-")</f>
        <v>-</v>
      </c>
      <c r="M993" s="11" t="str">
        <f>IFERROR(VLOOKUP($B993,'(勿動)組件目錄表'!$D$15:$R$1094,14,FALSE),"-")</f>
        <v>-</v>
      </c>
      <c r="N993" s="15">
        <f t="shared" si="4"/>
        <v>0</v>
      </c>
      <c r="O993" s="16"/>
    </row>
    <row r="994" spans="1:15" ht="15.75" customHeight="1">
      <c r="A994" s="18"/>
      <c r="B994" s="7"/>
      <c r="C994" s="8" t="str">
        <f>IFERROR(VLOOKUP($B994,'(勿動)組件目錄表'!$D$15:$R$1094,2,FALSE),"-")</f>
        <v>-</v>
      </c>
      <c r="D994" s="8" t="str">
        <f>IFERROR(VLOOKUP($B994,'(勿動)組件目錄表'!$D$15:$R$1094,3,FALSE),"-")</f>
        <v>-</v>
      </c>
      <c r="E994" s="9" t="str">
        <f>IFERROR(VLOOKUP($B994,'(勿動)組件目錄表'!$D$15:$R$1094,4,FALSE),"-")</f>
        <v>-</v>
      </c>
      <c r="F994" s="10" t="str">
        <f>IFERROR(VLOOKUP($B994,'(勿動)組件目錄表'!$D$15:$R$1094,5,FALSE),"-")</f>
        <v>-</v>
      </c>
      <c r="G994" s="11" t="str">
        <f>IFERROR(VLOOKUP($B994,'(勿動)組件目錄表'!$D$15:$R$1094,8,FALSE),"-")</f>
        <v>-</v>
      </c>
      <c r="H994" s="11" t="str">
        <f>IFERROR(VLOOKUP($B994,'(勿動)組件目錄表'!$D$15:$R$1094,9,FALSE),"-")</f>
        <v>-</v>
      </c>
      <c r="I994" s="11" t="str">
        <f>IFERROR(VLOOKUP($B994,'(勿動)組件目錄表'!$D$15:$R$1094,10,FALSE),"-")</f>
        <v>-</v>
      </c>
      <c r="J994" s="11" t="str">
        <f>IFERROR(VLOOKUP($B994,'(勿動)組件目錄表'!$D$15:$R$1094,11,FALSE),"-")</f>
        <v>-</v>
      </c>
      <c r="K994" s="11" t="str">
        <f>IFERROR(VLOOKUP($B994,'(勿動)組件目錄表'!$D$15:$R$1094,12,FALSE),"-")</f>
        <v>-</v>
      </c>
      <c r="L994" s="11" t="str">
        <f>IFERROR(VLOOKUP($B994,'(勿動)組件目錄表'!$D$15:$R$1094,13,FALSE),"-")</f>
        <v>-</v>
      </c>
      <c r="M994" s="11" t="str">
        <f>IFERROR(VLOOKUP($B994,'(勿動)組件目錄表'!$D$15:$R$1094,14,FALSE),"-")</f>
        <v>-</v>
      </c>
      <c r="N994" s="15">
        <f t="shared" si="4"/>
        <v>0</v>
      </c>
      <c r="O994" s="16"/>
    </row>
    <row r="995" spans="1:15" ht="15.75" customHeight="1">
      <c r="A995" s="18"/>
      <c r="B995" s="7"/>
      <c r="C995" s="8" t="str">
        <f>IFERROR(VLOOKUP($B995,'(勿動)組件目錄表'!$D$15:$R$1094,2,FALSE),"-")</f>
        <v>-</v>
      </c>
      <c r="D995" s="8" t="str">
        <f>IFERROR(VLOOKUP($B995,'(勿動)組件目錄表'!$D$15:$R$1094,3,FALSE),"-")</f>
        <v>-</v>
      </c>
      <c r="E995" s="9" t="str">
        <f>IFERROR(VLOOKUP($B995,'(勿動)組件目錄表'!$D$15:$R$1094,4,FALSE),"-")</f>
        <v>-</v>
      </c>
      <c r="F995" s="10" t="str">
        <f>IFERROR(VLOOKUP($B995,'(勿動)組件目錄表'!$D$15:$R$1094,5,FALSE),"-")</f>
        <v>-</v>
      </c>
      <c r="G995" s="11" t="str">
        <f>IFERROR(VLOOKUP($B995,'(勿動)組件目錄表'!$D$15:$R$1094,8,FALSE),"-")</f>
        <v>-</v>
      </c>
      <c r="H995" s="11" t="str">
        <f>IFERROR(VLOOKUP($B995,'(勿動)組件目錄表'!$D$15:$R$1094,9,FALSE),"-")</f>
        <v>-</v>
      </c>
      <c r="I995" s="11" t="str">
        <f>IFERROR(VLOOKUP($B995,'(勿動)組件目錄表'!$D$15:$R$1094,10,FALSE),"-")</f>
        <v>-</v>
      </c>
      <c r="J995" s="11" t="str">
        <f>IFERROR(VLOOKUP($B995,'(勿動)組件目錄表'!$D$15:$R$1094,11,FALSE),"-")</f>
        <v>-</v>
      </c>
      <c r="K995" s="11" t="str">
        <f>IFERROR(VLOOKUP($B995,'(勿動)組件目錄表'!$D$15:$R$1094,12,FALSE),"-")</f>
        <v>-</v>
      </c>
      <c r="L995" s="11" t="str">
        <f>IFERROR(VLOOKUP($B995,'(勿動)組件目錄表'!$D$15:$R$1094,13,FALSE),"-")</f>
        <v>-</v>
      </c>
      <c r="M995" s="11" t="str">
        <f>IFERROR(VLOOKUP($B995,'(勿動)組件目錄表'!$D$15:$R$1094,14,FALSE),"-")</f>
        <v>-</v>
      </c>
      <c r="N995" s="15">
        <f t="shared" si="4"/>
        <v>0</v>
      </c>
      <c r="O995" s="16"/>
    </row>
    <row r="996" spans="1:15" ht="15.75" customHeight="1">
      <c r="A996" s="18"/>
      <c r="B996" s="7"/>
      <c r="C996" s="8" t="str">
        <f>IFERROR(VLOOKUP($B996,'(勿動)組件目錄表'!$D$15:$R$1094,2,FALSE),"-")</f>
        <v>-</v>
      </c>
      <c r="D996" s="8" t="str">
        <f>IFERROR(VLOOKUP($B996,'(勿動)組件目錄表'!$D$15:$R$1094,3,FALSE),"-")</f>
        <v>-</v>
      </c>
      <c r="E996" s="9" t="str">
        <f>IFERROR(VLOOKUP($B996,'(勿動)組件目錄表'!$D$15:$R$1094,4,FALSE),"-")</f>
        <v>-</v>
      </c>
      <c r="F996" s="10" t="str">
        <f>IFERROR(VLOOKUP($B996,'(勿動)組件目錄表'!$D$15:$R$1094,5,FALSE),"-")</f>
        <v>-</v>
      </c>
      <c r="G996" s="11" t="str">
        <f>IFERROR(VLOOKUP($B996,'(勿動)組件目錄表'!$D$15:$R$1094,8,FALSE),"-")</f>
        <v>-</v>
      </c>
      <c r="H996" s="11" t="str">
        <f>IFERROR(VLOOKUP($B996,'(勿動)組件目錄表'!$D$15:$R$1094,9,FALSE),"-")</f>
        <v>-</v>
      </c>
      <c r="I996" s="11" t="str">
        <f>IFERROR(VLOOKUP($B996,'(勿動)組件目錄表'!$D$15:$R$1094,10,FALSE),"-")</f>
        <v>-</v>
      </c>
      <c r="J996" s="11" t="str">
        <f>IFERROR(VLOOKUP($B996,'(勿動)組件目錄表'!$D$15:$R$1094,11,FALSE),"-")</f>
        <v>-</v>
      </c>
      <c r="K996" s="11" t="str">
        <f>IFERROR(VLOOKUP($B996,'(勿動)組件目錄表'!$D$15:$R$1094,12,FALSE),"-")</f>
        <v>-</v>
      </c>
      <c r="L996" s="11" t="str">
        <f>IFERROR(VLOOKUP($B996,'(勿動)組件目錄表'!$D$15:$R$1094,13,FALSE),"-")</f>
        <v>-</v>
      </c>
      <c r="M996" s="11" t="str">
        <f>IFERROR(VLOOKUP($B996,'(勿動)組件目錄表'!$D$15:$R$1094,14,FALSE),"-")</f>
        <v>-</v>
      </c>
      <c r="N996" s="15">
        <f t="shared" si="4"/>
        <v>0</v>
      </c>
      <c r="O996" s="16"/>
    </row>
    <row r="997" spans="1:15" ht="15.75" customHeight="1">
      <c r="A997" s="18"/>
      <c r="B997" s="7"/>
      <c r="C997" s="8" t="str">
        <f>IFERROR(VLOOKUP($B997,'(勿動)組件目錄表'!$D$15:$R$1094,2,FALSE),"-")</f>
        <v>-</v>
      </c>
      <c r="D997" s="8" t="str">
        <f>IFERROR(VLOOKUP($B997,'(勿動)組件目錄表'!$D$15:$R$1094,3,FALSE),"-")</f>
        <v>-</v>
      </c>
      <c r="E997" s="9" t="str">
        <f>IFERROR(VLOOKUP($B997,'(勿動)組件目錄表'!$D$15:$R$1094,4,FALSE),"-")</f>
        <v>-</v>
      </c>
      <c r="F997" s="10" t="str">
        <f>IFERROR(VLOOKUP($B997,'(勿動)組件目錄表'!$D$15:$R$1094,5,FALSE),"-")</f>
        <v>-</v>
      </c>
      <c r="G997" s="11" t="str">
        <f>IFERROR(VLOOKUP($B997,'(勿動)組件目錄表'!$D$15:$R$1094,8,FALSE),"-")</f>
        <v>-</v>
      </c>
      <c r="H997" s="11" t="str">
        <f>IFERROR(VLOOKUP($B997,'(勿動)組件目錄表'!$D$15:$R$1094,9,FALSE),"-")</f>
        <v>-</v>
      </c>
      <c r="I997" s="11" t="str">
        <f>IFERROR(VLOOKUP($B997,'(勿動)組件目錄表'!$D$15:$R$1094,10,FALSE),"-")</f>
        <v>-</v>
      </c>
      <c r="J997" s="11" t="str">
        <f>IFERROR(VLOOKUP($B997,'(勿動)組件目錄表'!$D$15:$R$1094,11,FALSE),"-")</f>
        <v>-</v>
      </c>
      <c r="K997" s="11" t="str">
        <f>IFERROR(VLOOKUP($B997,'(勿動)組件目錄表'!$D$15:$R$1094,12,FALSE),"-")</f>
        <v>-</v>
      </c>
      <c r="L997" s="11" t="str">
        <f>IFERROR(VLOOKUP($B997,'(勿動)組件目錄表'!$D$15:$R$1094,13,FALSE),"-")</f>
        <v>-</v>
      </c>
      <c r="M997" s="11" t="str">
        <f>IFERROR(VLOOKUP($B997,'(勿動)組件目錄表'!$D$15:$R$1094,14,FALSE),"-")</f>
        <v>-</v>
      </c>
      <c r="N997" s="15">
        <f t="shared" si="4"/>
        <v>0</v>
      </c>
      <c r="O997" s="16"/>
    </row>
    <row r="998" spans="1:15" ht="15.75" customHeight="1">
      <c r="A998" s="18"/>
      <c r="B998" s="7"/>
      <c r="C998" s="8" t="str">
        <f>IFERROR(VLOOKUP($B998,'(勿動)組件目錄表'!$D$15:$R$1094,2,FALSE),"-")</f>
        <v>-</v>
      </c>
      <c r="D998" s="8" t="str">
        <f>IFERROR(VLOOKUP($B998,'(勿動)組件目錄表'!$D$15:$R$1094,3,FALSE),"-")</f>
        <v>-</v>
      </c>
      <c r="E998" s="9" t="str">
        <f>IFERROR(VLOOKUP($B998,'(勿動)組件目錄表'!$D$15:$R$1094,4,FALSE),"-")</f>
        <v>-</v>
      </c>
      <c r="F998" s="10" t="str">
        <f>IFERROR(VLOOKUP($B998,'(勿動)組件目錄表'!$D$15:$R$1094,5,FALSE),"-")</f>
        <v>-</v>
      </c>
      <c r="G998" s="11" t="str">
        <f>IFERROR(VLOOKUP($B998,'(勿動)組件目錄表'!$D$15:$R$1094,8,FALSE),"-")</f>
        <v>-</v>
      </c>
      <c r="H998" s="11" t="str">
        <f>IFERROR(VLOOKUP($B998,'(勿動)組件目錄表'!$D$15:$R$1094,9,FALSE),"-")</f>
        <v>-</v>
      </c>
      <c r="I998" s="11" t="str">
        <f>IFERROR(VLOOKUP($B998,'(勿動)組件目錄表'!$D$15:$R$1094,10,FALSE),"-")</f>
        <v>-</v>
      </c>
      <c r="J998" s="11" t="str">
        <f>IFERROR(VLOOKUP($B998,'(勿動)組件目錄表'!$D$15:$R$1094,11,FALSE),"-")</f>
        <v>-</v>
      </c>
      <c r="K998" s="11" t="str">
        <f>IFERROR(VLOOKUP($B998,'(勿動)組件目錄表'!$D$15:$R$1094,12,FALSE),"-")</f>
        <v>-</v>
      </c>
      <c r="L998" s="11" t="str">
        <f>IFERROR(VLOOKUP($B998,'(勿動)組件目錄表'!$D$15:$R$1094,13,FALSE),"-")</f>
        <v>-</v>
      </c>
      <c r="M998" s="11" t="str">
        <f>IFERROR(VLOOKUP($B998,'(勿動)組件目錄表'!$D$15:$R$1094,14,FALSE),"-")</f>
        <v>-</v>
      </c>
      <c r="N998" s="15">
        <f t="shared" si="4"/>
        <v>0</v>
      </c>
      <c r="O998" s="16"/>
    </row>
    <row r="999" spans="1:15" ht="15.75" customHeight="1">
      <c r="A999" s="18"/>
      <c r="B999" s="7"/>
      <c r="C999" s="8" t="str">
        <f>IFERROR(VLOOKUP($B999,'(勿動)組件目錄表'!$D$15:$R$1094,2,FALSE),"-")</f>
        <v>-</v>
      </c>
      <c r="D999" s="8" t="str">
        <f>IFERROR(VLOOKUP($B999,'(勿動)組件目錄表'!$D$15:$R$1094,3,FALSE),"-")</f>
        <v>-</v>
      </c>
      <c r="E999" s="9" t="str">
        <f>IFERROR(VLOOKUP($B999,'(勿動)組件目錄表'!$D$15:$R$1094,4,FALSE),"-")</f>
        <v>-</v>
      </c>
      <c r="F999" s="10" t="str">
        <f>IFERROR(VLOOKUP($B999,'(勿動)組件目錄表'!$D$15:$R$1094,5,FALSE),"-")</f>
        <v>-</v>
      </c>
      <c r="G999" s="11" t="str">
        <f>IFERROR(VLOOKUP($B999,'(勿動)組件目錄表'!$D$15:$R$1094,8,FALSE),"-")</f>
        <v>-</v>
      </c>
      <c r="H999" s="11" t="str">
        <f>IFERROR(VLOOKUP($B999,'(勿動)組件目錄表'!$D$15:$R$1094,9,FALSE),"-")</f>
        <v>-</v>
      </c>
      <c r="I999" s="11" t="str">
        <f>IFERROR(VLOOKUP($B999,'(勿動)組件目錄表'!$D$15:$R$1094,10,FALSE),"-")</f>
        <v>-</v>
      </c>
      <c r="J999" s="11" t="str">
        <f>IFERROR(VLOOKUP($B999,'(勿動)組件目錄表'!$D$15:$R$1094,11,FALSE),"-")</f>
        <v>-</v>
      </c>
      <c r="K999" s="11" t="str">
        <f>IFERROR(VLOOKUP($B999,'(勿動)組件目錄表'!$D$15:$R$1094,12,FALSE),"-")</f>
        <v>-</v>
      </c>
      <c r="L999" s="11" t="str">
        <f>IFERROR(VLOOKUP($B999,'(勿動)組件目錄表'!$D$15:$R$1094,13,FALSE),"-")</f>
        <v>-</v>
      </c>
      <c r="M999" s="11" t="str">
        <f>IFERROR(VLOOKUP($B999,'(勿動)組件目錄表'!$D$15:$R$1094,14,FALSE),"-")</f>
        <v>-</v>
      </c>
      <c r="N999" s="15">
        <f t="shared" si="4"/>
        <v>0</v>
      </c>
      <c r="O999" s="16"/>
    </row>
    <row r="1000" spans="1:15" ht="15.75" customHeight="1"/>
  </sheetData>
  <mergeCells count="4">
    <mergeCell ref="A1:A2"/>
    <mergeCell ref="C1:F1"/>
    <mergeCell ref="G1:M1"/>
    <mergeCell ref="A4:A12"/>
  </mergeCells>
  <phoneticPr fontId="91" type="noConversion"/>
  <dataValidations count="1">
    <dataValidation type="list" allowBlank="1" showErrorMessage="1" sqref="B3:B999" xr:uid="{00000000-0002-0000-0000-000000000000}">
      <formula1>"頁面背景底色_固定,頭巾_固定,錨點_固定,mission計時器_固定,KV_固定,標題_靠左,標題_置中,文字_說明文字-固定,文字_活動說明-固定,優惠券_一排1張,優惠券_一排1張 + 一鍵領取,品_一排1品(垂直展示),品_一排2品(垂直展示),品_一排3品(垂直展示),品_Collection 1條(水平展示),品_Collection 1條(水平展示) + 查看全部(Footer),圖_無CTA,圖_LINK*1,圖_LINK*2,圖_Reminder&gt;5,圖_輪播 水平滑動(display"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155CC"/>
    <outlinePr summaryBelow="0" summaryRight="0"/>
  </sheetPr>
  <dimension ref="A1:D1000"/>
  <sheetViews>
    <sheetView workbookViewId="0"/>
  </sheetViews>
  <sheetFormatPr defaultColWidth="12.5703125" defaultRowHeight="15" customHeight="1"/>
  <cols>
    <col min="1" max="1" width="9.5703125" customWidth="1"/>
    <col min="2" max="2" width="37.85546875" customWidth="1"/>
    <col min="3" max="3" width="75.7109375" customWidth="1"/>
    <col min="4" max="6" width="9.5703125" customWidth="1"/>
    <col min="7" max="26" width="11" customWidth="1"/>
  </cols>
  <sheetData>
    <row r="1" spans="1:4" ht="34.5" customHeight="1">
      <c r="A1" s="19"/>
      <c r="B1" s="389" t="s">
        <v>70</v>
      </c>
      <c r="C1" s="390"/>
      <c r="D1" s="20"/>
    </row>
    <row r="2" spans="1:4" ht="34.5" customHeight="1">
      <c r="A2" s="19"/>
      <c r="B2" s="391"/>
      <c r="C2" s="392"/>
      <c r="D2" s="20"/>
    </row>
    <row r="3" spans="1:4" ht="34.5" customHeight="1">
      <c r="A3" s="19"/>
      <c r="B3" s="391"/>
      <c r="C3" s="392"/>
      <c r="D3" s="20"/>
    </row>
    <row r="4" spans="1:4" ht="40.5" customHeight="1">
      <c r="A4" s="19"/>
      <c r="B4" s="391"/>
      <c r="C4" s="392"/>
      <c r="D4" s="20"/>
    </row>
    <row r="5" spans="1:4" ht="34.5" customHeight="1">
      <c r="A5" s="19"/>
      <c r="B5" s="391"/>
      <c r="C5" s="392"/>
      <c r="D5" s="20"/>
    </row>
    <row r="6" spans="1:4" ht="34.5" customHeight="1">
      <c r="A6" s="19"/>
      <c r="B6" s="391"/>
      <c r="C6" s="392"/>
      <c r="D6" s="20"/>
    </row>
    <row r="7" spans="1:4" ht="34.5" customHeight="1">
      <c r="A7" s="19"/>
      <c r="B7" s="391"/>
      <c r="C7" s="392"/>
      <c r="D7" s="20"/>
    </row>
    <row r="8" spans="1:4" ht="34.5" customHeight="1">
      <c r="A8" s="19"/>
      <c r="B8" s="391"/>
      <c r="C8" s="392"/>
      <c r="D8" s="20"/>
    </row>
    <row r="9" spans="1:4" ht="34.5" customHeight="1">
      <c r="A9" s="19"/>
      <c r="B9" s="391"/>
      <c r="C9" s="392"/>
      <c r="D9" s="20"/>
    </row>
    <row r="10" spans="1:4" ht="15.75" customHeight="1">
      <c r="A10" s="19"/>
      <c r="B10" s="391"/>
      <c r="C10" s="392"/>
      <c r="D10" s="20"/>
    </row>
    <row r="11" spans="1:4" ht="15.75" customHeight="1">
      <c r="A11" s="19"/>
      <c r="B11" s="391"/>
      <c r="C11" s="392"/>
      <c r="D11" s="20"/>
    </row>
    <row r="12" spans="1:4" ht="15.75" customHeight="1">
      <c r="A12" s="19"/>
      <c r="B12" s="391"/>
      <c r="C12" s="392"/>
      <c r="D12" s="20"/>
    </row>
    <row r="13" spans="1:4" ht="15.75" customHeight="1">
      <c r="A13" s="19"/>
      <c r="B13" s="391"/>
      <c r="C13" s="392"/>
      <c r="D13" s="20"/>
    </row>
    <row r="14" spans="1:4" ht="15.75" customHeight="1">
      <c r="A14" s="19"/>
      <c r="B14" s="393"/>
      <c r="C14" s="394"/>
      <c r="D14" s="20"/>
    </row>
    <row r="15" spans="1:4" ht="15.75" customHeight="1">
      <c r="A15" s="19"/>
      <c r="B15" s="21"/>
      <c r="C15" s="21"/>
      <c r="D15" s="20"/>
    </row>
    <row r="16" spans="1:4" ht="15.75" customHeight="1">
      <c r="A16" s="19"/>
      <c r="B16" s="395" t="s">
        <v>71</v>
      </c>
      <c r="C16" s="22" t="s">
        <v>72</v>
      </c>
      <c r="D16" s="20"/>
    </row>
    <row r="17" spans="1:4" ht="15.75" customHeight="1">
      <c r="A17" s="19"/>
      <c r="B17" s="387"/>
      <c r="C17" s="22" t="s">
        <v>73</v>
      </c>
      <c r="D17" s="20"/>
    </row>
    <row r="18" spans="1:4" ht="15.75" customHeight="1">
      <c r="A18" s="19"/>
      <c r="B18" s="396"/>
      <c r="C18" s="22" t="s">
        <v>74</v>
      </c>
      <c r="D18" s="20"/>
    </row>
    <row r="19" spans="1:4" ht="15.75" customHeight="1">
      <c r="A19" s="19"/>
      <c r="B19" s="23"/>
      <c r="C19" s="24"/>
      <c r="D19" s="20"/>
    </row>
    <row r="20" spans="1:4" ht="15.75" customHeight="1">
      <c r="A20" s="19"/>
      <c r="B20" s="395" t="s">
        <v>75</v>
      </c>
      <c r="C20" s="22" t="s">
        <v>76</v>
      </c>
      <c r="D20" s="20"/>
    </row>
    <row r="21" spans="1:4" ht="15.75" customHeight="1">
      <c r="A21" s="19"/>
      <c r="B21" s="387"/>
      <c r="C21" s="22" t="s">
        <v>77</v>
      </c>
      <c r="D21" s="20"/>
    </row>
    <row r="22" spans="1:4" ht="15.75" customHeight="1">
      <c r="A22" s="19"/>
      <c r="B22" s="387"/>
      <c r="C22" s="22" t="s">
        <v>78</v>
      </c>
      <c r="D22" s="20"/>
    </row>
    <row r="23" spans="1:4" ht="15.75" customHeight="1">
      <c r="A23" s="19"/>
      <c r="B23" s="396"/>
      <c r="C23" s="22" t="s">
        <v>79</v>
      </c>
      <c r="D23" s="20"/>
    </row>
    <row r="24" spans="1:4" ht="15.75" customHeight="1">
      <c r="A24" s="19"/>
      <c r="B24" s="20"/>
      <c r="C24" s="20"/>
      <c r="D24" s="20"/>
    </row>
    <row r="25" spans="1:4" ht="15.75" customHeight="1"/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C14"/>
    <mergeCell ref="B16:B18"/>
    <mergeCell ref="B20:B23"/>
  </mergeCells>
  <phoneticPr fontId="91" type="noConversion"/>
  <hyperlinks>
    <hyperlink ref="B16" location="null!A1" display="🔗 錨點自動更新（版配分頁）" xr:uid="{00000000-0004-0000-0100-000000000000}"/>
    <hyperlink ref="B20" location="'L1_暖正GD做圖列表'!A1" display="🌼 GD做圖表自動產出（GD做圖分頁）" xr:uid="{00000000-0004-0000-0100-000001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A1000"/>
  <sheetViews>
    <sheetView workbookViewId="0"/>
  </sheetViews>
  <sheetFormatPr defaultColWidth="12.5703125" defaultRowHeight="15" customHeight="1"/>
  <cols>
    <col min="1" max="6" width="9.5703125" customWidth="1"/>
    <col min="7" max="26" width="11" customWidth="1"/>
  </cols>
  <sheetData>
    <row r="1" spans="1:1" ht="15.75" customHeight="1">
      <c r="A1" s="25">
        <f ca="1">TODAY()</f>
        <v>46201</v>
      </c>
    </row>
    <row r="2" spans="1:1" ht="15.75" customHeight="1"/>
    <row r="3" spans="1:1" ht="15.75" customHeight="1"/>
    <row r="4" spans="1:1" ht="15.75" customHeight="1"/>
    <row r="5" spans="1:1" ht="15.75" customHeight="1"/>
    <row r="6" spans="1:1" ht="15.75" customHeight="1"/>
    <row r="7" spans="1:1" ht="15.75" customHeight="1"/>
    <row r="8" spans="1:1" ht="15.75" customHeight="1"/>
    <row r="9" spans="1:1" ht="15.75" customHeight="1"/>
    <row r="10" spans="1:1" ht="15.75" customHeight="1"/>
    <row r="11" spans="1:1" ht="15.75" customHeight="1"/>
    <row r="12" spans="1:1" ht="15.75" customHeight="1"/>
    <row r="13" spans="1:1" ht="15.75" customHeight="1"/>
    <row r="14" spans="1:1" ht="15.75" customHeight="1"/>
    <row r="15" spans="1:1" ht="15.75" customHeight="1"/>
    <row r="16" spans="1:1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91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601"/>
  <sheetViews>
    <sheetView workbookViewId="0">
      <pane xSplit="36" ySplit="7" topLeftCell="AK8" activePane="bottomRight" state="frozen"/>
      <selection pane="topRight" activeCell="AK1" sqref="AK1"/>
      <selection pane="bottomLeft" activeCell="A8" sqref="A8"/>
      <selection pane="bottomRight" activeCell="AK8" sqref="AK8"/>
    </sheetView>
  </sheetViews>
  <sheetFormatPr defaultColWidth="12.5703125" defaultRowHeight="15" customHeight="1" outlineLevelRow="1" outlineLevelCol="1"/>
  <cols>
    <col min="1" max="30" width="5.7109375" hidden="1" customWidth="1" outlineLevel="1"/>
    <col min="31" max="31" width="6.7109375" customWidth="1" collapsed="1"/>
    <col min="32" max="36" width="6.7109375" customWidth="1"/>
    <col min="37" max="39" width="5.5703125" customWidth="1"/>
    <col min="40" max="40" width="10.85546875" customWidth="1"/>
    <col min="41" max="41" width="14.42578125" customWidth="1"/>
    <col min="42" max="42" width="18.140625" customWidth="1"/>
    <col min="43" max="43" width="10.42578125" customWidth="1"/>
    <col min="44" max="44" width="9.42578125" customWidth="1"/>
    <col min="45" max="45" width="7.7109375" customWidth="1" outlineLevel="1"/>
    <col min="46" max="46" width="13.7109375" customWidth="1" outlineLevel="1"/>
    <col min="47" max="47" width="49" customWidth="1" outlineLevel="1"/>
    <col min="48" max="48" width="12.5703125" customWidth="1"/>
    <col min="49" max="49" width="11" customWidth="1"/>
    <col min="50" max="52" width="14.42578125" customWidth="1"/>
    <col min="53" max="54" width="12.5703125" customWidth="1"/>
    <col min="55" max="56" width="14.42578125" customWidth="1"/>
    <col min="57" max="57" width="23.140625" customWidth="1"/>
    <col min="58" max="62" width="29.28515625" customWidth="1"/>
    <col min="63" max="67" width="10.140625" customWidth="1"/>
  </cols>
  <sheetData>
    <row r="1" spans="1:67" ht="165" hidden="1" customHeight="1" outlineLevel="1">
      <c r="A1" s="26">
        <f ca="1">TODAY()</f>
        <v>46201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407" t="s">
        <v>80</v>
      </c>
      <c r="AF1" s="415" t="s">
        <v>81</v>
      </c>
      <c r="AG1" s="399"/>
      <c r="AH1" s="399"/>
      <c r="AI1" s="399"/>
      <c r="AJ1" s="399"/>
      <c r="AK1" s="410" t="s">
        <v>82</v>
      </c>
      <c r="AL1" s="411"/>
      <c r="AM1" s="414" t="s">
        <v>83</v>
      </c>
      <c r="AN1" s="384"/>
      <c r="AO1" s="384"/>
      <c r="AP1" s="28">
        <f>SUM($AT9:$AT601)+SUM($AT9:$AT601)*0.8+10</f>
        <v>17.560000000000002</v>
      </c>
      <c r="AQ1" s="407" t="s">
        <v>84</v>
      </c>
      <c r="AR1" s="398" t="s">
        <v>85</v>
      </c>
      <c r="AS1" s="399"/>
      <c r="AT1" s="29"/>
      <c r="AU1" s="30"/>
      <c r="AV1" s="31"/>
      <c r="AW1" s="32"/>
      <c r="AX1" s="32"/>
      <c r="AY1" s="33"/>
      <c r="AZ1" s="33"/>
      <c r="BA1" s="33"/>
      <c r="BB1" s="33"/>
      <c r="BC1" s="33"/>
      <c r="BD1" s="33"/>
      <c r="BE1" s="33"/>
      <c r="BF1" s="33"/>
      <c r="BG1" s="33"/>
      <c r="BH1" s="33"/>
      <c r="BI1" s="33"/>
      <c r="BJ1" s="33"/>
      <c r="BK1" s="33"/>
      <c r="BL1" s="34"/>
      <c r="BM1" s="35"/>
      <c r="BN1" s="35"/>
      <c r="BO1" s="35"/>
    </row>
    <row r="2" spans="1:67" ht="15.75" hidden="1" customHeight="1" outlineLevel="1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408"/>
      <c r="AF2" s="412"/>
      <c r="AG2" s="416"/>
      <c r="AH2" s="416"/>
      <c r="AI2" s="416"/>
      <c r="AJ2" s="416"/>
      <c r="AK2" s="412"/>
      <c r="AL2" s="392"/>
      <c r="AM2" s="398" t="s">
        <v>86</v>
      </c>
      <c r="AN2" s="399"/>
      <c r="AO2" s="399"/>
      <c r="AP2" s="36">
        <f ca="1">COUNTIF($BL9:$BL601, "&lt;&gt;0")</f>
        <v>9</v>
      </c>
      <c r="AQ2" s="408"/>
      <c r="AR2" s="398" t="s">
        <v>87</v>
      </c>
      <c r="AS2" s="399"/>
      <c r="AT2" s="402"/>
      <c r="AU2" s="32"/>
      <c r="AV2" s="403"/>
      <c r="AW2" s="32"/>
      <c r="AX2" s="32"/>
      <c r="AY2" s="32"/>
      <c r="AZ2" s="32"/>
      <c r="BA2" s="33"/>
      <c r="BB2" s="33"/>
      <c r="BC2" s="33"/>
      <c r="BD2" s="33"/>
      <c r="BE2" s="33"/>
      <c r="BF2" s="33"/>
      <c r="BG2" s="33"/>
      <c r="BH2" s="33"/>
      <c r="BI2" s="33"/>
      <c r="BJ2" s="33"/>
      <c r="BK2" s="33"/>
      <c r="BL2" s="34"/>
      <c r="BM2" s="35"/>
      <c r="BN2" s="35"/>
      <c r="BO2" s="35"/>
    </row>
    <row r="3" spans="1:67" ht="15.75" hidden="1" customHeight="1" outlineLevel="1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409"/>
      <c r="AF3" s="400"/>
      <c r="AG3" s="401"/>
      <c r="AH3" s="401"/>
      <c r="AI3" s="401"/>
      <c r="AJ3" s="401"/>
      <c r="AK3" s="400"/>
      <c r="AL3" s="413"/>
      <c r="AM3" s="414" t="s">
        <v>88</v>
      </c>
      <c r="AN3" s="384"/>
      <c r="AO3" s="384"/>
      <c r="AP3" s="37">
        <f ca="1">IFERROR((COUNTIF($AQ9:$AQ601, "*_*") - COUNTIF($BL9:$BL601, "&lt;&gt;0")) / COUNTIF($AQ9:$AQ601, "*_*"), 0)</f>
        <v>0.25</v>
      </c>
      <c r="AQ3" s="409"/>
      <c r="AR3" s="400"/>
      <c r="AS3" s="401"/>
      <c r="AT3" s="379"/>
      <c r="AU3" s="38"/>
      <c r="AV3" s="379"/>
      <c r="AW3" s="32"/>
      <c r="AX3" s="32"/>
      <c r="AY3" s="32"/>
      <c r="AZ3" s="32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5"/>
      <c r="BM3" s="35"/>
      <c r="BN3" s="35"/>
      <c r="BO3" s="35"/>
    </row>
    <row r="4" spans="1:67" ht="15.75" customHeight="1" collapsed="1">
      <c r="A4" s="39"/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417" t="s">
        <v>89</v>
      </c>
      <c r="AF4" s="399"/>
      <c r="AG4" s="399"/>
      <c r="AH4" s="32"/>
      <c r="AI4" s="32"/>
      <c r="AJ4" s="40"/>
      <c r="AK4" s="41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4"/>
      <c r="BM4" s="35"/>
      <c r="BN4" s="35"/>
      <c r="BO4" s="35"/>
    </row>
    <row r="5" spans="1:67" ht="15.75" customHeight="1">
      <c r="A5" s="418" t="s">
        <v>90</v>
      </c>
      <c r="B5" s="419"/>
      <c r="C5" s="419"/>
      <c r="D5" s="419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19"/>
      <c r="S5" s="419"/>
      <c r="T5" s="390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1" t="s">
        <v>91</v>
      </c>
      <c r="AF5" s="399"/>
      <c r="AG5" s="399"/>
      <c r="AH5" s="399"/>
      <c r="AI5" s="399"/>
      <c r="AJ5" s="422"/>
      <c r="AK5" s="425"/>
      <c r="AL5" s="384"/>
      <c r="AM5" s="405"/>
      <c r="AN5" s="43"/>
      <c r="AO5" s="383"/>
      <c r="AP5" s="385"/>
      <c r="AQ5" s="404"/>
      <c r="AR5" s="384"/>
      <c r="AS5" s="384"/>
      <c r="AT5" s="384"/>
      <c r="AU5" s="405"/>
      <c r="AV5" s="383" t="s">
        <v>1</v>
      </c>
      <c r="AW5" s="384"/>
      <c r="AX5" s="384"/>
      <c r="AY5" s="384"/>
      <c r="AZ5" s="384"/>
      <c r="BA5" s="384"/>
      <c r="BB5" s="384"/>
      <c r="BC5" s="384"/>
      <c r="BD5" s="384"/>
      <c r="BE5" s="384"/>
      <c r="BF5" s="384"/>
      <c r="BG5" s="384"/>
      <c r="BH5" s="384"/>
      <c r="BI5" s="384"/>
      <c r="BJ5" s="384"/>
      <c r="BK5" s="385"/>
      <c r="BL5" s="44" t="s">
        <v>2</v>
      </c>
      <c r="BM5" s="2" t="s">
        <v>92</v>
      </c>
      <c r="BN5" s="406" t="s">
        <v>93</v>
      </c>
      <c r="BO5" s="405"/>
    </row>
    <row r="6" spans="1:67" ht="15.75" customHeight="1">
      <c r="A6" s="391"/>
      <c r="B6" s="416"/>
      <c r="C6" s="416"/>
      <c r="D6" s="416"/>
      <c r="E6" s="416"/>
      <c r="F6" s="416"/>
      <c r="G6" s="416"/>
      <c r="H6" s="416"/>
      <c r="I6" s="416"/>
      <c r="J6" s="416"/>
      <c r="K6" s="416"/>
      <c r="L6" s="416"/>
      <c r="M6" s="416"/>
      <c r="N6" s="416"/>
      <c r="O6" s="416"/>
      <c r="P6" s="416"/>
      <c r="Q6" s="416"/>
      <c r="R6" s="416"/>
      <c r="S6" s="416"/>
      <c r="T6" s="39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12"/>
      <c r="AF6" s="416"/>
      <c r="AG6" s="416"/>
      <c r="AH6" s="416"/>
      <c r="AI6" s="416"/>
      <c r="AJ6" s="423"/>
      <c r="AK6" s="5"/>
      <c r="AL6" s="5"/>
      <c r="AM6" s="5"/>
      <c r="AN6" s="43"/>
      <c r="AO6" s="1"/>
      <c r="AP6" s="45"/>
      <c r="AQ6" s="46"/>
      <c r="AR6" s="46"/>
      <c r="AS6" s="46"/>
      <c r="AT6" s="47"/>
      <c r="AU6" s="48" t="s">
        <v>7</v>
      </c>
      <c r="AV6" s="1" t="s">
        <v>94</v>
      </c>
      <c r="AW6" s="1" t="s">
        <v>95</v>
      </c>
      <c r="AX6" s="1" t="s">
        <v>96</v>
      </c>
      <c r="AY6" s="1" t="s">
        <v>97</v>
      </c>
      <c r="AZ6" s="1" t="s">
        <v>98</v>
      </c>
      <c r="BA6" s="49" t="s">
        <v>99</v>
      </c>
      <c r="BB6" s="49" t="s">
        <v>99</v>
      </c>
      <c r="BC6" s="50" t="s">
        <v>100</v>
      </c>
      <c r="BD6" s="50" t="s">
        <v>101</v>
      </c>
      <c r="BE6" s="50" t="s">
        <v>8</v>
      </c>
      <c r="BF6" s="50" t="s">
        <v>9</v>
      </c>
      <c r="BG6" s="50" t="s">
        <v>10</v>
      </c>
      <c r="BH6" s="50" t="s">
        <v>11</v>
      </c>
      <c r="BI6" s="50" t="s">
        <v>12</v>
      </c>
      <c r="BJ6" s="50" t="s">
        <v>13</v>
      </c>
      <c r="BK6" s="50" t="s">
        <v>102</v>
      </c>
      <c r="BL6" s="44" t="s">
        <v>15</v>
      </c>
      <c r="BM6" s="2" t="s">
        <v>103</v>
      </c>
      <c r="BN6" s="51" t="s">
        <v>104</v>
      </c>
      <c r="BO6" s="52" t="s">
        <v>105</v>
      </c>
    </row>
    <row r="7" spans="1:67" ht="17.25" customHeight="1">
      <c r="A7" s="393"/>
      <c r="B7" s="420"/>
      <c r="C7" s="420"/>
      <c r="D7" s="420"/>
      <c r="E7" s="420"/>
      <c r="F7" s="420"/>
      <c r="G7" s="420"/>
      <c r="H7" s="420"/>
      <c r="I7" s="420"/>
      <c r="J7" s="420"/>
      <c r="K7" s="420"/>
      <c r="L7" s="420"/>
      <c r="M7" s="420"/>
      <c r="N7" s="420"/>
      <c r="O7" s="420"/>
      <c r="P7" s="420"/>
      <c r="Q7" s="420"/>
      <c r="R7" s="420"/>
      <c r="S7" s="420"/>
      <c r="T7" s="394"/>
      <c r="U7" s="42"/>
      <c r="V7" s="42"/>
      <c r="W7" s="42"/>
      <c r="X7" s="42"/>
      <c r="Y7" s="42"/>
      <c r="Z7" s="42"/>
      <c r="AA7" s="42"/>
      <c r="AB7" s="42"/>
      <c r="AC7" s="42"/>
      <c r="AD7" s="42"/>
      <c r="AE7" s="400"/>
      <c r="AF7" s="401"/>
      <c r="AG7" s="401"/>
      <c r="AH7" s="401"/>
      <c r="AI7" s="401"/>
      <c r="AJ7" s="424"/>
      <c r="AK7" s="53" t="s">
        <v>106</v>
      </c>
      <c r="AL7" s="53" t="s">
        <v>107</v>
      </c>
      <c r="AM7" s="53" t="s">
        <v>107</v>
      </c>
      <c r="AN7" s="54" t="s">
        <v>108</v>
      </c>
      <c r="AO7" s="53" t="s">
        <v>106</v>
      </c>
      <c r="AP7" s="53" t="s">
        <v>106</v>
      </c>
      <c r="AQ7" s="54" t="s">
        <v>108</v>
      </c>
      <c r="AR7" s="54" t="s">
        <v>108</v>
      </c>
      <c r="AS7" s="54" t="s">
        <v>108</v>
      </c>
      <c r="AT7" s="54" t="s">
        <v>108</v>
      </c>
      <c r="AU7" s="54" t="s">
        <v>108</v>
      </c>
      <c r="AV7" s="54" t="s">
        <v>107</v>
      </c>
      <c r="AW7" s="54" t="s">
        <v>108</v>
      </c>
      <c r="AX7" s="54" t="s">
        <v>107</v>
      </c>
      <c r="AY7" s="54" t="s">
        <v>109</v>
      </c>
      <c r="AZ7" s="54" t="s">
        <v>107</v>
      </c>
      <c r="BA7" s="54" t="s">
        <v>108</v>
      </c>
      <c r="BB7" s="54" t="s">
        <v>108</v>
      </c>
      <c r="BC7" s="55" t="s">
        <v>110</v>
      </c>
      <c r="BD7" s="55" t="s">
        <v>110</v>
      </c>
      <c r="BE7" s="55" t="s">
        <v>110</v>
      </c>
      <c r="BF7" s="55" t="s">
        <v>110</v>
      </c>
      <c r="BG7" s="55" t="s">
        <v>110</v>
      </c>
      <c r="BH7" s="55" t="s">
        <v>110</v>
      </c>
      <c r="BI7" s="55" t="s">
        <v>110</v>
      </c>
      <c r="BJ7" s="55" t="s">
        <v>110</v>
      </c>
      <c r="BK7" s="55" t="s">
        <v>107</v>
      </c>
      <c r="BL7" s="56" t="s">
        <v>108</v>
      </c>
      <c r="BM7" s="57" t="s">
        <v>111</v>
      </c>
      <c r="BN7" s="54" t="s">
        <v>107</v>
      </c>
      <c r="BO7" s="54" t="s">
        <v>107</v>
      </c>
    </row>
    <row r="8" spans="1:67" ht="30" customHeight="1">
      <c r="A8" s="58" t="str">
        <f t="array" aca="1" ref="A8" ca="1">IFERROR(TRANSPOSE(INDIRECT('MS section版配(Old)'!$AO8)),"")</f>
        <v/>
      </c>
      <c r="B8" s="59"/>
      <c r="C8" s="59"/>
      <c r="D8" s="59"/>
      <c r="E8" s="59"/>
      <c r="F8" s="58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426" t="str">
        <f>IFERROR(VLOOKUP($AQ8,'(勿動)組件目錄表'!$D$15:$R$1094,4,FALSE),"")</f>
        <v/>
      </c>
      <c r="AF8" s="384"/>
      <c r="AG8" s="384"/>
      <c r="AH8" s="384"/>
      <c r="AI8" s="384"/>
      <c r="AJ8" s="385"/>
      <c r="AK8" s="60" t="b">
        <v>0</v>
      </c>
      <c r="AL8" s="61" t="b">
        <v>0</v>
      </c>
      <c r="AM8" s="61"/>
      <c r="AN8" s="61" t="str">
        <f t="array" ref="AN8:AN601">TEXT(ROW(AN8:AN601)-ROW(AN8),"000")</f>
        <v>000</v>
      </c>
      <c r="AO8" s="7"/>
      <c r="AP8" s="62"/>
      <c r="AQ8" s="63" t="str">
        <f t="array" ref="AQ8:AQ601">IF(AO8:AO601="","",AO8:AO601&amp;"_"&amp;AP8:AP601)</f>
        <v/>
      </c>
      <c r="AR8" s="63" t="str">
        <f t="array" ref="AR8:AR601">IFERROR(VLOOKUP($AQ8:$AQ601, '(勿動)組件目錄表'!$D$15:$R$1094, 2, FALSE),
    IFERROR(VLOOKUP(#REF!, '(勿動)組件目錄表'!$E$15:$R$1094, 1, FALSE), "-"))</f>
        <v>-</v>
      </c>
      <c r="AS8" s="64" t="str">
        <f t="array" ref="AS8:AS9">IFERROR(VLOOKUP($AQ8:$AQ601, '(勿動)組件目錄表'!$D$15:$R$1094, 3, FALSE),
    IFERROR(VLOOKUP(#REF!, '(勿動)組件目錄表'!$E$15:$R$1094, 2, FALSE), "-"))</f>
        <v>-</v>
      </c>
      <c r="AT8" s="65" t="str">
        <f t="array" ref="AT8:AT601">IFERROR(VLOOKUP($AQ8:$AQ601, '(勿動)組件目錄表'!$D$15:$R$1094, 5, FALSE),
    IFERROR(VLOOKUP(#REF!, '(勿動)組件目錄表'!$E$15:$R$1094, 4, FALSE), "-"))</f>
        <v>-</v>
      </c>
      <c r="AU8" s="64" t="str">
        <f t="array" ref="AU8:AU601">IFERROR(VLOOKUP($AQ8:$AQ601, '(勿動)組件目錄表'!$D$15:$R$1094, 6, FALSE),
    IFERROR(VLOOKUP(#REF!, '(勿動)組件目錄表'!$E$15:$R$1094, 5, FALSE), "-"))</f>
        <v>-</v>
      </c>
      <c r="AV8" s="66"/>
      <c r="AW8" s="67" t="str">
        <f t="array" aca="1" ref="AW8:AW601" ca="1">IFERROR(VLOOKUP($AV8:$AV601, '(勿動)Component Label公版'!$D$1:$E$1000, 2, FALSE), "-")</f>
        <v>-</v>
      </c>
      <c r="AX8" s="67" t="b">
        <v>0</v>
      </c>
      <c r="AY8" s="68" t="str">
        <f t="shared" ref="AY8:AY262" si="0">IF(AX8=TRUE,"若AX欄有勾選則必填","")</f>
        <v/>
      </c>
      <c r="AZ8" s="69" t="str">
        <f t="shared" ref="AZ8:AZ262" si="1">IF(AY8="設隱形錨點","",IF(AX8=FALSE,"",IF(AX8=TRUE, SUBSTITUTE(AW8, "_", ""))))</f>
        <v/>
      </c>
      <c r="BA8" s="70" t="str">
        <f t="shared" ref="BA8:BA262" si="2">IFERROR(IF(TRIM(BC8)="", "", TEXT(DATEVALUE("2025/" &amp; LEFT(TRIM(BC8), FIND(" ", TRIM(BC8)) - 1)) + TIME(VALUE(MID(TRIM(BC8), FIND(" ", TRIM(BC8)) + 1, LEN(TRIM(BC8)) - FIND(" ", TRIM(BC8)))), 0, 0), "YYYY-MM-DD hh:mm:ss")),"")</f>
        <v/>
      </c>
      <c r="BB8" s="68" t="str">
        <f t="shared" ref="BB8:BB262" si="3">IFERROR(IF(TRIM(BD8)="", "", TEXT(DATEVALUE("2025/" &amp; LEFT(TRIM(BD8), FIND(" ", TRIM(BD8)) - 1)) + TIME(VALUE(MID(TRIM(BD8), FIND(" ", TRIM(BD8)) + 1, LEN(TRIM(BD8)) - FIND(" ", TRIM(BD8))))-1, 59, 59), "YYYY-MM-DD hh:mm:ss")),"")</f>
        <v/>
      </c>
      <c r="BC8" s="69" t="str">
        <f>IFERROR(VLOOKUP($AQ8,'(勿動)組件目錄表'!$D$15:$R$1094,7,FALSE),"")</f>
        <v/>
      </c>
      <c r="BD8" s="69" t="str">
        <f>IFERROR(VLOOKUP($AQ8,'(勿動)組件目錄表'!$D$15:$R$1094,8,FALSE),"")</f>
        <v/>
      </c>
      <c r="BE8" s="69" t="str">
        <f>IFERROR(VLOOKUP($AQ8,'(勿動)組件目錄表'!$D$15:$R$1094,9,FALSE),"")</f>
        <v/>
      </c>
      <c r="BF8" s="69" t="str">
        <f>IFERROR(VLOOKUP($AQ8,'(勿動)組件目錄表'!$D$15:$R$1094,10,FALSE),"")</f>
        <v/>
      </c>
      <c r="BG8" s="69" t="str">
        <f>IFERROR(VLOOKUP($AQ8,'(勿動)組件目錄表'!$D$15:$R$1094,11,FALSE),"")</f>
        <v/>
      </c>
      <c r="BH8" s="69" t="str">
        <f>IFERROR(VLOOKUP($AQ8,'(勿動)組件目錄表'!$D$15:$R$1094,12,FALSE),"")</f>
        <v/>
      </c>
      <c r="BI8" s="69" t="str">
        <f>IFERROR(VLOOKUP($AQ8,'(勿動)組件目錄表'!$D$15:$R$1094,13,FALSE),"")</f>
        <v/>
      </c>
      <c r="BJ8" s="69" t="str">
        <f>IFERROR(VLOOKUP($AQ8,'(勿動)組件目錄表'!$D$15:$R$1094,14,FALSE),"")</f>
        <v/>
      </c>
      <c r="BK8" s="69" t="str">
        <f>IFERROR(VLOOKUP($AQ8,'(勿動)組件目錄表'!$D$15:$R$1094,15,FALSE),"")</f>
        <v/>
      </c>
      <c r="BL8" s="71">
        <f ca="1">IFERROR(__xludf.DUMMYFUNCTION("IFERROR(
  LET(
    rowData, FILTER('(勿動)組件目錄表'!J:Q, '(勿動)組件目錄表'!D:D=AQ8),
    IF(ROWS(rowData)=0, 0, 
      (
        IF(AND(BC8&lt;&gt;"""", INDEX(rowData,1,1)=BC8),1,0) +
        IF(AND(BD8&lt;&gt;"""", INDEX(rowData,1,2)=BD8),1,0) +
        IF(AND(BE8&lt;&gt;"""", INDE"&amp;"X(rowData,1,3)=BE8),1,0) +
        IF(AND(BF8&lt;&gt;"""", INDEX(rowData,1,4)=BF8),1,0) +
        IF(AND(BG8&lt;&gt;"""", INDEX(rowData,1,5)=BG8),1,0) +
        IF(AND(BH8&lt;&gt;"""", INDEX(rowData,1,6)=BH8),1,0) +
        IF(AND(BI8&lt;&gt;"""", INDEX(rowData,1,7)=BI8),1,0) +
"&amp;"        IF(AND(BJ8&lt;&gt;"""", INDEX(rowData,1,8)=BJ8),1,0)
      ) - COUNTIF(BC8:BJ8, ""-"")
        - COUNTIF(BC8:BJ8, ""固定格式，不需提供資訊"")
        - COUNTIF(BC8:BJ8, ""由MKT更新，此欄位固定格式，不需提供資訊
(Voucher CID：12917705872)"")
        - COUNTIF(BC8:BJ8, ""text固定為以下：
※直"&amp;"播間僅支援手機版"")
        - COUNTIF(BC8:BJ8, ""text固定為以下：
※短影音僅支援手機版"")
    )
  ), 
  0
)
"),0)</f>
        <v>0</v>
      </c>
      <c r="BM8" s="65" t="b">
        <v>0</v>
      </c>
      <c r="BN8" s="72"/>
      <c r="BO8" s="72"/>
    </row>
    <row r="9" spans="1:67" ht="30" customHeight="1">
      <c r="A9" s="73" t="str">
        <f t="array" aca="1" ref="A9" ca="1">IFERROR(TRANSPOSE(INDIRECT('MS section版配(Old)'!$AO9)),"")</f>
        <v>固定</v>
      </c>
      <c r="B9" s="74"/>
      <c r="C9" s="74"/>
      <c r="D9" s="74"/>
      <c r="E9" s="74"/>
      <c r="F9" s="73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397" t="str">
        <f>IFERROR(VLOOKUP($AQ9,'(勿動)組件目錄表'!$D$15:$R$1094,4,FALSE),"")</f>
        <v>Product Label</v>
      </c>
      <c r="AF9" s="384"/>
      <c r="AG9" s="384"/>
      <c r="AH9" s="384"/>
      <c r="AI9" s="384"/>
      <c r="AJ9" s="385"/>
      <c r="AK9" s="54" t="b">
        <v>0</v>
      </c>
      <c r="AL9" s="54" t="b">
        <v>0</v>
      </c>
      <c r="AM9" s="68"/>
      <c r="AN9" s="68" t="str">
        <v>001</v>
      </c>
      <c r="AO9" s="68" t="s">
        <v>112</v>
      </c>
      <c r="AP9" s="62" t="s">
        <v>113</v>
      </c>
      <c r="AQ9" s="75" t="str">
        <v>Productlabel_固定</v>
      </c>
      <c r="AR9" s="75" t="str">
        <v>N/A</v>
      </c>
      <c r="AS9" s="76">
        <v>0</v>
      </c>
      <c r="AT9" s="77">
        <v>0.5</v>
      </c>
      <c r="AU9" s="76">
        <v>0</v>
      </c>
      <c r="AV9" s="78"/>
      <c r="AW9" s="79" t="str">
        <f ca="1"/>
        <v>-</v>
      </c>
      <c r="AX9" s="80" t="b">
        <v>0</v>
      </c>
      <c r="AY9" s="68" t="str">
        <f t="shared" si="0"/>
        <v/>
      </c>
      <c r="AZ9" s="69" t="str">
        <f t="shared" si="1"/>
        <v/>
      </c>
      <c r="BA9" s="70" t="str">
        <f t="shared" si="2"/>
        <v/>
      </c>
      <c r="BB9" s="68" t="str">
        <f t="shared" si="3"/>
        <v/>
      </c>
      <c r="BC9" s="69" t="str">
        <f>IFERROR(VLOOKUP($AQ9,'(勿動)組件目錄表'!$D$15:$R$1094,7,FALSE),"")</f>
        <v>MM/DD hh (若全走期都需曝光，請清空此欄毋需填寫)</v>
      </c>
      <c r="BD9" s="69" t="str">
        <f>IFERROR(VLOOKUP($AQ9,'(勿動)組件目錄表'!$D$15:$R$1094,8,FALSE),"")</f>
        <v>MM/DD hh (若全走期都需曝光，請清空此欄毋需填寫)</v>
      </c>
      <c r="BE9" s="69" t="str">
        <f>IFERROR(VLOOKUP($AQ9,'(勿動)組件目錄表'!$D$15:$R$1094,9,FALSE),"")</f>
        <v>Rule Set Name：</v>
      </c>
      <c r="BF9" s="69" t="str">
        <f>IFERROR(VLOOKUP($AQ9,'(勿動)組件目錄表'!$D$15:$R$1094,10,FALSE),"")</f>
        <v>Product Label Name：</v>
      </c>
      <c r="BG9" s="69" t="str">
        <f>IFERROR(VLOOKUP($AQ9,'(勿動)組件目錄表'!$D$15:$R$1094,11,FALSE),"")</f>
        <v>-</v>
      </c>
      <c r="BH9" s="69" t="str">
        <f>IFERROR(VLOOKUP($AQ9,'(勿動)組件目錄表'!$D$15:$R$1094,12,FALSE),"")</f>
        <v>-</v>
      </c>
      <c r="BI9" s="69" t="str">
        <f>IFERROR(VLOOKUP($AQ9,'(勿動)組件目錄表'!$D$15:$R$1094,13,FALSE),"")</f>
        <v>-</v>
      </c>
      <c r="BJ9" s="69" t="str">
        <f>IFERROR(VLOOKUP($AQ9,'(勿動)組件目錄表'!$D$15:$R$1094,14,FALSE),"")</f>
        <v>-</v>
      </c>
      <c r="BK9" s="69">
        <f>IFERROR(VLOOKUP($AQ9,'(勿動)組件目錄表'!$D$15:$R$1094,15,FALSE),"")</f>
        <v>0</v>
      </c>
      <c r="BL9" s="81">
        <f ca="1">IFERROR(__xludf.DUMMYFUNCTION("IFERROR(
  LET(
    rowData, FILTER('(勿動)組件目錄表'!J:Q, '(勿動)組件目錄表'!D:D=AQ9),
    IF(ROWS(rowData)=0, 0, 
      (
        IF(AND(BC9&lt;&gt;"""", INDEX(rowData,1,1)=BC9),1,0) +
        IF(AND(BD9&lt;&gt;"""", INDEX(rowData,1,2)=BD9),1,0) +
        IF(AND(BE9&lt;&gt;"""", INDE"&amp;"X(rowData,1,3)=BE9),1,0) +
        IF(AND(BF9&lt;&gt;"""", INDEX(rowData,1,4)=BF9),1,0) +
        IF(AND(BG9&lt;&gt;"""", INDEX(rowData,1,5)=BG9),1,0) +
        IF(AND(BH9&lt;&gt;"""", INDEX(rowData,1,6)=BH9),1,0) +
        IF(AND(BI9&lt;&gt;"""", INDEX(rowData,1,7)=BI9),1,0) +
"&amp;"        IF(AND(BJ9&lt;&gt;"""", INDEX(rowData,1,8)=BJ9),1,0)
      ) - COUNTIF(BC9:BJ9, ""-"")
        - COUNTIF(BC9:BJ9, ""固定格式，不需提供資訊"")
        - COUNTIF(BC9:BJ9, ""由MKT更新，此欄位固定格式，不需提供資訊
(Voucher CID：12917705872)"")
        - COUNTIF(BC9:BJ9, ""text固定為以下：
※直"&amp;"播間僅支援手機版"")
        - COUNTIF(BC9:BJ9, ""text固定為以下：
※短影音僅支援手機版"")
    )
  ), 
  0
)
"),4)</f>
        <v>4</v>
      </c>
      <c r="BM9" s="77" t="b">
        <v>0</v>
      </c>
      <c r="BN9" s="82"/>
      <c r="BO9" s="82"/>
    </row>
    <row r="10" spans="1:67" ht="30" customHeight="1">
      <c r="A10" s="73" t="str">
        <f t="array" aca="1" ref="A10" ca="1">IFERROR(TRANSPOSE(INDIRECT('MS section版配(Old)'!$AO10)),"")</f>
        <v>固定</v>
      </c>
      <c r="B10" s="74"/>
      <c r="C10" s="74"/>
      <c r="D10" s="74"/>
      <c r="E10" s="74"/>
      <c r="F10" s="73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397" t="str">
        <f>IFERROR(VLOOKUP($AQ10,'(勿動)組件目錄表'!$D$15:$R$1094,4,FALSE),"")</f>
        <v>短影音</v>
      </c>
      <c r="AF10" s="384"/>
      <c r="AG10" s="384"/>
      <c r="AH10" s="384"/>
      <c r="AI10" s="384"/>
      <c r="AJ10" s="385"/>
      <c r="AK10" s="54" t="b">
        <v>0</v>
      </c>
      <c r="AL10" s="54" t="b">
        <v>0</v>
      </c>
      <c r="AM10" s="68"/>
      <c r="AN10" s="68" t="str">
        <v>002</v>
      </c>
      <c r="AO10" s="68" t="s">
        <v>116</v>
      </c>
      <c r="AP10" s="62" t="s">
        <v>113</v>
      </c>
      <c r="AQ10" s="75" t="str">
        <v>短影音_固定</v>
      </c>
      <c r="AR10" s="75" t="str">
        <v>W-1</v>
      </c>
      <c r="AS10" s="76"/>
      <c r="AT10" s="77">
        <v>0.2</v>
      </c>
      <c r="AU10" s="76">
        <v>0</v>
      </c>
      <c r="AV10" s="78"/>
      <c r="AW10" s="79" t="str">
        <f ca="1"/>
        <v>-</v>
      </c>
      <c r="AX10" s="80" t="b">
        <v>0</v>
      </c>
      <c r="AY10" s="68" t="str">
        <f t="shared" si="0"/>
        <v/>
      </c>
      <c r="AZ10" s="69" t="str">
        <f t="shared" si="1"/>
        <v/>
      </c>
      <c r="BA10" s="70" t="str">
        <f t="shared" si="2"/>
        <v/>
      </c>
      <c r="BB10" s="68" t="str">
        <f t="shared" si="3"/>
        <v/>
      </c>
      <c r="BC10" s="69" t="str">
        <f>IFERROR(VLOOKUP($AQ10,'(勿動)組件目錄表'!$D$15:$R$1094,7,FALSE),"")</f>
        <v>MM/DD hh (若全走期都需曝光，請清空此欄毋需填寫)</v>
      </c>
      <c r="BD10" s="69" t="str">
        <f>IFERROR(VLOOKUP($AQ10,'(勿動)組件目錄表'!$D$15:$R$1094,8,FALSE),"")</f>
        <v>MM/DD hh (若全走期都需曝光，請清空此欄毋需填寫)</v>
      </c>
      <c r="BE10" s="69" t="str">
        <f>IFERROR(VLOOKUP($AQ10,'(勿動)組件目錄表'!$D$15:$R$1094,9,FALSE),"")</f>
        <v>Rule Set Name：</v>
      </c>
      <c r="BF10" s="69" t="str">
        <f>IFERROR(VLOOKUP($AQ10,'(勿動)組件目錄表'!$D$15:$R$1094,10,FALSE),"")</f>
        <v>text固定為以下：
※短影音僅支援手機版</v>
      </c>
      <c r="BG10" s="69" t="str">
        <f>IFERROR(VLOOKUP($AQ10,'(勿動)組件目錄表'!$D$15:$R$1094,11,FALSE),"")</f>
        <v>Total Video Display Number：</v>
      </c>
      <c r="BH10" s="69" t="str">
        <f>IFERROR(VLOOKUP($AQ10,'(勿動)組件目錄表'!$D$15:$R$1094,12,FALSE),"")</f>
        <v>Video Collection ID：</v>
      </c>
      <c r="BI10" s="69" t="str">
        <f>IFERROR(VLOOKUP($AQ10,'(勿動)組件目錄表'!$D$15:$R$1094,13,FALSE),"")</f>
        <v>-</v>
      </c>
      <c r="BJ10" s="69" t="str">
        <f>IFERROR(VLOOKUP($AQ10,'(勿動)組件目錄表'!$D$15:$R$1094,14,FALSE),"")</f>
        <v>-</v>
      </c>
      <c r="BK10" s="69">
        <f>IFERROR(VLOOKUP($AQ10,'(勿動)組件目錄表'!$D$15:$R$1094,15,FALSE),"")</f>
        <v>0</v>
      </c>
      <c r="BL10" s="81">
        <f ca="1">IFERROR(__xludf.DUMMYFUNCTION("IFERROR(
  LET(
    rowData, FILTER('(勿動)組件目錄表'!J:Q, '(勿動)組件目錄表'!D:D=AQ10),
    IF(ROWS(rowData)=0, 0, 
      (
        IF(AND(BC10&lt;&gt;"""", INDEX(rowData,1,1)=BC10),1,0) +
        IF(AND(BD10&lt;&gt;"""", INDEX(rowData,1,2)=BD10),1,0) +
        IF(AND(BE10&lt;&gt;"""""&amp;", INDEX(rowData,1,3)=BE10),1,0) +
        IF(AND(BF10&lt;&gt;"""", INDEX(rowData,1,4)=BF10),1,0) +
        IF(AND(BG10&lt;&gt;"""", INDEX(rowData,1,5)=BG10),1,0) +
        IF(AND(BH10&lt;&gt;"""", INDEX(rowData,1,6)=BH10),1,0) +
        IF(AND(BI10&lt;&gt;"""", INDEX(rowData,1,7"&amp;")=BI10),1,0) +
        IF(AND(BJ10&lt;&gt;"""", INDEX(rowData,1,8)=BJ10),1,0)
      ) - COUNTIF(BC10:BJ10, ""-"")
        - COUNTIF(BC10:BJ10, ""固定格式，不需提供資訊"")
        - COUNTIF(BC10:BJ10, ""由MKT更新，此欄位固定格式，不需提供資訊
(Voucher CID：12917705872)"")
        - COUNTIF(B"&amp;"C10:BJ10, ""text固定為以下：
※直播間僅支援手機版"")
        - COUNTIF(BC10:BJ10, ""text固定為以下：
※短影音僅支援手機版"")
    )
  ), 
  0
)
"),5)</f>
        <v>5</v>
      </c>
      <c r="BM10" s="77" t="b">
        <v>0</v>
      </c>
      <c r="BN10" s="82"/>
      <c r="BO10" s="82"/>
    </row>
    <row r="11" spans="1:67" ht="30" customHeight="1">
      <c r="A11" s="73" t="str">
        <f t="array" aca="1" ref="A11:AD11" ca="1">IFERROR(TRANSPOSE(INDIRECT('MS section版配(Old)'!$AO11)),"")</f>
        <v>無CTA</v>
      </c>
      <c r="B11" s="83" t="str">
        <f ca="1"/>
        <v>LINK*1</v>
      </c>
      <c r="C11" s="83" t="str">
        <f ca="1"/>
        <v>LINK*2</v>
      </c>
      <c r="D11" s="83" t="str">
        <f ca="1"/>
        <v>LINK*3</v>
      </c>
      <c r="E11" s="83" t="str">
        <f ca="1"/>
        <v>LINK&gt;3</v>
      </c>
      <c r="F11" s="73" t="str">
        <f ca="1"/>
        <v>Reminder*1</v>
      </c>
      <c r="G11" s="83" t="str">
        <f ca="1"/>
        <v>Reminder*2</v>
      </c>
      <c r="H11" s="83" t="str">
        <f ca="1"/>
        <v>Reminder*3</v>
      </c>
      <c r="I11" s="83" t="str">
        <f ca="1"/>
        <v>Reminder*4</v>
      </c>
      <c r="J11" s="83" t="str">
        <f ca="1"/>
        <v>Reminder*5</v>
      </c>
      <c r="K11" s="83" t="str">
        <f ca="1"/>
        <v>Reminder&gt;5</v>
      </c>
      <c r="L11" s="83" t="str">
        <f ca="1"/>
        <v>LINK*1 + Reminder*1</v>
      </c>
      <c r="M11" s="83" t="str">
        <f ca="1"/>
        <v>LINK*1 + Reminder*2</v>
      </c>
      <c r="N11" s="83" t="str">
        <f ca="1"/>
        <v>LINK*2 + Reminder*1</v>
      </c>
      <c r="O11" s="83" t="str">
        <f ca="1"/>
        <v>Add to Cart*1</v>
      </c>
      <c r="P11" s="83" t="str">
        <f ca="1"/>
        <v>Add to Cart*2</v>
      </c>
      <c r="Q11" s="83" t="str">
        <f ca="1"/>
        <v>Add to Cart*3</v>
      </c>
      <c r="R11" s="83" t="str">
        <f ca="1"/>
        <v>(Reminder+ATC) *1</v>
      </c>
      <c r="S11" s="83" t="str">
        <f ca="1"/>
        <v>(Reminder+ATC) *2</v>
      </c>
      <c r="T11" s="83" t="str">
        <f ca="1"/>
        <v>(Reminder+ATC) *3</v>
      </c>
      <c r="U11" s="83" t="str">
        <f ca="1"/>
        <v>Popup*1</v>
      </c>
      <c r="V11" s="83" t="str">
        <f ca="1"/>
        <v>Popup*2</v>
      </c>
      <c r="W11" s="83" t="str">
        <f ca="1"/>
        <v>Popup*3</v>
      </c>
      <c r="X11" s="83" t="str">
        <f ca="1"/>
        <v>Copy*1</v>
      </c>
      <c r="Y11" s="83" t="str">
        <f ca="1"/>
        <v>Copy*2</v>
      </c>
      <c r="Z11" s="83" t="str">
        <f ca="1"/>
        <v>Copy*3</v>
      </c>
      <c r="AA11" s="83" t="str">
        <f ca="1"/>
        <v>Share*1</v>
      </c>
      <c r="AB11" s="83" t="str">
        <f ca="1"/>
        <v>Share*2</v>
      </c>
      <c r="AC11" s="83" t="str">
        <f ca="1"/>
        <v>Share*3</v>
      </c>
      <c r="AD11" s="83" t="str">
        <f ca="1"/>
        <v>Placeholders</v>
      </c>
      <c r="AE11" s="397" t="str">
        <f>IFERROR(VLOOKUP($AQ11,'(勿動)組件目錄表'!$D$15:$R$1094,4,FALSE),"")</f>
        <v>需自行畫版配，如不夠可向下插入欄位</v>
      </c>
      <c r="AF11" s="384"/>
      <c r="AG11" s="384"/>
      <c r="AH11" s="384"/>
      <c r="AI11" s="384"/>
      <c r="AJ11" s="385"/>
      <c r="AK11" s="54" t="b">
        <v>1</v>
      </c>
      <c r="AL11" s="54" t="b">
        <v>0</v>
      </c>
      <c r="AM11" s="54"/>
      <c r="AN11" s="7" t="str">
        <v>003</v>
      </c>
      <c r="AO11" s="7" t="s">
        <v>147</v>
      </c>
      <c r="AP11" s="62" t="s">
        <v>118</v>
      </c>
      <c r="AQ11" s="75" t="str">
        <v>圖_MSBN_LINK*1</v>
      </c>
      <c r="AR11" s="75" t="str">
        <v>I-2</v>
      </c>
      <c r="AS11" s="11"/>
      <c r="AT11" s="77">
        <v>0.5</v>
      </c>
      <c r="AU11" s="11">
        <v>0</v>
      </c>
      <c r="AV11" s="84"/>
      <c r="AW11" s="80" t="str">
        <f ca="1"/>
        <v>-</v>
      </c>
      <c r="AX11" s="80" t="b">
        <v>0</v>
      </c>
      <c r="AY11" s="68" t="str">
        <f t="shared" si="0"/>
        <v/>
      </c>
      <c r="AZ11" s="69" t="str">
        <f t="shared" si="1"/>
        <v/>
      </c>
      <c r="BA11" s="70" t="str">
        <f t="shared" si="2"/>
        <v/>
      </c>
      <c r="BB11" s="68" t="str">
        <f t="shared" si="3"/>
        <v/>
      </c>
      <c r="BC11" s="69" t="str">
        <f>IFERROR(VLOOKUP($AQ11,'(勿動)組件目錄表'!$D$15:$R$1094,7,FALSE),"")</f>
        <v>MM/DD hh (若全走期都需曝光，請清空此欄毋需填寫)</v>
      </c>
      <c r="BD11" s="69" t="str">
        <f>IFERROR(VLOOKUP($AQ11,'(勿動)組件目錄表'!$D$15:$R$1094,8,FALSE),"")</f>
        <v>MM/DD hh (若全走期都需曝光，請清空此欄毋需填寫)</v>
      </c>
      <c r="BE11" s="69" t="str">
        <f>IFERROR(VLOOKUP($AQ11,'(勿動)組件目錄表'!$D$15:$R$1094,9,FALSE),"")</f>
        <v>Rule Set Name：</v>
      </c>
      <c r="BF11" s="69" t="str">
        <f>IFERROR(VLOOKUP($AQ11,'(勿動)組件目錄表'!$D$15:$R$1094,10,FALSE),"")</f>
        <v>圖檔路徑：
檔名：</v>
      </c>
      <c r="BG11" s="69" t="str">
        <f>IFERROR(VLOOKUP($AQ11,'(勿動)組件目錄表'!$D$15:$R$1094,11,FALSE),"")</f>
        <v>CTA連結：</v>
      </c>
      <c r="BH11" s="69" t="str">
        <f>IFERROR(VLOOKUP($AQ11,'(勿動)組件目錄表'!$D$15:$R$1094,12,FALSE),"")</f>
        <v>-</v>
      </c>
      <c r="BI11" s="69" t="str">
        <f>IFERROR(VLOOKUP($AQ11,'(勿動)組件目錄表'!$D$15:$R$1094,13,FALSE),"")</f>
        <v>-</v>
      </c>
      <c r="BJ11" s="69" t="str">
        <f>IFERROR(VLOOKUP($AQ11,'(勿動)組件目錄表'!$D$15:$R$1094,14,FALSE),"")</f>
        <v>-</v>
      </c>
      <c r="BK11" s="69">
        <f>IFERROR(VLOOKUP($AQ11,'(勿動)組件目錄表'!$D$15:$R$1094,15,FALSE),"")</f>
        <v>0</v>
      </c>
      <c r="BL11" s="81">
        <f ca="1">IFERROR(__xludf.DUMMYFUNCTION("IFERROR(
  LET(
    rowData, FILTER('(勿動)組件目錄表'!J:Q, '(勿動)組件目錄表'!D:D=AQ11),
    IF(ROWS(rowData)=0, 0, 
      (
        IF(AND(BC11&lt;&gt;"""", INDEX(rowData,1,1)=BC11),1,0) +
        IF(AND(BD11&lt;&gt;"""", INDEX(rowData,1,2)=BD11),1,0) +
        IF(AND(BE11&lt;&gt;"""""&amp;", INDEX(rowData,1,3)=BE11),1,0) +
        IF(AND(BF11&lt;&gt;"""", INDEX(rowData,1,4)=BF11),1,0) +
        IF(AND(BG11&lt;&gt;"""", INDEX(rowData,1,5)=BG11),1,0) +
        IF(AND(BH11&lt;&gt;"""", INDEX(rowData,1,6)=BH11),1,0) +
        IF(AND(BI11&lt;&gt;"""", INDEX(rowData,1,7"&amp;")=BI11),1,0) +
        IF(AND(BJ11&lt;&gt;"""", INDEX(rowData,1,8)=BJ11),1,0)
      ) - COUNTIF(BC11:BJ11, ""-"")
        - COUNTIF(BC11:BJ11, ""固定格式，不需提供資訊"")
        - COUNTIF(BC11:BJ11, ""由MKT更新，此欄位固定格式，不需提供資訊
(Voucher CID：12917705872)"")
        - COUNTIF(B"&amp;"C11:BJ11, ""text固定為以下：
※直播間僅支援手機版"")
        - COUNTIF(BC11:BJ11, ""text固定為以下：
※短影音僅支援手機版"")
    )
  ), 
  0
)
"),5)</f>
        <v>5</v>
      </c>
      <c r="BM11" s="77" t="b">
        <v>0</v>
      </c>
      <c r="BN11" s="85"/>
      <c r="BO11" s="85"/>
    </row>
    <row r="12" spans="1:67" ht="30" customHeight="1">
      <c r="A12" s="73" t="str">
        <f t="array" aca="1" ref="A12" ca="1">IFERROR(TRANSPOSE(INDIRECT('MS section版配(Old)'!$AO12)),"")</f>
        <v>固定</v>
      </c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397" t="str">
        <f>IFERROR(VLOOKUP($AQ12,'(勿動)組件目錄表'!$D$15:$R$1094,4,FALSE),"")</f>
        <v>頭巾</v>
      </c>
      <c r="AF12" s="384"/>
      <c r="AG12" s="384"/>
      <c r="AH12" s="384"/>
      <c r="AI12" s="384"/>
      <c r="AJ12" s="385"/>
      <c r="AK12" s="54" t="b">
        <v>0</v>
      </c>
      <c r="AL12" s="54" t="b">
        <v>0</v>
      </c>
      <c r="AM12" s="54"/>
      <c r="AN12" s="7" t="str">
        <v>004</v>
      </c>
      <c r="AO12" s="7" t="s">
        <v>149</v>
      </c>
      <c r="AP12" s="62" t="s">
        <v>113</v>
      </c>
      <c r="AQ12" s="75" t="str">
        <v>頭巾_固定</v>
      </c>
      <c r="AR12" s="75" t="str">
        <v>A-3</v>
      </c>
      <c r="AS12" s="11"/>
      <c r="AT12" s="77">
        <v>0.5</v>
      </c>
      <c r="AU12" s="11" t="str">
        <v>曝光首頁活動頁- 必選</v>
      </c>
      <c r="AV12" s="84"/>
      <c r="AW12" s="80" t="str">
        <f ca="1"/>
        <v>-</v>
      </c>
      <c r="AX12" s="80" t="b">
        <v>0</v>
      </c>
      <c r="AY12" s="68" t="str">
        <f t="shared" si="0"/>
        <v/>
      </c>
      <c r="AZ12" s="69" t="str">
        <f t="shared" si="1"/>
        <v/>
      </c>
      <c r="BA12" s="70" t="str">
        <f t="shared" si="2"/>
        <v/>
      </c>
      <c r="BB12" s="68" t="str">
        <f t="shared" si="3"/>
        <v/>
      </c>
      <c r="BC12" s="69" t="str">
        <f>IFERROR(VLOOKUP($AQ12,'(勿動)組件目錄表'!$D$15:$R$1094,7,FALSE),"")</f>
        <v>MM/DD hh (若全走期都需曝光，請清空此欄毋需填寫)</v>
      </c>
      <c r="BD12" s="69" t="str">
        <f>IFERROR(VLOOKUP($AQ12,'(勿動)組件目錄表'!$D$15:$R$1094,8,FALSE),"")</f>
        <v>MM/DD hh (若全走期都需曝光，請清空此欄毋需填寫)</v>
      </c>
      <c r="BE12" s="69" t="str">
        <f>IFERROR(VLOOKUP($AQ12,'(勿動)組件目錄表'!$D$15:$R$1094,9,FALSE),"")</f>
        <v>Rule Set Name：</v>
      </c>
      <c r="BF12" s="69" t="str">
        <f>IFERROR(VLOOKUP($AQ12,'(勿動)組件目錄表'!$D$15:$R$1094,10,FALSE),"")</f>
        <v>由MKT更新，此欄位固定格式，不需提供資訊
(Voucher CID：12917705872)</v>
      </c>
      <c r="BG12" s="69" t="str">
        <f>IFERROR(VLOOKUP($AQ12,'(勿動)組件目錄表'!$D$15:$R$1094,11,FALSE),"")</f>
        <v>-</v>
      </c>
      <c r="BH12" s="69" t="str">
        <f>IFERROR(VLOOKUP($AQ12,'(勿動)組件目錄表'!$D$15:$R$1094,12,FALSE),"")</f>
        <v>-</v>
      </c>
      <c r="BI12" s="69" t="str">
        <f>IFERROR(VLOOKUP($AQ12,'(勿動)組件目錄表'!$D$15:$R$1094,13,FALSE),"")</f>
        <v>-</v>
      </c>
      <c r="BJ12" s="69" t="str">
        <f>IFERROR(VLOOKUP($AQ12,'(勿動)組件目錄表'!$D$15:$R$1094,14,FALSE),"")</f>
        <v>-</v>
      </c>
      <c r="BK12" s="69">
        <f>IFERROR(VLOOKUP($AQ12,'(勿動)組件目錄表'!$D$15:$R$1094,15,FALSE),"")</f>
        <v>0</v>
      </c>
      <c r="BL12" s="81">
        <f ca="1">IFERROR(__xludf.DUMMYFUNCTION("IFERROR(
  LET(
    rowData, FILTER('(勿動)組件目錄表'!J:Q, '(勿動)組件目錄表'!D:D=AQ12),
    IF(ROWS(rowData)=0, 0, 
      (
        IF(AND(BC12&lt;&gt;"""", INDEX(rowData,1,1)=BC12),1,0) +
        IF(AND(BD12&lt;&gt;"""", INDEX(rowData,1,2)=BD12),1,0) +
        IF(AND(BE12&lt;&gt;"""""&amp;", INDEX(rowData,1,3)=BE12),1,0) +
        IF(AND(BF12&lt;&gt;"""", INDEX(rowData,1,4)=BF12),1,0) +
        IF(AND(BG12&lt;&gt;"""", INDEX(rowData,1,5)=BG12),1,0) +
        IF(AND(BH12&lt;&gt;"""", INDEX(rowData,1,6)=BH12),1,0) +
        IF(AND(BI12&lt;&gt;"""", INDEX(rowData,1,7"&amp;")=BI12),1,0) +
        IF(AND(BJ12&lt;&gt;"""", INDEX(rowData,1,8)=BJ12),1,0)
      ) - COUNTIF(BC12:BJ12, ""-"")
        - COUNTIF(BC12:BJ12, ""固定格式，不需提供資訊"")
        - COUNTIF(BC12:BJ12, ""由MKT更新，此欄位固定格式，不需提供資訊
(Voucher CID：12917705872)"")
        - COUNTIF(B"&amp;"C12:BJ12, ""text固定為以下：
※直播間僅支援手機版"")
        - COUNTIF(BC12:BJ12, ""text固定為以下：
※短影音僅支援手機版"")
    )
  ), 
  0
)
"),3)</f>
        <v>3</v>
      </c>
      <c r="BM12" s="77" t="b">
        <v>0</v>
      </c>
      <c r="BN12" s="85"/>
      <c r="BO12" s="85"/>
    </row>
    <row r="13" spans="1:67" ht="30" customHeight="1">
      <c r="A13" s="73" t="str">
        <f t="array" aca="1" ref="A13:B13" ca="1">IFERROR(TRANSPOSE(INDIRECT('MS section版配(Old)'!$AO13)),"")</f>
        <v>無CTA</v>
      </c>
      <c r="B13" s="73" t="str">
        <f ca="1"/>
        <v>Image Collection</v>
      </c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397">
        <f>IFERROR(VLOOKUP($AQ13,'(勿動)組件目錄表'!$D$15:$R$1094,4,FALSE),"")</f>
        <v>0</v>
      </c>
      <c r="AF13" s="384"/>
      <c r="AG13" s="384"/>
      <c r="AH13" s="384"/>
      <c r="AI13" s="384"/>
      <c r="AJ13" s="385"/>
      <c r="AK13" s="54" t="b">
        <v>0</v>
      </c>
      <c r="AL13" s="54" t="b">
        <v>0</v>
      </c>
      <c r="AM13" s="54"/>
      <c r="AN13" s="7" t="str">
        <v>005</v>
      </c>
      <c r="AO13" s="7" t="s">
        <v>153</v>
      </c>
      <c r="AP13" s="62" t="s">
        <v>154</v>
      </c>
      <c r="AQ13" s="75" t="str">
        <v>KV_無CTA</v>
      </c>
      <c r="AR13" s="75" t="str">
        <v>A-5</v>
      </c>
      <c r="AS13" s="11"/>
      <c r="AT13" s="77">
        <v>0.5</v>
      </c>
      <c r="AU13" s="11">
        <v>0</v>
      </c>
      <c r="AV13" s="84"/>
      <c r="AW13" s="80" t="str">
        <f ca="1"/>
        <v>-</v>
      </c>
      <c r="AX13" s="80" t="b">
        <v>0</v>
      </c>
      <c r="AY13" s="68" t="str">
        <f t="shared" si="0"/>
        <v/>
      </c>
      <c r="AZ13" s="69" t="str">
        <f t="shared" si="1"/>
        <v/>
      </c>
      <c r="BA13" s="70" t="str">
        <f t="shared" si="2"/>
        <v/>
      </c>
      <c r="BB13" s="68" t="str">
        <f t="shared" si="3"/>
        <v/>
      </c>
      <c r="BC13" s="69" t="str">
        <f>IFERROR(VLOOKUP($AQ13,'(勿動)組件目錄表'!$D$15:$R$1094,7,FALSE),"")</f>
        <v>MM/DD hh (若全走期都需曝光，請清空此欄毋需填寫)</v>
      </c>
      <c r="BD13" s="69" t="str">
        <f>IFERROR(VLOOKUP($AQ13,'(勿動)組件目錄表'!$D$15:$R$1094,8,FALSE),"")</f>
        <v>MM/DD hh (若全走期都需曝光，請清空此欄毋需填寫)</v>
      </c>
      <c r="BE13" s="69" t="str">
        <f>IFERROR(VLOOKUP($AQ13,'(勿動)組件目錄表'!$D$15:$R$1094,9,FALSE),"")</f>
        <v>Rule Set Name：</v>
      </c>
      <c r="BF13" s="69" t="str">
        <f>IFERROR(VLOOKUP($AQ13,'(勿動)組件目錄表'!$D$15:$R$1094,10,FALSE),"")</f>
        <v>圖檔路徑：
檔名：</v>
      </c>
      <c r="BG13" s="69" t="str">
        <f>IFERROR(VLOOKUP($AQ13,'(勿動)組件目錄表'!$D$15:$R$1094,11,FALSE),"")</f>
        <v>-</v>
      </c>
      <c r="BH13" s="69" t="str">
        <f>IFERROR(VLOOKUP($AQ13,'(勿動)組件目錄表'!$D$15:$R$1094,12,FALSE),"")</f>
        <v>-</v>
      </c>
      <c r="BI13" s="69" t="str">
        <f>IFERROR(VLOOKUP($AQ13,'(勿動)組件目錄表'!$D$15:$R$1094,13,FALSE),"")</f>
        <v>-</v>
      </c>
      <c r="BJ13" s="69" t="str">
        <f>IFERROR(VLOOKUP($AQ13,'(勿動)組件目錄表'!$D$15:$R$1094,14,FALSE),"")</f>
        <v>-</v>
      </c>
      <c r="BK13" s="69">
        <f>IFERROR(VLOOKUP($AQ13,'(勿動)組件目錄表'!$D$15:$R$1094,15,FALSE),"")</f>
        <v>0</v>
      </c>
      <c r="BL13" s="81">
        <f ca="1">IFERROR(__xludf.DUMMYFUNCTION("IFERROR(
  LET(
    rowData, FILTER('(勿動)組件目錄表'!J:Q, '(勿動)組件目錄表'!D:D=AQ13),
    IF(ROWS(rowData)=0, 0, 
      (
        IF(AND(BC13&lt;&gt;"""", INDEX(rowData,1,1)=BC13),1,0) +
        IF(AND(BD13&lt;&gt;"""", INDEX(rowData,1,2)=BD13),1,0) +
        IF(AND(BE13&lt;&gt;"""""&amp;", INDEX(rowData,1,3)=BE13),1,0) +
        IF(AND(BF13&lt;&gt;"""", INDEX(rowData,1,4)=BF13),1,0) +
        IF(AND(BG13&lt;&gt;"""", INDEX(rowData,1,5)=BG13),1,0) +
        IF(AND(BH13&lt;&gt;"""", INDEX(rowData,1,6)=BH13),1,0) +
        IF(AND(BI13&lt;&gt;"""", INDEX(rowData,1,7"&amp;")=BI13),1,0) +
        IF(AND(BJ13&lt;&gt;"""", INDEX(rowData,1,8)=BJ13),1,0)
      ) - COUNTIF(BC13:BJ13, ""-"")
        - COUNTIF(BC13:BJ13, ""固定格式，不需提供資訊"")
        - COUNTIF(BC13:BJ13, ""由MKT更新，此欄位固定格式，不需提供資訊
(Voucher CID：12917705872)"")
        - COUNTIF(B"&amp;"C13:BJ13, ""text固定為以下：
※直播間僅支援手機版"")
        - COUNTIF(BC13:BJ13, ""text固定為以下：
※短影音僅支援手機版"")
    )
  ), 
  0
)
"),4)</f>
        <v>4</v>
      </c>
      <c r="BM13" s="77" t="b">
        <v>0</v>
      </c>
      <c r="BN13" s="85"/>
      <c r="BO13" s="85"/>
    </row>
    <row r="14" spans="1:67" ht="30" customHeight="1">
      <c r="A14" s="73" t="str">
        <f t="array" aca="1" ref="A14:D14" ca="1">IFERROR(TRANSPOSE(INDIRECT('MS section版配(Old)'!$AO14)),"")</f>
        <v>置中</v>
      </c>
      <c r="B14" s="83" t="str">
        <f ca="1"/>
        <v>置中 + Display See All</v>
      </c>
      <c r="C14" s="83" t="str">
        <f ca="1"/>
        <v>置左</v>
      </c>
      <c r="D14" s="83" t="str">
        <f ca="1"/>
        <v>置左 + Display See All</v>
      </c>
      <c r="E14" s="83"/>
      <c r="F14" s="7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397">
        <f>IFERROR(VLOOKUP($AQ14,'(勿動)組件目錄表'!$D$15:$R$1094,4,FALSE),"")</f>
        <v>0</v>
      </c>
      <c r="AF14" s="384"/>
      <c r="AG14" s="384"/>
      <c r="AH14" s="384"/>
      <c r="AI14" s="384"/>
      <c r="AJ14" s="385"/>
      <c r="AK14" s="54" t="b">
        <v>0</v>
      </c>
      <c r="AL14" s="54" t="b">
        <v>0</v>
      </c>
      <c r="AM14" s="54"/>
      <c r="AN14" s="7" t="str">
        <v>006</v>
      </c>
      <c r="AO14" s="7" t="s">
        <v>159</v>
      </c>
      <c r="AP14" s="62" t="s">
        <v>160</v>
      </c>
      <c r="AQ14" s="75" t="str">
        <v>標題_置中</v>
      </c>
      <c r="AR14" s="75" t="str">
        <v>D-1</v>
      </c>
      <c r="AS14" s="11"/>
      <c r="AT14" s="77">
        <v>0.5</v>
      </c>
      <c r="AU14" s="11" t="str">
        <v>文案上限21字內</v>
      </c>
      <c r="AV14" s="84"/>
      <c r="AW14" s="86" t="str">
        <f ca="1"/>
        <v>-</v>
      </c>
      <c r="AX14" s="86" t="b">
        <v>0</v>
      </c>
      <c r="AY14" s="68" t="str">
        <f t="shared" si="0"/>
        <v/>
      </c>
      <c r="AZ14" s="69" t="str">
        <f t="shared" si="1"/>
        <v/>
      </c>
      <c r="BA14" s="70" t="str">
        <f t="shared" si="2"/>
        <v/>
      </c>
      <c r="BB14" s="68" t="str">
        <f t="shared" si="3"/>
        <v/>
      </c>
      <c r="BC14" s="69" t="str">
        <f>IFERROR(VLOOKUP($AQ14,'(勿動)組件目錄表'!$D$15:$R$1094,7,FALSE),"")</f>
        <v>MM/DD hh (若全走期都需曝光，請清空此欄毋需填寫)</v>
      </c>
      <c r="BD14" s="69" t="str">
        <f>IFERROR(VLOOKUP($AQ14,'(勿動)組件目錄表'!$D$15:$R$1094,8,FALSE),"")</f>
        <v>MM/DD hh (若全走期都需曝光，請清空此欄毋需填寫)</v>
      </c>
      <c r="BE14" s="69" t="str">
        <f>IFERROR(VLOOKUP($AQ14,'(勿動)組件目錄表'!$D$15:$R$1094,9,FALSE),"")</f>
        <v>Rule Set Name：</v>
      </c>
      <c r="BF14" s="69" t="str">
        <f>IFERROR(VLOOKUP($AQ14,'(勿動)組件目錄表'!$D$15:$R$1094,10,FALSE),"")</f>
        <v>Header Text Color：# (請填色碼)</v>
      </c>
      <c r="BG14" s="69" t="str">
        <f>IFERROR(VLOOKUP($AQ14,'(勿動)組件目錄表'!$D$15:$R$1094,11,FALSE),"")</f>
        <v>Header Background Color：# (請填色碼)</v>
      </c>
      <c r="BH14" s="69" t="str">
        <f>IFERROR(VLOOKUP($AQ14,'(勿動)組件目錄表'!$D$15:$R$1094,12,FALSE),"")</f>
        <v>-</v>
      </c>
      <c r="BI14" s="69" t="str">
        <f>IFERROR(VLOOKUP($AQ14,'(勿動)組件目錄表'!$D$15:$R$1094,13,FALSE),"")</f>
        <v>-</v>
      </c>
      <c r="BJ14" s="69" t="str">
        <f>IFERROR(VLOOKUP($AQ14,'(勿動)組件目錄表'!$D$15:$R$1094,14,FALSE),"")</f>
        <v>-</v>
      </c>
      <c r="BK14" s="69">
        <f>IFERROR(VLOOKUP($AQ14,'(勿動)組件目錄表'!$D$15:$R$1094,15,FALSE),"")</f>
        <v>0</v>
      </c>
      <c r="BL14" s="81">
        <f ca="1">IFERROR(__xludf.DUMMYFUNCTION("IFERROR(
  LET(
    rowData, FILTER('(勿動)組件目錄表'!J:Q, '(勿動)組件目錄表'!D:D=AQ14),
    IF(ROWS(rowData)=0, 0, 
      (
        IF(AND(BC14&lt;&gt;"""", INDEX(rowData,1,1)=BC14),1,0) +
        IF(AND(BD14&lt;&gt;"""", INDEX(rowData,1,2)=BD14),1,0) +
        IF(AND(BE14&lt;&gt;"""""&amp;", INDEX(rowData,1,3)=BE14),1,0) +
        IF(AND(BF14&lt;&gt;"""", INDEX(rowData,1,4)=BF14),1,0) +
        IF(AND(BG14&lt;&gt;"""", INDEX(rowData,1,5)=BG14),1,0) +
        IF(AND(BH14&lt;&gt;"""", INDEX(rowData,1,6)=BH14),1,0) +
        IF(AND(BI14&lt;&gt;"""", INDEX(rowData,1,7"&amp;")=BI14),1,0) +
        IF(AND(BJ14&lt;&gt;"""", INDEX(rowData,1,8)=BJ14),1,0)
      ) - COUNTIF(BC14:BJ14, ""-"")
        - COUNTIF(BC14:BJ14, ""固定格式，不需提供資訊"")
        - COUNTIF(BC14:BJ14, ""由MKT更新，此欄位固定格式，不需提供資訊
(Voucher CID：12917705872)"")
        - COUNTIF(B"&amp;"C14:BJ14, ""text固定為以下：
※直播間僅支援手機版"")
        - COUNTIF(BC14:BJ14, ""text固定為以下：
※短影音僅支援手機版"")
    )
  ), 
  0
)
"),5)</f>
        <v>5</v>
      </c>
      <c r="BM14" s="77" t="b">
        <v>0</v>
      </c>
      <c r="BN14" s="85"/>
      <c r="BO14" s="85"/>
    </row>
    <row r="15" spans="1:67" ht="30" customHeight="1">
      <c r="A15" s="73" t="str">
        <f t="array" aca="1" ref="A15:D15" ca="1">IFERROR(TRANSPOSE(INDIRECT('MS section版配(Old)'!$AO15)),"")</f>
        <v>置中</v>
      </c>
      <c r="B15" s="87" t="str">
        <f ca="1"/>
        <v>置中 + Display See All</v>
      </c>
      <c r="C15" s="87" t="str">
        <f ca="1"/>
        <v>置左</v>
      </c>
      <c r="D15" s="87" t="str">
        <f ca="1"/>
        <v>置左 + Display See All</v>
      </c>
      <c r="E15" s="87"/>
      <c r="F15" s="88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397">
        <f>IFERROR(VLOOKUP($AQ15,'(勿動)組件目錄表'!$D$15:$R$1094,4,FALSE),"")</f>
        <v>0</v>
      </c>
      <c r="AF15" s="384"/>
      <c r="AG15" s="384"/>
      <c r="AH15" s="384"/>
      <c r="AI15" s="384"/>
      <c r="AJ15" s="385"/>
      <c r="AK15" s="54" t="b">
        <v>0</v>
      </c>
      <c r="AL15" s="54" t="b">
        <v>0</v>
      </c>
      <c r="AM15" s="54"/>
      <c r="AN15" s="7" t="str">
        <v>007</v>
      </c>
      <c r="AO15" s="7" t="s">
        <v>159</v>
      </c>
      <c r="AP15" s="62" t="s">
        <v>157</v>
      </c>
      <c r="AQ15" s="75" t="str">
        <v>標題_置左</v>
      </c>
      <c r="AR15" s="75" t="str">
        <v>D-3</v>
      </c>
      <c r="AS15" s="11"/>
      <c r="AT15" s="77">
        <v>0.5</v>
      </c>
      <c r="AU15" s="11" t="str">
        <v>文案上限21字內</v>
      </c>
      <c r="AV15" s="84"/>
      <c r="AW15" s="86" t="str">
        <f ca="1"/>
        <v>-</v>
      </c>
      <c r="AX15" s="86" t="b">
        <v>0</v>
      </c>
      <c r="AY15" s="68" t="str">
        <f t="shared" si="0"/>
        <v/>
      </c>
      <c r="AZ15" s="69" t="str">
        <f t="shared" si="1"/>
        <v/>
      </c>
      <c r="BA15" s="70" t="str">
        <f t="shared" si="2"/>
        <v/>
      </c>
      <c r="BB15" s="68" t="str">
        <f t="shared" si="3"/>
        <v/>
      </c>
      <c r="BC15" s="69" t="str">
        <f>IFERROR(VLOOKUP($AQ15,'(勿動)組件目錄表'!$D$15:$R$1094,7,FALSE),"")</f>
        <v>MM/DD hh (若全走期都需曝光，請清空此欄毋需填寫)</v>
      </c>
      <c r="BD15" s="69" t="str">
        <f>IFERROR(VLOOKUP($AQ15,'(勿動)組件目錄表'!$D$15:$R$1094,8,FALSE),"")</f>
        <v>MM/DD hh (若全走期都需曝光，請清空此欄毋需填寫)</v>
      </c>
      <c r="BE15" s="69" t="str">
        <f>IFERROR(VLOOKUP($AQ15,'(勿動)組件目錄表'!$D$15:$R$1094,9,FALSE),"")</f>
        <v>Rule Set Name：</v>
      </c>
      <c r="BF15" s="69" t="str">
        <f>IFERROR(VLOOKUP($AQ15,'(勿動)組件目錄表'!$D$15:$R$1094,10,FALSE),"")</f>
        <v>Header Text Color：# (請填色碼)</v>
      </c>
      <c r="BG15" s="69" t="str">
        <f>IFERROR(VLOOKUP($AQ15,'(勿動)組件目錄表'!$D$15:$R$1094,11,FALSE),"")</f>
        <v>Header Background Color：# (請填色碼)</v>
      </c>
      <c r="BH15" s="69" t="str">
        <f>IFERROR(VLOOKUP($AQ15,'(勿動)組件目錄表'!$D$15:$R$1094,12,FALSE),"")</f>
        <v>-</v>
      </c>
      <c r="BI15" s="69" t="str">
        <f>IFERROR(VLOOKUP($AQ15,'(勿動)組件目錄表'!$D$15:$R$1094,13,FALSE),"")</f>
        <v>-</v>
      </c>
      <c r="BJ15" s="69" t="str">
        <f>IFERROR(VLOOKUP($AQ15,'(勿動)組件目錄表'!$D$15:$R$1094,14,FALSE),"")</f>
        <v>-</v>
      </c>
      <c r="BK15" s="69">
        <f>IFERROR(VLOOKUP($AQ15,'(勿動)組件目錄表'!$D$15:$R$1094,15,FALSE),"")</f>
        <v>0</v>
      </c>
      <c r="BL15" s="81">
        <f ca="1">IFERROR(__xludf.DUMMYFUNCTION("IFERROR(
  LET(
    rowData, FILTER('(勿動)組件目錄表'!J:Q, '(勿動)組件目錄表'!D:D=AQ15),
    IF(ROWS(rowData)=0, 0, 
      (
        IF(AND(BC15&lt;&gt;"""", INDEX(rowData,1,1)=BC15),1,0) +
        IF(AND(BD15&lt;&gt;"""", INDEX(rowData,1,2)=BD15),1,0) +
        IF(AND(BE15&lt;&gt;"""""&amp;", INDEX(rowData,1,3)=BE15),1,0) +
        IF(AND(BF15&lt;&gt;"""", INDEX(rowData,1,4)=BF15),1,0) +
        IF(AND(BG15&lt;&gt;"""", INDEX(rowData,1,5)=BG15),1,0) +
        IF(AND(BH15&lt;&gt;"""", INDEX(rowData,1,6)=BH15),1,0) +
        IF(AND(BI15&lt;&gt;"""", INDEX(rowData,1,7"&amp;")=BI15),1,0) +
        IF(AND(BJ15&lt;&gt;"""", INDEX(rowData,1,8)=BJ15),1,0)
      ) - COUNTIF(BC15:BJ15, ""-"")
        - COUNTIF(BC15:BJ15, ""固定格式，不需提供資訊"")
        - COUNTIF(BC15:BJ15, ""由MKT更新，此欄位固定格式，不需提供資訊
(Voucher CID：12917705872)"")
        - COUNTIF(B"&amp;"C15:BJ15, ""text固定為以下：
※直播間僅支援手機版"")
        - COUNTIF(BC15:BJ15, ""text固定為以下：
※短影音僅支援手機版"")
    )
  ), 
  0
)
"),5)</f>
        <v>5</v>
      </c>
      <c r="BM15" s="77" t="b">
        <v>0</v>
      </c>
      <c r="BN15" s="85"/>
      <c r="BO15" s="85"/>
    </row>
    <row r="16" spans="1:67" ht="30" customHeight="1">
      <c r="A16" s="73" t="str">
        <f t="array" aca="1" ref="A16" ca="1">IFERROR(TRANSPOSE(INDIRECT('MS section版配(Old)'!$AO16)),"")</f>
        <v/>
      </c>
      <c r="B16" s="89"/>
      <c r="C16" s="89"/>
      <c r="D16" s="89"/>
      <c r="E16" s="89"/>
      <c r="F16" s="73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  <c r="AB16" s="89"/>
      <c r="AC16" s="89"/>
      <c r="AD16" s="89"/>
      <c r="AE16" s="397" t="str">
        <f>IFERROR(VLOOKUP($AQ16,'(勿動)組件目錄表'!$D$15:$R$1094,4,FALSE),"")</f>
        <v/>
      </c>
      <c r="AF16" s="384"/>
      <c r="AG16" s="384"/>
      <c r="AH16" s="384"/>
      <c r="AI16" s="384"/>
      <c r="AJ16" s="385"/>
      <c r="AK16" s="54" t="b">
        <v>0</v>
      </c>
      <c r="AL16" s="54" t="b">
        <v>0</v>
      </c>
      <c r="AM16" s="54"/>
      <c r="AN16" s="7" t="str">
        <v>008</v>
      </c>
      <c r="AO16" s="7" t="s">
        <v>164</v>
      </c>
      <c r="AP16" s="62"/>
      <c r="AQ16" s="75" t="str">
        <v>圖_GD模版_</v>
      </c>
      <c r="AR16" s="75" t="str">
        <v>-</v>
      </c>
      <c r="AS16" s="11"/>
      <c r="AT16" s="77" t="str">
        <v>-</v>
      </c>
      <c r="AU16" s="11" t="str">
        <v>-</v>
      </c>
      <c r="AV16" s="84"/>
      <c r="AW16" s="86" t="str">
        <f ca="1"/>
        <v>-</v>
      </c>
      <c r="AX16" s="86" t="b">
        <v>0</v>
      </c>
      <c r="AY16" s="68" t="str">
        <f t="shared" si="0"/>
        <v/>
      </c>
      <c r="AZ16" s="69" t="str">
        <f t="shared" si="1"/>
        <v/>
      </c>
      <c r="BA16" s="70" t="str">
        <f t="shared" si="2"/>
        <v/>
      </c>
      <c r="BB16" s="68" t="str">
        <f t="shared" si="3"/>
        <v/>
      </c>
      <c r="BC16" s="69" t="str">
        <f>IFERROR(VLOOKUP($AQ16,'(勿動)組件目錄表'!$D$15:$R$1094,7,FALSE),"")</f>
        <v/>
      </c>
      <c r="BD16" s="69" t="str">
        <f>IFERROR(VLOOKUP($AQ16,'(勿動)組件目錄表'!$D$15:$R$1094,8,FALSE),"")</f>
        <v/>
      </c>
      <c r="BE16" s="69" t="str">
        <f>IFERROR(VLOOKUP($AQ16,'(勿動)組件目錄表'!$D$15:$R$1094,9,FALSE),"")</f>
        <v/>
      </c>
      <c r="BF16" s="69" t="str">
        <f>IFERROR(VLOOKUP($AQ16,'(勿動)組件目錄表'!$D$15:$R$1094,10,FALSE),"")</f>
        <v/>
      </c>
      <c r="BG16" s="69" t="str">
        <f>IFERROR(VLOOKUP($AQ16,'(勿動)組件目錄表'!$D$15:$R$1094,11,FALSE),"")</f>
        <v/>
      </c>
      <c r="BH16" s="69" t="str">
        <f>IFERROR(VLOOKUP($AQ16,'(勿動)組件目錄表'!$D$15:$R$1094,12,FALSE),"")</f>
        <v/>
      </c>
      <c r="BI16" s="69" t="str">
        <f>IFERROR(VLOOKUP($AQ16,'(勿動)組件目錄表'!$D$15:$R$1094,13,FALSE),"")</f>
        <v/>
      </c>
      <c r="BJ16" s="69" t="str">
        <f>IFERROR(VLOOKUP($AQ16,'(勿動)組件目錄表'!$D$15:$R$1094,14,FALSE),"")</f>
        <v/>
      </c>
      <c r="BK16" s="69" t="str">
        <f>IFERROR(VLOOKUP($AQ16,'(勿動)組件目錄表'!$D$15:$R$1094,15,FALSE),"")</f>
        <v/>
      </c>
      <c r="BL16" s="81">
        <f ca="1">IFERROR(__xludf.DUMMYFUNCTION("IFERROR(
  LET(
    rowData, FILTER('(勿動)組件目錄表'!J:Q, '(勿動)組件目錄表'!D:D=AQ16),
    IF(ROWS(rowData)=0, 0, 
      (
        IF(AND(BC16&lt;&gt;"""", INDEX(rowData,1,1)=BC16),1,0) +
        IF(AND(BD16&lt;&gt;"""", INDEX(rowData,1,2)=BD16),1,0) +
        IF(AND(BE16&lt;&gt;"""""&amp;", INDEX(rowData,1,3)=BE16),1,0) +
        IF(AND(BF16&lt;&gt;"""", INDEX(rowData,1,4)=BF16),1,0) +
        IF(AND(BG16&lt;&gt;"""", INDEX(rowData,1,5)=BG16),1,0) +
        IF(AND(BH16&lt;&gt;"""", INDEX(rowData,1,6)=BH16),1,0) +
        IF(AND(BI16&lt;&gt;"""", INDEX(rowData,1,7"&amp;")=BI16),1,0) +
        IF(AND(BJ16&lt;&gt;"""", INDEX(rowData,1,8)=BJ16),1,0)
      ) - COUNTIF(BC16:BJ16, ""-"")
        - COUNTIF(BC16:BJ16, ""固定格式，不需提供資訊"")
        - COUNTIF(BC16:BJ16, ""由MKT更新，此欄位固定格式，不需提供資訊
(Voucher CID：12917705872)"")
        - COUNTIF(B"&amp;"C16:BJ16, ""text固定為以下：
※直播間僅支援手機版"")
        - COUNTIF(BC16:BJ16, ""text固定為以下：
※短影音僅支援手機版"")
    )
  ), 
  0
)
"),0)</f>
        <v>0</v>
      </c>
      <c r="BM16" s="77" t="b">
        <v>0</v>
      </c>
      <c r="BN16" s="85"/>
      <c r="BO16" s="85"/>
    </row>
    <row r="17" spans="1:67" ht="30" customHeight="1">
      <c r="A17" s="73" t="str">
        <f t="array" aca="1" ref="A17:D17" ca="1">IFERROR(TRANSPOSE(INDIRECT('MS section版配(Old)'!$AO17)),"")</f>
        <v>說明文字-固定</v>
      </c>
      <c r="B17" s="89" t="str">
        <f ca="1"/>
        <v>活動辦法-固定</v>
      </c>
      <c r="C17" s="89" t="str">
        <f ca="1"/>
        <v>中標</v>
      </c>
      <c r="D17" s="89" t="str">
        <f ca="1"/>
        <v>小標</v>
      </c>
      <c r="E17" s="89"/>
      <c r="F17" s="73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397">
        <f>IFERROR(VLOOKUP($AQ17,'(勿動)組件目錄表'!$D$15:$R$1094,4,FALSE),"")</f>
        <v>0</v>
      </c>
      <c r="AF17" s="384"/>
      <c r="AG17" s="384"/>
      <c r="AH17" s="384"/>
      <c r="AI17" s="384"/>
      <c r="AJ17" s="385"/>
      <c r="AK17" s="54" t="b">
        <v>0</v>
      </c>
      <c r="AL17" s="54" t="b">
        <v>0</v>
      </c>
      <c r="AM17" s="54"/>
      <c r="AN17" s="7" t="str">
        <v>009</v>
      </c>
      <c r="AO17" s="7" t="s">
        <v>168</v>
      </c>
      <c r="AP17" s="62" t="s">
        <v>166</v>
      </c>
      <c r="AQ17" s="75" t="str">
        <v>文字_中標</v>
      </c>
      <c r="AR17" s="75" t="str">
        <v>E-3</v>
      </c>
      <c r="AS17" s="11"/>
      <c r="AT17" s="77">
        <v>0.5</v>
      </c>
      <c r="AU17" s="11" t="str">
        <v>APP：H3；PC：H2</v>
      </c>
      <c r="AV17" s="84"/>
      <c r="AW17" s="86" t="str">
        <f ca="1"/>
        <v>-</v>
      </c>
      <c r="AX17" s="86" t="b">
        <v>0</v>
      </c>
      <c r="AY17" s="68" t="str">
        <f t="shared" si="0"/>
        <v/>
      </c>
      <c r="AZ17" s="69" t="str">
        <f t="shared" si="1"/>
        <v/>
      </c>
      <c r="BA17" s="70" t="str">
        <f t="shared" si="2"/>
        <v/>
      </c>
      <c r="BB17" s="68" t="str">
        <f t="shared" si="3"/>
        <v/>
      </c>
      <c r="BC17" s="69" t="str">
        <f>IFERROR(VLOOKUP($AQ17,'(勿動)組件目錄表'!$D$15:$R$1094,7,FALSE),"")</f>
        <v>MM/DD hh (若全走期都需曝光，請清空此欄毋需填寫)</v>
      </c>
      <c r="BD17" s="69" t="str">
        <f>IFERROR(VLOOKUP($AQ17,'(勿動)組件目錄表'!$D$15:$R$1094,8,FALSE),"")</f>
        <v>MM/DD hh (若全走期都需曝光，請清空此欄毋需填寫)</v>
      </c>
      <c r="BE17" s="69" t="str">
        <f>IFERROR(VLOOKUP($AQ17,'(勿動)組件目錄表'!$D$15:$R$1094,9,FALSE),"")</f>
        <v>Rule Set Name：</v>
      </c>
      <c r="BF17" s="69" t="str">
        <f>IFERROR(VLOOKUP($AQ17,'(勿動)組件目錄表'!$D$15:$R$1094,10,FALSE),"")</f>
        <v>Text Color：# (請填色碼)</v>
      </c>
      <c r="BG17" s="69" t="str">
        <f>IFERROR(VLOOKUP($AQ17,'(勿動)組件目錄表'!$D$15:$R$1094,11,FALSE),"")</f>
        <v>文案：</v>
      </c>
      <c r="BH17" s="69" t="str">
        <f>IFERROR(VLOOKUP($AQ17,'(勿動)組件目錄表'!$D$15:$R$1094,12,FALSE),"")</f>
        <v>-</v>
      </c>
      <c r="BI17" s="69" t="str">
        <f>IFERROR(VLOOKUP($AQ17,'(勿動)組件目錄表'!$D$15:$R$1094,13,FALSE),"")</f>
        <v>-</v>
      </c>
      <c r="BJ17" s="69" t="str">
        <f>IFERROR(VLOOKUP($AQ17,'(勿動)組件目錄表'!$D$15:$R$1094,14,FALSE),"")</f>
        <v>-</v>
      </c>
      <c r="BK17" s="69">
        <f>IFERROR(VLOOKUP($AQ17,'(勿動)組件目錄表'!$D$15:$R$1094,15,FALSE),"")</f>
        <v>0</v>
      </c>
      <c r="BL17" s="81">
        <f ca="1">IFERROR(__xludf.DUMMYFUNCTION("IFERROR(
  LET(
    rowData, FILTER('(勿動)組件目錄表'!J:Q, '(勿動)組件目錄表'!D:D=AQ17),
    IF(ROWS(rowData)=0, 0, 
      (
        IF(AND(BC17&lt;&gt;"""", INDEX(rowData,1,1)=BC17),1,0) +
        IF(AND(BD17&lt;&gt;"""", INDEX(rowData,1,2)=BD17),1,0) +
        IF(AND(BE17&lt;&gt;"""""&amp;", INDEX(rowData,1,3)=BE17),1,0) +
        IF(AND(BF17&lt;&gt;"""", INDEX(rowData,1,4)=BF17),1,0) +
        IF(AND(BG17&lt;&gt;"""", INDEX(rowData,1,5)=BG17),1,0) +
        IF(AND(BH17&lt;&gt;"""", INDEX(rowData,1,6)=BH17),1,0) +
        IF(AND(BI17&lt;&gt;"""", INDEX(rowData,1,7"&amp;")=BI17),1,0) +
        IF(AND(BJ17&lt;&gt;"""", INDEX(rowData,1,8)=BJ17),1,0)
      ) - COUNTIF(BC17:BJ17, ""-"")
        - COUNTIF(BC17:BJ17, ""固定格式，不需提供資訊"")
        - COUNTIF(BC17:BJ17, ""由MKT更新，此欄位固定格式，不需提供資訊
(Voucher CID：12917705872)"")
        - COUNTIF(B"&amp;"C17:BJ17, ""text固定為以下：
※直播間僅支援手機版"")
        - COUNTIF(BC17:BJ17, ""text固定為以下：
※短影音僅支援手機版"")
    )
  ), 
  0
)
"),5)</f>
        <v>5</v>
      </c>
      <c r="BM17" s="77" t="b">
        <v>0</v>
      </c>
      <c r="BN17" s="85"/>
      <c r="BO17" s="85"/>
    </row>
    <row r="18" spans="1:67" ht="30" customHeight="1">
      <c r="A18" s="73" t="str">
        <f t="array" aca="1" ref="A18:D18" ca="1">IFERROR(TRANSPOSE(INDIRECT('MS section版配(Old)'!$AO18)),"")</f>
        <v>說明文字-固定</v>
      </c>
      <c r="B18" s="90" t="str">
        <f ca="1"/>
        <v>活動辦法-固定</v>
      </c>
      <c r="C18" s="90" t="str">
        <f ca="1"/>
        <v>中標</v>
      </c>
      <c r="D18" s="90" t="str">
        <f ca="1"/>
        <v>小標</v>
      </c>
      <c r="E18" s="90"/>
      <c r="F18" s="88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397">
        <f>IFERROR(VLOOKUP($AQ18,'(勿動)組件目錄表'!$D$15:$R$1094,4,FALSE),"")</f>
        <v>0</v>
      </c>
      <c r="AF18" s="384"/>
      <c r="AG18" s="384"/>
      <c r="AH18" s="384"/>
      <c r="AI18" s="384"/>
      <c r="AJ18" s="385"/>
      <c r="AK18" s="54" t="b">
        <v>0</v>
      </c>
      <c r="AL18" s="54" t="b">
        <v>0</v>
      </c>
      <c r="AM18" s="54"/>
      <c r="AN18" s="7" t="str">
        <v>010</v>
      </c>
      <c r="AO18" s="7" t="s">
        <v>168</v>
      </c>
      <c r="AP18" s="62" t="s">
        <v>167</v>
      </c>
      <c r="AQ18" s="75" t="str">
        <v>文字_小標</v>
      </c>
      <c r="AR18" s="75" t="str">
        <v>E-4</v>
      </c>
      <c r="AS18" s="11"/>
      <c r="AT18" s="77">
        <v>0.5</v>
      </c>
      <c r="AU18" s="11" t="str">
        <v>APP：H4；PC：H2</v>
      </c>
      <c r="AV18" s="84"/>
      <c r="AW18" s="86" t="str">
        <f ca="1"/>
        <v>-</v>
      </c>
      <c r="AX18" s="86" t="b">
        <v>0</v>
      </c>
      <c r="AY18" s="68" t="str">
        <f t="shared" si="0"/>
        <v/>
      </c>
      <c r="AZ18" s="69" t="str">
        <f t="shared" si="1"/>
        <v/>
      </c>
      <c r="BA18" s="70" t="str">
        <f t="shared" si="2"/>
        <v/>
      </c>
      <c r="BB18" s="68" t="str">
        <f t="shared" si="3"/>
        <v/>
      </c>
      <c r="BC18" s="69" t="str">
        <f>IFERROR(VLOOKUP($AQ18,'(勿動)組件目錄表'!$D$15:$R$1094,7,FALSE),"")</f>
        <v>MM/DD hh (若全走期都需曝光，請清空此欄毋需填寫)</v>
      </c>
      <c r="BD18" s="69" t="str">
        <f>IFERROR(VLOOKUP($AQ18,'(勿動)組件目錄表'!$D$15:$R$1094,8,FALSE),"")</f>
        <v>MM/DD hh (若全走期都需曝光，請清空此欄毋需填寫)</v>
      </c>
      <c r="BE18" s="69" t="str">
        <f>IFERROR(VLOOKUP($AQ18,'(勿動)組件目錄表'!$D$15:$R$1094,9,FALSE),"")</f>
        <v>Rule Set Name：</v>
      </c>
      <c r="BF18" s="69" t="str">
        <f>IFERROR(VLOOKUP($AQ18,'(勿動)組件目錄表'!$D$15:$R$1094,10,FALSE),"")</f>
        <v>Text Color：# (請填色碼)</v>
      </c>
      <c r="BG18" s="69" t="str">
        <f>IFERROR(VLOOKUP($AQ18,'(勿動)組件目錄表'!$D$15:$R$1094,11,FALSE),"")</f>
        <v>文案：</v>
      </c>
      <c r="BH18" s="69" t="str">
        <f>IFERROR(VLOOKUP($AQ18,'(勿動)組件目錄表'!$D$15:$R$1094,12,FALSE),"")</f>
        <v>-</v>
      </c>
      <c r="BI18" s="69" t="str">
        <f>IFERROR(VLOOKUP($AQ18,'(勿動)組件目錄表'!$D$15:$R$1094,13,FALSE),"")</f>
        <v>-</v>
      </c>
      <c r="BJ18" s="69" t="str">
        <f>IFERROR(VLOOKUP($AQ18,'(勿動)組件目錄表'!$D$15:$R$1094,14,FALSE),"")</f>
        <v>-</v>
      </c>
      <c r="BK18" s="69">
        <f>IFERROR(VLOOKUP($AQ18,'(勿動)組件目錄表'!$D$15:$R$1094,15,FALSE),"")</f>
        <v>0</v>
      </c>
      <c r="BL18" s="81">
        <f ca="1">IFERROR(__xludf.DUMMYFUNCTION("IFERROR(
  LET(
    rowData, FILTER('(勿動)組件目錄表'!J:Q, '(勿動)組件目錄表'!D:D=AQ18),
    IF(ROWS(rowData)=0, 0, 
      (
        IF(AND(BC18&lt;&gt;"""", INDEX(rowData,1,1)=BC18),1,0) +
        IF(AND(BD18&lt;&gt;"""", INDEX(rowData,1,2)=BD18),1,0) +
        IF(AND(BE18&lt;&gt;"""""&amp;", INDEX(rowData,1,3)=BE18),1,0) +
        IF(AND(BF18&lt;&gt;"""", INDEX(rowData,1,4)=BF18),1,0) +
        IF(AND(BG18&lt;&gt;"""", INDEX(rowData,1,5)=BG18),1,0) +
        IF(AND(BH18&lt;&gt;"""", INDEX(rowData,1,6)=BH18),1,0) +
        IF(AND(BI18&lt;&gt;"""", INDEX(rowData,1,7"&amp;")=BI18),1,0) +
        IF(AND(BJ18&lt;&gt;"""", INDEX(rowData,1,8)=BJ18),1,0)
      ) - COUNTIF(BC18:BJ18, ""-"")
        - COUNTIF(BC18:BJ18, ""固定格式，不需提供資訊"")
        - COUNTIF(BC18:BJ18, ""由MKT更新，此欄位固定格式，不需提供資訊
(Voucher CID：12917705872)"")
        - COUNTIF(B"&amp;"C18:BJ18, ""text固定為以下：
※直播間僅支援手機版"")
        - COUNTIF(BC18:BJ18, ""text固定為以下：
※短影音僅支援手機版"")
    )
  ), 
  0
)
"),5)</f>
        <v>5</v>
      </c>
      <c r="BM18" s="77" t="b">
        <v>0</v>
      </c>
      <c r="BN18" s="85"/>
      <c r="BO18" s="85"/>
    </row>
    <row r="19" spans="1:67" ht="30" customHeight="1">
      <c r="A19" s="73" t="str">
        <f t="array" aca="1" ref="A19" ca="1">IFERROR(TRANSPOSE(INDIRECT('MS section版配(Old)'!$AO19)),"")</f>
        <v/>
      </c>
      <c r="B19" s="91"/>
      <c r="C19" s="91"/>
      <c r="D19" s="91"/>
      <c r="E19" s="91"/>
      <c r="F19" s="92"/>
      <c r="G19" s="91"/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397" t="str">
        <f>IFERROR(VLOOKUP($AQ19,'(勿動)組件目錄表'!$D$15:$R$1094,4,FALSE),"")</f>
        <v/>
      </c>
      <c r="AF19" s="384"/>
      <c r="AG19" s="384"/>
      <c r="AH19" s="384"/>
      <c r="AI19" s="384"/>
      <c r="AJ19" s="385"/>
      <c r="AK19" s="54" t="b">
        <v>0</v>
      </c>
      <c r="AL19" s="54" t="b">
        <v>0</v>
      </c>
      <c r="AM19" s="54"/>
      <c r="AN19" s="7" t="str">
        <v>011</v>
      </c>
      <c r="AO19" s="7" t="s">
        <v>164</v>
      </c>
      <c r="AP19" s="62" t="s">
        <v>173</v>
      </c>
      <c r="AQ19" s="75" t="str">
        <v>圖_GD模版_【供MKT Campaign使用】 時間軸(一排2個)</v>
      </c>
      <c r="AR19" s="75" t="str">
        <v>-</v>
      </c>
      <c r="AS19" s="11"/>
      <c r="AT19" s="77" t="str">
        <v>-</v>
      </c>
      <c r="AU19" s="11" t="str">
        <v>-</v>
      </c>
      <c r="AV19" s="84"/>
      <c r="AW19" s="86" t="str">
        <f ca="1"/>
        <v>-</v>
      </c>
      <c r="AX19" s="86" t="b">
        <v>0</v>
      </c>
      <c r="AY19" s="68" t="str">
        <f t="shared" si="0"/>
        <v/>
      </c>
      <c r="AZ19" s="69" t="str">
        <f t="shared" si="1"/>
        <v/>
      </c>
      <c r="BA19" s="70" t="str">
        <f t="shared" si="2"/>
        <v/>
      </c>
      <c r="BB19" s="68" t="str">
        <f t="shared" si="3"/>
        <v/>
      </c>
      <c r="BC19" s="69" t="str">
        <f>IFERROR(VLOOKUP($AQ19,'(勿動)組件目錄表'!$D$15:$R$1094,7,FALSE),"")</f>
        <v/>
      </c>
      <c r="BD19" s="69" t="str">
        <f>IFERROR(VLOOKUP($AQ19,'(勿動)組件目錄表'!$D$15:$R$1094,8,FALSE),"")</f>
        <v/>
      </c>
      <c r="BE19" s="69" t="str">
        <f>IFERROR(VLOOKUP($AQ19,'(勿動)組件目錄表'!$D$15:$R$1094,9,FALSE),"")</f>
        <v/>
      </c>
      <c r="BF19" s="69" t="str">
        <f>IFERROR(VLOOKUP($AQ19,'(勿動)組件目錄表'!$D$15:$R$1094,10,FALSE),"")</f>
        <v/>
      </c>
      <c r="BG19" s="69" t="str">
        <f>IFERROR(VLOOKUP($AQ19,'(勿動)組件目錄表'!$D$15:$R$1094,11,FALSE),"")</f>
        <v/>
      </c>
      <c r="BH19" s="69" t="str">
        <f>IFERROR(VLOOKUP($AQ19,'(勿動)組件目錄表'!$D$15:$R$1094,12,FALSE),"")</f>
        <v/>
      </c>
      <c r="BI19" s="69" t="str">
        <f>IFERROR(VLOOKUP($AQ19,'(勿動)組件目錄表'!$D$15:$R$1094,13,FALSE),"")</f>
        <v/>
      </c>
      <c r="BJ19" s="69" t="str">
        <f>IFERROR(VLOOKUP($AQ19,'(勿動)組件目錄表'!$D$15:$R$1094,14,FALSE),"")</f>
        <v/>
      </c>
      <c r="BK19" s="69" t="str">
        <f>IFERROR(VLOOKUP($AQ19,'(勿動)組件目錄表'!$D$15:$R$1094,15,FALSE),"")</f>
        <v/>
      </c>
      <c r="BL19" s="81">
        <f ca="1">IFERROR(__xludf.DUMMYFUNCTION("IFERROR(
  LET(
    rowData, FILTER('(勿動)組件目錄表'!J:Q, '(勿動)組件目錄表'!D:D=AQ19),
    IF(ROWS(rowData)=0, 0, 
      (
        IF(AND(BC19&lt;&gt;"""", INDEX(rowData,1,1)=BC19),1,0) +
        IF(AND(BD19&lt;&gt;"""", INDEX(rowData,1,2)=BD19),1,0) +
        IF(AND(BE19&lt;&gt;"""""&amp;", INDEX(rowData,1,3)=BE19),1,0) +
        IF(AND(BF19&lt;&gt;"""", INDEX(rowData,1,4)=BF19),1,0) +
        IF(AND(BG19&lt;&gt;"""", INDEX(rowData,1,5)=BG19),1,0) +
        IF(AND(BH19&lt;&gt;"""", INDEX(rowData,1,6)=BH19),1,0) +
        IF(AND(BI19&lt;&gt;"""", INDEX(rowData,1,7"&amp;")=BI19),1,0) +
        IF(AND(BJ19&lt;&gt;"""", INDEX(rowData,1,8)=BJ19),1,0)
      ) - COUNTIF(BC19:BJ19, ""-"")
        - COUNTIF(BC19:BJ19, ""固定格式，不需提供資訊"")
        - COUNTIF(BC19:BJ19, ""由MKT更新，此欄位固定格式，不需提供資訊
(Voucher CID：12917705872)"")
        - COUNTIF(B"&amp;"C19:BJ19, ""text固定為以下：
※直播間僅支援手機版"")
        - COUNTIF(BC19:BJ19, ""text固定為以下：
※短影音僅支援手機版"")
    )
  ), 
  0
)
"),0)</f>
        <v>0</v>
      </c>
      <c r="BM19" s="77" t="b">
        <v>0</v>
      </c>
      <c r="BN19" s="85"/>
      <c r="BO19" s="85"/>
    </row>
    <row r="20" spans="1:67" ht="30" customHeight="1">
      <c r="A20" s="73" t="str">
        <f t="array" aca="1" ref="A20:I20" ca="1">IFERROR(TRANSPOSE(INDIRECT('MS section版配(Old)'!$AO20)),"")</f>
        <v>一排1張(單張/多張)(無一鍵領取)</v>
      </c>
      <c r="B20" s="87" t="str">
        <f ca="1"/>
        <v>一排1張 + Reminder(單張/多張)(無一鍵領取)</v>
      </c>
      <c r="C20" s="87" t="str">
        <f ca="1"/>
        <v>一排1張 + 一鍵領取(多張)</v>
      </c>
      <c r="D20" s="87" t="str">
        <f ca="1"/>
        <v>【僅供MKT Campaign使用】PC：一排兩張；APP：一排1張 + 一鍵領取(多張)</v>
      </c>
      <c r="E20" s="87" t="str">
        <f ca="1"/>
        <v>【僅供MKT Campaign使用】PC：一排兩張；APP：一排1張 + 一鍵領取(多張) + Reminder</v>
      </c>
      <c r="F20" s="88" t="str">
        <f ca="1"/>
        <v>【僅供MKT Campaign使用】PC：一排兩張；APP：一排1張 + 一鍵領取(多張) + Reminder + 查看全部(系統預設加上「優惠券」文案)</v>
      </c>
      <c r="G20" s="87" t="str">
        <f ca="1"/>
        <v>一排2張(單張/多張)(無一鍵領取)</v>
      </c>
      <c r="H20" s="87" t="str">
        <f ca="1"/>
        <v>一排2張 + Reminder(單張/多張)(無一鍵領取)</v>
      </c>
      <c r="I20" s="87" t="str">
        <f ca="1"/>
        <v>一排2張 + 一鍵領取(多張)</v>
      </c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397" t="str">
        <f>IFERROR(VLOOKUP($AQ20,'(勿動)組件目錄表'!$D$15:$R$1094,4,FALSE),"")</f>
        <v/>
      </c>
      <c r="AF20" s="384"/>
      <c r="AG20" s="384"/>
      <c r="AH20" s="384"/>
      <c r="AI20" s="384"/>
      <c r="AJ20" s="385"/>
      <c r="AK20" s="54" t="b">
        <v>0</v>
      </c>
      <c r="AL20" s="54" t="b">
        <v>0</v>
      </c>
      <c r="AM20" s="54"/>
      <c r="AN20" s="7" t="str">
        <v>012</v>
      </c>
      <c r="AO20" s="7" t="s">
        <v>182</v>
      </c>
      <c r="AP20" s="62" t="s">
        <v>183</v>
      </c>
      <c r="AQ20" s="75" t="str">
        <v>優惠券_真券_【供MKT Campaign使用】 PC：一排兩張；APP：一排1張 + 一鍵領取(多張)</v>
      </c>
      <c r="AR20" s="75" t="str">
        <v>-</v>
      </c>
      <c r="AS20" s="11"/>
      <c r="AT20" s="77" t="str">
        <v>-</v>
      </c>
      <c r="AU20" s="11" t="str">
        <v>-</v>
      </c>
      <c r="AV20" s="84"/>
      <c r="AW20" s="86" t="str">
        <f ca="1"/>
        <v>-</v>
      </c>
      <c r="AX20" s="86" t="b">
        <v>0</v>
      </c>
      <c r="AY20" s="68" t="str">
        <f t="shared" si="0"/>
        <v/>
      </c>
      <c r="AZ20" s="69" t="str">
        <f t="shared" si="1"/>
        <v/>
      </c>
      <c r="BA20" s="70" t="str">
        <f t="shared" si="2"/>
        <v/>
      </c>
      <c r="BB20" s="68" t="str">
        <f t="shared" si="3"/>
        <v/>
      </c>
      <c r="BC20" s="69" t="str">
        <f>IFERROR(VLOOKUP($AQ20,'(勿動)組件目錄表'!$D$15:$R$1094,7,FALSE),"")</f>
        <v/>
      </c>
      <c r="BD20" s="69" t="str">
        <f>IFERROR(VLOOKUP($AQ20,'(勿動)組件目錄表'!$D$15:$R$1094,8,FALSE),"")</f>
        <v/>
      </c>
      <c r="BE20" s="69" t="str">
        <f>IFERROR(VLOOKUP($AQ20,'(勿動)組件目錄表'!$D$15:$R$1094,9,FALSE),"")</f>
        <v/>
      </c>
      <c r="BF20" s="69" t="str">
        <f>IFERROR(VLOOKUP($AQ20,'(勿動)組件目錄表'!$D$15:$R$1094,10,FALSE),"")</f>
        <v/>
      </c>
      <c r="BG20" s="69" t="str">
        <f>IFERROR(VLOOKUP($AQ20,'(勿動)組件目錄表'!$D$15:$R$1094,11,FALSE),"")</f>
        <v/>
      </c>
      <c r="BH20" s="69" t="str">
        <f>IFERROR(VLOOKUP($AQ20,'(勿動)組件目錄表'!$D$15:$R$1094,12,FALSE),"")</f>
        <v/>
      </c>
      <c r="BI20" s="69" t="str">
        <f>IFERROR(VLOOKUP($AQ20,'(勿動)組件目錄表'!$D$15:$R$1094,13,FALSE),"")</f>
        <v/>
      </c>
      <c r="BJ20" s="69" t="str">
        <f>IFERROR(VLOOKUP($AQ20,'(勿動)組件目錄表'!$D$15:$R$1094,14,FALSE),"")</f>
        <v/>
      </c>
      <c r="BK20" s="69" t="str">
        <f>IFERROR(VLOOKUP($AQ20,'(勿動)組件目錄表'!$D$15:$R$1094,15,FALSE),"")</f>
        <v/>
      </c>
      <c r="BL20" s="81">
        <f ca="1">IFERROR(__xludf.DUMMYFUNCTION("IFERROR(
  LET(
    rowData, FILTER('(勿動)組件目錄表'!J:Q, '(勿動)組件目錄表'!D:D=AQ20),
    IF(ROWS(rowData)=0, 0, 
      (
        IF(AND(BC20&lt;&gt;"""", INDEX(rowData,1,1)=BC20),1,0) +
        IF(AND(BD20&lt;&gt;"""", INDEX(rowData,1,2)=BD20),1,0) +
        IF(AND(BE20&lt;&gt;"""""&amp;", INDEX(rowData,1,3)=BE20),1,0) +
        IF(AND(BF20&lt;&gt;"""", INDEX(rowData,1,4)=BF20),1,0) +
        IF(AND(BG20&lt;&gt;"""", INDEX(rowData,1,5)=BG20),1,0) +
        IF(AND(BH20&lt;&gt;"""", INDEX(rowData,1,6)=BH20),1,0) +
        IF(AND(BI20&lt;&gt;"""", INDEX(rowData,1,7"&amp;")=BI20),1,0) +
        IF(AND(BJ20&lt;&gt;"""", INDEX(rowData,1,8)=BJ20),1,0)
      ) - COUNTIF(BC20:BJ20, ""-"")
        - COUNTIF(BC20:BJ20, ""固定格式，不需提供資訊"")
        - COUNTIF(BC20:BJ20, ""由MKT更新，此欄位固定格式，不需提供資訊
(Voucher CID：12917705872)"")
        - COUNTIF(B"&amp;"C20:BJ20, ""text固定為以下：
※直播間僅支援手機版"")
        - COUNTIF(BC20:BJ20, ""text固定為以下：
※短影音僅支援手機版"")
    )
  ), 
  0
)
"),0)</f>
        <v>0</v>
      </c>
      <c r="BM20" s="77" t="b">
        <v>0</v>
      </c>
      <c r="BN20" s="85"/>
      <c r="BO20" s="85"/>
    </row>
    <row r="21" spans="1:67" ht="30" customHeight="1">
      <c r="A21" s="73" t="str">
        <f t="array" aca="1" ref="A21" ca="1">IFERROR(TRANSPOSE(INDIRECT('MS section版配(Old)'!$AO21)),"")</f>
        <v/>
      </c>
      <c r="B21" s="93"/>
      <c r="C21" s="93"/>
      <c r="D21" s="93"/>
      <c r="E21" s="93"/>
      <c r="F21" s="88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397" t="str">
        <f>IFERROR(VLOOKUP($AQ21,'(勿動)組件目錄表'!$D$15:$R$1094,4,FALSE),"")</f>
        <v/>
      </c>
      <c r="AF21" s="384"/>
      <c r="AG21" s="384"/>
      <c r="AH21" s="384"/>
      <c r="AI21" s="384"/>
      <c r="AJ21" s="385"/>
      <c r="AK21" s="54" t="b">
        <v>0</v>
      </c>
      <c r="AL21" s="54" t="b">
        <v>0</v>
      </c>
      <c r="AM21" s="54"/>
      <c r="AN21" s="7" t="str">
        <v>013</v>
      </c>
      <c r="AO21" s="7"/>
      <c r="AP21" s="62"/>
      <c r="AQ21" s="75" t="str">
        <v/>
      </c>
      <c r="AR21" s="75" t="str">
        <v>-</v>
      </c>
      <c r="AS21" s="11"/>
      <c r="AT21" s="77" t="str">
        <v>-</v>
      </c>
      <c r="AU21" s="11" t="str">
        <v>-</v>
      </c>
      <c r="AV21" s="84"/>
      <c r="AW21" s="86" t="str">
        <f ca="1"/>
        <v>-</v>
      </c>
      <c r="AX21" s="86" t="b">
        <v>0</v>
      </c>
      <c r="AY21" s="68" t="str">
        <f t="shared" si="0"/>
        <v/>
      </c>
      <c r="AZ21" s="69" t="str">
        <f t="shared" si="1"/>
        <v/>
      </c>
      <c r="BA21" s="70" t="str">
        <f t="shared" si="2"/>
        <v/>
      </c>
      <c r="BB21" s="68" t="str">
        <f t="shared" si="3"/>
        <v/>
      </c>
      <c r="BC21" s="69" t="str">
        <f>IFERROR(VLOOKUP($AQ21,'(勿動)組件目錄表'!$D$15:$R$1094,7,FALSE),"")</f>
        <v/>
      </c>
      <c r="BD21" s="69" t="str">
        <f>IFERROR(VLOOKUP($AQ21,'(勿動)組件目錄表'!$D$15:$R$1094,8,FALSE),"")</f>
        <v/>
      </c>
      <c r="BE21" s="69" t="str">
        <f>IFERROR(VLOOKUP($AQ21,'(勿動)組件目錄表'!$D$15:$R$1094,9,FALSE),"")</f>
        <v/>
      </c>
      <c r="BF21" s="69" t="str">
        <f>IFERROR(VLOOKUP($AQ21,'(勿動)組件目錄表'!$D$15:$R$1094,10,FALSE),"")</f>
        <v/>
      </c>
      <c r="BG21" s="69" t="str">
        <f>IFERROR(VLOOKUP($AQ21,'(勿動)組件目錄表'!$D$15:$R$1094,11,FALSE),"")</f>
        <v/>
      </c>
      <c r="BH21" s="69" t="str">
        <f>IFERROR(VLOOKUP($AQ21,'(勿動)組件目錄表'!$D$15:$R$1094,12,FALSE),"")</f>
        <v/>
      </c>
      <c r="BI21" s="69" t="str">
        <f>IFERROR(VLOOKUP($AQ21,'(勿動)組件目錄表'!$D$15:$R$1094,13,FALSE),"")</f>
        <v/>
      </c>
      <c r="BJ21" s="69" t="str">
        <f>IFERROR(VLOOKUP($AQ21,'(勿動)組件目錄表'!$D$15:$R$1094,14,FALSE),"")</f>
        <v/>
      </c>
      <c r="BK21" s="69" t="str">
        <f>IFERROR(VLOOKUP($AQ21,'(勿動)組件目錄表'!$D$15:$R$1094,15,FALSE),"")</f>
        <v/>
      </c>
      <c r="BL21" s="81">
        <f ca="1">IFERROR(__xludf.DUMMYFUNCTION("IFERROR(
  LET(
    rowData, FILTER('(勿動)組件目錄表'!J:Q, '(勿動)組件目錄表'!D:D=AQ21),
    IF(ROWS(rowData)=0, 0, 
      (
        IF(AND(BC21&lt;&gt;"""", INDEX(rowData,1,1)=BC21),1,0) +
        IF(AND(BD21&lt;&gt;"""", INDEX(rowData,1,2)=BD21),1,0) +
        IF(AND(BE21&lt;&gt;"""""&amp;", INDEX(rowData,1,3)=BE21),1,0) +
        IF(AND(BF21&lt;&gt;"""", INDEX(rowData,1,4)=BF21),1,0) +
        IF(AND(BG21&lt;&gt;"""", INDEX(rowData,1,5)=BG21),1,0) +
        IF(AND(BH21&lt;&gt;"""", INDEX(rowData,1,6)=BH21),1,0) +
        IF(AND(BI21&lt;&gt;"""", INDEX(rowData,1,7"&amp;")=BI21),1,0) +
        IF(AND(BJ21&lt;&gt;"""", INDEX(rowData,1,8)=BJ21),1,0)
      ) - COUNTIF(BC21:BJ21, ""-"")
        - COUNTIF(BC21:BJ21, ""固定格式，不需提供資訊"")
        - COUNTIF(BC21:BJ21, ""由MKT更新，此欄位固定格式，不需提供資訊
(Voucher CID：12917705872)"")
        - COUNTIF(B"&amp;"C21:BJ21, ""text固定為以下：
※直播間僅支援手機版"")
        - COUNTIF(BC21:BJ21, ""text固定為以下：
※短影音僅支援手機版"")
    )
  ), 
  0
)
"),0)</f>
        <v>0</v>
      </c>
      <c r="BM21" s="77" t="b">
        <v>0</v>
      </c>
      <c r="BN21" s="85"/>
      <c r="BO21" s="85"/>
    </row>
    <row r="22" spans="1:67" ht="30" customHeight="1">
      <c r="A22" s="73" t="str">
        <f t="array" aca="1" ref="A22" ca="1">IFERROR(TRANSPOSE(INDIRECT('MS section版配(Old)'!$AO22)),"")</f>
        <v/>
      </c>
      <c r="B22" s="93"/>
      <c r="C22" s="93"/>
      <c r="D22" s="93"/>
      <c r="E22" s="93"/>
      <c r="F22" s="88"/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93"/>
      <c r="U22" s="93"/>
      <c r="V22" s="93"/>
      <c r="W22" s="93"/>
      <c r="X22" s="93"/>
      <c r="Y22" s="93"/>
      <c r="Z22" s="93"/>
      <c r="AA22" s="93"/>
      <c r="AB22" s="93"/>
      <c r="AC22" s="93"/>
      <c r="AD22" s="93"/>
      <c r="AE22" s="397" t="str">
        <f>IFERROR(VLOOKUP($AQ22,'(勿動)組件目錄表'!$D$15:$R$1094,4,FALSE),"")</f>
        <v/>
      </c>
      <c r="AF22" s="384"/>
      <c r="AG22" s="384"/>
      <c r="AH22" s="384"/>
      <c r="AI22" s="384"/>
      <c r="AJ22" s="385"/>
      <c r="AK22" s="54" t="b">
        <v>0</v>
      </c>
      <c r="AL22" s="54" t="b">
        <v>0</v>
      </c>
      <c r="AM22" s="54"/>
      <c r="AN22" s="7" t="str">
        <v>014</v>
      </c>
      <c r="AO22" s="7"/>
      <c r="AP22" s="62"/>
      <c r="AQ22" s="75" t="str">
        <v/>
      </c>
      <c r="AR22" s="75" t="str">
        <v>-</v>
      </c>
      <c r="AS22" s="11"/>
      <c r="AT22" s="77" t="str">
        <v>-</v>
      </c>
      <c r="AU22" s="11" t="str">
        <v>-</v>
      </c>
      <c r="AV22" s="84"/>
      <c r="AW22" s="86" t="str">
        <f ca="1"/>
        <v>-</v>
      </c>
      <c r="AX22" s="86" t="b">
        <v>0</v>
      </c>
      <c r="AY22" s="68" t="str">
        <f t="shared" si="0"/>
        <v/>
      </c>
      <c r="AZ22" s="69" t="str">
        <f t="shared" si="1"/>
        <v/>
      </c>
      <c r="BA22" s="70" t="str">
        <f t="shared" si="2"/>
        <v/>
      </c>
      <c r="BB22" s="68" t="str">
        <f t="shared" si="3"/>
        <v/>
      </c>
      <c r="BC22" s="69" t="str">
        <f>IFERROR(VLOOKUP($AQ22,'(勿動)組件目錄表'!$D$15:$R$1094,7,FALSE),"")</f>
        <v/>
      </c>
      <c r="BD22" s="69" t="str">
        <f>IFERROR(VLOOKUP($AQ22,'(勿動)組件目錄表'!$D$15:$R$1094,8,FALSE),"")</f>
        <v/>
      </c>
      <c r="BE22" s="69" t="str">
        <f>IFERROR(VLOOKUP($AQ22,'(勿動)組件目錄表'!$D$15:$R$1094,9,FALSE),"")</f>
        <v/>
      </c>
      <c r="BF22" s="69" t="str">
        <f>IFERROR(VLOOKUP($AQ22,'(勿動)組件目錄表'!$D$15:$R$1094,10,FALSE),"")</f>
        <v/>
      </c>
      <c r="BG22" s="69" t="str">
        <f>IFERROR(VLOOKUP($AQ22,'(勿動)組件目錄表'!$D$15:$R$1094,11,FALSE),"")</f>
        <v/>
      </c>
      <c r="BH22" s="69" t="str">
        <f>IFERROR(VLOOKUP($AQ22,'(勿動)組件目錄表'!$D$15:$R$1094,12,FALSE),"")</f>
        <v/>
      </c>
      <c r="BI22" s="69" t="str">
        <f>IFERROR(VLOOKUP($AQ22,'(勿動)組件目錄表'!$D$15:$R$1094,13,FALSE),"")</f>
        <v/>
      </c>
      <c r="BJ22" s="69" t="str">
        <f>IFERROR(VLOOKUP($AQ22,'(勿動)組件目錄表'!$D$15:$R$1094,14,FALSE),"")</f>
        <v/>
      </c>
      <c r="BK22" s="69" t="str">
        <f>IFERROR(VLOOKUP($AQ22,'(勿動)組件目錄表'!$D$15:$R$1094,15,FALSE),"")</f>
        <v/>
      </c>
      <c r="BL22" s="81">
        <f ca="1">IFERROR(__xludf.DUMMYFUNCTION("IFERROR(
  LET(
    rowData, FILTER('(勿動)組件目錄表'!J:Q, '(勿動)組件目錄表'!D:D=AQ22),
    IF(ROWS(rowData)=0, 0, 
      (
        IF(AND(BC22&lt;&gt;"""", INDEX(rowData,1,1)=BC22),1,0) +
        IF(AND(BD22&lt;&gt;"""", INDEX(rowData,1,2)=BD22),1,0) +
        IF(AND(BE22&lt;&gt;"""""&amp;", INDEX(rowData,1,3)=BE22),1,0) +
        IF(AND(BF22&lt;&gt;"""", INDEX(rowData,1,4)=BF22),1,0) +
        IF(AND(BG22&lt;&gt;"""", INDEX(rowData,1,5)=BG22),1,0) +
        IF(AND(BH22&lt;&gt;"""", INDEX(rowData,1,6)=BH22),1,0) +
        IF(AND(BI22&lt;&gt;"""", INDEX(rowData,1,7"&amp;")=BI22),1,0) +
        IF(AND(BJ22&lt;&gt;"""", INDEX(rowData,1,8)=BJ22),1,0)
      ) - COUNTIF(BC22:BJ22, ""-"")
        - COUNTIF(BC22:BJ22, ""固定格式，不需提供資訊"")
        - COUNTIF(BC22:BJ22, ""由MKT更新，此欄位固定格式，不需提供資訊
(Voucher CID：12917705872)"")
        - COUNTIF(B"&amp;"C22:BJ22, ""text固定為以下：
※直播間僅支援手機版"")
        - COUNTIF(BC22:BJ22, ""text固定為以下：
※短影音僅支援手機版"")
    )
  ), 
  0
)
"),0)</f>
        <v>0</v>
      </c>
      <c r="BM22" s="77" t="b">
        <v>0</v>
      </c>
      <c r="BN22" s="85"/>
      <c r="BO22" s="85"/>
    </row>
    <row r="23" spans="1:67" ht="30" customHeight="1">
      <c r="A23" s="73" t="str">
        <f t="array" aca="1" ref="A23" ca="1">IFERROR(TRANSPOSE(INDIRECT('MS section版配(Old)'!$AO23)),"")</f>
        <v/>
      </c>
      <c r="B23" s="94"/>
      <c r="C23" s="94"/>
      <c r="D23" s="94"/>
      <c r="E23" s="94"/>
      <c r="F23" s="92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397" t="str">
        <f>IFERROR(VLOOKUP($AQ23,'(勿動)組件目錄表'!$D$15:$R$1094,4,FALSE),"")</f>
        <v/>
      </c>
      <c r="AF23" s="384"/>
      <c r="AG23" s="384"/>
      <c r="AH23" s="384"/>
      <c r="AI23" s="384"/>
      <c r="AJ23" s="385"/>
      <c r="AK23" s="54" t="b">
        <v>0</v>
      </c>
      <c r="AL23" s="54" t="b">
        <v>0</v>
      </c>
      <c r="AM23" s="54"/>
      <c r="AN23" s="7" t="str">
        <v>015</v>
      </c>
      <c r="AO23" s="7"/>
      <c r="AP23" s="62"/>
      <c r="AQ23" s="75" t="str">
        <v/>
      </c>
      <c r="AR23" s="75" t="str">
        <v>-</v>
      </c>
      <c r="AS23" s="11"/>
      <c r="AT23" s="77" t="str">
        <v>-</v>
      </c>
      <c r="AU23" s="11" t="str">
        <v>-</v>
      </c>
      <c r="AV23" s="84"/>
      <c r="AW23" s="86" t="str">
        <f ca="1"/>
        <v>-</v>
      </c>
      <c r="AX23" s="86" t="b">
        <v>0</v>
      </c>
      <c r="AY23" s="68" t="str">
        <f t="shared" si="0"/>
        <v/>
      </c>
      <c r="AZ23" s="69" t="str">
        <f t="shared" si="1"/>
        <v/>
      </c>
      <c r="BA23" s="70" t="str">
        <f t="shared" si="2"/>
        <v/>
      </c>
      <c r="BB23" s="68" t="str">
        <f t="shared" si="3"/>
        <v/>
      </c>
      <c r="BC23" s="69" t="str">
        <f>IFERROR(VLOOKUP($AQ23,'(勿動)組件目錄表'!$D$15:$R$1094,7,FALSE),"")</f>
        <v/>
      </c>
      <c r="BD23" s="69" t="str">
        <f>IFERROR(VLOOKUP($AQ23,'(勿動)組件目錄表'!$D$15:$R$1094,8,FALSE),"")</f>
        <v/>
      </c>
      <c r="BE23" s="69" t="str">
        <f>IFERROR(VLOOKUP($AQ23,'(勿動)組件目錄表'!$D$15:$R$1094,9,FALSE),"")</f>
        <v/>
      </c>
      <c r="BF23" s="69" t="str">
        <f>IFERROR(VLOOKUP($AQ23,'(勿動)組件目錄表'!$D$15:$R$1094,10,FALSE),"")</f>
        <v/>
      </c>
      <c r="BG23" s="69" t="str">
        <f>IFERROR(VLOOKUP($AQ23,'(勿動)組件目錄表'!$D$15:$R$1094,11,FALSE),"")</f>
        <v/>
      </c>
      <c r="BH23" s="69" t="str">
        <f>IFERROR(VLOOKUP($AQ23,'(勿動)組件目錄表'!$D$15:$R$1094,12,FALSE),"")</f>
        <v/>
      </c>
      <c r="BI23" s="69" t="str">
        <f>IFERROR(VLOOKUP($AQ23,'(勿動)組件目錄表'!$D$15:$R$1094,13,FALSE),"")</f>
        <v/>
      </c>
      <c r="BJ23" s="69" t="str">
        <f>IFERROR(VLOOKUP($AQ23,'(勿動)組件目錄表'!$D$15:$R$1094,14,FALSE),"")</f>
        <v/>
      </c>
      <c r="BK23" s="69" t="str">
        <f>IFERROR(VLOOKUP($AQ23,'(勿動)組件目錄表'!$D$15:$R$1094,15,FALSE),"")</f>
        <v/>
      </c>
      <c r="BL23" s="81">
        <f ca="1">IFERROR(__xludf.DUMMYFUNCTION("IFERROR(
  LET(
    rowData, FILTER('(勿動)組件目錄表'!J:Q, '(勿動)組件目錄表'!D:D=AQ23),
    IF(ROWS(rowData)=0, 0, 
      (
        IF(AND(BC23&lt;&gt;"""", INDEX(rowData,1,1)=BC23),1,0) +
        IF(AND(BD23&lt;&gt;"""", INDEX(rowData,1,2)=BD23),1,0) +
        IF(AND(BE23&lt;&gt;"""""&amp;", INDEX(rowData,1,3)=BE23),1,0) +
        IF(AND(BF23&lt;&gt;"""", INDEX(rowData,1,4)=BF23),1,0) +
        IF(AND(BG23&lt;&gt;"""", INDEX(rowData,1,5)=BG23),1,0) +
        IF(AND(BH23&lt;&gt;"""", INDEX(rowData,1,6)=BH23),1,0) +
        IF(AND(BI23&lt;&gt;"""", INDEX(rowData,1,7"&amp;")=BI23),1,0) +
        IF(AND(BJ23&lt;&gt;"""", INDEX(rowData,1,8)=BJ23),1,0)
      ) - COUNTIF(BC23:BJ23, ""-"")
        - COUNTIF(BC23:BJ23, ""固定格式，不需提供資訊"")
        - COUNTIF(BC23:BJ23, ""由MKT更新，此欄位固定格式，不需提供資訊
(Voucher CID：12917705872)"")
        - COUNTIF(B"&amp;"C23:BJ23, ""text固定為以下：
※直播間僅支援手機版"")
        - COUNTIF(BC23:BJ23, ""text固定為以下：
※短影音僅支援手機版"")
    )
  ), 
  0
)
"),0)</f>
        <v>0</v>
      </c>
      <c r="BM23" s="77" t="b">
        <v>0</v>
      </c>
      <c r="BN23" s="85"/>
      <c r="BO23" s="85"/>
    </row>
    <row r="24" spans="1:67" ht="30" customHeight="1">
      <c r="A24" s="73" t="str">
        <f t="array" aca="1" ref="A24" ca="1">IFERROR(TRANSPOSE(INDIRECT('MS section版配(Old)'!$AO24)),"")</f>
        <v/>
      </c>
      <c r="B24" s="95"/>
      <c r="C24" s="95"/>
      <c r="D24" s="95"/>
      <c r="E24" s="95"/>
      <c r="F24" s="92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397" t="str">
        <f>IFERROR(VLOOKUP($AQ24,'(勿動)組件目錄表'!$D$15:$R$1094,4,FALSE),"")</f>
        <v/>
      </c>
      <c r="AF24" s="384"/>
      <c r="AG24" s="384"/>
      <c r="AH24" s="384"/>
      <c r="AI24" s="384"/>
      <c r="AJ24" s="385"/>
      <c r="AK24" s="54" t="b">
        <v>0</v>
      </c>
      <c r="AL24" s="54" t="b">
        <v>0</v>
      </c>
      <c r="AM24" s="54"/>
      <c r="AN24" s="7" t="str">
        <v>016</v>
      </c>
      <c r="AO24" s="7"/>
      <c r="AP24" s="62"/>
      <c r="AQ24" s="75" t="str">
        <v/>
      </c>
      <c r="AR24" s="75" t="str">
        <v>-</v>
      </c>
      <c r="AS24" s="11"/>
      <c r="AT24" s="77" t="str">
        <v>-</v>
      </c>
      <c r="AU24" s="11" t="str">
        <v>-</v>
      </c>
      <c r="AV24" s="84"/>
      <c r="AW24" s="86" t="str">
        <f ca="1"/>
        <v>-</v>
      </c>
      <c r="AX24" s="86" t="b">
        <v>0</v>
      </c>
      <c r="AY24" s="68" t="str">
        <f t="shared" si="0"/>
        <v/>
      </c>
      <c r="AZ24" s="69" t="str">
        <f t="shared" si="1"/>
        <v/>
      </c>
      <c r="BA24" s="70" t="str">
        <f t="shared" si="2"/>
        <v/>
      </c>
      <c r="BB24" s="68" t="str">
        <f t="shared" si="3"/>
        <v/>
      </c>
      <c r="BC24" s="69" t="str">
        <f>IFERROR(VLOOKUP($AQ24,'(勿動)組件目錄表'!$D$15:$R$1094,7,FALSE),"")</f>
        <v/>
      </c>
      <c r="BD24" s="69" t="str">
        <f>IFERROR(VLOOKUP($AQ24,'(勿動)組件目錄表'!$D$15:$R$1094,8,FALSE),"")</f>
        <v/>
      </c>
      <c r="BE24" s="69" t="str">
        <f>IFERROR(VLOOKUP($AQ24,'(勿動)組件目錄表'!$D$15:$R$1094,9,FALSE),"")</f>
        <v/>
      </c>
      <c r="BF24" s="69" t="str">
        <f>IFERROR(VLOOKUP($AQ24,'(勿動)組件目錄表'!$D$15:$R$1094,10,FALSE),"")</f>
        <v/>
      </c>
      <c r="BG24" s="69" t="str">
        <f>IFERROR(VLOOKUP($AQ24,'(勿動)組件目錄表'!$D$15:$R$1094,11,FALSE),"")</f>
        <v/>
      </c>
      <c r="BH24" s="69" t="str">
        <f>IFERROR(VLOOKUP($AQ24,'(勿動)組件目錄表'!$D$15:$R$1094,12,FALSE),"")</f>
        <v/>
      </c>
      <c r="BI24" s="69" t="str">
        <f>IFERROR(VLOOKUP($AQ24,'(勿動)組件目錄表'!$D$15:$R$1094,13,FALSE),"")</f>
        <v/>
      </c>
      <c r="BJ24" s="69" t="str">
        <f>IFERROR(VLOOKUP($AQ24,'(勿動)組件目錄表'!$D$15:$R$1094,14,FALSE),"")</f>
        <v/>
      </c>
      <c r="BK24" s="69" t="str">
        <f>IFERROR(VLOOKUP($AQ24,'(勿動)組件目錄表'!$D$15:$R$1094,15,FALSE),"")</f>
        <v/>
      </c>
      <c r="BL24" s="81">
        <f ca="1">IFERROR(__xludf.DUMMYFUNCTION("IFERROR(
  LET(
    rowData, FILTER('(勿動)組件目錄表'!J:Q, '(勿動)組件目錄表'!D:D=AQ24),
    IF(ROWS(rowData)=0, 0, 
      (
        IF(AND(BC24&lt;&gt;"""", INDEX(rowData,1,1)=BC24),1,0) +
        IF(AND(BD24&lt;&gt;"""", INDEX(rowData,1,2)=BD24),1,0) +
        IF(AND(BE24&lt;&gt;"""""&amp;", INDEX(rowData,1,3)=BE24),1,0) +
        IF(AND(BF24&lt;&gt;"""", INDEX(rowData,1,4)=BF24),1,0) +
        IF(AND(BG24&lt;&gt;"""", INDEX(rowData,1,5)=BG24),1,0) +
        IF(AND(BH24&lt;&gt;"""", INDEX(rowData,1,6)=BH24),1,0) +
        IF(AND(BI24&lt;&gt;"""", INDEX(rowData,1,7"&amp;")=BI24),1,0) +
        IF(AND(BJ24&lt;&gt;"""", INDEX(rowData,1,8)=BJ24),1,0)
      ) - COUNTIF(BC24:BJ24, ""-"")
        - COUNTIF(BC24:BJ24, ""固定格式，不需提供資訊"")
        - COUNTIF(BC24:BJ24, ""由MKT更新，此欄位固定格式，不需提供資訊
(Voucher CID：12917705872)"")
        - COUNTIF(B"&amp;"C24:BJ24, ""text固定為以下：
※直播間僅支援手機版"")
        - COUNTIF(BC24:BJ24, ""text固定為以下：
※短影音僅支援手機版"")
    )
  ), 
  0
)
"),0)</f>
        <v>0</v>
      </c>
      <c r="BM24" s="77" t="b">
        <v>0</v>
      </c>
      <c r="BN24" s="85"/>
      <c r="BO24" s="85"/>
    </row>
    <row r="25" spans="1:67" ht="30" customHeight="1">
      <c r="A25" s="73" t="str">
        <f t="array" aca="1" ref="A25" ca="1">IFERROR(TRANSPOSE(INDIRECT('MS section版配(Old)'!$AO25)),"")</f>
        <v/>
      </c>
      <c r="B25" s="95"/>
      <c r="C25" s="95"/>
      <c r="D25" s="95"/>
      <c r="E25" s="95"/>
      <c r="F25" s="92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397" t="str">
        <f>IFERROR(VLOOKUP($AQ25,'(勿動)組件目錄表'!$D$15:$R$1094,4,FALSE),"")</f>
        <v/>
      </c>
      <c r="AF25" s="384"/>
      <c r="AG25" s="384"/>
      <c r="AH25" s="384"/>
      <c r="AI25" s="384"/>
      <c r="AJ25" s="385"/>
      <c r="AK25" s="54" t="b">
        <v>0</v>
      </c>
      <c r="AL25" s="54" t="b">
        <v>0</v>
      </c>
      <c r="AM25" s="54"/>
      <c r="AN25" s="7" t="str">
        <v>017</v>
      </c>
      <c r="AO25" s="7"/>
      <c r="AP25" s="62"/>
      <c r="AQ25" s="75" t="str">
        <v/>
      </c>
      <c r="AR25" s="75" t="str">
        <v>-</v>
      </c>
      <c r="AS25" s="11"/>
      <c r="AT25" s="77" t="str">
        <v>-</v>
      </c>
      <c r="AU25" s="11" t="str">
        <v>-</v>
      </c>
      <c r="AV25" s="84"/>
      <c r="AW25" s="86" t="str">
        <f ca="1"/>
        <v>-</v>
      </c>
      <c r="AX25" s="86" t="b">
        <v>0</v>
      </c>
      <c r="AY25" s="68" t="str">
        <f t="shared" si="0"/>
        <v/>
      </c>
      <c r="AZ25" s="69" t="str">
        <f t="shared" si="1"/>
        <v/>
      </c>
      <c r="BA25" s="70" t="str">
        <f t="shared" si="2"/>
        <v/>
      </c>
      <c r="BB25" s="68" t="str">
        <f t="shared" si="3"/>
        <v/>
      </c>
      <c r="BC25" s="69" t="str">
        <f>IFERROR(VLOOKUP($AQ25,'(勿動)組件目錄表'!$D$15:$R$1094,7,FALSE),"")</f>
        <v/>
      </c>
      <c r="BD25" s="69" t="str">
        <f>IFERROR(VLOOKUP($AQ25,'(勿動)組件目錄表'!$D$15:$R$1094,8,FALSE),"")</f>
        <v/>
      </c>
      <c r="BE25" s="69" t="str">
        <f>IFERROR(VLOOKUP($AQ25,'(勿動)組件目錄表'!$D$15:$R$1094,9,FALSE),"")</f>
        <v/>
      </c>
      <c r="BF25" s="69" t="str">
        <f>IFERROR(VLOOKUP($AQ25,'(勿動)組件目錄表'!$D$15:$R$1094,10,FALSE),"")</f>
        <v/>
      </c>
      <c r="BG25" s="69" t="str">
        <f>IFERROR(VLOOKUP($AQ25,'(勿動)組件目錄表'!$D$15:$R$1094,11,FALSE),"")</f>
        <v/>
      </c>
      <c r="BH25" s="69" t="str">
        <f>IFERROR(VLOOKUP($AQ25,'(勿動)組件目錄表'!$D$15:$R$1094,12,FALSE),"")</f>
        <v/>
      </c>
      <c r="BI25" s="69" t="str">
        <f>IFERROR(VLOOKUP($AQ25,'(勿動)組件目錄表'!$D$15:$R$1094,13,FALSE),"")</f>
        <v/>
      </c>
      <c r="BJ25" s="69" t="str">
        <f>IFERROR(VLOOKUP($AQ25,'(勿動)組件目錄表'!$D$15:$R$1094,14,FALSE),"")</f>
        <v/>
      </c>
      <c r="BK25" s="69" t="str">
        <f>IFERROR(VLOOKUP($AQ25,'(勿動)組件目錄表'!$D$15:$R$1094,15,FALSE),"")</f>
        <v/>
      </c>
      <c r="BL25" s="81">
        <f ca="1">IFERROR(__xludf.DUMMYFUNCTION("IFERROR(
  LET(
    rowData, FILTER('(勿動)組件目錄表'!J:Q, '(勿動)組件目錄表'!D:D=AQ25),
    IF(ROWS(rowData)=0, 0, 
      (
        IF(AND(BC25&lt;&gt;"""", INDEX(rowData,1,1)=BC25),1,0) +
        IF(AND(BD25&lt;&gt;"""", INDEX(rowData,1,2)=BD25),1,0) +
        IF(AND(BE25&lt;&gt;"""""&amp;", INDEX(rowData,1,3)=BE25),1,0) +
        IF(AND(BF25&lt;&gt;"""", INDEX(rowData,1,4)=BF25),1,0) +
        IF(AND(BG25&lt;&gt;"""", INDEX(rowData,1,5)=BG25),1,0) +
        IF(AND(BH25&lt;&gt;"""", INDEX(rowData,1,6)=BH25),1,0) +
        IF(AND(BI25&lt;&gt;"""", INDEX(rowData,1,7"&amp;")=BI25),1,0) +
        IF(AND(BJ25&lt;&gt;"""", INDEX(rowData,1,8)=BJ25),1,0)
      ) - COUNTIF(BC25:BJ25, ""-"")
        - COUNTIF(BC25:BJ25, ""固定格式，不需提供資訊"")
        - COUNTIF(BC25:BJ25, ""由MKT更新，此欄位固定格式，不需提供資訊
(Voucher CID：12917705872)"")
        - COUNTIF(B"&amp;"C25:BJ25, ""text固定為以下：
※直播間僅支援手機版"")
        - COUNTIF(BC25:BJ25, ""text固定為以下：
※短影音僅支援手機版"")
    )
  ), 
  0
)
"),0)</f>
        <v>0</v>
      </c>
      <c r="BM25" s="77" t="b">
        <v>0</v>
      </c>
      <c r="BN25" s="85"/>
      <c r="BO25" s="85"/>
    </row>
    <row r="26" spans="1:67" ht="30" customHeight="1">
      <c r="A26" s="73" t="str">
        <f t="array" aca="1" ref="A26" ca="1">IFERROR(TRANSPOSE(INDIRECT('MS section版配(Old)'!$AO26)),"")</f>
        <v/>
      </c>
      <c r="B26" s="94"/>
      <c r="C26" s="94"/>
      <c r="D26" s="94"/>
      <c r="E26" s="94"/>
      <c r="F26" s="92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397" t="str">
        <f>IFERROR(VLOOKUP($AQ26,'(勿動)組件目錄表'!$D$15:$R$1094,4,FALSE),"")</f>
        <v/>
      </c>
      <c r="AF26" s="384"/>
      <c r="AG26" s="384"/>
      <c r="AH26" s="384"/>
      <c r="AI26" s="384"/>
      <c r="AJ26" s="385"/>
      <c r="AK26" s="54" t="b">
        <v>0</v>
      </c>
      <c r="AL26" s="54" t="b">
        <v>0</v>
      </c>
      <c r="AM26" s="54"/>
      <c r="AN26" s="7" t="str">
        <v>018</v>
      </c>
      <c r="AO26" s="7"/>
      <c r="AP26" s="62"/>
      <c r="AQ26" s="75" t="str">
        <v/>
      </c>
      <c r="AR26" s="75" t="str">
        <v>-</v>
      </c>
      <c r="AS26" s="11"/>
      <c r="AT26" s="77" t="str">
        <v>-</v>
      </c>
      <c r="AU26" s="11" t="str">
        <v>-</v>
      </c>
      <c r="AV26" s="84"/>
      <c r="AW26" s="86" t="str">
        <f ca="1"/>
        <v>-</v>
      </c>
      <c r="AX26" s="86" t="b">
        <v>0</v>
      </c>
      <c r="AY26" s="68" t="str">
        <f t="shared" si="0"/>
        <v/>
      </c>
      <c r="AZ26" s="69" t="str">
        <f t="shared" si="1"/>
        <v/>
      </c>
      <c r="BA26" s="70" t="str">
        <f t="shared" si="2"/>
        <v/>
      </c>
      <c r="BB26" s="68" t="str">
        <f t="shared" si="3"/>
        <v/>
      </c>
      <c r="BC26" s="69" t="str">
        <f>IFERROR(VLOOKUP($AQ26,'(勿動)組件目錄表'!$D$15:$R$1094,7,FALSE),"")</f>
        <v/>
      </c>
      <c r="BD26" s="69" t="str">
        <f>IFERROR(VLOOKUP($AQ26,'(勿動)組件目錄表'!$D$15:$R$1094,8,FALSE),"")</f>
        <v/>
      </c>
      <c r="BE26" s="69" t="str">
        <f>IFERROR(VLOOKUP($AQ26,'(勿動)組件目錄表'!$D$15:$R$1094,9,FALSE),"")</f>
        <v/>
      </c>
      <c r="BF26" s="69" t="str">
        <f>IFERROR(VLOOKUP($AQ26,'(勿動)組件目錄表'!$D$15:$R$1094,10,FALSE),"")</f>
        <v/>
      </c>
      <c r="BG26" s="69" t="str">
        <f>IFERROR(VLOOKUP($AQ26,'(勿動)組件目錄表'!$D$15:$R$1094,11,FALSE),"")</f>
        <v/>
      </c>
      <c r="BH26" s="69" t="str">
        <f>IFERROR(VLOOKUP($AQ26,'(勿動)組件目錄表'!$D$15:$R$1094,12,FALSE),"")</f>
        <v/>
      </c>
      <c r="BI26" s="69" t="str">
        <f>IFERROR(VLOOKUP($AQ26,'(勿動)組件目錄表'!$D$15:$R$1094,13,FALSE),"")</f>
        <v/>
      </c>
      <c r="BJ26" s="69" t="str">
        <f>IFERROR(VLOOKUP($AQ26,'(勿動)組件目錄表'!$D$15:$R$1094,14,FALSE),"")</f>
        <v/>
      </c>
      <c r="BK26" s="69" t="str">
        <f>IFERROR(VLOOKUP($AQ26,'(勿動)組件目錄表'!$D$15:$R$1094,15,FALSE),"")</f>
        <v/>
      </c>
      <c r="BL26" s="81">
        <f ca="1">IFERROR(__xludf.DUMMYFUNCTION("IFERROR(
  LET(
    rowData, FILTER('(勿動)組件目錄表'!J:Q, '(勿動)組件目錄表'!D:D=AQ26),
    IF(ROWS(rowData)=0, 0, 
      (
        IF(AND(BC26&lt;&gt;"""", INDEX(rowData,1,1)=BC26),1,0) +
        IF(AND(BD26&lt;&gt;"""", INDEX(rowData,1,2)=BD26),1,0) +
        IF(AND(BE26&lt;&gt;"""""&amp;", INDEX(rowData,1,3)=BE26),1,0) +
        IF(AND(BF26&lt;&gt;"""", INDEX(rowData,1,4)=BF26),1,0) +
        IF(AND(BG26&lt;&gt;"""", INDEX(rowData,1,5)=BG26),1,0) +
        IF(AND(BH26&lt;&gt;"""", INDEX(rowData,1,6)=BH26),1,0) +
        IF(AND(BI26&lt;&gt;"""", INDEX(rowData,1,7"&amp;")=BI26),1,0) +
        IF(AND(BJ26&lt;&gt;"""", INDEX(rowData,1,8)=BJ26),1,0)
      ) - COUNTIF(BC26:BJ26, ""-"")
        - COUNTIF(BC26:BJ26, ""固定格式，不需提供資訊"")
        - COUNTIF(BC26:BJ26, ""由MKT更新，此欄位固定格式，不需提供資訊
(Voucher CID：12917705872)"")
        - COUNTIF(B"&amp;"C26:BJ26, ""text固定為以下：
※直播間僅支援手機版"")
        - COUNTIF(BC26:BJ26, ""text固定為以下：
※短影音僅支援手機版"")
    )
  ), 
  0
)
"),0)</f>
        <v>0</v>
      </c>
      <c r="BM26" s="77" t="b">
        <v>0</v>
      </c>
      <c r="BN26" s="85"/>
      <c r="BO26" s="85"/>
    </row>
    <row r="27" spans="1:67" ht="30" customHeight="1">
      <c r="A27" s="73" t="str">
        <f t="array" aca="1" ref="A27" ca="1">IFERROR(TRANSPOSE(INDIRECT('MS section版配(Old)'!$AO27)),"")</f>
        <v/>
      </c>
      <c r="B27" s="94"/>
      <c r="C27" s="94"/>
      <c r="D27" s="94"/>
      <c r="E27" s="94"/>
      <c r="F27" s="92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397" t="str">
        <f>IFERROR(VLOOKUP($AQ27,'(勿動)組件目錄表'!$D$15:$R$1094,4,FALSE),"")</f>
        <v/>
      </c>
      <c r="AF27" s="384"/>
      <c r="AG27" s="384"/>
      <c r="AH27" s="384"/>
      <c r="AI27" s="384"/>
      <c r="AJ27" s="385"/>
      <c r="AK27" s="54" t="b">
        <v>0</v>
      </c>
      <c r="AL27" s="54" t="b">
        <v>0</v>
      </c>
      <c r="AM27" s="54"/>
      <c r="AN27" s="7" t="str">
        <v>019</v>
      </c>
      <c r="AO27" s="7"/>
      <c r="AP27" s="62"/>
      <c r="AQ27" s="75" t="str">
        <v/>
      </c>
      <c r="AR27" s="75" t="str">
        <v>-</v>
      </c>
      <c r="AS27" s="11"/>
      <c r="AT27" s="77" t="str">
        <v>-</v>
      </c>
      <c r="AU27" s="11" t="str">
        <v>-</v>
      </c>
      <c r="AV27" s="84"/>
      <c r="AW27" s="86" t="str">
        <f ca="1"/>
        <v>-</v>
      </c>
      <c r="AX27" s="86" t="b">
        <v>0</v>
      </c>
      <c r="AY27" s="68" t="str">
        <f t="shared" si="0"/>
        <v/>
      </c>
      <c r="AZ27" s="69" t="str">
        <f t="shared" si="1"/>
        <v/>
      </c>
      <c r="BA27" s="70" t="str">
        <f t="shared" si="2"/>
        <v/>
      </c>
      <c r="BB27" s="68" t="str">
        <f t="shared" si="3"/>
        <v/>
      </c>
      <c r="BC27" s="69" t="str">
        <f>IFERROR(VLOOKUP($AQ27,'(勿動)組件目錄表'!$D$15:$R$1094,7,FALSE),"")</f>
        <v/>
      </c>
      <c r="BD27" s="69" t="str">
        <f>IFERROR(VLOOKUP($AQ27,'(勿動)組件目錄表'!$D$15:$R$1094,8,FALSE),"")</f>
        <v/>
      </c>
      <c r="BE27" s="69" t="str">
        <f>IFERROR(VLOOKUP($AQ27,'(勿動)組件目錄表'!$D$15:$R$1094,9,FALSE),"")</f>
        <v/>
      </c>
      <c r="BF27" s="69" t="str">
        <f>IFERROR(VLOOKUP($AQ27,'(勿動)組件目錄表'!$D$15:$R$1094,10,FALSE),"")</f>
        <v/>
      </c>
      <c r="BG27" s="69" t="str">
        <f>IFERROR(VLOOKUP($AQ27,'(勿動)組件目錄表'!$D$15:$R$1094,11,FALSE),"")</f>
        <v/>
      </c>
      <c r="BH27" s="69" t="str">
        <f>IFERROR(VLOOKUP($AQ27,'(勿動)組件目錄表'!$D$15:$R$1094,12,FALSE),"")</f>
        <v/>
      </c>
      <c r="BI27" s="69" t="str">
        <f>IFERROR(VLOOKUP($AQ27,'(勿動)組件目錄表'!$D$15:$R$1094,13,FALSE),"")</f>
        <v/>
      </c>
      <c r="BJ27" s="69" t="str">
        <f>IFERROR(VLOOKUP($AQ27,'(勿動)組件目錄表'!$D$15:$R$1094,14,FALSE),"")</f>
        <v/>
      </c>
      <c r="BK27" s="69" t="str">
        <f>IFERROR(VLOOKUP($AQ27,'(勿動)組件目錄表'!$D$15:$R$1094,15,FALSE),"")</f>
        <v/>
      </c>
      <c r="BL27" s="81">
        <f ca="1">IFERROR(__xludf.DUMMYFUNCTION("IFERROR(
  LET(
    rowData, FILTER('(勿動)組件目錄表'!J:Q, '(勿動)組件目錄表'!D:D=AQ27),
    IF(ROWS(rowData)=0, 0, 
      (
        IF(AND(BC27&lt;&gt;"""", INDEX(rowData,1,1)=BC27),1,0) +
        IF(AND(BD27&lt;&gt;"""", INDEX(rowData,1,2)=BD27),1,0) +
        IF(AND(BE27&lt;&gt;"""""&amp;", INDEX(rowData,1,3)=BE27),1,0) +
        IF(AND(BF27&lt;&gt;"""", INDEX(rowData,1,4)=BF27),1,0) +
        IF(AND(BG27&lt;&gt;"""", INDEX(rowData,1,5)=BG27),1,0) +
        IF(AND(BH27&lt;&gt;"""", INDEX(rowData,1,6)=BH27),1,0) +
        IF(AND(BI27&lt;&gt;"""", INDEX(rowData,1,7"&amp;")=BI27),1,0) +
        IF(AND(BJ27&lt;&gt;"""", INDEX(rowData,1,8)=BJ27),1,0)
      ) - COUNTIF(BC27:BJ27, ""-"")
        - COUNTIF(BC27:BJ27, ""固定格式，不需提供資訊"")
        - COUNTIF(BC27:BJ27, ""由MKT更新，此欄位固定格式，不需提供資訊
(Voucher CID：12917705872)"")
        - COUNTIF(B"&amp;"C27:BJ27, ""text固定為以下：
※直播間僅支援手機版"")
        - COUNTIF(BC27:BJ27, ""text固定為以下：
※短影音僅支援手機版"")
    )
  ), 
  0
)
"),0)</f>
        <v>0</v>
      </c>
      <c r="BM27" s="77" t="b">
        <v>0</v>
      </c>
      <c r="BN27" s="85"/>
      <c r="BO27" s="85"/>
    </row>
    <row r="28" spans="1:67" ht="30" customHeight="1">
      <c r="A28" s="73" t="str">
        <f t="array" aca="1" ref="A28" ca="1">IFERROR(TRANSPOSE(INDIRECT('MS section版配(Old)'!$AO28)),"")</f>
        <v/>
      </c>
      <c r="B28" s="94"/>
      <c r="C28" s="94"/>
      <c r="D28" s="94"/>
      <c r="E28" s="94"/>
      <c r="F28" s="92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397" t="str">
        <f>IFERROR(VLOOKUP($AQ28,'(勿動)組件目錄表'!$D$15:$R$1094,4,FALSE),"")</f>
        <v/>
      </c>
      <c r="AF28" s="384"/>
      <c r="AG28" s="384"/>
      <c r="AH28" s="384"/>
      <c r="AI28" s="384"/>
      <c r="AJ28" s="385"/>
      <c r="AK28" s="54" t="b">
        <v>0</v>
      </c>
      <c r="AL28" s="54" t="b">
        <v>0</v>
      </c>
      <c r="AM28" s="54"/>
      <c r="AN28" s="7" t="str">
        <v>020</v>
      </c>
      <c r="AO28" s="7"/>
      <c r="AP28" s="62"/>
      <c r="AQ28" s="75" t="str">
        <v/>
      </c>
      <c r="AR28" s="75" t="str">
        <v>-</v>
      </c>
      <c r="AS28" s="11"/>
      <c r="AT28" s="77" t="str">
        <v>-</v>
      </c>
      <c r="AU28" s="11" t="str">
        <v>-</v>
      </c>
      <c r="AV28" s="84"/>
      <c r="AW28" s="86" t="str">
        <f ca="1"/>
        <v>-</v>
      </c>
      <c r="AX28" s="86" t="b">
        <v>0</v>
      </c>
      <c r="AY28" s="68" t="str">
        <f t="shared" si="0"/>
        <v/>
      </c>
      <c r="AZ28" s="69" t="str">
        <f t="shared" si="1"/>
        <v/>
      </c>
      <c r="BA28" s="70" t="str">
        <f t="shared" si="2"/>
        <v/>
      </c>
      <c r="BB28" s="68" t="str">
        <f t="shared" si="3"/>
        <v/>
      </c>
      <c r="BC28" s="69" t="str">
        <f>IFERROR(VLOOKUP($AQ28,'(勿動)組件目錄表'!$D$15:$R$1094,7,FALSE),"")</f>
        <v/>
      </c>
      <c r="BD28" s="69" t="str">
        <f>IFERROR(VLOOKUP($AQ28,'(勿動)組件目錄表'!$D$15:$R$1094,8,FALSE),"")</f>
        <v/>
      </c>
      <c r="BE28" s="69" t="str">
        <f>IFERROR(VLOOKUP($AQ28,'(勿動)組件目錄表'!$D$15:$R$1094,9,FALSE),"")</f>
        <v/>
      </c>
      <c r="BF28" s="69" t="str">
        <f>IFERROR(VLOOKUP($AQ28,'(勿動)組件目錄表'!$D$15:$R$1094,10,FALSE),"")</f>
        <v/>
      </c>
      <c r="BG28" s="69" t="str">
        <f>IFERROR(VLOOKUP($AQ28,'(勿動)組件目錄表'!$D$15:$R$1094,11,FALSE),"")</f>
        <v/>
      </c>
      <c r="BH28" s="69" t="str">
        <f>IFERROR(VLOOKUP($AQ28,'(勿動)組件目錄表'!$D$15:$R$1094,12,FALSE),"")</f>
        <v/>
      </c>
      <c r="BI28" s="69" t="str">
        <f>IFERROR(VLOOKUP($AQ28,'(勿動)組件目錄表'!$D$15:$R$1094,13,FALSE),"")</f>
        <v/>
      </c>
      <c r="BJ28" s="69" t="str">
        <f>IFERROR(VLOOKUP($AQ28,'(勿動)組件目錄表'!$D$15:$R$1094,14,FALSE),"")</f>
        <v/>
      </c>
      <c r="BK28" s="69" t="str">
        <f>IFERROR(VLOOKUP($AQ28,'(勿動)組件目錄表'!$D$15:$R$1094,15,FALSE),"")</f>
        <v/>
      </c>
      <c r="BL28" s="81">
        <f ca="1">IFERROR(__xludf.DUMMYFUNCTION("IFERROR(
  LET(
    rowData, FILTER('(勿動)組件目錄表'!J:Q, '(勿動)組件目錄表'!D:D=AQ28),
    IF(ROWS(rowData)=0, 0, 
      (
        IF(AND(BC28&lt;&gt;"""", INDEX(rowData,1,1)=BC28),1,0) +
        IF(AND(BD28&lt;&gt;"""", INDEX(rowData,1,2)=BD28),1,0) +
        IF(AND(BE28&lt;&gt;"""""&amp;", INDEX(rowData,1,3)=BE28),1,0) +
        IF(AND(BF28&lt;&gt;"""", INDEX(rowData,1,4)=BF28),1,0) +
        IF(AND(BG28&lt;&gt;"""", INDEX(rowData,1,5)=BG28),1,0) +
        IF(AND(BH28&lt;&gt;"""", INDEX(rowData,1,6)=BH28),1,0) +
        IF(AND(BI28&lt;&gt;"""", INDEX(rowData,1,7"&amp;")=BI28),1,0) +
        IF(AND(BJ28&lt;&gt;"""", INDEX(rowData,1,8)=BJ28),1,0)
      ) - COUNTIF(BC28:BJ28, ""-"")
        - COUNTIF(BC28:BJ28, ""固定格式，不需提供資訊"")
        - COUNTIF(BC28:BJ28, ""由MKT更新，此欄位固定格式，不需提供資訊
(Voucher CID：12917705872)"")
        - COUNTIF(B"&amp;"C28:BJ28, ""text固定為以下：
※直播間僅支援手機版"")
        - COUNTIF(BC28:BJ28, ""text固定為以下：
※短影音僅支援手機版"")
    )
  ), 
  0
)
"),0)</f>
        <v>0</v>
      </c>
      <c r="BM28" s="77" t="b">
        <v>0</v>
      </c>
      <c r="BN28" s="85"/>
      <c r="BO28" s="85"/>
    </row>
    <row r="29" spans="1:67" ht="30" customHeight="1">
      <c r="A29" s="73" t="str">
        <f t="array" aca="1" ref="A29" ca="1">IFERROR(TRANSPOSE(INDIRECT('MS section版配(Old)'!$AO29)),"")</f>
        <v/>
      </c>
      <c r="B29" s="94"/>
      <c r="C29" s="94"/>
      <c r="D29" s="94"/>
      <c r="E29" s="94"/>
      <c r="F29" s="92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397" t="str">
        <f>IFERROR(VLOOKUP($AQ29,'(勿動)組件目錄表'!$D$15:$R$1094,4,FALSE),"")</f>
        <v/>
      </c>
      <c r="AF29" s="384"/>
      <c r="AG29" s="384"/>
      <c r="AH29" s="384"/>
      <c r="AI29" s="384"/>
      <c r="AJ29" s="385"/>
      <c r="AK29" s="54" t="b">
        <v>0</v>
      </c>
      <c r="AL29" s="54" t="b">
        <v>0</v>
      </c>
      <c r="AM29" s="54"/>
      <c r="AN29" s="7" t="str">
        <v>021</v>
      </c>
      <c r="AO29" s="7"/>
      <c r="AP29" s="62"/>
      <c r="AQ29" s="75" t="str">
        <v/>
      </c>
      <c r="AR29" s="75" t="str">
        <v>-</v>
      </c>
      <c r="AS29" s="11"/>
      <c r="AT29" s="77" t="str">
        <v>-</v>
      </c>
      <c r="AU29" s="11" t="str">
        <v>-</v>
      </c>
      <c r="AV29" s="84"/>
      <c r="AW29" s="86" t="str">
        <f ca="1"/>
        <v>-</v>
      </c>
      <c r="AX29" s="86" t="b">
        <v>0</v>
      </c>
      <c r="AY29" s="68" t="str">
        <f t="shared" si="0"/>
        <v/>
      </c>
      <c r="AZ29" s="69" t="str">
        <f t="shared" si="1"/>
        <v/>
      </c>
      <c r="BA29" s="70" t="str">
        <f t="shared" si="2"/>
        <v/>
      </c>
      <c r="BB29" s="68" t="str">
        <f t="shared" si="3"/>
        <v/>
      </c>
      <c r="BC29" s="69" t="str">
        <f>IFERROR(VLOOKUP($AQ29,'(勿動)組件目錄表'!$D$15:$R$1094,7,FALSE),"")</f>
        <v/>
      </c>
      <c r="BD29" s="69" t="str">
        <f>IFERROR(VLOOKUP($AQ29,'(勿動)組件目錄表'!$D$15:$R$1094,8,FALSE),"")</f>
        <v/>
      </c>
      <c r="BE29" s="69" t="str">
        <f>IFERROR(VLOOKUP($AQ29,'(勿動)組件目錄表'!$D$15:$R$1094,9,FALSE),"")</f>
        <v/>
      </c>
      <c r="BF29" s="69" t="str">
        <f>IFERROR(VLOOKUP($AQ29,'(勿動)組件目錄表'!$D$15:$R$1094,10,FALSE),"")</f>
        <v/>
      </c>
      <c r="BG29" s="69" t="str">
        <f>IFERROR(VLOOKUP($AQ29,'(勿動)組件目錄表'!$D$15:$R$1094,11,FALSE),"")</f>
        <v/>
      </c>
      <c r="BH29" s="69" t="str">
        <f>IFERROR(VLOOKUP($AQ29,'(勿動)組件目錄表'!$D$15:$R$1094,12,FALSE),"")</f>
        <v/>
      </c>
      <c r="BI29" s="69" t="str">
        <f>IFERROR(VLOOKUP($AQ29,'(勿動)組件目錄表'!$D$15:$R$1094,13,FALSE),"")</f>
        <v/>
      </c>
      <c r="BJ29" s="69" t="str">
        <f>IFERROR(VLOOKUP($AQ29,'(勿動)組件目錄表'!$D$15:$R$1094,14,FALSE),"")</f>
        <v/>
      </c>
      <c r="BK29" s="69" t="str">
        <f>IFERROR(VLOOKUP($AQ29,'(勿動)組件目錄表'!$D$15:$R$1094,15,FALSE),"")</f>
        <v/>
      </c>
      <c r="BL29" s="81">
        <f ca="1">IFERROR(__xludf.DUMMYFUNCTION("IFERROR(
  LET(
    rowData, FILTER('(勿動)組件目錄表'!J:Q, '(勿動)組件目錄表'!D:D=AQ29),
    IF(ROWS(rowData)=0, 0, 
      (
        IF(AND(BC29&lt;&gt;"""", INDEX(rowData,1,1)=BC29),1,0) +
        IF(AND(BD29&lt;&gt;"""", INDEX(rowData,1,2)=BD29),1,0) +
        IF(AND(BE29&lt;&gt;"""""&amp;", INDEX(rowData,1,3)=BE29),1,0) +
        IF(AND(BF29&lt;&gt;"""", INDEX(rowData,1,4)=BF29),1,0) +
        IF(AND(BG29&lt;&gt;"""", INDEX(rowData,1,5)=BG29),1,0) +
        IF(AND(BH29&lt;&gt;"""", INDEX(rowData,1,6)=BH29),1,0) +
        IF(AND(BI29&lt;&gt;"""", INDEX(rowData,1,7"&amp;")=BI29),1,0) +
        IF(AND(BJ29&lt;&gt;"""", INDEX(rowData,1,8)=BJ29),1,0)
      ) - COUNTIF(BC29:BJ29, ""-"")
        - COUNTIF(BC29:BJ29, ""固定格式，不需提供資訊"")
        - COUNTIF(BC29:BJ29, ""由MKT更新，此欄位固定格式，不需提供資訊
(Voucher CID：12917705872)"")
        - COUNTIF(B"&amp;"C29:BJ29, ""text固定為以下：
※直播間僅支援手機版"")
        - COUNTIF(BC29:BJ29, ""text固定為以下：
※短影音僅支援手機版"")
    )
  ), 
  0
)
"),0)</f>
        <v>0</v>
      </c>
      <c r="BM29" s="77" t="b">
        <v>0</v>
      </c>
      <c r="BN29" s="85"/>
      <c r="BO29" s="85"/>
    </row>
    <row r="30" spans="1:67" ht="30" customHeight="1">
      <c r="A30" s="73" t="str">
        <f t="array" aca="1" ref="A30" ca="1">IFERROR(TRANSPOSE(INDIRECT('MS section版配(Old)'!$AO30)),"")</f>
        <v/>
      </c>
      <c r="B30" s="94"/>
      <c r="C30" s="94"/>
      <c r="D30" s="94"/>
      <c r="E30" s="94"/>
      <c r="F30" s="92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397" t="str">
        <f>IFERROR(VLOOKUP($AQ30,'(勿動)組件目錄表'!$D$15:$R$1094,4,FALSE),"")</f>
        <v/>
      </c>
      <c r="AF30" s="384"/>
      <c r="AG30" s="384"/>
      <c r="AH30" s="384"/>
      <c r="AI30" s="384"/>
      <c r="AJ30" s="385"/>
      <c r="AK30" s="54" t="b">
        <v>0</v>
      </c>
      <c r="AL30" s="54" t="b">
        <v>0</v>
      </c>
      <c r="AM30" s="54"/>
      <c r="AN30" s="7" t="str">
        <v>022</v>
      </c>
      <c r="AO30" s="7"/>
      <c r="AP30" s="62"/>
      <c r="AQ30" s="75" t="str">
        <v/>
      </c>
      <c r="AR30" s="75" t="str">
        <v>-</v>
      </c>
      <c r="AS30" s="11"/>
      <c r="AT30" s="77" t="str">
        <v>-</v>
      </c>
      <c r="AU30" s="11" t="str">
        <v>-</v>
      </c>
      <c r="AV30" s="84"/>
      <c r="AW30" s="86" t="str">
        <f ca="1"/>
        <v>-</v>
      </c>
      <c r="AX30" s="86" t="b">
        <v>0</v>
      </c>
      <c r="AY30" s="68" t="str">
        <f t="shared" si="0"/>
        <v/>
      </c>
      <c r="AZ30" s="69" t="str">
        <f t="shared" si="1"/>
        <v/>
      </c>
      <c r="BA30" s="70" t="str">
        <f t="shared" si="2"/>
        <v/>
      </c>
      <c r="BB30" s="68" t="str">
        <f t="shared" si="3"/>
        <v/>
      </c>
      <c r="BC30" s="69" t="str">
        <f>IFERROR(VLOOKUP($AQ30,'(勿動)組件目錄表'!$D$15:$R$1094,7,FALSE),"")</f>
        <v/>
      </c>
      <c r="BD30" s="69" t="str">
        <f>IFERROR(VLOOKUP($AQ30,'(勿動)組件目錄表'!$D$15:$R$1094,8,FALSE),"")</f>
        <v/>
      </c>
      <c r="BE30" s="69" t="str">
        <f>IFERROR(VLOOKUP($AQ30,'(勿動)組件目錄表'!$D$15:$R$1094,9,FALSE),"")</f>
        <v/>
      </c>
      <c r="BF30" s="69" t="str">
        <f>IFERROR(VLOOKUP($AQ30,'(勿動)組件目錄表'!$D$15:$R$1094,10,FALSE),"")</f>
        <v/>
      </c>
      <c r="BG30" s="69" t="str">
        <f>IFERROR(VLOOKUP($AQ30,'(勿動)組件目錄表'!$D$15:$R$1094,11,FALSE),"")</f>
        <v/>
      </c>
      <c r="BH30" s="69" t="str">
        <f>IFERROR(VLOOKUP($AQ30,'(勿動)組件目錄表'!$D$15:$R$1094,12,FALSE),"")</f>
        <v/>
      </c>
      <c r="BI30" s="69" t="str">
        <f>IFERROR(VLOOKUP($AQ30,'(勿動)組件目錄表'!$D$15:$R$1094,13,FALSE),"")</f>
        <v/>
      </c>
      <c r="BJ30" s="69" t="str">
        <f>IFERROR(VLOOKUP($AQ30,'(勿動)組件目錄表'!$D$15:$R$1094,14,FALSE),"")</f>
        <v/>
      </c>
      <c r="BK30" s="69" t="str">
        <f>IFERROR(VLOOKUP($AQ30,'(勿動)組件目錄表'!$D$15:$R$1094,15,FALSE),"")</f>
        <v/>
      </c>
      <c r="BL30" s="81">
        <f ca="1">IFERROR(__xludf.DUMMYFUNCTION("IFERROR(
  LET(
    rowData, FILTER('(勿動)組件目錄表'!J:Q, '(勿動)組件目錄表'!D:D=AQ30),
    IF(ROWS(rowData)=0, 0, 
      (
        IF(AND(BC30&lt;&gt;"""", INDEX(rowData,1,1)=BC30),1,0) +
        IF(AND(BD30&lt;&gt;"""", INDEX(rowData,1,2)=BD30),1,0) +
        IF(AND(BE30&lt;&gt;"""""&amp;", INDEX(rowData,1,3)=BE30),1,0) +
        IF(AND(BF30&lt;&gt;"""", INDEX(rowData,1,4)=BF30),1,0) +
        IF(AND(BG30&lt;&gt;"""", INDEX(rowData,1,5)=BG30),1,0) +
        IF(AND(BH30&lt;&gt;"""", INDEX(rowData,1,6)=BH30),1,0) +
        IF(AND(BI30&lt;&gt;"""", INDEX(rowData,1,7"&amp;")=BI30),1,0) +
        IF(AND(BJ30&lt;&gt;"""", INDEX(rowData,1,8)=BJ30),1,0)
      ) - COUNTIF(BC30:BJ30, ""-"")
        - COUNTIF(BC30:BJ30, ""固定格式，不需提供資訊"")
        - COUNTIF(BC30:BJ30, ""由MKT更新，此欄位固定格式，不需提供資訊
(Voucher CID：12917705872)"")
        - COUNTIF(B"&amp;"C30:BJ30, ""text固定為以下：
※直播間僅支援手機版"")
        - COUNTIF(BC30:BJ30, ""text固定為以下：
※短影音僅支援手機版"")
    )
  ), 
  0
)
"),0)</f>
        <v>0</v>
      </c>
      <c r="BM30" s="77" t="b">
        <v>0</v>
      </c>
      <c r="BN30" s="85"/>
      <c r="BO30" s="85"/>
    </row>
    <row r="31" spans="1:67" ht="30" customHeight="1">
      <c r="A31" s="73" t="str">
        <f t="array" aca="1" ref="A31" ca="1">IFERROR(TRANSPOSE(INDIRECT('MS section版配(Old)'!$AO31)),"")</f>
        <v/>
      </c>
      <c r="B31" s="94"/>
      <c r="C31" s="94"/>
      <c r="D31" s="94"/>
      <c r="E31" s="94"/>
      <c r="F31" s="92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397" t="str">
        <f>IFERROR(VLOOKUP($AQ31,'(勿動)組件目錄表'!$D$15:$R$1094,4,FALSE),"")</f>
        <v/>
      </c>
      <c r="AF31" s="384"/>
      <c r="AG31" s="384"/>
      <c r="AH31" s="384"/>
      <c r="AI31" s="384"/>
      <c r="AJ31" s="385"/>
      <c r="AK31" s="54" t="b">
        <v>0</v>
      </c>
      <c r="AL31" s="54" t="b">
        <v>0</v>
      </c>
      <c r="AM31" s="54"/>
      <c r="AN31" s="7" t="str">
        <v>023</v>
      </c>
      <c r="AO31" s="7"/>
      <c r="AP31" s="62"/>
      <c r="AQ31" s="75" t="str">
        <v/>
      </c>
      <c r="AR31" s="75" t="str">
        <v>-</v>
      </c>
      <c r="AS31" s="11"/>
      <c r="AT31" s="77" t="str">
        <v>-</v>
      </c>
      <c r="AU31" s="11" t="str">
        <v>-</v>
      </c>
      <c r="AV31" s="84"/>
      <c r="AW31" s="86" t="str">
        <f ca="1"/>
        <v>-</v>
      </c>
      <c r="AX31" s="86" t="b">
        <v>0</v>
      </c>
      <c r="AY31" s="68" t="str">
        <f t="shared" si="0"/>
        <v/>
      </c>
      <c r="AZ31" s="69" t="str">
        <f t="shared" si="1"/>
        <v/>
      </c>
      <c r="BA31" s="70" t="str">
        <f t="shared" si="2"/>
        <v/>
      </c>
      <c r="BB31" s="68" t="str">
        <f t="shared" si="3"/>
        <v/>
      </c>
      <c r="BC31" s="69" t="str">
        <f>IFERROR(VLOOKUP($AQ31,'(勿動)組件目錄表'!$D$15:$R$1094,7,FALSE),"")</f>
        <v/>
      </c>
      <c r="BD31" s="69" t="str">
        <f>IFERROR(VLOOKUP($AQ31,'(勿動)組件目錄表'!$D$15:$R$1094,8,FALSE),"")</f>
        <v/>
      </c>
      <c r="BE31" s="69" t="str">
        <f>IFERROR(VLOOKUP($AQ31,'(勿動)組件目錄表'!$D$15:$R$1094,9,FALSE),"")</f>
        <v/>
      </c>
      <c r="BF31" s="69" t="str">
        <f>IFERROR(VLOOKUP($AQ31,'(勿動)組件目錄表'!$D$15:$R$1094,10,FALSE),"")</f>
        <v/>
      </c>
      <c r="BG31" s="69" t="str">
        <f>IFERROR(VLOOKUP($AQ31,'(勿動)組件目錄表'!$D$15:$R$1094,11,FALSE),"")</f>
        <v/>
      </c>
      <c r="BH31" s="69" t="str">
        <f>IFERROR(VLOOKUP($AQ31,'(勿動)組件目錄表'!$D$15:$R$1094,12,FALSE),"")</f>
        <v/>
      </c>
      <c r="BI31" s="69" t="str">
        <f>IFERROR(VLOOKUP($AQ31,'(勿動)組件目錄表'!$D$15:$R$1094,13,FALSE),"")</f>
        <v/>
      </c>
      <c r="BJ31" s="69" t="str">
        <f>IFERROR(VLOOKUP($AQ31,'(勿動)組件目錄表'!$D$15:$R$1094,14,FALSE),"")</f>
        <v/>
      </c>
      <c r="BK31" s="69" t="str">
        <f>IFERROR(VLOOKUP($AQ31,'(勿動)組件目錄表'!$D$15:$R$1094,15,FALSE),"")</f>
        <v/>
      </c>
      <c r="BL31" s="81">
        <f ca="1">IFERROR(__xludf.DUMMYFUNCTION("IFERROR(
  LET(
    rowData, FILTER('(勿動)組件目錄表'!J:Q, '(勿動)組件目錄表'!D:D=AQ31),
    IF(ROWS(rowData)=0, 0, 
      (
        IF(AND(BC31&lt;&gt;"""", INDEX(rowData,1,1)=BC31),1,0) +
        IF(AND(BD31&lt;&gt;"""", INDEX(rowData,1,2)=BD31),1,0) +
        IF(AND(BE31&lt;&gt;"""""&amp;", INDEX(rowData,1,3)=BE31),1,0) +
        IF(AND(BF31&lt;&gt;"""", INDEX(rowData,1,4)=BF31),1,0) +
        IF(AND(BG31&lt;&gt;"""", INDEX(rowData,1,5)=BG31),1,0) +
        IF(AND(BH31&lt;&gt;"""", INDEX(rowData,1,6)=BH31),1,0) +
        IF(AND(BI31&lt;&gt;"""", INDEX(rowData,1,7"&amp;")=BI31),1,0) +
        IF(AND(BJ31&lt;&gt;"""", INDEX(rowData,1,8)=BJ31),1,0)
      ) - COUNTIF(BC31:BJ31, ""-"")
        - COUNTIF(BC31:BJ31, ""固定格式，不需提供資訊"")
        - COUNTIF(BC31:BJ31, ""由MKT更新，此欄位固定格式，不需提供資訊
(Voucher CID：12917705872)"")
        - COUNTIF(B"&amp;"C31:BJ31, ""text固定為以下：
※直播間僅支援手機版"")
        - COUNTIF(BC31:BJ31, ""text固定為以下：
※短影音僅支援手機版"")
    )
  ), 
  0
)
"),0)</f>
        <v>0</v>
      </c>
      <c r="BM31" s="77" t="b">
        <v>0</v>
      </c>
      <c r="BN31" s="85"/>
      <c r="BO31" s="85"/>
    </row>
    <row r="32" spans="1:67" ht="30" customHeight="1">
      <c r="A32" s="73" t="str">
        <f t="array" aca="1" ref="A32" ca="1">IFERROR(TRANSPOSE(INDIRECT('MS section版配(Old)'!$AO32)),"")</f>
        <v/>
      </c>
      <c r="B32" s="94"/>
      <c r="C32" s="94"/>
      <c r="D32" s="94"/>
      <c r="E32" s="94"/>
      <c r="F32" s="92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397" t="str">
        <f>IFERROR(VLOOKUP($AQ32,'(勿動)組件目錄表'!$D$15:$R$1094,4,FALSE),"")</f>
        <v/>
      </c>
      <c r="AF32" s="384"/>
      <c r="AG32" s="384"/>
      <c r="AH32" s="384"/>
      <c r="AI32" s="384"/>
      <c r="AJ32" s="385"/>
      <c r="AK32" s="54" t="b">
        <v>0</v>
      </c>
      <c r="AL32" s="54" t="b">
        <v>0</v>
      </c>
      <c r="AM32" s="54"/>
      <c r="AN32" s="7" t="str">
        <v>024</v>
      </c>
      <c r="AO32" s="7"/>
      <c r="AP32" s="62"/>
      <c r="AQ32" s="75" t="str">
        <v/>
      </c>
      <c r="AR32" s="75" t="str">
        <v>-</v>
      </c>
      <c r="AS32" s="11"/>
      <c r="AT32" s="77" t="str">
        <v>-</v>
      </c>
      <c r="AU32" s="11" t="str">
        <v>-</v>
      </c>
      <c r="AV32" s="84"/>
      <c r="AW32" s="86" t="str">
        <f ca="1"/>
        <v>-</v>
      </c>
      <c r="AX32" s="86" t="b">
        <v>0</v>
      </c>
      <c r="AY32" s="68" t="str">
        <f t="shared" si="0"/>
        <v/>
      </c>
      <c r="AZ32" s="69" t="str">
        <f t="shared" si="1"/>
        <v/>
      </c>
      <c r="BA32" s="70" t="str">
        <f t="shared" si="2"/>
        <v/>
      </c>
      <c r="BB32" s="68" t="str">
        <f t="shared" si="3"/>
        <v/>
      </c>
      <c r="BC32" s="69" t="str">
        <f>IFERROR(VLOOKUP($AQ32,'(勿動)組件目錄表'!$D$15:$R$1094,7,FALSE),"")</f>
        <v/>
      </c>
      <c r="BD32" s="69" t="str">
        <f>IFERROR(VLOOKUP($AQ32,'(勿動)組件目錄表'!$D$15:$R$1094,8,FALSE),"")</f>
        <v/>
      </c>
      <c r="BE32" s="69" t="str">
        <f>IFERROR(VLOOKUP($AQ32,'(勿動)組件目錄表'!$D$15:$R$1094,9,FALSE),"")</f>
        <v/>
      </c>
      <c r="BF32" s="69" t="str">
        <f>IFERROR(VLOOKUP($AQ32,'(勿動)組件目錄表'!$D$15:$R$1094,10,FALSE),"")</f>
        <v/>
      </c>
      <c r="BG32" s="69" t="str">
        <f>IFERROR(VLOOKUP($AQ32,'(勿動)組件目錄表'!$D$15:$R$1094,11,FALSE),"")</f>
        <v/>
      </c>
      <c r="BH32" s="69" t="str">
        <f>IFERROR(VLOOKUP($AQ32,'(勿動)組件目錄表'!$D$15:$R$1094,12,FALSE),"")</f>
        <v/>
      </c>
      <c r="BI32" s="69" t="str">
        <f>IFERROR(VLOOKUP($AQ32,'(勿動)組件目錄表'!$D$15:$R$1094,13,FALSE),"")</f>
        <v/>
      </c>
      <c r="BJ32" s="69" t="str">
        <f>IFERROR(VLOOKUP($AQ32,'(勿動)組件目錄表'!$D$15:$R$1094,14,FALSE),"")</f>
        <v/>
      </c>
      <c r="BK32" s="69" t="str">
        <f>IFERROR(VLOOKUP($AQ32,'(勿動)組件目錄表'!$D$15:$R$1094,15,FALSE),"")</f>
        <v/>
      </c>
      <c r="BL32" s="81">
        <f ca="1">IFERROR(__xludf.DUMMYFUNCTION("IFERROR(
  LET(
    rowData, FILTER('(勿動)組件目錄表'!J:Q, '(勿動)組件目錄表'!D:D=AQ32),
    IF(ROWS(rowData)=0, 0, 
      (
        IF(AND(BC32&lt;&gt;"""", INDEX(rowData,1,1)=BC32),1,0) +
        IF(AND(BD32&lt;&gt;"""", INDEX(rowData,1,2)=BD32),1,0) +
        IF(AND(BE32&lt;&gt;"""""&amp;", INDEX(rowData,1,3)=BE32),1,0) +
        IF(AND(BF32&lt;&gt;"""", INDEX(rowData,1,4)=BF32),1,0) +
        IF(AND(BG32&lt;&gt;"""", INDEX(rowData,1,5)=BG32),1,0) +
        IF(AND(BH32&lt;&gt;"""", INDEX(rowData,1,6)=BH32),1,0) +
        IF(AND(BI32&lt;&gt;"""", INDEX(rowData,1,7"&amp;")=BI32),1,0) +
        IF(AND(BJ32&lt;&gt;"""", INDEX(rowData,1,8)=BJ32),1,0)
      ) - COUNTIF(BC32:BJ32, ""-"")
        - COUNTIF(BC32:BJ32, ""固定格式，不需提供資訊"")
        - COUNTIF(BC32:BJ32, ""由MKT更新，此欄位固定格式，不需提供資訊
(Voucher CID：12917705872)"")
        - COUNTIF(B"&amp;"C32:BJ32, ""text固定為以下：
※直播間僅支援手機版"")
        - COUNTIF(BC32:BJ32, ""text固定為以下：
※短影音僅支援手機版"")
    )
  ), 
  0
)
"),0)</f>
        <v>0</v>
      </c>
      <c r="BM32" s="77" t="b">
        <v>0</v>
      </c>
      <c r="BN32" s="85"/>
      <c r="BO32" s="85"/>
    </row>
    <row r="33" spans="1:67" ht="30" customHeight="1">
      <c r="A33" s="73" t="str">
        <f t="array" aca="1" ref="A33" ca="1">IFERROR(TRANSPOSE(INDIRECT('MS section版配(Old)'!$AO33)),"")</f>
        <v/>
      </c>
      <c r="B33" s="94"/>
      <c r="C33" s="94"/>
      <c r="D33" s="94"/>
      <c r="E33" s="94"/>
      <c r="F33" s="92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397" t="str">
        <f>IFERROR(VLOOKUP($AQ33,'(勿動)組件目錄表'!$D$15:$R$1094,4,FALSE),"")</f>
        <v/>
      </c>
      <c r="AF33" s="384"/>
      <c r="AG33" s="384"/>
      <c r="AH33" s="384"/>
      <c r="AI33" s="384"/>
      <c r="AJ33" s="385"/>
      <c r="AK33" s="54" t="b">
        <v>0</v>
      </c>
      <c r="AL33" s="54" t="b">
        <v>0</v>
      </c>
      <c r="AM33" s="54"/>
      <c r="AN33" s="7" t="str">
        <v>025</v>
      </c>
      <c r="AO33" s="7"/>
      <c r="AP33" s="62"/>
      <c r="AQ33" s="75" t="str">
        <v/>
      </c>
      <c r="AR33" s="75" t="str">
        <v>-</v>
      </c>
      <c r="AS33" s="11"/>
      <c r="AT33" s="77" t="str">
        <v>-</v>
      </c>
      <c r="AU33" s="11" t="str">
        <v>-</v>
      </c>
      <c r="AV33" s="84"/>
      <c r="AW33" s="86" t="str">
        <f ca="1"/>
        <v>-</v>
      </c>
      <c r="AX33" s="86" t="b">
        <v>0</v>
      </c>
      <c r="AY33" s="68" t="str">
        <f t="shared" si="0"/>
        <v/>
      </c>
      <c r="AZ33" s="69" t="str">
        <f t="shared" si="1"/>
        <v/>
      </c>
      <c r="BA33" s="70" t="str">
        <f t="shared" si="2"/>
        <v/>
      </c>
      <c r="BB33" s="68" t="str">
        <f t="shared" si="3"/>
        <v/>
      </c>
      <c r="BC33" s="69" t="str">
        <f>IFERROR(VLOOKUP($AQ33,'(勿動)組件目錄表'!$D$15:$R$1094,7,FALSE),"")</f>
        <v/>
      </c>
      <c r="BD33" s="69" t="str">
        <f>IFERROR(VLOOKUP($AQ33,'(勿動)組件目錄表'!$D$15:$R$1094,8,FALSE),"")</f>
        <v/>
      </c>
      <c r="BE33" s="69" t="str">
        <f>IFERROR(VLOOKUP($AQ33,'(勿動)組件目錄表'!$D$15:$R$1094,9,FALSE),"")</f>
        <v/>
      </c>
      <c r="BF33" s="69" t="str">
        <f>IFERROR(VLOOKUP($AQ33,'(勿動)組件目錄表'!$D$15:$R$1094,10,FALSE),"")</f>
        <v/>
      </c>
      <c r="BG33" s="69" t="str">
        <f>IFERROR(VLOOKUP($AQ33,'(勿動)組件目錄表'!$D$15:$R$1094,11,FALSE),"")</f>
        <v/>
      </c>
      <c r="BH33" s="69" t="str">
        <f>IFERROR(VLOOKUP($AQ33,'(勿動)組件目錄表'!$D$15:$R$1094,12,FALSE),"")</f>
        <v/>
      </c>
      <c r="BI33" s="69" t="str">
        <f>IFERROR(VLOOKUP($AQ33,'(勿動)組件目錄表'!$D$15:$R$1094,13,FALSE),"")</f>
        <v/>
      </c>
      <c r="BJ33" s="69" t="str">
        <f>IFERROR(VLOOKUP($AQ33,'(勿動)組件目錄表'!$D$15:$R$1094,14,FALSE),"")</f>
        <v/>
      </c>
      <c r="BK33" s="69" t="str">
        <f>IFERROR(VLOOKUP($AQ33,'(勿動)組件目錄表'!$D$15:$R$1094,15,FALSE),"")</f>
        <v/>
      </c>
      <c r="BL33" s="81">
        <f ca="1">IFERROR(__xludf.DUMMYFUNCTION("IFERROR(
  LET(
    rowData, FILTER('(勿動)組件目錄表'!J:Q, '(勿動)組件目錄表'!D:D=AQ33),
    IF(ROWS(rowData)=0, 0, 
      (
        IF(AND(BC33&lt;&gt;"""", INDEX(rowData,1,1)=BC33),1,0) +
        IF(AND(BD33&lt;&gt;"""", INDEX(rowData,1,2)=BD33),1,0) +
        IF(AND(BE33&lt;&gt;"""""&amp;", INDEX(rowData,1,3)=BE33),1,0) +
        IF(AND(BF33&lt;&gt;"""", INDEX(rowData,1,4)=BF33),1,0) +
        IF(AND(BG33&lt;&gt;"""", INDEX(rowData,1,5)=BG33),1,0) +
        IF(AND(BH33&lt;&gt;"""", INDEX(rowData,1,6)=BH33),1,0) +
        IF(AND(BI33&lt;&gt;"""", INDEX(rowData,1,7"&amp;")=BI33),1,0) +
        IF(AND(BJ33&lt;&gt;"""", INDEX(rowData,1,8)=BJ33),1,0)
      ) - COUNTIF(BC33:BJ33, ""-"")
        - COUNTIF(BC33:BJ33, ""固定格式，不需提供資訊"")
        - COUNTIF(BC33:BJ33, ""由MKT更新，此欄位固定格式，不需提供資訊
(Voucher CID：12917705872)"")
        - COUNTIF(B"&amp;"C33:BJ33, ""text固定為以下：
※直播間僅支援手機版"")
        - COUNTIF(BC33:BJ33, ""text固定為以下：
※短影音僅支援手機版"")
    )
  ), 
  0
)
"),0)</f>
        <v>0</v>
      </c>
      <c r="BM33" s="77" t="b">
        <v>0</v>
      </c>
      <c r="BN33" s="85"/>
      <c r="BO33" s="85"/>
    </row>
    <row r="34" spans="1:67" ht="30" customHeight="1">
      <c r="A34" s="73" t="str">
        <f t="array" aca="1" ref="A34" ca="1">IFERROR(TRANSPOSE(INDIRECT('MS section版配(Old)'!$AO34)),"")</f>
        <v/>
      </c>
      <c r="B34" s="95"/>
      <c r="C34" s="95"/>
      <c r="D34" s="95"/>
      <c r="E34" s="95"/>
      <c r="F34" s="92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397" t="str">
        <f>IFERROR(VLOOKUP($AQ34,'(勿動)組件目錄表'!$D$15:$R$1094,4,FALSE),"")</f>
        <v/>
      </c>
      <c r="AF34" s="384"/>
      <c r="AG34" s="384"/>
      <c r="AH34" s="384"/>
      <c r="AI34" s="384"/>
      <c r="AJ34" s="385"/>
      <c r="AK34" s="54" t="b">
        <v>0</v>
      </c>
      <c r="AL34" s="54" t="b">
        <v>0</v>
      </c>
      <c r="AM34" s="54"/>
      <c r="AN34" s="7" t="str">
        <v>026</v>
      </c>
      <c r="AO34" s="7"/>
      <c r="AP34" s="62"/>
      <c r="AQ34" s="75" t="str">
        <v/>
      </c>
      <c r="AR34" s="75" t="str">
        <v>-</v>
      </c>
      <c r="AS34" s="11"/>
      <c r="AT34" s="77" t="str">
        <v>-</v>
      </c>
      <c r="AU34" s="11" t="str">
        <v>-</v>
      </c>
      <c r="AV34" s="84"/>
      <c r="AW34" s="86" t="str">
        <f ca="1"/>
        <v>-</v>
      </c>
      <c r="AX34" s="86" t="b">
        <v>0</v>
      </c>
      <c r="AY34" s="68" t="str">
        <f t="shared" si="0"/>
        <v/>
      </c>
      <c r="AZ34" s="69" t="str">
        <f t="shared" si="1"/>
        <v/>
      </c>
      <c r="BA34" s="70" t="str">
        <f t="shared" si="2"/>
        <v/>
      </c>
      <c r="BB34" s="68" t="str">
        <f t="shared" si="3"/>
        <v/>
      </c>
      <c r="BC34" s="69" t="str">
        <f>IFERROR(VLOOKUP($AQ34,'(勿動)組件目錄表'!$D$15:$R$1094,7,FALSE),"")</f>
        <v/>
      </c>
      <c r="BD34" s="69" t="str">
        <f>IFERROR(VLOOKUP($AQ34,'(勿動)組件目錄表'!$D$15:$R$1094,8,FALSE),"")</f>
        <v/>
      </c>
      <c r="BE34" s="69" t="str">
        <f>IFERROR(VLOOKUP($AQ34,'(勿動)組件目錄表'!$D$15:$R$1094,9,FALSE),"")</f>
        <v/>
      </c>
      <c r="BF34" s="69" t="str">
        <f>IFERROR(VLOOKUP($AQ34,'(勿動)組件目錄表'!$D$15:$R$1094,10,FALSE),"")</f>
        <v/>
      </c>
      <c r="BG34" s="69" t="str">
        <f>IFERROR(VLOOKUP($AQ34,'(勿動)組件目錄表'!$D$15:$R$1094,11,FALSE),"")</f>
        <v/>
      </c>
      <c r="BH34" s="69" t="str">
        <f>IFERROR(VLOOKUP($AQ34,'(勿動)組件目錄表'!$D$15:$R$1094,12,FALSE),"")</f>
        <v/>
      </c>
      <c r="BI34" s="69" t="str">
        <f>IFERROR(VLOOKUP($AQ34,'(勿動)組件目錄表'!$D$15:$R$1094,13,FALSE),"")</f>
        <v/>
      </c>
      <c r="BJ34" s="69" t="str">
        <f>IFERROR(VLOOKUP($AQ34,'(勿動)組件目錄表'!$D$15:$R$1094,14,FALSE),"")</f>
        <v/>
      </c>
      <c r="BK34" s="69" t="str">
        <f>IFERROR(VLOOKUP($AQ34,'(勿動)組件目錄表'!$D$15:$R$1094,15,FALSE),"")</f>
        <v/>
      </c>
      <c r="BL34" s="81">
        <f ca="1">IFERROR(__xludf.DUMMYFUNCTION("IFERROR(
  LET(
    rowData, FILTER('(勿動)組件目錄表'!J:Q, '(勿動)組件目錄表'!D:D=AQ34),
    IF(ROWS(rowData)=0, 0, 
      (
        IF(AND(BC34&lt;&gt;"""", INDEX(rowData,1,1)=BC34),1,0) +
        IF(AND(BD34&lt;&gt;"""", INDEX(rowData,1,2)=BD34),1,0) +
        IF(AND(BE34&lt;&gt;"""""&amp;", INDEX(rowData,1,3)=BE34),1,0) +
        IF(AND(BF34&lt;&gt;"""", INDEX(rowData,1,4)=BF34),1,0) +
        IF(AND(BG34&lt;&gt;"""", INDEX(rowData,1,5)=BG34),1,0) +
        IF(AND(BH34&lt;&gt;"""", INDEX(rowData,1,6)=BH34),1,0) +
        IF(AND(BI34&lt;&gt;"""", INDEX(rowData,1,7"&amp;")=BI34),1,0) +
        IF(AND(BJ34&lt;&gt;"""", INDEX(rowData,1,8)=BJ34),1,0)
      ) - COUNTIF(BC34:BJ34, ""-"")
        - COUNTIF(BC34:BJ34, ""固定格式，不需提供資訊"")
        - COUNTIF(BC34:BJ34, ""由MKT更新，此欄位固定格式，不需提供資訊
(Voucher CID：12917705872)"")
        - COUNTIF(B"&amp;"C34:BJ34, ""text固定為以下：
※直播間僅支援手機版"")
        - COUNTIF(BC34:BJ34, ""text固定為以下：
※短影音僅支援手機版"")
    )
  ), 
  0
)
"),0)</f>
        <v>0</v>
      </c>
      <c r="BM34" s="77" t="b">
        <v>0</v>
      </c>
      <c r="BN34" s="85"/>
      <c r="BO34" s="85"/>
    </row>
    <row r="35" spans="1:67" ht="30" customHeight="1">
      <c r="A35" s="73" t="str">
        <f t="array" aca="1" ref="A35" ca="1">IFERROR(TRANSPOSE(INDIRECT('MS section版配(Old)'!$AO35)),"")</f>
        <v/>
      </c>
      <c r="B35" s="95"/>
      <c r="C35" s="95"/>
      <c r="D35" s="95"/>
      <c r="E35" s="95"/>
      <c r="F35" s="92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397" t="str">
        <f>IFERROR(VLOOKUP($AQ35,'(勿動)組件目錄表'!$D$15:$R$1094,4,FALSE),"")</f>
        <v/>
      </c>
      <c r="AF35" s="384"/>
      <c r="AG35" s="384"/>
      <c r="AH35" s="384"/>
      <c r="AI35" s="384"/>
      <c r="AJ35" s="385"/>
      <c r="AK35" s="54" t="b">
        <v>0</v>
      </c>
      <c r="AL35" s="54" t="b">
        <v>0</v>
      </c>
      <c r="AM35" s="54"/>
      <c r="AN35" s="7" t="str">
        <v>027</v>
      </c>
      <c r="AO35" s="7"/>
      <c r="AP35" s="62"/>
      <c r="AQ35" s="75" t="str">
        <v/>
      </c>
      <c r="AR35" s="75" t="str">
        <v>-</v>
      </c>
      <c r="AS35" s="11"/>
      <c r="AT35" s="77" t="str">
        <v>-</v>
      </c>
      <c r="AU35" s="11" t="str">
        <v>-</v>
      </c>
      <c r="AV35" s="84"/>
      <c r="AW35" s="86" t="str">
        <f ca="1"/>
        <v>-</v>
      </c>
      <c r="AX35" s="86" t="b">
        <v>0</v>
      </c>
      <c r="AY35" s="68" t="str">
        <f t="shared" si="0"/>
        <v/>
      </c>
      <c r="AZ35" s="69" t="str">
        <f t="shared" si="1"/>
        <v/>
      </c>
      <c r="BA35" s="70" t="str">
        <f t="shared" si="2"/>
        <v/>
      </c>
      <c r="BB35" s="68" t="str">
        <f t="shared" si="3"/>
        <v/>
      </c>
      <c r="BC35" s="69" t="str">
        <f>IFERROR(VLOOKUP($AQ35,'(勿動)組件目錄表'!$D$15:$R$1094,7,FALSE),"")</f>
        <v/>
      </c>
      <c r="BD35" s="69" t="str">
        <f>IFERROR(VLOOKUP($AQ35,'(勿動)組件目錄表'!$D$15:$R$1094,8,FALSE),"")</f>
        <v/>
      </c>
      <c r="BE35" s="69" t="str">
        <f>IFERROR(VLOOKUP($AQ35,'(勿動)組件目錄表'!$D$15:$R$1094,9,FALSE),"")</f>
        <v/>
      </c>
      <c r="BF35" s="69" t="str">
        <f>IFERROR(VLOOKUP($AQ35,'(勿動)組件目錄表'!$D$15:$R$1094,10,FALSE),"")</f>
        <v/>
      </c>
      <c r="BG35" s="69" t="str">
        <f>IFERROR(VLOOKUP($AQ35,'(勿動)組件目錄表'!$D$15:$R$1094,11,FALSE),"")</f>
        <v/>
      </c>
      <c r="BH35" s="69" t="str">
        <f>IFERROR(VLOOKUP($AQ35,'(勿動)組件目錄表'!$D$15:$R$1094,12,FALSE),"")</f>
        <v/>
      </c>
      <c r="BI35" s="69" t="str">
        <f>IFERROR(VLOOKUP($AQ35,'(勿動)組件目錄表'!$D$15:$R$1094,13,FALSE),"")</f>
        <v/>
      </c>
      <c r="BJ35" s="69" t="str">
        <f>IFERROR(VLOOKUP($AQ35,'(勿動)組件目錄表'!$D$15:$R$1094,14,FALSE),"")</f>
        <v/>
      </c>
      <c r="BK35" s="69" t="str">
        <f>IFERROR(VLOOKUP($AQ35,'(勿動)組件目錄表'!$D$15:$R$1094,15,FALSE),"")</f>
        <v/>
      </c>
      <c r="BL35" s="81">
        <f ca="1">IFERROR(__xludf.DUMMYFUNCTION("IFERROR(
  LET(
    rowData, FILTER('(勿動)組件目錄表'!J:Q, '(勿動)組件目錄表'!D:D=AQ35),
    IF(ROWS(rowData)=0, 0, 
      (
        IF(AND(BC35&lt;&gt;"""", INDEX(rowData,1,1)=BC35),1,0) +
        IF(AND(BD35&lt;&gt;"""", INDEX(rowData,1,2)=BD35),1,0) +
        IF(AND(BE35&lt;&gt;"""""&amp;", INDEX(rowData,1,3)=BE35),1,0) +
        IF(AND(BF35&lt;&gt;"""", INDEX(rowData,1,4)=BF35),1,0) +
        IF(AND(BG35&lt;&gt;"""", INDEX(rowData,1,5)=BG35),1,0) +
        IF(AND(BH35&lt;&gt;"""", INDEX(rowData,1,6)=BH35),1,0) +
        IF(AND(BI35&lt;&gt;"""", INDEX(rowData,1,7"&amp;")=BI35),1,0) +
        IF(AND(BJ35&lt;&gt;"""", INDEX(rowData,1,8)=BJ35),1,0)
      ) - COUNTIF(BC35:BJ35, ""-"")
        - COUNTIF(BC35:BJ35, ""固定格式，不需提供資訊"")
        - COUNTIF(BC35:BJ35, ""由MKT更新，此欄位固定格式，不需提供資訊
(Voucher CID：12917705872)"")
        - COUNTIF(B"&amp;"C35:BJ35, ""text固定為以下：
※直播間僅支援手機版"")
        - COUNTIF(BC35:BJ35, ""text固定為以下：
※短影音僅支援手機版"")
    )
  ), 
  0
)
"),0)</f>
        <v>0</v>
      </c>
      <c r="BM35" s="77" t="b">
        <v>0</v>
      </c>
      <c r="BN35" s="85"/>
      <c r="BO35" s="85"/>
    </row>
    <row r="36" spans="1:67" ht="30" customHeight="1">
      <c r="A36" s="73" t="str">
        <f t="array" aca="1" ref="A36" ca="1">IFERROR(TRANSPOSE(INDIRECT('MS section版配(Old)'!$AO36)),"")</f>
        <v/>
      </c>
      <c r="B36" s="95"/>
      <c r="C36" s="95"/>
      <c r="D36" s="95"/>
      <c r="E36" s="95"/>
      <c r="F36" s="92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397" t="str">
        <f>IFERROR(VLOOKUP($AQ36,'(勿動)組件目錄表'!$D$15:$R$1094,4,FALSE),"")</f>
        <v/>
      </c>
      <c r="AF36" s="384"/>
      <c r="AG36" s="384"/>
      <c r="AH36" s="384"/>
      <c r="AI36" s="384"/>
      <c r="AJ36" s="385"/>
      <c r="AK36" s="54" t="b">
        <v>0</v>
      </c>
      <c r="AL36" s="54" t="b">
        <v>0</v>
      </c>
      <c r="AM36" s="54"/>
      <c r="AN36" s="7" t="str">
        <v>028</v>
      </c>
      <c r="AO36" s="7"/>
      <c r="AP36" s="62"/>
      <c r="AQ36" s="75" t="str">
        <v/>
      </c>
      <c r="AR36" s="75" t="str">
        <v>-</v>
      </c>
      <c r="AS36" s="11"/>
      <c r="AT36" s="77" t="str">
        <v>-</v>
      </c>
      <c r="AU36" s="11" t="str">
        <v>-</v>
      </c>
      <c r="AV36" s="84"/>
      <c r="AW36" s="86" t="str">
        <f ca="1"/>
        <v>-</v>
      </c>
      <c r="AX36" s="86" t="b">
        <v>0</v>
      </c>
      <c r="AY36" s="68" t="str">
        <f t="shared" si="0"/>
        <v/>
      </c>
      <c r="AZ36" s="69" t="str">
        <f t="shared" si="1"/>
        <v/>
      </c>
      <c r="BA36" s="70" t="str">
        <f t="shared" si="2"/>
        <v/>
      </c>
      <c r="BB36" s="68" t="str">
        <f t="shared" si="3"/>
        <v/>
      </c>
      <c r="BC36" s="69" t="str">
        <f>IFERROR(VLOOKUP($AQ36,'(勿動)組件目錄表'!$D$15:$R$1094,7,FALSE),"")</f>
        <v/>
      </c>
      <c r="BD36" s="69" t="str">
        <f>IFERROR(VLOOKUP($AQ36,'(勿動)組件目錄表'!$D$15:$R$1094,8,FALSE),"")</f>
        <v/>
      </c>
      <c r="BE36" s="69" t="str">
        <f>IFERROR(VLOOKUP($AQ36,'(勿動)組件目錄表'!$D$15:$R$1094,9,FALSE),"")</f>
        <v/>
      </c>
      <c r="BF36" s="69" t="str">
        <f>IFERROR(VLOOKUP($AQ36,'(勿動)組件目錄表'!$D$15:$R$1094,10,FALSE),"")</f>
        <v/>
      </c>
      <c r="BG36" s="69" t="str">
        <f>IFERROR(VLOOKUP($AQ36,'(勿動)組件目錄表'!$D$15:$R$1094,11,FALSE),"")</f>
        <v/>
      </c>
      <c r="BH36" s="69" t="str">
        <f>IFERROR(VLOOKUP($AQ36,'(勿動)組件目錄表'!$D$15:$R$1094,12,FALSE),"")</f>
        <v/>
      </c>
      <c r="BI36" s="69" t="str">
        <f>IFERROR(VLOOKUP($AQ36,'(勿動)組件目錄表'!$D$15:$R$1094,13,FALSE),"")</f>
        <v/>
      </c>
      <c r="BJ36" s="69" t="str">
        <f>IFERROR(VLOOKUP($AQ36,'(勿動)組件目錄表'!$D$15:$R$1094,14,FALSE),"")</f>
        <v/>
      </c>
      <c r="BK36" s="69" t="str">
        <f>IFERROR(VLOOKUP($AQ36,'(勿動)組件目錄表'!$D$15:$R$1094,15,FALSE),"")</f>
        <v/>
      </c>
      <c r="BL36" s="81">
        <f ca="1">IFERROR(__xludf.DUMMYFUNCTION("IFERROR(
  LET(
    rowData, FILTER('(勿動)組件目錄表'!J:Q, '(勿動)組件目錄表'!D:D=AQ36),
    IF(ROWS(rowData)=0, 0, 
      (
        IF(AND(BC36&lt;&gt;"""", INDEX(rowData,1,1)=BC36),1,0) +
        IF(AND(BD36&lt;&gt;"""", INDEX(rowData,1,2)=BD36),1,0) +
        IF(AND(BE36&lt;&gt;"""""&amp;", INDEX(rowData,1,3)=BE36),1,0) +
        IF(AND(BF36&lt;&gt;"""", INDEX(rowData,1,4)=BF36),1,0) +
        IF(AND(BG36&lt;&gt;"""", INDEX(rowData,1,5)=BG36),1,0) +
        IF(AND(BH36&lt;&gt;"""", INDEX(rowData,1,6)=BH36),1,0) +
        IF(AND(BI36&lt;&gt;"""", INDEX(rowData,1,7"&amp;")=BI36),1,0) +
        IF(AND(BJ36&lt;&gt;"""", INDEX(rowData,1,8)=BJ36),1,0)
      ) - COUNTIF(BC36:BJ36, ""-"")
        - COUNTIF(BC36:BJ36, ""固定格式，不需提供資訊"")
        - COUNTIF(BC36:BJ36, ""由MKT更新，此欄位固定格式，不需提供資訊
(Voucher CID：12917705872)"")
        - COUNTIF(B"&amp;"C36:BJ36, ""text固定為以下：
※直播間僅支援手機版"")
        - COUNTIF(BC36:BJ36, ""text固定為以下：
※短影音僅支援手機版"")
    )
  ), 
  0
)
"),0)</f>
        <v>0</v>
      </c>
      <c r="BM36" s="77" t="b">
        <v>0</v>
      </c>
      <c r="BN36" s="85"/>
      <c r="BO36" s="85"/>
    </row>
    <row r="37" spans="1:67" ht="30" customHeight="1">
      <c r="A37" s="73" t="str">
        <f t="array" aca="1" ref="A37" ca="1">IFERROR(TRANSPOSE(INDIRECT('MS section版配(Old)'!$AO37)),"")</f>
        <v/>
      </c>
      <c r="B37" s="94"/>
      <c r="C37" s="94"/>
      <c r="D37" s="94"/>
      <c r="E37" s="94"/>
      <c r="F37" s="92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  <c r="AD37" s="94"/>
      <c r="AE37" s="397" t="str">
        <f>IFERROR(VLOOKUP($AQ37,'(勿動)組件目錄表'!$D$15:$R$1094,4,FALSE),"")</f>
        <v/>
      </c>
      <c r="AF37" s="384"/>
      <c r="AG37" s="384"/>
      <c r="AH37" s="384"/>
      <c r="AI37" s="384"/>
      <c r="AJ37" s="385"/>
      <c r="AK37" s="54" t="b">
        <v>0</v>
      </c>
      <c r="AL37" s="54" t="b">
        <v>0</v>
      </c>
      <c r="AM37" s="54"/>
      <c r="AN37" s="7" t="str">
        <v>029</v>
      </c>
      <c r="AO37" s="7"/>
      <c r="AP37" s="62"/>
      <c r="AQ37" s="75" t="str">
        <v/>
      </c>
      <c r="AR37" s="75" t="str">
        <v>-</v>
      </c>
      <c r="AS37" s="11"/>
      <c r="AT37" s="77" t="str">
        <v>-</v>
      </c>
      <c r="AU37" s="11" t="str">
        <v>-</v>
      </c>
      <c r="AV37" s="84"/>
      <c r="AW37" s="86" t="str">
        <f ca="1"/>
        <v>-</v>
      </c>
      <c r="AX37" s="86" t="b">
        <v>0</v>
      </c>
      <c r="AY37" s="68" t="str">
        <f t="shared" si="0"/>
        <v/>
      </c>
      <c r="AZ37" s="69" t="str">
        <f t="shared" si="1"/>
        <v/>
      </c>
      <c r="BA37" s="70" t="str">
        <f t="shared" si="2"/>
        <v/>
      </c>
      <c r="BB37" s="68" t="str">
        <f t="shared" si="3"/>
        <v/>
      </c>
      <c r="BC37" s="69" t="str">
        <f>IFERROR(VLOOKUP($AQ37,'(勿動)組件目錄表'!$D$15:$R$1094,7,FALSE),"")</f>
        <v/>
      </c>
      <c r="BD37" s="69" t="str">
        <f>IFERROR(VLOOKUP($AQ37,'(勿動)組件目錄表'!$D$15:$R$1094,8,FALSE),"")</f>
        <v/>
      </c>
      <c r="BE37" s="69" t="str">
        <f>IFERROR(VLOOKUP($AQ37,'(勿動)組件目錄表'!$D$15:$R$1094,9,FALSE),"")</f>
        <v/>
      </c>
      <c r="BF37" s="69" t="str">
        <f>IFERROR(VLOOKUP($AQ37,'(勿動)組件目錄表'!$D$15:$R$1094,10,FALSE),"")</f>
        <v/>
      </c>
      <c r="BG37" s="69" t="str">
        <f>IFERROR(VLOOKUP($AQ37,'(勿動)組件目錄表'!$D$15:$R$1094,11,FALSE),"")</f>
        <v/>
      </c>
      <c r="BH37" s="69" t="str">
        <f>IFERROR(VLOOKUP($AQ37,'(勿動)組件目錄表'!$D$15:$R$1094,12,FALSE),"")</f>
        <v/>
      </c>
      <c r="BI37" s="69" t="str">
        <f>IFERROR(VLOOKUP($AQ37,'(勿動)組件目錄表'!$D$15:$R$1094,13,FALSE),"")</f>
        <v/>
      </c>
      <c r="BJ37" s="69" t="str">
        <f>IFERROR(VLOOKUP($AQ37,'(勿動)組件目錄表'!$D$15:$R$1094,14,FALSE),"")</f>
        <v/>
      </c>
      <c r="BK37" s="69" t="str">
        <f>IFERROR(VLOOKUP($AQ37,'(勿動)組件目錄表'!$D$15:$R$1094,15,FALSE),"")</f>
        <v/>
      </c>
      <c r="BL37" s="81">
        <f ca="1">IFERROR(__xludf.DUMMYFUNCTION("IFERROR(
  LET(
    rowData, FILTER('(勿動)組件目錄表'!J:Q, '(勿動)組件目錄表'!D:D=AQ37),
    IF(ROWS(rowData)=0, 0, 
      (
        IF(AND(BC37&lt;&gt;"""", INDEX(rowData,1,1)=BC37),1,0) +
        IF(AND(BD37&lt;&gt;"""", INDEX(rowData,1,2)=BD37),1,0) +
        IF(AND(BE37&lt;&gt;"""""&amp;", INDEX(rowData,1,3)=BE37),1,0) +
        IF(AND(BF37&lt;&gt;"""", INDEX(rowData,1,4)=BF37),1,0) +
        IF(AND(BG37&lt;&gt;"""", INDEX(rowData,1,5)=BG37),1,0) +
        IF(AND(BH37&lt;&gt;"""", INDEX(rowData,1,6)=BH37),1,0) +
        IF(AND(BI37&lt;&gt;"""", INDEX(rowData,1,7"&amp;")=BI37),1,0) +
        IF(AND(BJ37&lt;&gt;"""", INDEX(rowData,1,8)=BJ37),1,0)
      ) - COUNTIF(BC37:BJ37, ""-"")
        - COUNTIF(BC37:BJ37, ""固定格式，不需提供資訊"")
        - COUNTIF(BC37:BJ37, ""由MKT更新，此欄位固定格式，不需提供資訊
(Voucher CID：12917705872)"")
        - COUNTIF(B"&amp;"C37:BJ37, ""text固定為以下：
※直播間僅支援手機版"")
        - COUNTIF(BC37:BJ37, ""text固定為以下：
※短影音僅支援手機版"")
    )
  ), 
  0
)
"),0)</f>
        <v>0</v>
      </c>
      <c r="BM37" s="77" t="b">
        <v>0</v>
      </c>
      <c r="BN37" s="85"/>
      <c r="BO37" s="85"/>
    </row>
    <row r="38" spans="1:67" ht="30" customHeight="1">
      <c r="A38" s="73" t="str">
        <f t="array" aca="1" ref="A38" ca="1">IFERROR(TRANSPOSE(INDIRECT('MS section版配(Old)'!$AO38)),"")</f>
        <v/>
      </c>
      <c r="B38" s="95"/>
      <c r="C38" s="95"/>
      <c r="D38" s="95"/>
      <c r="E38" s="95"/>
      <c r="F38" s="92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397" t="str">
        <f>IFERROR(VLOOKUP($AQ38,'(勿動)組件目錄表'!$D$15:$R$1094,4,FALSE),"")</f>
        <v/>
      </c>
      <c r="AF38" s="384"/>
      <c r="AG38" s="384"/>
      <c r="AH38" s="384"/>
      <c r="AI38" s="384"/>
      <c r="AJ38" s="385"/>
      <c r="AK38" s="54" t="b">
        <v>0</v>
      </c>
      <c r="AL38" s="54" t="b">
        <v>0</v>
      </c>
      <c r="AM38" s="54"/>
      <c r="AN38" s="7" t="str">
        <v>030</v>
      </c>
      <c r="AO38" s="7"/>
      <c r="AP38" s="62"/>
      <c r="AQ38" s="75" t="str">
        <v/>
      </c>
      <c r="AR38" s="75" t="str">
        <v>-</v>
      </c>
      <c r="AS38" s="11"/>
      <c r="AT38" s="77" t="str">
        <v>-</v>
      </c>
      <c r="AU38" s="11" t="str">
        <v>-</v>
      </c>
      <c r="AV38" s="84"/>
      <c r="AW38" s="86" t="str">
        <f ca="1"/>
        <v>-</v>
      </c>
      <c r="AX38" s="86" t="b">
        <v>0</v>
      </c>
      <c r="AY38" s="68" t="str">
        <f t="shared" si="0"/>
        <v/>
      </c>
      <c r="AZ38" s="69" t="str">
        <f t="shared" si="1"/>
        <v/>
      </c>
      <c r="BA38" s="70" t="str">
        <f t="shared" si="2"/>
        <v/>
      </c>
      <c r="BB38" s="68" t="str">
        <f t="shared" si="3"/>
        <v/>
      </c>
      <c r="BC38" s="69" t="str">
        <f>IFERROR(VLOOKUP($AQ38,'(勿動)組件目錄表'!$D$15:$R$1094,7,FALSE),"")</f>
        <v/>
      </c>
      <c r="BD38" s="69" t="str">
        <f>IFERROR(VLOOKUP($AQ38,'(勿動)組件目錄表'!$D$15:$R$1094,8,FALSE),"")</f>
        <v/>
      </c>
      <c r="BE38" s="69" t="str">
        <f>IFERROR(VLOOKUP($AQ38,'(勿動)組件目錄表'!$D$15:$R$1094,9,FALSE),"")</f>
        <v/>
      </c>
      <c r="BF38" s="69" t="str">
        <f>IFERROR(VLOOKUP($AQ38,'(勿動)組件目錄表'!$D$15:$R$1094,10,FALSE),"")</f>
        <v/>
      </c>
      <c r="BG38" s="69" t="str">
        <f>IFERROR(VLOOKUP($AQ38,'(勿動)組件目錄表'!$D$15:$R$1094,11,FALSE),"")</f>
        <v/>
      </c>
      <c r="BH38" s="69" t="str">
        <f>IFERROR(VLOOKUP($AQ38,'(勿動)組件目錄表'!$D$15:$R$1094,12,FALSE),"")</f>
        <v/>
      </c>
      <c r="BI38" s="69" t="str">
        <f>IFERROR(VLOOKUP($AQ38,'(勿動)組件目錄表'!$D$15:$R$1094,13,FALSE),"")</f>
        <v/>
      </c>
      <c r="BJ38" s="69" t="str">
        <f>IFERROR(VLOOKUP($AQ38,'(勿動)組件目錄表'!$D$15:$R$1094,14,FALSE),"")</f>
        <v/>
      </c>
      <c r="BK38" s="69" t="str">
        <f>IFERROR(VLOOKUP($AQ38,'(勿動)組件目錄表'!$D$15:$R$1094,15,FALSE),"")</f>
        <v/>
      </c>
      <c r="BL38" s="81">
        <f ca="1">IFERROR(__xludf.DUMMYFUNCTION("IFERROR(
  LET(
    rowData, FILTER('(勿動)組件目錄表'!J:Q, '(勿動)組件目錄表'!D:D=AQ38),
    IF(ROWS(rowData)=0, 0, 
      (
        IF(AND(BC38&lt;&gt;"""", INDEX(rowData,1,1)=BC38),1,0) +
        IF(AND(BD38&lt;&gt;"""", INDEX(rowData,1,2)=BD38),1,0) +
        IF(AND(BE38&lt;&gt;"""""&amp;", INDEX(rowData,1,3)=BE38),1,0) +
        IF(AND(BF38&lt;&gt;"""", INDEX(rowData,1,4)=BF38),1,0) +
        IF(AND(BG38&lt;&gt;"""", INDEX(rowData,1,5)=BG38),1,0) +
        IF(AND(BH38&lt;&gt;"""", INDEX(rowData,1,6)=BH38),1,0) +
        IF(AND(BI38&lt;&gt;"""", INDEX(rowData,1,7"&amp;")=BI38),1,0) +
        IF(AND(BJ38&lt;&gt;"""", INDEX(rowData,1,8)=BJ38),1,0)
      ) - COUNTIF(BC38:BJ38, ""-"")
        - COUNTIF(BC38:BJ38, ""固定格式，不需提供資訊"")
        - COUNTIF(BC38:BJ38, ""由MKT更新，此欄位固定格式，不需提供資訊
(Voucher CID：12917705872)"")
        - COUNTIF(B"&amp;"C38:BJ38, ""text固定為以下：
※直播間僅支援手機版"")
        - COUNTIF(BC38:BJ38, ""text固定為以下：
※短影音僅支援手機版"")
    )
  ), 
  0
)
"),0)</f>
        <v>0</v>
      </c>
      <c r="BM38" s="77" t="b">
        <v>0</v>
      </c>
      <c r="BN38" s="85"/>
      <c r="BO38" s="85"/>
    </row>
    <row r="39" spans="1:67" ht="30" customHeight="1">
      <c r="A39" s="73" t="str">
        <f t="array" aca="1" ref="A39" ca="1">IFERROR(TRANSPOSE(INDIRECT('MS section版配(Old)'!$AO39)),"")</f>
        <v/>
      </c>
      <c r="B39" s="95"/>
      <c r="C39" s="95"/>
      <c r="D39" s="95"/>
      <c r="E39" s="95"/>
      <c r="F39" s="92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  <c r="AE39" s="397" t="str">
        <f>IFERROR(VLOOKUP($AQ39,'(勿動)組件目錄表'!$D$15:$R$1094,4,FALSE),"")</f>
        <v/>
      </c>
      <c r="AF39" s="384"/>
      <c r="AG39" s="384"/>
      <c r="AH39" s="384"/>
      <c r="AI39" s="384"/>
      <c r="AJ39" s="385"/>
      <c r="AK39" s="54" t="b">
        <v>0</v>
      </c>
      <c r="AL39" s="54" t="b">
        <v>0</v>
      </c>
      <c r="AM39" s="54"/>
      <c r="AN39" s="7" t="str">
        <v>031</v>
      </c>
      <c r="AO39" s="7"/>
      <c r="AP39" s="62"/>
      <c r="AQ39" s="75" t="str">
        <v/>
      </c>
      <c r="AR39" s="75" t="str">
        <v>-</v>
      </c>
      <c r="AS39" s="11"/>
      <c r="AT39" s="77" t="str">
        <v>-</v>
      </c>
      <c r="AU39" s="11" t="str">
        <v>-</v>
      </c>
      <c r="AV39" s="84"/>
      <c r="AW39" s="86" t="str">
        <f ca="1"/>
        <v>-</v>
      </c>
      <c r="AX39" s="86" t="b">
        <v>0</v>
      </c>
      <c r="AY39" s="68" t="str">
        <f t="shared" si="0"/>
        <v/>
      </c>
      <c r="AZ39" s="69" t="str">
        <f t="shared" si="1"/>
        <v/>
      </c>
      <c r="BA39" s="70" t="str">
        <f t="shared" si="2"/>
        <v/>
      </c>
      <c r="BB39" s="68" t="str">
        <f t="shared" si="3"/>
        <v/>
      </c>
      <c r="BC39" s="69" t="str">
        <f>IFERROR(VLOOKUP($AQ39,'(勿動)組件目錄表'!$D$15:$R$1094,7,FALSE),"")</f>
        <v/>
      </c>
      <c r="BD39" s="69" t="str">
        <f>IFERROR(VLOOKUP($AQ39,'(勿動)組件目錄表'!$D$15:$R$1094,8,FALSE),"")</f>
        <v/>
      </c>
      <c r="BE39" s="69" t="str">
        <f>IFERROR(VLOOKUP($AQ39,'(勿動)組件目錄表'!$D$15:$R$1094,9,FALSE),"")</f>
        <v/>
      </c>
      <c r="BF39" s="69" t="str">
        <f>IFERROR(VLOOKUP($AQ39,'(勿動)組件目錄表'!$D$15:$R$1094,10,FALSE),"")</f>
        <v/>
      </c>
      <c r="BG39" s="69" t="str">
        <f>IFERROR(VLOOKUP($AQ39,'(勿動)組件目錄表'!$D$15:$R$1094,11,FALSE),"")</f>
        <v/>
      </c>
      <c r="BH39" s="69" t="str">
        <f>IFERROR(VLOOKUP($AQ39,'(勿動)組件目錄表'!$D$15:$R$1094,12,FALSE),"")</f>
        <v/>
      </c>
      <c r="BI39" s="69" t="str">
        <f>IFERROR(VLOOKUP($AQ39,'(勿動)組件目錄表'!$D$15:$R$1094,13,FALSE),"")</f>
        <v/>
      </c>
      <c r="BJ39" s="69" t="str">
        <f>IFERROR(VLOOKUP($AQ39,'(勿動)組件目錄表'!$D$15:$R$1094,14,FALSE),"")</f>
        <v/>
      </c>
      <c r="BK39" s="69" t="str">
        <f>IFERROR(VLOOKUP($AQ39,'(勿動)組件目錄表'!$D$15:$R$1094,15,FALSE),"")</f>
        <v/>
      </c>
      <c r="BL39" s="81">
        <f ca="1">IFERROR(__xludf.DUMMYFUNCTION("IFERROR(
  LET(
    rowData, FILTER('(勿動)組件目錄表'!J:Q, '(勿動)組件目錄表'!D:D=AQ39),
    IF(ROWS(rowData)=0, 0, 
      (
        IF(AND(BC39&lt;&gt;"""", INDEX(rowData,1,1)=BC39),1,0) +
        IF(AND(BD39&lt;&gt;"""", INDEX(rowData,1,2)=BD39),1,0) +
        IF(AND(BE39&lt;&gt;"""""&amp;", INDEX(rowData,1,3)=BE39),1,0) +
        IF(AND(BF39&lt;&gt;"""", INDEX(rowData,1,4)=BF39),1,0) +
        IF(AND(BG39&lt;&gt;"""", INDEX(rowData,1,5)=BG39),1,0) +
        IF(AND(BH39&lt;&gt;"""", INDEX(rowData,1,6)=BH39),1,0) +
        IF(AND(BI39&lt;&gt;"""", INDEX(rowData,1,7"&amp;")=BI39),1,0) +
        IF(AND(BJ39&lt;&gt;"""", INDEX(rowData,1,8)=BJ39),1,0)
      ) - COUNTIF(BC39:BJ39, ""-"")
        - COUNTIF(BC39:BJ39, ""固定格式，不需提供資訊"")
        - COUNTIF(BC39:BJ39, ""由MKT更新，此欄位固定格式，不需提供資訊
(Voucher CID：12917705872)"")
        - COUNTIF(B"&amp;"C39:BJ39, ""text固定為以下：
※直播間僅支援手機版"")
        - COUNTIF(BC39:BJ39, ""text固定為以下：
※短影音僅支援手機版"")
    )
  ), 
  0
)
"),0)</f>
        <v>0</v>
      </c>
      <c r="BM39" s="77" t="b">
        <v>0</v>
      </c>
      <c r="BN39" s="85"/>
      <c r="BO39" s="85"/>
    </row>
    <row r="40" spans="1:67" ht="30" customHeight="1">
      <c r="A40" s="73" t="str">
        <f t="array" aca="1" ref="A40" ca="1">IFERROR(TRANSPOSE(INDIRECT('MS section版配(Old)'!$AO40)),"")</f>
        <v/>
      </c>
      <c r="B40" s="94"/>
      <c r="C40" s="94"/>
      <c r="D40" s="94"/>
      <c r="E40" s="94"/>
      <c r="F40" s="92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397" t="str">
        <f>IFERROR(VLOOKUP($AQ40,'(勿動)組件目錄表'!$D$15:$R$1094,4,FALSE),"")</f>
        <v/>
      </c>
      <c r="AF40" s="384"/>
      <c r="AG40" s="384"/>
      <c r="AH40" s="384"/>
      <c r="AI40" s="384"/>
      <c r="AJ40" s="385"/>
      <c r="AK40" s="54" t="b">
        <v>0</v>
      </c>
      <c r="AL40" s="54" t="b">
        <v>0</v>
      </c>
      <c r="AM40" s="54"/>
      <c r="AN40" s="7" t="str">
        <v>032</v>
      </c>
      <c r="AO40" s="7"/>
      <c r="AP40" s="62"/>
      <c r="AQ40" s="75" t="str">
        <v/>
      </c>
      <c r="AR40" s="75" t="str">
        <v>-</v>
      </c>
      <c r="AS40" s="11"/>
      <c r="AT40" s="77" t="str">
        <v>-</v>
      </c>
      <c r="AU40" s="11" t="str">
        <v>-</v>
      </c>
      <c r="AV40" s="84"/>
      <c r="AW40" s="86" t="str">
        <f ca="1"/>
        <v>-</v>
      </c>
      <c r="AX40" s="86" t="b">
        <v>0</v>
      </c>
      <c r="AY40" s="68" t="str">
        <f t="shared" si="0"/>
        <v/>
      </c>
      <c r="AZ40" s="69" t="str">
        <f t="shared" si="1"/>
        <v/>
      </c>
      <c r="BA40" s="70" t="str">
        <f t="shared" si="2"/>
        <v/>
      </c>
      <c r="BB40" s="68" t="str">
        <f t="shared" si="3"/>
        <v/>
      </c>
      <c r="BC40" s="69" t="str">
        <f>IFERROR(VLOOKUP($AQ40,'(勿動)組件目錄表'!$D$15:$R$1094,7,FALSE),"")</f>
        <v/>
      </c>
      <c r="BD40" s="69" t="str">
        <f>IFERROR(VLOOKUP($AQ40,'(勿動)組件目錄表'!$D$15:$R$1094,8,FALSE),"")</f>
        <v/>
      </c>
      <c r="BE40" s="69" t="str">
        <f>IFERROR(VLOOKUP($AQ40,'(勿動)組件目錄表'!$D$15:$R$1094,9,FALSE),"")</f>
        <v/>
      </c>
      <c r="BF40" s="69" t="str">
        <f>IFERROR(VLOOKUP($AQ40,'(勿動)組件目錄表'!$D$15:$R$1094,10,FALSE),"")</f>
        <v/>
      </c>
      <c r="BG40" s="69" t="str">
        <f>IFERROR(VLOOKUP($AQ40,'(勿動)組件目錄表'!$D$15:$R$1094,11,FALSE),"")</f>
        <v/>
      </c>
      <c r="BH40" s="69" t="str">
        <f>IFERROR(VLOOKUP($AQ40,'(勿動)組件目錄表'!$D$15:$R$1094,12,FALSE),"")</f>
        <v/>
      </c>
      <c r="BI40" s="69" t="str">
        <f>IFERROR(VLOOKUP($AQ40,'(勿動)組件目錄表'!$D$15:$R$1094,13,FALSE),"")</f>
        <v/>
      </c>
      <c r="BJ40" s="69" t="str">
        <f>IFERROR(VLOOKUP($AQ40,'(勿動)組件目錄表'!$D$15:$R$1094,14,FALSE),"")</f>
        <v/>
      </c>
      <c r="BK40" s="69" t="str">
        <f>IFERROR(VLOOKUP($AQ40,'(勿動)組件目錄表'!$D$15:$R$1094,15,FALSE),"")</f>
        <v/>
      </c>
      <c r="BL40" s="81">
        <f ca="1">IFERROR(__xludf.DUMMYFUNCTION("IFERROR(
  LET(
    rowData, FILTER('(勿動)組件目錄表'!J:Q, '(勿動)組件目錄表'!D:D=AQ40),
    IF(ROWS(rowData)=0, 0, 
      (
        IF(AND(BC40&lt;&gt;"""", INDEX(rowData,1,1)=BC40),1,0) +
        IF(AND(BD40&lt;&gt;"""", INDEX(rowData,1,2)=BD40),1,0) +
        IF(AND(BE40&lt;&gt;"""""&amp;", INDEX(rowData,1,3)=BE40),1,0) +
        IF(AND(BF40&lt;&gt;"""", INDEX(rowData,1,4)=BF40),1,0) +
        IF(AND(BG40&lt;&gt;"""", INDEX(rowData,1,5)=BG40),1,0) +
        IF(AND(BH40&lt;&gt;"""", INDEX(rowData,1,6)=BH40),1,0) +
        IF(AND(BI40&lt;&gt;"""", INDEX(rowData,1,7"&amp;")=BI40),1,0) +
        IF(AND(BJ40&lt;&gt;"""", INDEX(rowData,1,8)=BJ40),1,0)
      ) - COUNTIF(BC40:BJ40, ""-"")
        - COUNTIF(BC40:BJ40, ""固定格式，不需提供資訊"")
        - COUNTIF(BC40:BJ40, ""由MKT更新，此欄位固定格式，不需提供資訊
(Voucher CID：12917705872)"")
        - COUNTIF(B"&amp;"C40:BJ40, ""text固定為以下：
※直播間僅支援手機版"")
        - COUNTIF(BC40:BJ40, ""text固定為以下：
※短影音僅支援手機版"")
    )
  ), 
  0
)
"),0)</f>
        <v>0</v>
      </c>
      <c r="BM40" s="77" t="b">
        <v>0</v>
      </c>
      <c r="BN40" s="85"/>
      <c r="BO40" s="85"/>
    </row>
    <row r="41" spans="1:67" ht="30" customHeight="1">
      <c r="A41" s="73" t="str">
        <f t="array" aca="1" ref="A41" ca="1">IFERROR(TRANSPOSE(INDIRECT('MS section版配(Old)'!$AO41)),"")</f>
        <v/>
      </c>
      <c r="B41" s="94"/>
      <c r="C41" s="94"/>
      <c r="D41" s="94"/>
      <c r="E41" s="94"/>
      <c r="F41" s="92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  <c r="AD41" s="94"/>
      <c r="AE41" s="397" t="str">
        <f>IFERROR(VLOOKUP($AQ41,'(勿動)組件目錄表'!$D$15:$R$1094,4,FALSE),"")</f>
        <v/>
      </c>
      <c r="AF41" s="384"/>
      <c r="AG41" s="384"/>
      <c r="AH41" s="384"/>
      <c r="AI41" s="384"/>
      <c r="AJ41" s="385"/>
      <c r="AK41" s="54" t="b">
        <v>0</v>
      </c>
      <c r="AL41" s="54" t="b">
        <v>0</v>
      </c>
      <c r="AM41" s="54"/>
      <c r="AN41" s="7" t="str">
        <v>033</v>
      </c>
      <c r="AO41" s="7"/>
      <c r="AP41" s="62"/>
      <c r="AQ41" s="75" t="str">
        <v/>
      </c>
      <c r="AR41" s="75" t="str">
        <v>-</v>
      </c>
      <c r="AS41" s="11"/>
      <c r="AT41" s="77" t="str">
        <v>-</v>
      </c>
      <c r="AU41" s="11" t="str">
        <v>-</v>
      </c>
      <c r="AV41" s="84"/>
      <c r="AW41" s="86" t="str">
        <f ca="1"/>
        <v>-</v>
      </c>
      <c r="AX41" s="86" t="b">
        <v>0</v>
      </c>
      <c r="AY41" s="68" t="str">
        <f t="shared" si="0"/>
        <v/>
      </c>
      <c r="AZ41" s="69" t="str">
        <f t="shared" si="1"/>
        <v/>
      </c>
      <c r="BA41" s="70" t="str">
        <f t="shared" si="2"/>
        <v/>
      </c>
      <c r="BB41" s="68" t="str">
        <f t="shared" si="3"/>
        <v/>
      </c>
      <c r="BC41" s="69" t="str">
        <f>IFERROR(VLOOKUP($AQ41,'(勿動)組件目錄表'!$D$15:$R$1094,7,FALSE),"")</f>
        <v/>
      </c>
      <c r="BD41" s="69" t="str">
        <f>IFERROR(VLOOKUP($AQ41,'(勿動)組件目錄表'!$D$15:$R$1094,8,FALSE),"")</f>
        <v/>
      </c>
      <c r="BE41" s="69" t="str">
        <f>IFERROR(VLOOKUP($AQ41,'(勿動)組件目錄表'!$D$15:$R$1094,9,FALSE),"")</f>
        <v/>
      </c>
      <c r="BF41" s="69" t="str">
        <f>IFERROR(VLOOKUP($AQ41,'(勿動)組件目錄表'!$D$15:$R$1094,10,FALSE),"")</f>
        <v/>
      </c>
      <c r="BG41" s="69" t="str">
        <f>IFERROR(VLOOKUP($AQ41,'(勿動)組件目錄表'!$D$15:$R$1094,11,FALSE),"")</f>
        <v/>
      </c>
      <c r="BH41" s="69" t="str">
        <f>IFERROR(VLOOKUP($AQ41,'(勿動)組件目錄表'!$D$15:$R$1094,12,FALSE),"")</f>
        <v/>
      </c>
      <c r="BI41" s="69" t="str">
        <f>IFERROR(VLOOKUP($AQ41,'(勿動)組件目錄表'!$D$15:$R$1094,13,FALSE),"")</f>
        <v/>
      </c>
      <c r="BJ41" s="69" t="str">
        <f>IFERROR(VLOOKUP($AQ41,'(勿動)組件目錄表'!$D$15:$R$1094,14,FALSE),"")</f>
        <v/>
      </c>
      <c r="BK41" s="69" t="str">
        <f>IFERROR(VLOOKUP($AQ41,'(勿動)組件目錄表'!$D$15:$R$1094,15,FALSE),"")</f>
        <v/>
      </c>
      <c r="BL41" s="81">
        <f ca="1">IFERROR(__xludf.DUMMYFUNCTION("IFERROR(
  LET(
    rowData, FILTER('(勿動)組件目錄表'!J:Q, '(勿動)組件目錄表'!D:D=AQ41),
    IF(ROWS(rowData)=0, 0, 
      (
        IF(AND(BC41&lt;&gt;"""", INDEX(rowData,1,1)=BC41),1,0) +
        IF(AND(BD41&lt;&gt;"""", INDEX(rowData,1,2)=BD41),1,0) +
        IF(AND(BE41&lt;&gt;"""""&amp;", INDEX(rowData,1,3)=BE41),1,0) +
        IF(AND(BF41&lt;&gt;"""", INDEX(rowData,1,4)=BF41),1,0) +
        IF(AND(BG41&lt;&gt;"""", INDEX(rowData,1,5)=BG41),1,0) +
        IF(AND(BH41&lt;&gt;"""", INDEX(rowData,1,6)=BH41),1,0) +
        IF(AND(BI41&lt;&gt;"""", INDEX(rowData,1,7"&amp;")=BI41),1,0) +
        IF(AND(BJ41&lt;&gt;"""", INDEX(rowData,1,8)=BJ41),1,0)
      ) - COUNTIF(BC41:BJ41, ""-"")
        - COUNTIF(BC41:BJ41, ""固定格式，不需提供資訊"")
        - COUNTIF(BC41:BJ41, ""由MKT更新，此欄位固定格式，不需提供資訊
(Voucher CID：12917705872)"")
        - COUNTIF(B"&amp;"C41:BJ41, ""text固定為以下：
※直播間僅支援手機版"")
        - COUNTIF(BC41:BJ41, ""text固定為以下：
※短影音僅支援手機版"")
    )
  ), 
  0
)
"),0)</f>
        <v>0</v>
      </c>
      <c r="BM41" s="77" t="b">
        <v>0</v>
      </c>
      <c r="BN41" s="85"/>
      <c r="BO41" s="85"/>
    </row>
    <row r="42" spans="1:67" ht="30" customHeight="1">
      <c r="A42" s="73" t="str">
        <f t="array" aca="1" ref="A42" ca="1">IFERROR(TRANSPOSE(INDIRECT('MS section版配(Old)'!$AO42)),"")</f>
        <v/>
      </c>
      <c r="B42" s="94"/>
      <c r="C42" s="94"/>
      <c r="D42" s="94"/>
      <c r="E42" s="94"/>
      <c r="F42" s="92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  <c r="AD42" s="94"/>
      <c r="AE42" s="397" t="str">
        <f>IFERROR(VLOOKUP($AQ42,'(勿動)組件目錄表'!$D$15:$R$1094,4,FALSE),"")</f>
        <v/>
      </c>
      <c r="AF42" s="384"/>
      <c r="AG42" s="384"/>
      <c r="AH42" s="384"/>
      <c r="AI42" s="384"/>
      <c r="AJ42" s="385"/>
      <c r="AK42" s="54" t="b">
        <v>0</v>
      </c>
      <c r="AL42" s="54" t="b">
        <v>0</v>
      </c>
      <c r="AM42" s="54"/>
      <c r="AN42" s="7" t="str">
        <v>034</v>
      </c>
      <c r="AO42" s="7"/>
      <c r="AP42" s="62"/>
      <c r="AQ42" s="75" t="str">
        <v/>
      </c>
      <c r="AR42" s="75" t="str">
        <v>-</v>
      </c>
      <c r="AS42" s="11"/>
      <c r="AT42" s="77" t="str">
        <v>-</v>
      </c>
      <c r="AU42" s="11" t="str">
        <v>-</v>
      </c>
      <c r="AV42" s="84"/>
      <c r="AW42" s="86" t="str">
        <f ca="1"/>
        <v>-</v>
      </c>
      <c r="AX42" s="86" t="b">
        <v>0</v>
      </c>
      <c r="AY42" s="68" t="str">
        <f t="shared" si="0"/>
        <v/>
      </c>
      <c r="AZ42" s="69" t="str">
        <f t="shared" si="1"/>
        <v/>
      </c>
      <c r="BA42" s="70" t="str">
        <f t="shared" si="2"/>
        <v/>
      </c>
      <c r="BB42" s="68" t="str">
        <f t="shared" si="3"/>
        <v/>
      </c>
      <c r="BC42" s="69" t="str">
        <f>IFERROR(VLOOKUP($AQ42,'(勿動)組件目錄表'!$D$15:$R$1094,7,FALSE),"")</f>
        <v/>
      </c>
      <c r="BD42" s="69" t="str">
        <f>IFERROR(VLOOKUP($AQ42,'(勿動)組件目錄表'!$D$15:$R$1094,8,FALSE),"")</f>
        <v/>
      </c>
      <c r="BE42" s="69" t="str">
        <f>IFERROR(VLOOKUP($AQ42,'(勿動)組件目錄表'!$D$15:$R$1094,9,FALSE),"")</f>
        <v/>
      </c>
      <c r="BF42" s="69" t="str">
        <f>IFERROR(VLOOKUP($AQ42,'(勿動)組件目錄表'!$D$15:$R$1094,10,FALSE),"")</f>
        <v/>
      </c>
      <c r="BG42" s="69" t="str">
        <f>IFERROR(VLOOKUP($AQ42,'(勿動)組件目錄表'!$D$15:$R$1094,11,FALSE),"")</f>
        <v/>
      </c>
      <c r="BH42" s="69" t="str">
        <f>IFERROR(VLOOKUP($AQ42,'(勿動)組件目錄表'!$D$15:$R$1094,12,FALSE),"")</f>
        <v/>
      </c>
      <c r="BI42" s="69" t="str">
        <f>IFERROR(VLOOKUP($AQ42,'(勿動)組件目錄表'!$D$15:$R$1094,13,FALSE),"")</f>
        <v/>
      </c>
      <c r="BJ42" s="69" t="str">
        <f>IFERROR(VLOOKUP($AQ42,'(勿動)組件目錄表'!$D$15:$R$1094,14,FALSE),"")</f>
        <v/>
      </c>
      <c r="BK42" s="69" t="str">
        <f>IFERROR(VLOOKUP($AQ42,'(勿動)組件目錄表'!$D$15:$R$1094,15,FALSE),"")</f>
        <v/>
      </c>
      <c r="BL42" s="81">
        <f ca="1">IFERROR(__xludf.DUMMYFUNCTION("IFERROR(
  LET(
    rowData, FILTER('(勿動)組件目錄表'!J:Q, '(勿動)組件目錄表'!D:D=AQ42),
    IF(ROWS(rowData)=0, 0, 
      (
        IF(AND(BC42&lt;&gt;"""", INDEX(rowData,1,1)=BC42),1,0) +
        IF(AND(BD42&lt;&gt;"""", INDEX(rowData,1,2)=BD42),1,0) +
        IF(AND(BE42&lt;&gt;"""""&amp;", INDEX(rowData,1,3)=BE42),1,0) +
        IF(AND(BF42&lt;&gt;"""", INDEX(rowData,1,4)=BF42),1,0) +
        IF(AND(BG42&lt;&gt;"""", INDEX(rowData,1,5)=BG42),1,0) +
        IF(AND(BH42&lt;&gt;"""", INDEX(rowData,1,6)=BH42),1,0) +
        IF(AND(BI42&lt;&gt;"""", INDEX(rowData,1,7"&amp;")=BI42),1,0) +
        IF(AND(BJ42&lt;&gt;"""", INDEX(rowData,1,8)=BJ42),1,0)
      ) - COUNTIF(BC42:BJ42, ""-"")
        - COUNTIF(BC42:BJ42, ""固定格式，不需提供資訊"")
        - COUNTIF(BC42:BJ42, ""由MKT更新，此欄位固定格式，不需提供資訊
(Voucher CID：12917705872)"")
        - COUNTIF(B"&amp;"C42:BJ42, ""text固定為以下：
※直播間僅支援手機版"")
        - COUNTIF(BC42:BJ42, ""text固定為以下：
※短影音僅支援手機版"")
    )
  ), 
  0
)
"),0)</f>
        <v>0</v>
      </c>
      <c r="BM42" s="77" t="b">
        <v>0</v>
      </c>
      <c r="BN42" s="85"/>
      <c r="BO42" s="85"/>
    </row>
    <row r="43" spans="1:67" ht="30" customHeight="1">
      <c r="A43" s="73" t="str">
        <f t="array" aca="1" ref="A43" ca="1">IFERROR(TRANSPOSE(INDIRECT('MS section版配(Old)'!$AO43)),"")</f>
        <v/>
      </c>
      <c r="B43" s="94"/>
      <c r="C43" s="94"/>
      <c r="D43" s="94"/>
      <c r="E43" s="94"/>
      <c r="F43" s="92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  <c r="AD43" s="94"/>
      <c r="AE43" s="397" t="str">
        <f>IFERROR(VLOOKUP($AQ43,'(勿動)組件目錄表'!$D$15:$R$1094,4,FALSE),"")</f>
        <v/>
      </c>
      <c r="AF43" s="384"/>
      <c r="AG43" s="384"/>
      <c r="AH43" s="384"/>
      <c r="AI43" s="384"/>
      <c r="AJ43" s="385"/>
      <c r="AK43" s="54" t="b">
        <v>0</v>
      </c>
      <c r="AL43" s="54" t="b">
        <v>0</v>
      </c>
      <c r="AM43" s="54"/>
      <c r="AN43" s="7" t="str">
        <v>035</v>
      </c>
      <c r="AO43" s="7"/>
      <c r="AP43" s="62"/>
      <c r="AQ43" s="75" t="str">
        <v/>
      </c>
      <c r="AR43" s="75" t="str">
        <v>-</v>
      </c>
      <c r="AS43" s="11"/>
      <c r="AT43" s="77" t="str">
        <v>-</v>
      </c>
      <c r="AU43" s="11" t="str">
        <v>-</v>
      </c>
      <c r="AV43" s="84"/>
      <c r="AW43" s="86" t="str">
        <f ca="1"/>
        <v>-</v>
      </c>
      <c r="AX43" s="86" t="b">
        <v>0</v>
      </c>
      <c r="AY43" s="68" t="str">
        <f t="shared" si="0"/>
        <v/>
      </c>
      <c r="AZ43" s="69" t="str">
        <f t="shared" si="1"/>
        <v/>
      </c>
      <c r="BA43" s="70" t="str">
        <f t="shared" si="2"/>
        <v/>
      </c>
      <c r="BB43" s="68" t="str">
        <f t="shared" si="3"/>
        <v/>
      </c>
      <c r="BC43" s="69" t="str">
        <f>IFERROR(VLOOKUP($AQ43,'(勿動)組件目錄表'!$D$15:$R$1094,7,FALSE),"")</f>
        <v/>
      </c>
      <c r="BD43" s="69" t="str">
        <f>IFERROR(VLOOKUP($AQ43,'(勿動)組件目錄表'!$D$15:$R$1094,8,FALSE),"")</f>
        <v/>
      </c>
      <c r="BE43" s="69" t="str">
        <f>IFERROR(VLOOKUP($AQ43,'(勿動)組件目錄表'!$D$15:$R$1094,9,FALSE),"")</f>
        <v/>
      </c>
      <c r="BF43" s="69" t="str">
        <f>IFERROR(VLOOKUP($AQ43,'(勿動)組件目錄表'!$D$15:$R$1094,10,FALSE),"")</f>
        <v/>
      </c>
      <c r="BG43" s="69" t="str">
        <f>IFERROR(VLOOKUP($AQ43,'(勿動)組件目錄表'!$D$15:$R$1094,11,FALSE),"")</f>
        <v/>
      </c>
      <c r="BH43" s="69" t="str">
        <f>IFERROR(VLOOKUP($AQ43,'(勿動)組件目錄表'!$D$15:$R$1094,12,FALSE),"")</f>
        <v/>
      </c>
      <c r="BI43" s="69" t="str">
        <f>IFERROR(VLOOKUP($AQ43,'(勿動)組件目錄表'!$D$15:$R$1094,13,FALSE),"")</f>
        <v/>
      </c>
      <c r="BJ43" s="69" t="str">
        <f>IFERROR(VLOOKUP($AQ43,'(勿動)組件目錄表'!$D$15:$R$1094,14,FALSE),"")</f>
        <v/>
      </c>
      <c r="BK43" s="69" t="str">
        <f>IFERROR(VLOOKUP($AQ43,'(勿動)組件目錄表'!$D$15:$R$1094,15,FALSE),"")</f>
        <v/>
      </c>
      <c r="BL43" s="81">
        <f ca="1">IFERROR(__xludf.DUMMYFUNCTION("IFERROR(
  LET(
    rowData, FILTER('(勿動)組件目錄表'!J:Q, '(勿動)組件目錄表'!D:D=AQ43),
    IF(ROWS(rowData)=0, 0, 
      (
        IF(AND(BC43&lt;&gt;"""", INDEX(rowData,1,1)=BC43),1,0) +
        IF(AND(BD43&lt;&gt;"""", INDEX(rowData,1,2)=BD43),1,0) +
        IF(AND(BE43&lt;&gt;"""""&amp;", INDEX(rowData,1,3)=BE43),1,0) +
        IF(AND(BF43&lt;&gt;"""", INDEX(rowData,1,4)=BF43),1,0) +
        IF(AND(BG43&lt;&gt;"""", INDEX(rowData,1,5)=BG43),1,0) +
        IF(AND(BH43&lt;&gt;"""", INDEX(rowData,1,6)=BH43),1,0) +
        IF(AND(BI43&lt;&gt;"""", INDEX(rowData,1,7"&amp;")=BI43),1,0) +
        IF(AND(BJ43&lt;&gt;"""", INDEX(rowData,1,8)=BJ43),1,0)
      ) - COUNTIF(BC43:BJ43, ""-"")
        - COUNTIF(BC43:BJ43, ""固定格式，不需提供資訊"")
        - COUNTIF(BC43:BJ43, ""由MKT更新，此欄位固定格式，不需提供資訊
(Voucher CID：12917705872)"")
        - COUNTIF(B"&amp;"C43:BJ43, ""text固定為以下：
※直播間僅支援手機版"")
        - COUNTIF(BC43:BJ43, ""text固定為以下：
※短影音僅支援手機版"")
    )
  ), 
  0
)
"),0)</f>
        <v>0</v>
      </c>
      <c r="BM43" s="77" t="b">
        <v>0</v>
      </c>
      <c r="BN43" s="85"/>
      <c r="BO43" s="85"/>
    </row>
    <row r="44" spans="1:67" ht="30" customHeight="1">
      <c r="A44" s="73" t="str">
        <f t="array" aca="1" ref="A44" ca="1">IFERROR(TRANSPOSE(INDIRECT('MS section版配(Old)'!$AO44)),"")</f>
        <v/>
      </c>
      <c r="B44" s="94"/>
      <c r="C44" s="94"/>
      <c r="D44" s="94"/>
      <c r="E44" s="94"/>
      <c r="F44" s="92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397" t="str">
        <f>IFERROR(VLOOKUP($AQ44,'(勿動)組件目錄表'!$D$15:$R$1094,4,FALSE),"")</f>
        <v/>
      </c>
      <c r="AF44" s="384"/>
      <c r="AG44" s="384"/>
      <c r="AH44" s="384"/>
      <c r="AI44" s="384"/>
      <c r="AJ44" s="385"/>
      <c r="AK44" s="54" t="b">
        <v>0</v>
      </c>
      <c r="AL44" s="54" t="b">
        <v>0</v>
      </c>
      <c r="AM44" s="54"/>
      <c r="AN44" s="7" t="str">
        <v>036</v>
      </c>
      <c r="AO44" s="7"/>
      <c r="AP44" s="62"/>
      <c r="AQ44" s="75" t="str">
        <v/>
      </c>
      <c r="AR44" s="75" t="str">
        <v>-</v>
      </c>
      <c r="AS44" s="11"/>
      <c r="AT44" s="77" t="str">
        <v>-</v>
      </c>
      <c r="AU44" s="11" t="str">
        <v>-</v>
      </c>
      <c r="AV44" s="84"/>
      <c r="AW44" s="86" t="str">
        <f ca="1"/>
        <v>-</v>
      </c>
      <c r="AX44" s="86" t="b">
        <v>0</v>
      </c>
      <c r="AY44" s="68" t="str">
        <f t="shared" si="0"/>
        <v/>
      </c>
      <c r="AZ44" s="69" t="str">
        <f t="shared" si="1"/>
        <v/>
      </c>
      <c r="BA44" s="70" t="str">
        <f t="shared" si="2"/>
        <v/>
      </c>
      <c r="BB44" s="68" t="str">
        <f t="shared" si="3"/>
        <v/>
      </c>
      <c r="BC44" s="69" t="str">
        <f>IFERROR(VLOOKUP($AQ44,'(勿動)組件目錄表'!$D$15:$R$1094,7,FALSE),"")</f>
        <v/>
      </c>
      <c r="BD44" s="69" t="str">
        <f>IFERROR(VLOOKUP($AQ44,'(勿動)組件目錄表'!$D$15:$R$1094,8,FALSE),"")</f>
        <v/>
      </c>
      <c r="BE44" s="69" t="str">
        <f>IFERROR(VLOOKUP($AQ44,'(勿動)組件目錄表'!$D$15:$R$1094,9,FALSE),"")</f>
        <v/>
      </c>
      <c r="BF44" s="69" t="str">
        <f>IFERROR(VLOOKUP($AQ44,'(勿動)組件目錄表'!$D$15:$R$1094,10,FALSE),"")</f>
        <v/>
      </c>
      <c r="BG44" s="69" t="str">
        <f>IFERROR(VLOOKUP($AQ44,'(勿動)組件目錄表'!$D$15:$R$1094,11,FALSE),"")</f>
        <v/>
      </c>
      <c r="BH44" s="69" t="str">
        <f>IFERROR(VLOOKUP($AQ44,'(勿動)組件目錄表'!$D$15:$R$1094,12,FALSE),"")</f>
        <v/>
      </c>
      <c r="BI44" s="69" t="str">
        <f>IFERROR(VLOOKUP($AQ44,'(勿動)組件目錄表'!$D$15:$R$1094,13,FALSE),"")</f>
        <v/>
      </c>
      <c r="BJ44" s="69" t="str">
        <f>IFERROR(VLOOKUP($AQ44,'(勿動)組件目錄表'!$D$15:$R$1094,14,FALSE),"")</f>
        <v/>
      </c>
      <c r="BK44" s="69" t="str">
        <f>IFERROR(VLOOKUP($AQ44,'(勿動)組件目錄表'!$D$15:$R$1094,15,FALSE),"")</f>
        <v/>
      </c>
      <c r="BL44" s="81">
        <f ca="1">IFERROR(__xludf.DUMMYFUNCTION("IFERROR(
  LET(
    rowData, FILTER('(勿動)組件目錄表'!J:Q, '(勿動)組件目錄表'!D:D=AQ44),
    IF(ROWS(rowData)=0, 0, 
      (
        IF(AND(BC44&lt;&gt;"""", INDEX(rowData,1,1)=BC44),1,0) +
        IF(AND(BD44&lt;&gt;"""", INDEX(rowData,1,2)=BD44),1,0) +
        IF(AND(BE44&lt;&gt;"""""&amp;", INDEX(rowData,1,3)=BE44),1,0) +
        IF(AND(BF44&lt;&gt;"""", INDEX(rowData,1,4)=BF44),1,0) +
        IF(AND(BG44&lt;&gt;"""", INDEX(rowData,1,5)=BG44),1,0) +
        IF(AND(BH44&lt;&gt;"""", INDEX(rowData,1,6)=BH44),1,0) +
        IF(AND(BI44&lt;&gt;"""", INDEX(rowData,1,7"&amp;")=BI44),1,0) +
        IF(AND(BJ44&lt;&gt;"""", INDEX(rowData,1,8)=BJ44),1,0)
      ) - COUNTIF(BC44:BJ44, ""-"")
        - COUNTIF(BC44:BJ44, ""固定格式，不需提供資訊"")
        - COUNTIF(BC44:BJ44, ""由MKT更新，此欄位固定格式，不需提供資訊
(Voucher CID：12917705872)"")
        - COUNTIF(B"&amp;"C44:BJ44, ""text固定為以下：
※直播間僅支援手機版"")
        - COUNTIF(BC44:BJ44, ""text固定為以下：
※短影音僅支援手機版"")
    )
  ), 
  0
)
"),0)</f>
        <v>0</v>
      </c>
      <c r="BM44" s="77" t="b">
        <v>0</v>
      </c>
      <c r="BN44" s="85"/>
      <c r="BO44" s="85"/>
    </row>
    <row r="45" spans="1:67" ht="30" customHeight="1">
      <c r="A45" s="73" t="str">
        <f t="array" aca="1" ref="A45" ca="1">IFERROR(TRANSPOSE(INDIRECT('MS section版配(Old)'!$AO45)),"")</f>
        <v/>
      </c>
      <c r="B45" s="94"/>
      <c r="C45" s="94"/>
      <c r="D45" s="94"/>
      <c r="E45" s="94"/>
      <c r="F45" s="92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  <c r="AD45" s="94"/>
      <c r="AE45" s="397" t="str">
        <f>IFERROR(VLOOKUP($AQ45,'(勿動)組件目錄表'!$D$15:$R$1094,4,FALSE),"")</f>
        <v/>
      </c>
      <c r="AF45" s="384"/>
      <c r="AG45" s="384"/>
      <c r="AH45" s="384"/>
      <c r="AI45" s="384"/>
      <c r="AJ45" s="385"/>
      <c r="AK45" s="54" t="b">
        <v>0</v>
      </c>
      <c r="AL45" s="54" t="b">
        <v>0</v>
      </c>
      <c r="AM45" s="54"/>
      <c r="AN45" s="7" t="str">
        <v>037</v>
      </c>
      <c r="AO45" s="7"/>
      <c r="AP45" s="62"/>
      <c r="AQ45" s="75" t="str">
        <v/>
      </c>
      <c r="AR45" s="75" t="str">
        <v>-</v>
      </c>
      <c r="AS45" s="11"/>
      <c r="AT45" s="77" t="str">
        <v>-</v>
      </c>
      <c r="AU45" s="11" t="str">
        <v>-</v>
      </c>
      <c r="AV45" s="84"/>
      <c r="AW45" s="86" t="str">
        <f ca="1"/>
        <v>-</v>
      </c>
      <c r="AX45" s="86" t="b">
        <v>0</v>
      </c>
      <c r="AY45" s="68" t="str">
        <f t="shared" si="0"/>
        <v/>
      </c>
      <c r="AZ45" s="69" t="str">
        <f t="shared" si="1"/>
        <v/>
      </c>
      <c r="BA45" s="70" t="str">
        <f t="shared" si="2"/>
        <v/>
      </c>
      <c r="BB45" s="68" t="str">
        <f t="shared" si="3"/>
        <v/>
      </c>
      <c r="BC45" s="69" t="str">
        <f>IFERROR(VLOOKUP($AQ45,'(勿動)組件目錄表'!$D$15:$R$1094,7,FALSE),"")</f>
        <v/>
      </c>
      <c r="BD45" s="69" t="str">
        <f>IFERROR(VLOOKUP($AQ45,'(勿動)組件目錄表'!$D$15:$R$1094,8,FALSE),"")</f>
        <v/>
      </c>
      <c r="BE45" s="69" t="str">
        <f>IFERROR(VLOOKUP($AQ45,'(勿動)組件目錄表'!$D$15:$R$1094,9,FALSE),"")</f>
        <v/>
      </c>
      <c r="BF45" s="69" t="str">
        <f>IFERROR(VLOOKUP($AQ45,'(勿動)組件目錄表'!$D$15:$R$1094,10,FALSE),"")</f>
        <v/>
      </c>
      <c r="BG45" s="69" t="str">
        <f>IFERROR(VLOOKUP($AQ45,'(勿動)組件目錄表'!$D$15:$R$1094,11,FALSE),"")</f>
        <v/>
      </c>
      <c r="BH45" s="69" t="str">
        <f>IFERROR(VLOOKUP($AQ45,'(勿動)組件目錄表'!$D$15:$R$1094,12,FALSE),"")</f>
        <v/>
      </c>
      <c r="BI45" s="69" t="str">
        <f>IFERROR(VLOOKUP($AQ45,'(勿動)組件目錄表'!$D$15:$R$1094,13,FALSE),"")</f>
        <v/>
      </c>
      <c r="BJ45" s="69" t="str">
        <f>IFERROR(VLOOKUP($AQ45,'(勿動)組件目錄表'!$D$15:$R$1094,14,FALSE),"")</f>
        <v/>
      </c>
      <c r="BK45" s="69" t="str">
        <f>IFERROR(VLOOKUP($AQ45,'(勿動)組件目錄表'!$D$15:$R$1094,15,FALSE),"")</f>
        <v/>
      </c>
      <c r="BL45" s="81">
        <f ca="1">IFERROR(__xludf.DUMMYFUNCTION("IFERROR(
  LET(
    rowData, FILTER('(勿動)組件目錄表'!J:Q, '(勿動)組件目錄表'!D:D=AQ45),
    IF(ROWS(rowData)=0, 0, 
      (
        IF(AND(BC45&lt;&gt;"""", INDEX(rowData,1,1)=BC45),1,0) +
        IF(AND(BD45&lt;&gt;"""", INDEX(rowData,1,2)=BD45),1,0) +
        IF(AND(BE45&lt;&gt;"""""&amp;", INDEX(rowData,1,3)=BE45),1,0) +
        IF(AND(BF45&lt;&gt;"""", INDEX(rowData,1,4)=BF45),1,0) +
        IF(AND(BG45&lt;&gt;"""", INDEX(rowData,1,5)=BG45),1,0) +
        IF(AND(BH45&lt;&gt;"""", INDEX(rowData,1,6)=BH45),1,0) +
        IF(AND(BI45&lt;&gt;"""", INDEX(rowData,1,7"&amp;")=BI45),1,0) +
        IF(AND(BJ45&lt;&gt;"""", INDEX(rowData,1,8)=BJ45),1,0)
      ) - COUNTIF(BC45:BJ45, ""-"")
        - COUNTIF(BC45:BJ45, ""固定格式，不需提供資訊"")
        - COUNTIF(BC45:BJ45, ""由MKT更新，此欄位固定格式，不需提供資訊
(Voucher CID：12917705872)"")
        - COUNTIF(B"&amp;"C45:BJ45, ""text固定為以下：
※直播間僅支援手機版"")
        - COUNTIF(BC45:BJ45, ""text固定為以下：
※短影音僅支援手機版"")
    )
  ), 
  0
)
"),0)</f>
        <v>0</v>
      </c>
      <c r="BM45" s="77" t="b">
        <v>0</v>
      </c>
      <c r="BN45" s="85"/>
      <c r="BO45" s="85"/>
    </row>
    <row r="46" spans="1:67" ht="30" customHeight="1">
      <c r="A46" s="73" t="str">
        <f t="array" aca="1" ref="A46" ca="1">IFERROR(TRANSPOSE(INDIRECT('MS section版配(Old)'!$AO46)),"")</f>
        <v/>
      </c>
      <c r="B46" s="94"/>
      <c r="C46" s="94"/>
      <c r="D46" s="94"/>
      <c r="E46" s="94"/>
      <c r="F46" s="92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  <c r="AE46" s="397" t="str">
        <f>IFERROR(VLOOKUP($AQ46,'(勿動)組件目錄表'!$D$15:$R$1094,4,FALSE),"")</f>
        <v/>
      </c>
      <c r="AF46" s="384"/>
      <c r="AG46" s="384"/>
      <c r="AH46" s="384"/>
      <c r="AI46" s="384"/>
      <c r="AJ46" s="385"/>
      <c r="AK46" s="54" t="b">
        <v>0</v>
      </c>
      <c r="AL46" s="54" t="b">
        <v>0</v>
      </c>
      <c r="AM46" s="54"/>
      <c r="AN46" s="7" t="str">
        <v>038</v>
      </c>
      <c r="AO46" s="7"/>
      <c r="AP46" s="62"/>
      <c r="AQ46" s="75" t="str">
        <v/>
      </c>
      <c r="AR46" s="75" t="str">
        <v>-</v>
      </c>
      <c r="AS46" s="11"/>
      <c r="AT46" s="77" t="str">
        <v>-</v>
      </c>
      <c r="AU46" s="11" t="str">
        <v>-</v>
      </c>
      <c r="AV46" s="84"/>
      <c r="AW46" s="86" t="str">
        <f ca="1"/>
        <v>-</v>
      </c>
      <c r="AX46" s="86" t="b">
        <v>0</v>
      </c>
      <c r="AY46" s="68" t="str">
        <f t="shared" si="0"/>
        <v/>
      </c>
      <c r="AZ46" s="69" t="str">
        <f t="shared" si="1"/>
        <v/>
      </c>
      <c r="BA46" s="70" t="str">
        <f t="shared" si="2"/>
        <v/>
      </c>
      <c r="BB46" s="68" t="str">
        <f t="shared" si="3"/>
        <v/>
      </c>
      <c r="BC46" s="69" t="str">
        <f>IFERROR(VLOOKUP($AQ46,'(勿動)組件目錄表'!$D$15:$R$1094,7,FALSE),"")</f>
        <v/>
      </c>
      <c r="BD46" s="69" t="str">
        <f>IFERROR(VLOOKUP($AQ46,'(勿動)組件目錄表'!$D$15:$R$1094,8,FALSE),"")</f>
        <v/>
      </c>
      <c r="BE46" s="69" t="str">
        <f>IFERROR(VLOOKUP($AQ46,'(勿動)組件目錄表'!$D$15:$R$1094,9,FALSE),"")</f>
        <v/>
      </c>
      <c r="BF46" s="69" t="str">
        <f>IFERROR(VLOOKUP($AQ46,'(勿動)組件目錄表'!$D$15:$R$1094,10,FALSE),"")</f>
        <v/>
      </c>
      <c r="BG46" s="69" t="str">
        <f>IFERROR(VLOOKUP($AQ46,'(勿動)組件目錄表'!$D$15:$R$1094,11,FALSE),"")</f>
        <v/>
      </c>
      <c r="BH46" s="69" t="str">
        <f>IFERROR(VLOOKUP($AQ46,'(勿動)組件目錄表'!$D$15:$R$1094,12,FALSE),"")</f>
        <v/>
      </c>
      <c r="BI46" s="69" t="str">
        <f>IFERROR(VLOOKUP($AQ46,'(勿動)組件目錄表'!$D$15:$R$1094,13,FALSE),"")</f>
        <v/>
      </c>
      <c r="BJ46" s="69" t="str">
        <f>IFERROR(VLOOKUP($AQ46,'(勿動)組件目錄表'!$D$15:$R$1094,14,FALSE),"")</f>
        <v/>
      </c>
      <c r="BK46" s="69" t="str">
        <f>IFERROR(VLOOKUP($AQ46,'(勿動)組件目錄表'!$D$15:$R$1094,15,FALSE),"")</f>
        <v/>
      </c>
      <c r="BL46" s="81">
        <f ca="1">IFERROR(__xludf.DUMMYFUNCTION("IFERROR(
  LET(
    rowData, FILTER('(勿動)組件目錄表'!J:Q, '(勿動)組件目錄表'!D:D=AQ46),
    IF(ROWS(rowData)=0, 0, 
      (
        IF(AND(BC46&lt;&gt;"""", INDEX(rowData,1,1)=BC46),1,0) +
        IF(AND(BD46&lt;&gt;"""", INDEX(rowData,1,2)=BD46),1,0) +
        IF(AND(BE46&lt;&gt;"""""&amp;", INDEX(rowData,1,3)=BE46),1,0) +
        IF(AND(BF46&lt;&gt;"""", INDEX(rowData,1,4)=BF46),1,0) +
        IF(AND(BG46&lt;&gt;"""", INDEX(rowData,1,5)=BG46),1,0) +
        IF(AND(BH46&lt;&gt;"""", INDEX(rowData,1,6)=BH46),1,0) +
        IF(AND(BI46&lt;&gt;"""", INDEX(rowData,1,7"&amp;")=BI46),1,0) +
        IF(AND(BJ46&lt;&gt;"""", INDEX(rowData,1,8)=BJ46),1,0)
      ) - COUNTIF(BC46:BJ46, ""-"")
        - COUNTIF(BC46:BJ46, ""固定格式，不需提供資訊"")
        - COUNTIF(BC46:BJ46, ""由MKT更新，此欄位固定格式，不需提供資訊
(Voucher CID：12917705872)"")
        - COUNTIF(B"&amp;"C46:BJ46, ""text固定為以下：
※直播間僅支援手機版"")
        - COUNTIF(BC46:BJ46, ""text固定為以下：
※短影音僅支援手機版"")
    )
  ), 
  0
)
"),0)</f>
        <v>0</v>
      </c>
      <c r="BM46" s="77" t="b">
        <v>0</v>
      </c>
      <c r="BN46" s="85"/>
      <c r="BO46" s="85"/>
    </row>
    <row r="47" spans="1:67" ht="30" customHeight="1">
      <c r="A47" s="73" t="str">
        <f t="array" aca="1" ref="A47" ca="1">IFERROR(TRANSPOSE(INDIRECT('MS section版配(Old)'!$AO47)),"")</f>
        <v/>
      </c>
      <c r="B47" s="94"/>
      <c r="C47" s="94"/>
      <c r="D47" s="94"/>
      <c r="E47" s="94"/>
      <c r="F47" s="92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  <c r="AD47" s="94"/>
      <c r="AE47" s="397" t="str">
        <f>IFERROR(VLOOKUP($AQ47,'(勿動)組件目錄表'!$D$15:$R$1094,4,FALSE),"")</f>
        <v/>
      </c>
      <c r="AF47" s="384"/>
      <c r="AG47" s="384"/>
      <c r="AH47" s="384"/>
      <c r="AI47" s="384"/>
      <c r="AJ47" s="385"/>
      <c r="AK47" s="54" t="b">
        <v>0</v>
      </c>
      <c r="AL47" s="54" t="b">
        <v>0</v>
      </c>
      <c r="AM47" s="54"/>
      <c r="AN47" s="7" t="str">
        <v>039</v>
      </c>
      <c r="AO47" s="7"/>
      <c r="AP47" s="62"/>
      <c r="AQ47" s="75" t="str">
        <v/>
      </c>
      <c r="AR47" s="75" t="str">
        <v>-</v>
      </c>
      <c r="AS47" s="11"/>
      <c r="AT47" s="77" t="str">
        <v>-</v>
      </c>
      <c r="AU47" s="11" t="str">
        <v>-</v>
      </c>
      <c r="AV47" s="84"/>
      <c r="AW47" s="86" t="str">
        <f ca="1"/>
        <v>-</v>
      </c>
      <c r="AX47" s="86" t="b">
        <v>0</v>
      </c>
      <c r="AY47" s="68" t="str">
        <f t="shared" si="0"/>
        <v/>
      </c>
      <c r="AZ47" s="69" t="str">
        <f t="shared" si="1"/>
        <v/>
      </c>
      <c r="BA47" s="70" t="str">
        <f t="shared" si="2"/>
        <v/>
      </c>
      <c r="BB47" s="68" t="str">
        <f t="shared" si="3"/>
        <v/>
      </c>
      <c r="BC47" s="69" t="str">
        <f>IFERROR(VLOOKUP($AQ47,'(勿動)組件目錄表'!$D$15:$R$1094,7,FALSE),"")</f>
        <v/>
      </c>
      <c r="BD47" s="69" t="str">
        <f>IFERROR(VLOOKUP($AQ47,'(勿動)組件目錄表'!$D$15:$R$1094,8,FALSE),"")</f>
        <v/>
      </c>
      <c r="BE47" s="69" t="str">
        <f>IFERROR(VLOOKUP($AQ47,'(勿動)組件目錄表'!$D$15:$R$1094,9,FALSE),"")</f>
        <v/>
      </c>
      <c r="BF47" s="69" t="str">
        <f>IFERROR(VLOOKUP($AQ47,'(勿動)組件目錄表'!$D$15:$R$1094,10,FALSE),"")</f>
        <v/>
      </c>
      <c r="BG47" s="69" t="str">
        <f>IFERROR(VLOOKUP($AQ47,'(勿動)組件目錄表'!$D$15:$R$1094,11,FALSE),"")</f>
        <v/>
      </c>
      <c r="BH47" s="69" t="str">
        <f>IFERROR(VLOOKUP($AQ47,'(勿動)組件目錄表'!$D$15:$R$1094,12,FALSE),"")</f>
        <v/>
      </c>
      <c r="BI47" s="69" t="str">
        <f>IFERROR(VLOOKUP($AQ47,'(勿動)組件目錄表'!$D$15:$R$1094,13,FALSE),"")</f>
        <v/>
      </c>
      <c r="BJ47" s="69" t="str">
        <f>IFERROR(VLOOKUP($AQ47,'(勿動)組件目錄表'!$D$15:$R$1094,14,FALSE),"")</f>
        <v/>
      </c>
      <c r="BK47" s="69" t="str">
        <f>IFERROR(VLOOKUP($AQ47,'(勿動)組件目錄表'!$D$15:$R$1094,15,FALSE),"")</f>
        <v/>
      </c>
      <c r="BL47" s="81">
        <f ca="1">IFERROR(__xludf.DUMMYFUNCTION("IFERROR(
  LET(
    rowData, FILTER('(勿動)組件目錄表'!J:Q, '(勿動)組件目錄表'!D:D=AQ47),
    IF(ROWS(rowData)=0, 0, 
      (
        IF(AND(BC47&lt;&gt;"""", INDEX(rowData,1,1)=BC47),1,0) +
        IF(AND(BD47&lt;&gt;"""", INDEX(rowData,1,2)=BD47),1,0) +
        IF(AND(BE47&lt;&gt;"""""&amp;", INDEX(rowData,1,3)=BE47),1,0) +
        IF(AND(BF47&lt;&gt;"""", INDEX(rowData,1,4)=BF47),1,0) +
        IF(AND(BG47&lt;&gt;"""", INDEX(rowData,1,5)=BG47),1,0) +
        IF(AND(BH47&lt;&gt;"""", INDEX(rowData,1,6)=BH47),1,0) +
        IF(AND(BI47&lt;&gt;"""", INDEX(rowData,1,7"&amp;")=BI47),1,0) +
        IF(AND(BJ47&lt;&gt;"""", INDEX(rowData,1,8)=BJ47),1,0)
      ) - COUNTIF(BC47:BJ47, ""-"")
        - COUNTIF(BC47:BJ47, ""固定格式，不需提供資訊"")
        - COUNTIF(BC47:BJ47, ""由MKT更新，此欄位固定格式，不需提供資訊
(Voucher CID：12917705872)"")
        - COUNTIF(B"&amp;"C47:BJ47, ""text固定為以下：
※直播間僅支援手機版"")
        - COUNTIF(BC47:BJ47, ""text固定為以下：
※短影音僅支援手機版"")
    )
  ), 
  0
)
"),0)</f>
        <v>0</v>
      </c>
      <c r="BM47" s="77" t="b">
        <v>0</v>
      </c>
      <c r="BN47" s="85"/>
      <c r="BO47" s="85"/>
    </row>
    <row r="48" spans="1:67" ht="30" customHeight="1">
      <c r="A48" s="73" t="str">
        <f t="array" aca="1" ref="A48" ca="1">IFERROR(TRANSPOSE(INDIRECT('MS section版配(Old)'!$AO48)),"")</f>
        <v/>
      </c>
      <c r="B48" s="94"/>
      <c r="C48" s="94"/>
      <c r="D48" s="94"/>
      <c r="E48" s="94"/>
      <c r="F48" s="92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  <c r="AD48" s="94"/>
      <c r="AE48" s="397" t="str">
        <f>IFERROR(VLOOKUP($AQ48,'(勿動)組件目錄表'!$D$15:$R$1094,4,FALSE),"")</f>
        <v/>
      </c>
      <c r="AF48" s="384"/>
      <c r="AG48" s="384"/>
      <c r="AH48" s="384"/>
      <c r="AI48" s="384"/>
      <c r="AJ48" s="385"/>
      <c r="AK48" s="54" t="b">
        <v>0</v>
      </c>
      <c r="AL48" s="54" t="b">
        <v>0</v>
      </c>
      <c r="AM48" s="54"/>
      <c r="AN48" s="7" t="str">
        <v>040</v>
      </c>
      <c r="AO48" s="7"/>
      <c r="AP48" s="62"/>
      <c r="AQ48" s="75" t="str">
        <v/>
      </c>
      <c r="AR48" s="75" t="str">
        <v>-</v>
      </c>
      <c r="AS48" s="11"/>
      <c r="AT48" s="77" t="str">
        <v>-</v>
      </c>
      <c r="AU48" s="11" t="str">
        <v>-</v>
      </c>
      <c r="AV48" s="84"/>
      <c r="AW48" s="86" t="str">
        <f ca="1"/>
        <v>-</v>
      </c>
      <c r="AX48" s="86" t="b">
        <v>0</v>
      </c>
      <c r="AY48" s="68" t="str">
        <f t="shared" si="0"/>
        <v/>
      </c>
      <c r="AZ48" s="69" t="str">
        <f t="shared" si="1"/>
        <v/>
      </c>
      <c r="BA48" s="70" t="str">
        <f t="shared" si="2"/>
        <v/>
      </c>
      <c r="BB48" s="68" t="str">
        <f t="shared" si="3"/>
        <v/>
      </c>
      <c r="BC48" s="69" t="str">
        <f>IFERROR(VLOOKUP($AQ48,'(勿動)組件目錄表'!$D$15:$R$1094,7,FALSE),"")</f>
        <v/>
      </c>
      <c r="BD48" s="69" t="str">
        <f>IFERROR(VLOOKUP($AQ48,'(勿動)組件目錄表'!$D$15:$R$1094,8,FALSE),"")</f>
        <v/>
      </c>
      <c r="BE48" s="69" t="str">
        <f>IFERROR(VLOOKUP($AQ48,'(勿動)組件目錄表'!$D$15:$R$1094,9,FALSE),"")</f>
        <v/>
      </c>
      <c r="BF48" s="69" t="str">
        <f>IFERROR(VLOOKUP($AQ48,'(勿動)組件目錄表'!$D$15:$R$1094,10,FALSE),"")</f>
        <v/>
      </c>
      <c r="BG48" s="69" t="str">
        <f>IFERROR(VLOOKUP($AQ48,'(勿動)組件目錄表'!$D$15:$R$1094,11,FALSE),"")</f>
        <v/>
      </c>
      <c r="BH48" s="69" t="str">
        <f>IFERROR(VLOOKUP($AQ48,'(勿動)組件目錄表'!$D$15:$R$1094,12,FALSE),"")</f>
        <v/>
      </c>
      <c r="BI48" s="69" t="str">
        <f>IFERROR(VLOOKUP($AQ48,'(勿動)組件目錄表'!$D$15:$R$1094,13,FALSE),"")</f>
        <v/>
      </c>
      <c r="BJ48" s="69" t="str">
        <f>IFERROR(VLOOKUP($AQ48,'(勿動)組件目錄表'!$D$15:$R$1094,14,FALSE),"")</f>
        <v/>
      </c>
      <c r="BK48" s="69" t="str">
        <f>IFERROR(VLOOKUP($AQ48,'(勿動)組件目錄表'!$D$15:$R$1094,15,FALSE),"")</f>
        <v/>
      </c>
      <c r="BL48" s="81">
        <f ca="1">IFERROR(__xludf.DUMMYFUNCTION("IFERROR(
  LET(
    rowData, FILTER('(勿動)組件目錄表'!J:Q, '(勿動)組件目錄表'!D:D=AQ48),
    IF(ROWS(rowData)=0, 0, 
      (
        IF(AND(BC48&lt;&gt;"""", INDEX(rowData,1,1)=BC48),1,0) +
        IF(AND(BD48&lt;&gt;"""", INDEX(rowData,1,2)=BD48),1,0) +
        IF(AND(BE48&lt;&gt;"""""&amp;", INDEX(rowData,1,3)=BE48),1,0) +
        IF(AND(BF48&lt;&gt;"""", INDEX(rowData,1,4)=BF48),1,0) +
        IF(AND(BG48&lt;&gt;"""", INDEX(rowData,1,5)=BG48),1,0) +
        IF(AND(BH48&lt;&gt;"""", INDEX(rowData,1,6)=BH48),1,0) +
        IF(AND(BI48&lt;&gt;"""", INDEX(rowData,1,7"&amp;")=BI48),1,0) +
        IF(AND(BJ48&lt;&gt;"""", INDEX(rowData,1,8)=BJ48),1,0)
      ) - COUNTIF(BC48:BJ48, ""-"")
        - COUNTIF(BC48:BJ48, ""固定格式，不需提供資訊"")
        - COUNTIF(BC48:BJ48, ""由MKT更新，此欄位固定格式，不需提供資訊
(Voucher CID：12917705872)"")
        - COUNTIF(B"&amp;"C48:BJ48, ""text固定為以下：
※直播間僅支援手機版"")
        - COUNTIF(BC48:BJ48, ""text固定為以下：
※短影音僅支援手機版"")
    )
  ), 
  0
)
"),0)</f>
        <v>0</v>
      </c>
      <c r="BM48" s="77" t="b">
        <v>0</v>
      </c>
      <c r="BN48" s="85"/>
      <c r="BO48" s="85"/>
    </row>
    <row r="49" spans="1:67" ht="30" customHeight="1">
      <c r="A49" s="73" t="str">
        <f t="array" aca="1" ref="A49" ca="1">IFERROR(TRANSPOSE(INDIRECT('MS section版配(Old)'!$AO49)),"")</f>
        <v/>
      </c>
      <c r="B49" s="94"/>
      <c r="C49" s="94"/>
      <c r="D49" s="94"/>
      <c r="E49" s="94"/>
      <c r="F49" s="92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  <c r="AD49" s="94"/>
      <c r="AE49" s="397" t="str">
        <f>IFERROR(VLOOKUP($AQ49,'(勿動)組件目錄表'!$D$15:$R$1094,4,FALSE),"")</f>
        <v/>
      </c>
      <c r="AF49" s="384"/>
      <c r="AG49" s="384"/>
      <c r="AH49" s="384"/>
      <c r="AI49" s="384"/>
      <c r="AJ49" s="385"/>
      <c r="AK49" s="54" t="b">
        <v>0</v>
      </c>
      <c r="AL49" s="54" t="b">
        <v>0</v>
      </c>
      <c r="AM49" s="54"/>
      <c r="AN49" s="7" t="str">
        <v>041</v>
      </c>
      <c r="AO49" s="7"/>
      <c r="AP49" s="62"/>
      <c r="AQ49" s="75" t="str">
        <v/>
      </c>
      <c r="AR49" s="75" t="str">
        <v>-</v>
      </c>
      <c r="AS49" s="11"/>
      <c r="AT49" s="77" t="str">
        <v>-</v>
      </c>
      <c r="AU49" s="11" t="str">
        <v>-</v>
      </c>
      <c r="AV49" s="84"/>
      <c r="AW49" s="86" t="str">
        <f ca="1"/>
        <v>-</v>
      </c>
      <c r="AX49" s="86" t="b">
        <v>0</v>
      </c>
      <c r="AY49" s="68" t="str">
        <f t="shared" si="0"/>
        <v/>
      </c>
      <c r="AZ49" s="69" t="str">
        <f t="shared" si="1"/>
        <v/>
      </c>
      <c r="BA49" s="70" t="str">
        <f t="shared" si="2"/>
        <v/>
      </c>
      <c r="BB49" s="68" t="str">
        <f t="shared" si="3"/>
        <v/>
      </c>
      <c r="BC49" s="69" t="str">
        <f>IFERROR(VLOOKUP($AQ49,'(勿動)組件目錄表'!$D$15:$R$1094,7,FALSE),"")</f>
        <v/>
      </c>
      <c r="BD49" s="69" t="str">
        <f>IFERROR(VLOOKUP($AQ49,'(勿動)組件目錄表'!$D$15:$R$1094,8,FALSE),"")</f>
        <v/>
      </c>
      <c r="BE49" s="69" t="str">
        <f>IFERROR(VLOOKUP($AQ49,'(勿動)組件目錄表'!$D$15:$R$1094,9,FALSE),"")</f>
        <v/>
      </c>
      <c r="BF49" s="69" t="str">
        <f>IFERROR(VLOOKUP($AQ49,'(勿動)組件目錄表'!$D$15:$R$1094,10,FALSE),"")</f>
        <v/>
      </c>
      <c r="BG49" s="69" t="str">
        <f>IFERROR(VLOOKUP($AQ49,'(勿動)組件目錄表'!$D$15:$R$1094,11,FALSE),"")</f>
        <v/>
      </c>
      <c r="BH49" s="69" t="str">
        <f>IFERROR(VLOOKUP($AQ49,'(勿動)組件目錄表'!$D$15:$R$1094,12,FALSE),"")</f>
        <v/>
      </c>
      <c r="BI49" s="69" t="str">
        <f>IFERROR(VLOOKUP($AQ49,'(勿動)組件目錄表'!$D$15:$R$1094,13,FALSE),"")</f>
        <v/>
      </c>
      <c r="BJ49" s="69" t="str">
        <f>IFERROR(VLOOKUP($AQ49,'(勿動)組件目錄表'!$D$15:$R$1094,14,FALSE),"")</f>
        <v/>
      </c>
      <c r="BK49" s="69" t="str">
        <f>IFERROR(VLOOKUP($AQ49,'(勿動)組件目錄表'!$D$15:$R$1094,15,FALSE),"")</f>
        <v/>
      </c>
      <c r="BL49" s="81">
        <f ca="1">IFERROR(__xludf.DUMMYFUNCTION("IFERROR(
  LET(
    rowData, FILTER('(勿動)組件目錄表'!J:Q, '(勿動)組件目錄表'!D:D=AQ49),
    IF(ROWS(rowData)=0, 0, 
      (
        IF(AND(BC49&lt;&gt;"""", INDEX(rowData,1,1)=BC49),1,0) +
        IF(AND(BD49&lt;&gt;"""", INDEX(rowData,1,2)=BD49),1,0) +
        IF(AND(BE49&lt;&gt;"""""&amp;", INDEX(rowData,1,3)=BE49),1,0) +
        IF(AND(BF49&lt;&gt;"""", INDEX(rowData,1,4)=BF49),1,0) +
        IF(AND(BG49&lt;&gt;"""", INDEX(rowData,1,5)=BG49),1,0) +
        IF(AND(BH49&lt;&gt;"""", INDEX(rowData,1,6)=BH49),1,0) +
        IF(AND(BI49&lt;&gt;"""", INDEX(rowData,1,7"&amp;")=BI49),1,0) +
        IF(AND(BJ49&lt;&gt;"""", INDEX(rowData,1,8)=BJ49),1,0)
      ) - COUNTIF(BC49:BJ49, ""-"")
        - COUNTIF(BC49:BJ49, ""固定格式，不需提供資訊"")
        - COUNTIF(BC49:BJ49, ""由MKT更新，此欄位固定格式，不需提供資訊
(Voucher CID：12917705872)"")
        - COUNTIF(B"&amp;"C49:BJ49, ""text固定為以下：
※直播間僅支援手機版"")
        - COUNTIF(BC49:BJ49, ""text固定為以下：
※短影音僅支援手機版"")
    )
  ), 
  0
)
"),0)</f>
        <v>0</v>
      </c>
      <c r="BM49" s="77" t="b">
        <v>0</v>
      </c>
      <c r="BN49" s="85"/>
      <c r="BO49" s="85"/>
    </row>
    <row r="50" spans="1:67" ht="30" customHeight="1">
      <c r="A50" s="73" t="str">
        <f t="array" aca="1" ref="A50" ca="1">IFERROR(TRANSPOSE(INDIRECT('MS section版配(Old)'!$AO50)),"")</f>
        <v/>
      </c>
      <c r="B50" s="94"/>
      <c r="C50" s="94"/>
      <c r="D50" s="94"/>
      <c r="E50" s="94"/>
      <c r="F50" s="92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  <c r="AD50" s="94"/>
      <c r="AE50" s="397" t="str">
        <f>IFERROR(VLOOKUP($AQ50,'(勿動)組件目錄表'!$D$15:$R$1094,4,FALSE),"")</f>
        <v/>
      </c>
      <c r="AF50" s="384"/>
      <c r="AG50" s="384"/>
      <c r="AH50" s="384"/>
      <c r="AI50" s="384"/>
      <c r="AJ50" s="385"/>
      <c r="AK50" s="54" t="b">
        <v>0</v>
      </c>
      <c r="AL50" s="54" t="b">
        <v>0</v>
      </c>
      <c r="AM50" s="54"/>
      <c r="AN50" s="7" t="str">
        <v>042</v>
      </c>
      <c r="AO50" s="7"/>
      <c r="AP50" s="62"/>
      <c r="AQ50" s="75" t="str">
        <v/>
      </c>
      <c r="AR50" s="75" t="str">
        <v>-</v>
      </c>
      <c r="AS50" s="11"/>
      <c r="AT50" s="77" t="str">
        <v>-</v>
      </c>
      <c r="AU50" s="11" t="str">
        <v>-</v>
      </c>
      <c r="AV50" s="84"/>
      <c r="AW50" s="86" t="str">
        <f ca="1"/>
        <v>-</v>
      </c>
      <c r="AX50" s="86" t="b">
        <v>0</v>
      </c>
      <c r="AY50" s="68" t="str">
        <f t="shared" si="0"/>
        <v/>
      </c>
      <c r="AZ50" s="69" t="str">
        <f t="shared" si="1"/>
        <v/>
      </c>
      <c r="BA50" s="70" t="str">
        <f t="shared" si="2"/>
        <v/>
      </c>
      <c r="BB50" s="68" t="str">
        <f t="shared" si="3"/>
        <v/>
      </c>
      <c r="BC50" s="69" t="str">
        <f>IFERROR(VLOOKUP($AQ50,'(勿動)組件目錄表'!$D$15:$R$1094,7,FALSE),"")</f>
        <v/>
      </c>
      <c r="BD50" s="69" t="str">
        <f>IFERROR(VLOOKUP($AQ50,'(勿動)組件目錄表'!$D$15:$R$1094,8,FALSE),"")</f>
        <v/>
      </c>
      <c r="BE50" s="69" t="str">
        <f>IFERROR(VLOOKUP($AQ50,'(勿動)組件目錄表'!$D$15:$R$1094,9,FALSE),"")</f>
        <v/>
      </c>
      <c r="BF50" s="69" t="str">
        <f>IFERROR(VLOOKUP($AQ50,'(勿動)組件目錄表'!$D$15:$R$1094,10,FALSE),"")</f>
        <v/>
      </c>
      <c r="BG50" s="69" t="str">
        <f>IFERROR(VLOOKUP($AQ50,'(勿動)組件目錄表'!$D$15:$R$1094,11,FALSE),"")</f>
        <v/>
      </c>
      <c r="BH50" s="69" t="str">
        <f>IFERROR(VLOOKUP($AQ50,'(勿動)組件目錄表'!$D$15:$R$1094,12,FALSE),"")</f>
        <v/>
      </c>
      <c r="BI50" s="69" t="str">
        <f>IFERROR(VLOOKUP($AQ50,'(勿動)組件目錄表'!$D$15:$R$1094,13,FALSE),"")</f>
        <v/>
      </c>
      <c r="BJ50" s="69" t="str">
        <f>IFERROR(VLOOKUP($AQ50,'(勿動)組件目錄表'!$D$15:$R$1094,14,FALSE),"")</f>
        <v/>
      </c>
      <c r="BK50" s="69" t="str">
        <f>IFERROR(VLOOKUP($AQ50,'(勿動)組件目錄表'!$D$15:$R$1094,15,FALSE),"")</f>
        <v/>
      </c>
      <c r="BL50" s="81">
        <f ca="1">IFERROR(__xludf.DUMMYFUNCTION("IFERROR(
  LET(
    rowData, FILTER('(勿動)組件目錄表'!J:Q, '(勿動)組件目錄表'!D:D=AQ50),
    IF(ROWS(rowData)=0, 0, 
      (
        IF(AND(BC50&lt;&gt;"""", INDEX(rowData,1,1)=BC50),1,0) +
        IF(AND(BD50&lt;&gt;"""", INDEX(rowData,1,2)=BD50),1,0) +
        IF(AND(BE50&lt;&gt;"""""&amp;", INDEX(rowData,1,3)=BE50),1,0) +
        IF(AND(BF50&lt;&gt;"""", INDEX(rowData,1,4)=BF50),1,0) +
        IF(AND(BG50&lt;&gt;"""", INDEX(rowData,1,5)=BG50),1,0) +
        IF(AND(BH50&lt;&gt;"""", INDEX(rowData,1,6)=BH50),1,0) +
        IF(AND(BI50&lt;&gt;"""", INDEX(rowData,1,7"&amp;")=BI50),1,0) +
        IF(AND(BJ50&lt;&gt;"""", INDEX(rowData,1,8)=BJ50),1,0)
      ) - COUNTIF(BC50:BJ50, ""-"")
        - COUNTIF(BC50:BJ50, ""固定格式，不需提供資訊"")
        - COUNTIF(BC50:BJ50, ""由MKT更新，此欄位固定格式，不需提供資訊
(Voucher CID：12917705872)"")
        - COUNTIF(B"&amp;"C50:BJ50, ""text固定為以下：
※直播間僅支援手機版"")
        - COUNTIF(BC50:BJ50, ""text固定為以下：
※短影音僅支援手機版"")
    )
  ), 
  0
)
"),0)</f>
        <v>0</v>
      </c>
      <c r="BM50" s="77" t="b">
        <v>0</v>
      </c>
      <c r="BN50" s="85"/>
      <c r="BO50" s="85"/>
    </row>
    <row r="51" spans="1:67" ht="30" customHeight="1">
      <c r="A51" s="73" t="str">
        <f t="array" aca="1" ref="A51" ca="1">IFERROR(TRANSPOSE(INDIRECT('MS section版配(Old)'!$AO51)),"")</f>
        <v/>
      </c>
      <c r="B51" s="94"/>
      <c r="C51" s="94"/>
      <c r="D51" s="94"/>
      <c r="E51" s="94"/>
      <c r="F51" s="92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  <c r="AD51" s="94"/>
      <c r="AE51" s="397" t="str">
        <f>IFERROR(VLOOKUP($AQ51,'(勿動)組件目錄表'!$D$15:$R$1094,4,FALSE),"")</f>
        <v/>
      </c>
      <c r="AF51" s="384"/>
      <c r="AG51" s="384"/>
      <c r="AH51" s="384"/>
      <c r="AI51" s="384"/>
      <c r="AJ51" s="385"/>
      <c r="AK51" s="54" t="b">
        <v>0</v>
      </c>
      <c r="AL51" s="54" t="b">
        <v>0</v>
      </c>
      <c r="AM51" s="54"/>
      <c r="AN51" s="7" t="str">
        <v>043</v>
      </c>
      <c r="AO51" s="7"/>
      <c r="AP51" s="62"/>
      <c r="AQ51" s="75" t="str">
        <v/>
      </c>
      <c r="AR51" s="75" t="str">
        <v>-</v>
      </c>
      <c r="AS51" s="11"/>
      <c r="AT51" s="77" t="str">
        <v>-</v>
      </c>
      <c r="AU51" s="11" t="str">
        <v>-</v>
      </c>
      <c r="AV51" s="84"/>
      <c r="AW51" s="86" t="str">
        <f ca="1"/>
        <v>-</v>
      </c>
      <c r="AX51" s="86" t="b">
        <v>0</v>
      </c>
      <c r="AY51" s="68" t="str">
        <f t="shared" si="0"/>
        <v/>
      </c>
      <c r="AZ51" s="69" t="str">
        <f t="shared" si="1"/>
        <v/>
      </c>
      <c r="BA51" s="70" t="str">
        <f t="shared" si="2"/>
        <v/>
      </c>
      <c r="BB51" s="68" t="str">
        <f t="shared" si="3"/>
        <v/>
      </c>
      <c r="BC51" s="69" t="str">
        <f>IFERROR(VLOOKUP($AQ51,'(勿動)組件目錄表'!$D$15:$R$1094,7,FALSE),"")</f>
        <v/>
      </c>
      <c r="BD51" s="69" t="str">
        <f>IFERROR(VLOOKUP($AQ51,'(勿動)組件目錄表'!$D$15:$R$1094,8,FALSE),"")</f>
        <v/>
      </c>
      <c r="BE51" s="69" t="str">
        <f>IFERROR(VLOOKUP($AQ51,'(勿動)組件目錄表'!$D$15:$R$1094,9,FALSE),"")</f>
        <v/>
      </c>
      <c r="BF51" s="69" t="str">
        <f>IFERROR(VLOOKUP($AQ51,'(勿動)組件目錄表'!$D$15:$R$1094,10,FALSE),"")</f>
        <v/>
      </c>
      <c r="BG51" s="69" t="str">
        <f>IFERROR(VLOOKUP($AQ51,'(勿動)組件目錄表'!$D$15:$R$1094,11,FALSE),"")</f>
        <v/>
      </c>
      <c r="BH51" s="69" t="str">
        <f>IFERROR(VLOOKUP($AQ51,'(勿動)組件目錄表'!$D$15:$R$1094,12,FALSE),"")</f>
        <v/>
      </c>
      <c r="BI51" s="69" t="str">
        <f>IFERROR(VLOOKUP($AQ51,'(勿動)組件目錄表'!$D$15:$R$1094,13,FALSE),"")</f>
        <v/>
      </c>
      <c r="BJ51" s="69" t="str">
        <f>IFERROR(VLOOKUP($AQ51,'(勿動)組件目錄表'!$D$15:$R$1094,14,FALSE),"")</f>
        <v/>
      </c>
      <c r="BK51" s="69" t="str">
        <f>IFERROR(VLOOKUP($AQ51,'(勿動)組件目錄表'!$D$15:$R$1094,15,FALSE),"")</f>
        <v/>
      </c>
      <c r="BL51" s="81">
        <f ca="1">IFERROR(__xludf.DUMMYFUNCTION("IFERROR(
  LET(
    rowData, FILTER('(勿動)組件目錄表'!J:Q, '(勿動)組件目錄表'!D:D=AQ51),
    IF(ROWS(rowData)=0, 0, 
      (
        IF(AND(BC51&lt;&gt;"""", INDEX(rowData,1,1)=BC51),1,0) +
        IF(AND(BD51&lt;&gt;"""", INDEX(rowData,1,2)=BD51),1,0) +
        IF(AND(BE51&lt;&gt;"""""&amp;", INDEX(rowData,1,3)=BE51),1,0) +
        IF(AND(BF51&lt;&gt;"""", INDEX(rowData,1,4)=BF51),1,0) +
        IF(AND(BG51&lt;&gt;"""", INDEX(rowData,1,5)=BG51),1,0) +
        IF(AND(BH51&lt;&gt;"""", INDEX(rowData,1,6)=BH51),1,0) +
        IF(AND(BI51&lt;&gt;"""", INDEX(rowData,1,7"&amp;")=BI51),1,0) +
        IF(AND(BJ51&lt;&gt;"""", INDEX(rowData,1,8)=BJ51),1,0)
      ) - COUNTIF(BC51:BJ51, ""-"")
        - COUNTIF(BC51:BJ51, ""固定格式，不需提供資訊"")
        - COUNTIF(BC51:BJ51, ""由MKT更新，此欄位固定格式，不需提供資訊
(Voucher CID：12917705872)"")
        - COUNTIF(B"&amp;"C51:BJ51, ""text固定為以下：
※直播間僅支援手機版"")
        - COUNTIF(BC51:BJ51, ""text固定為以下：
※短影音僅支援手機版"")
    )
  ), 
  0
)
"),0)</f>
        <v>0</v>
      </c>
      <c r="BM51" s="77" t="b">
        <v>0</v>
      </c>
      <c r="BN51" s="85"/>
      <c r="BO51" s="85"/>
    </row>
    <row r="52" spans="1:67" ht="30" customHeight="1">
      <c r="A52" s="73" t="str">
        <f t="array" aca="1" ref="A52" ca="1">IFERROR(TRANSPOSE(INDIRECT('MS section版配(Old)'!$AO52)),"")</f>
        <v/>
      </c>
      <c r="B52" s="94"/>
      <c r="C52" s="94"/>
      <c r="D52" s="94"/>
      <c r="E52" s="94"/>
      <c r="F52" s="92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  <c r="AD52" s="94"/>
      <c r="AE52" s="397" t="str">
        <f>IFERROR(VLOOKUP($AQ52,'(勿動)組件目錄表'!$D$15:$R$1094,4,FALSE),"")</f>
        <v/>
      </c>
      <c r="AF52" s="384"/>
      <c r="AG52" s="384"/>
      <c r="AH52" s="384"/>
      <c r="AI52" s="384"/>
      <c r="AJ52" s="385"/>
      <c r="AK52" s="54" t="b">
        <v>0</v>
      </c>
      <c r="AL52" s="54" t="b">
        <v>0</v>
      </c>
      <c r="AM52" s="54"/>
      <c r="AN52" s="7" t="str">
        <v>044</v>
      </c>
      <c r="AO52" s="7"/>
      <c r="AP52" s="62"/>
      <c r="AQ52" s="75" t="str">
        <v/>
      </c>
      <c r="AR52" s="75" t="str">
        <v>-</v>
      </c>
      <c r="AS52" s="11"/>
      <c r="AT52" s="77" t="str">
        <v>-</v>
      </c>
      <c r="AU52" s="11" t="str">
        <v>-</v>
      </c>
      <c r="AV52" s="84"/>
      <c r="AW52" s="86" t="str">
        <f ca="1"/>
        <v>-</v>
      </c>
      <c r="AX52" s="86" t="b">
        <v>0</v>
      </c>
      <c r="AY52" s="68" t="str">
        <f t="shared" si="0"/>
        <v/>
      </c>
      <c r="AZ52" s="69" t="str">
        <f t="shared" si="1"/>
        <v/>
      </c>
      <c r="BA52" s="70" t="str">
        <f t="shared" si="2"/>
        <v/>
      </c>
      <c r="BB52" s="68" t="str">
        <f t="shared" si="3"/>
        <v/>
      </c>
      <c r="BC52" s="69" t="str">
        <f>IFERROR(VLOOKUP($AQ52,'(勿動)組件目錄表'!$D$15:$R$1094,7,FALSE),"")</f>
        <v/>
      </c>
      <c r="BD52" s="69" t="str">
        <f>IFERROR(VLOOKUP($AQ52,'(勿動)組件目錄表'!$D$15:$R$1094,8,FALSE),"")</f>
        <v/>
      </c>
      <c r="BE52" s="69" t="str">
        <f>IFERROR(VLOOKUP($AQ52,'(勿動)組件目錄表'!$D$15:$R$1094,9,FALSE),"")</f>
        <v/>
      </c>
      <c r="BF52" s="69" t="str">
        <f>IFERROR(VLOOKUP($AQ52,'(勿動)組件目錄表'!$D$15:$R$1094,10,FALSE),"")</f>
        <v/>
      </c>
      <c r="BG52" s="69" t="str">
        <f>IFERROR(VLOOKUP($AQ52,'(勿動)組件目錄表'!$D$15:$R$1094,11,FALSE),"")</f>
        <v/>
      </c>
      <c r="BH52" s="69" t="str">
        <f>IFERROR(VLOOKUP($AQ52,'(勿動)組件目錄表'!$D$15:$R$1094,12,FALSE),"")</f>
        <v/>
      </c>
      <c r="BI52" s="69" t="str">
        <f>IFERROR(VLOOKUP($AQ52,'(勿動)組件目錄表'!$D$15:$R$1094,13,FALSE),"")</f>
        <v/>
      </c>
      <c r="BJ52" s="69" t="str">
        <f>IFERROR(VLOOKUP($AQ52,'(勿動)組件目錄表'!$D$15:$R$1094,14,FALSE),"")</f>
        <v/>
      </c>
      <c r="BK52" s="69" t="str">
        <f>IFERROR(VLOOKUP($AQ52,'(勿動)組件目錄表'!$D$15:$R$1094,15,FALSE),"")</f>
        <v/>
      </c>
      <c r="BL52" s="81">
        <f ca="1">IFERROR(__xludf.DUMMYFUNCTION("IFERROR(
  LET(
    rowData, FILTER('(勿動)組件目錄表'!J:Q, '(勿動)組件目錄表'!D:D=AQ52),
    IF(ROWS(rowData)=0, 0, 
      (
        IF(AND(BC52&lt;&gt;"""", INDEX(rowData,1,1)=BC52),1,0) +
        IF(AND(BD52&lt;&gt;"""", INDEX(rowData,1,2)=BD52),1,0) +
        IF(AND(BE52&lt;&gt;"""""&amp;", INDEX(rowData,1,3)=BE52),1,0) +
        IF(AND(BF52&lt;&gt;"""", INDEX(rowData,1,4)=BF52),1,0) +
        IF(AND(BG52&lt;&gt;"""", INDEX(rowData,1,5)=BG52),1,0) +
        IF(AND(BH52&lt;&gt;"""", INDEX(rowData,1,6)=BH52),1,0) +
        IF(AND(BI52&lt;&gt;"""", INDEX(rowData,1,7"&amp;")=BI52),1,0) +
        IF(AND(BJ52&lt;&gt;"""", INDEX(rowData,1,8)=BJ52),1,0)
      ) - COUNTIF(BC52:BJ52, ""-"")
        - COUNTIF(BC52:BJ52, ""固定格式，不需提供資訊"")
        - COUNTIF(BC52:BJ52, ""由MKT更新，此欄位固定格式，不需提供資訊
(Voucher CID：12917705872)"")
        - COUNTIF(B"&amp;"C52:BJ52, ""text固定為以下：
※直播間僅支援手機版"")
        - COUNTIF(BC52:BJ52, ""text固定為以下：
※短影音僅支援手機版"")
    )
  ), 
  0
)
"),0)</f>
        <v>0</v>
      </c>
      <c r="BM52" s="77" t="b">
        <v>0</v>
      </c>
      <c r="BN52" s="85"/>
      <c r="BO52" s="85"/>
    </row>
    <row r="53" spans="1:67" ht="30" customHeight="1">
      <c r="A53" s="73" t="str">
        <f t="array" aca="1" ref="A53" ca="1">IFERROR(TRANSPOSE(INDIRECT('MS section版配(Old)'!$AO53)),"")</f>
        <v/>
      </c>
      <c r="B53" s="95"/>
      <c r="C53" s="95"/>
      <c r="D53" s="95"/>
      <c r="E53" s="95"/>
      <c r="F53" s="92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  <c r="AD53" s="95"/>
      <c r="AE53" s="397" t="str">
        <f>IFERROR(VLOOKUP($AQ53,'(勿動)組件目錄表'!$D$15:$R$1094,4,FALSE),"")</f>
        <v/>
      </c>
      <c r="AF53" s="384"/>
      <c r="AG53" s="384"/>
      <c r="AH53" s="384"/>
      <c r="AI53" s="384"/>
      <c r="AJ53" s="385"/>
      <c r="AK53" s="54" t="b">
        <v>0</v>
      </c>
      <c r="AL53" s="54" t="b">
        <v>0</v>
      </c>
      <c r="AM53" s="54"/>
      <c r="AN53" s="7" t="str">
        <v>045</v>
      </c>
      <c r="AO53" s="7"/>
      <c r="AP53" s="62"/>
      <c r="AQ53" s="75" t="str">
        <v/>
      </c>
      <c r="AR53" s="75" t="str">
        <v>-</v>
      </c>
      <c r="AS53" s="11"/>
      <c r="AT53" s="77" t="str">
        <v>-</v>
      </c>
      <c r="AU53" s="11" t="str">
        <v>-</v>
      </c>
      <c r="AV53" s="84"/>
      <c r="AW53" s="86" t="str">
        <f ca="1"/>
        <v>-</v>
      </c>
      <c r="AX53" s="86" t="b">
        <v>0</v>
      </c>
      <c r="AY53" s="68" t="str">
        <f t="shared" si="0"/>
        <v/>
      </c>
      <c r="AZ53" s="69" t="str">
        <f t="shared" si="1"/>
        <v/>
      </c>
      <c r="BA53" s="70" t="str">
        <f t="shared" si="2"/>
        <v/>
      </c>
      <c r="BB53" s="68" t="str">
        <f t="shared" si="3"/>
        <v/>
      </c>
      <c r="BC53" s="69" t="str">
        <f>IFERROR(VLOOKUP($AQ53,'(勿動)組件目錄表'!$D$15:$R$1094,7,FALSE),"")</f>
        <v/>
      </c>
      <c r="BD53" s="69" t="str">
        <f>IFERROR(VLOOKUP($AQ53,'(勿動)組件目錄表'!$D$15:$R$1094,8,FALSE),"")</f>
        <v/>
      </c>
      <c r="BE53" s="69" t="str">
        <f>IFERROR(VLOOKUP($AQ53,'(勿動)組件目錄表'!$D$15:$R$1094,9,FALSE),"")</f>
        <v/>
      </c>
      <c r="BF53" s="69" t="str">
        <f>IFERROR(VLOOKUP($AQ53,'(勿動)組件目錄表'!$D$15:$R$1094,10,FALSE),"")</f>
        <v/>
      </c>
      <c r="BG53" s="69" t="str">
        <f>IFERROR(VLOOKUP($AQ53,'(勿動)組件目錄表'!$D$15:$R$1094,11,FALSE),"")</f>
        <v/>
      </c>
      <c r="BH53" s="69" t="str">
        <f>IFERROR(VLOOKUP($AQ53,'(勿動)組件目錄表'!$D$15:$R$1094,12,FALSE),"")</f>
        <v/>
      </c>
      <c r="BI53" s="69" t="str">
        <f>IFERROR(VLOOKUP($AQ53,'(勿動)組件目錄表'!$D$15:$R$1094,13,FALSE),"")</f>
        <v/>
      </c>
      <c r="BJ53" s="69" t="str">
        <f>IFERROR(VLOOKUP($AQ53,'(勿動)組件目錄表'!$D$15:$R$1094,14,FALSE),"")</f>
        <v/>
      </c>
      <c r="BK53" s="69" t="str">
        <f>IFERROR(VLOOKUP($AQ53,'(勿動)組件目錄表'!$D$15:$R$1094,15,FALSE),"")</f>
        <v/>
      </c>
      <c r="BL53" s="81">
        <f ca="1">IFERROR(__xludf.DUMMYFUNCTION("IFERROR(
  LET(
    rowData, FILTER('(勿動)組件目錄表'!J:Q, '(勿動)組件目錄表'!D:D=AQ53),
    IF(ROWS(rowData)=0, 0, 
      (
        IF(AND(BC53&lt;&gt;"""", INDEX(rowData,1,1)=BC53),1,0) +
        IF(AND(BD53&lt;&gt;"""", INDEX(rowData,1,2)=BD53),1,0) +
        IF(AND(BE53&lt;&gt;"""""&amp;", INDEX(rowData,1,3)=BE53),1,0) +
        IF(AND(BF53&lt;&gt;"""", INDEX(rowData,1,4)=BF53),1,0) +
        IF(AND(BG53&lt;&gt;"""", INDEX(rowData,1,5)=BG53),1,0) +
        IF(AND(BH53&lt;&gt;"""", INDEX(rowData,1,6)=BH53),1,0) +
        IF(AND(BI53&lt;&gt;"""", INDEX(rowData,1,7"&amp;")=BI53),1,0) +
        IF(AND(BJ53&lt;&gt;"""", INDEX(rowData,1,8)=BJ53),1,0)
      ) - COUNTIF(BC53:BJ53, ""-"")
        - COUNTIF(BC53:BJ53, ""固定格式，不需提供資訊"")
        - COUNTIF(BC53:BJ53, ""由MKT更新，此欄位固定格式，不需提供資訊
(Voucher CID：12917705872)"")
        - COUNTIF(B"&amp;"C53:BJ53, ""text固定為以下：
※直播間僅支援手機版"")
        - COUNTIF(BC53:BJ53, ""text固定為以下：
※短影音僅支援手機版"")
    )
  ), 
  0
)
"),0)</f>
        <v>0</v>
      </c>
      <c r="BM53" s="77" t="b">
        <v>0</v>
      </c>
      <c r="BN53" s="85"/>
      <c r="BO53" s="85"/>
    </row>
    <row r="54" spans="1:67" ht="30" customHeight="1">
      <c r="A54" s="73" t="str">
        <f t="array" aca="1" ref="A54" ca="1">IFERROR(TRANSPOSE(INDIRECT('MS section版配(Old)'!$AO54)),"")</f>
        <v/>
      </c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  <c r="AE54" s="397" t="str">
        <f>IFERROR(VLOOKUP($AQ54,'(勿動)組件目錄表'!$D$15:$R$1094,4,FALSE),"")</f>
        <v/>
      </c>
      <c r="AF54" s="384"/>
      <c r="AG54" s="384"/>
      <c r="AH54" s="384"/>
      <c r="AI54" s="384"/>
      <c r="AJ54" s="385"/>
      <c r="AK54" s="54" t="b">
        <v>0</v>
      </c>
      <c r="AL54" s="54" t="b">
        <v>0</v>
      </c>
      <c r="AM54" s="54"/>
      <c r="AN54" s="7" t="str">
        <v>046</v>
      </c>
      <c r="AO54" s="7"/>
      <c r="AP54" s="62"/>
      <c r="AQ54" s="75" t="str">
        <v/>
      </c>
      <c r="AR54" s="75" t="str">
        <v>-</v>
      </c>
      <c r="AS54" s="11"/>
      <c r="AT54" s="77" t="str">
        <v>-</v>
      </c>
      <c r="AU54" s="11" t="str">
        <v>-</v>
      </c>
      <c r="AV54" s="84"/>
      <c r="AW54" s="86" t="str">
        <f ca="1"/>
        <v>-</v>
      </c>
      <c r="AX54" s="86" t="b">
        <v>0</v>
      </c>
      <c r="AY54" s="68" t="str">
        <f t="shared" si="0"/>
        <v/>
      </c>
      <c r="AZ54" s="69" t="str">
        <f t="shared" si="1"/>
        <v/>
      </c>
      <c r="BA54" s="70" t="str">
        <f t="shared" si="2"/>
        <v/>
      </c>
      <c r="BB54" s="68" t="str">
        <f t="shared" si="3"/>
        <v/>
      </c>
      <c r="BC54" s="69" t="str">
        <f>IFERROR(VLOOKUP($AQ54,'(勿動)組件目錄表'!$D$15:$R$1094,7,FALSE),"")</f>
        <v/>
      </c>
      <c r="BD54" s="69" t="str">
        <f>IFERROR(VLOOKUP($AQ54,'(勿動)組件目錄表'!$D$15:$R$1094,8,FALSE),"")</f>
        <v/>
      </c>
      <c r="BE54" s="69" t="str">
        <f>IFERROR(VLOOKUP($AQ54,'(勿動)組件目錄表'!$D$15:$R$1094,9,FALSE),"")</f>
        <v/>
      </c>
      <c r="BF54" s="69" t="str">
        <f>IFERROR(VLOOKUP($AQ54,'(勿動)組件目錄表'!$D$15:$R$1094,10,FALSE),"")</f>
        <v/>
      </c>
      <c r="BG54" s="69" t="str">
        <f>IFERROR(VLOOKUP($AQ54,'(勿動)組件目錄表'!$D$15:$R$1094,11,FALSE),"")</f>
        <v/>
      </c>
      <c r="BH54" s="69" t="str">
        <f>IFERROR(VLOOKUP($AQ54,'(勿動)組件目錄表'!$D$15:$R$1094,12,FALSE),"")</f>
        <v/>
      </c>
      <c r="BI54" s="69" t="str">
        <f>IFERROR(VLOOKUP($AQ54,'(勿動)組件目錄表'!$D$15:$R$1094,13,FALSE),"")</f>
        <v/>
      </c>
      <c r="BJ54" s="69" t="str">
        <f>IFERROR(VLOOKUP($AQ54,'(勿動)組件目錄表'!$D$15:$R$1094,14,FALSE),"")</f>
        <v/>
      </c>
      <c r="BK54" s="69" t="str">
        <f>IFERROR(VLOOKUP($AQ54,'(勿動)組件目錄表'!$D$15:$R$1094,15,FALSE),"")</f>
        <v/>
      </c>
      <c r="BL54" s="81">
        <f ca="1">IFERROR(__xludf.DUMMYFUNCTION("IFERROR(
  LET(
    rowData, FILTER('(勿動)組件目錄表'!J:Q, '(勿動)組件目錄表'!D:D=AQ54),
    IF(ROWS(rowData)=0, 0, 
      (
        IF(AND(BC54&lt;&gt;"""", INDEX(rowData,1,1)=BC54),1,0) +
        IF(AND(BD54&lt;&gt;"""", INDEX(rowData,1,2)=BD54),1,0) +
        IF(AND(BE54&lt;&gt;"""""&amp;", INDEX(rowData,1,3)=BE54),1,0) +
        IF(AND(BF54&lt;&gt;"""", INDEX(rowData,1,4)=BF54),1,0) +
        IF(AND(BG54&lt;&gt;"""", INDEX(rowData,1,5)=BG54),1,0) +
        IF(AND(BH54&lt;&gt;"""", INDEX(rowData,1,6)=BH54),1,0) +
        IF(AND(BI54&lt;&gt;"""", INDEX(rowData,1,7"&amp;")=BI54),1,0) +
        IF(AND(BJ54&lt;&gt;"""", INDEX(rowData,1,8)=BJ54),1,0)
      ) - COUNTIF(BC54:BJ54, ""-"")
        - COUNTIF(BC54:BJ54, ""固定格式，不需提供資訊"")
        - COUNTIF(BC54:BJ54, ""由MKT更新，此欄位固定格式，不需提供資訊
(Voucher CID：12917705872)"")
        - COUNTIF(B"&amp;"C54:BJ54, ""text固定為以下：
※直播間僅支援手機版"")
        - COUNTIF(BC54:BJ54, ""text固定為以下：
※短影音僅支援手機版"")
    )
  ), 
  0
)
"),0)</f>
        <v>0</v>
      </c>
      <c r="BM54" s="77" t="b">
        <v>0</v>
      </c>
      <c r="BN54" s="85"/>
      <c r="BO54" s="85"/>
    </row>
    <row r="55" spans="1:67" ht="30" customHeight="1">
      <c r="A55" s="73" t="str">
        <f t="array" aca="1" ref="A55" ca="1">IFERROR(TRANSPOSE(INDIRECT('MS section版配(Old)'!$AO55)),"")</f>
        <v/>
      </c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397" t="str">
        <f>IFERROR(VLOOKUP($AQ55,'(勿動)組件目錄表'!$D$15:$R$1094,4,FALSE),"")</f>
        <v/>
      </c>
      <c r="AF55" s="384"/>
      <c r="AG55" s="384"/>
      <c r="AH55" s="384"/>
      <c r="AI55" s="384"/>
      <c r="AJ55" s="385"/>
      <c r="AK55" s="54" t="b">
        <v>0</v>
      </c>
      <c r="AL55" s="54" t="b">
        <v>0</v>
      </c>
      <c r="AM55" s="54"/>
      <c r="AN55" s="7" t="str">
        <v>047</v>
      </c>
      <c r="AO55" s="7"/>
      <c r="AP55" s="62"/>
      <c r="AQ55" s="75" t="str">
        <v/>
      </c>
      <c r="AR55" s="75" t="str">
        <v>-</v>
      </c>
      <c r="AS55" s="11"/>
      <c r="AT55" s="77" t="str">
        <v>-</v>
      </c>
      <c r="AU55" s="11" t="str">
        <v>-</v>
      </c>
      <c r="AV55" s="84"/>
      <c r="AW55" s="86" t="str">
        <f ca="1"/>
        <v>-</v>
      </c>
      <c r="AX55" s="86" t="b">
        <v>0</v>
      </c>
      <c r="AY55" s="68" t="str">
        <f t="shared" si="0"/>
        <v/>
      </c>
      <c r="AZ55" s="69" t="str">
        <f t="shared" si="1"/>
        <v/>
      </c>
      <c r="BA55" s="70" t="str">
        <f t="shared" si="2"/>
        <v/>
      </c>
      <c r="BB55" s="68" t="str">
        <f t="shared" si="3"/>
        <v/>
      </c>
      <c r="BC55" s="69" t="str">
        <f>IFERROR(VLOOKUP($AQ55,'(勿動)組件目錄表'!$D$15:$R$1094,7,FALSE),"")</f>
        <v/>
      </c>
      <c r="BD55" s="69" t="str">
        <f>IFERROR(VLOOKUP($AQ55,'(勿動)組件目錄表'!$D$15:$R$1094,8,FALSE),"")</f>
        <v/>
      </c>
      <c r="BE55" s="69" t="str">
        <f>IFERROR(VLOOKUP($AQ55,'(勿動)組件目錄表'!$D$15:$R$1094,9,FALSE),"")</f>
        <v/>
      </c>
      <c r="BF55" s="69" t="str">
        <f>IFERROR(VLOOKUP($AQ55,'(勿動)組件目錄表'!$D$15:$R$1094,10,FALSE),"")</f>
        <v/>
      </c>
      <c r="BG55" s="69" t="str">
        <f>IFERROR(VLOOKUP($AQ55,'(勿動)組件目錄表'!$D$15:$R$1094,11,FALSE),"")</f>
        <v/>
      </c>
      <c r="BH55" s="69" t="str">
        <f>IFERROR(VLOOKUP($AQ55,'(勿動)組件目錄表'!$D$15:$R$1094,12,FALSE),"")</f>
        <v/>
      </c>
      <c r="BI55" s="69" t="str">
        <f>IFERROR(VLOOKUP($AQ55,'(勿動)組件目錄表'!$D$15:$R$1094,13,FALSE),"")</f>
        <v/>
      </c>
      <c r="BJ55" s="69" t="str">
        <f>IFERROR(VLOOKUP($AQ55,'(勿動)組件目錄表'!$D$15:$R$1094,14,FALSE),"")</f>
        <v/>
      </c>
      <c r="BK55" s="69" t="str">
        <f>IFERROR(VLOOKUP($AQ55,'(勿動)組件目錄表'!$D$15:$R$1094,15,FALSE),"")</f>
        <v/>
      </c>
      <c r="BL55" s="81">
        <f ca="1">IFERROR(__xludf.DUMMYFUNCTION("IFERROR(
  LET(
    rowData, FILTER('(勿動)組件目錄表'!J:Q, '(勿動)組件目錄表'!D:D=AQ55),
    IF(ROWS(rowData)=0, 0, 
      (
        IF(AND(BC55&lt;&gt;"""", INDEX(rowData,1,1)=BC55),1,0) +
        IF(AND(BD55&lt;&gt;"""", INDEX(rowData,1,2)=BD55),1,0) +
        IF(AND(BE55&lt;&gt;"""""&amp;", INDEX(rowData,1,3)=BE55),1,0) +
        IF(AND(BF55&lt;&gt;"""", INDEX(rowData,1,4)=BF55),1,0) +
        IF(AND(BG55&lt;&gt;"""", INDEX(rowData,1,5)=BG55),1,0) +
        IF(AND(BH55&lt;&gt;"""", INDEX(rowData,1,6)=BH55),1,0) +
        IF(AND(BI55&lt;&gt;"""", INDEX(rowData,1,7"&amp;")=BI55),1,0) +
        IF(AND(BJ55&lt;&gt;"""", INDEX(rowData,1,8)=BJ55),1,0)
      ) - COUNTIF(BC55:BJ55, ""-"")
        - COUNTIF(BC55:BJ55, ""固定格式，不需提供資訊"")
        - COUNTIF(BC55:BJ55, ""由MKT更新，此欄位固定格式，不需提供資訊
(Voucher CID：12917705872)"")
        - COUNTIF(B"&amp;"C55:BJ55, ""text固定為以下：
※直播間僅支援手機版"")
        - COUNTIF(BC55:BJ55, ""text固定為以下：
※短影音僅支援手機版"")
    )
  ), 
  0
)
"),0)</f>
        <v>0</v>
      </c>
      <c r="BM55" s="77" t="b">
        <v>0</v>
      </c>
      <c r="BN55" s="85"/>
      <c r="BO55" s="85"/>
    </row>
    <row r="56" spans="1:67" ht="30" customHeight="1">
      <c r="A56" s="73" t="str">
        <f t="array" aca="1" ref="A56" ca="1">IFERROR(TRANSPOSE(INDIRECT('MS section版配(Old)'!$AO56)),"")</f>
        <v/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  <c r="AD56" s="94"/>
      <c r="AE56" s="397" t="str">
        <f>IFERROR(VLOOKUP($AQ56,'(勿動)組件目錄表'!$D$15:$R$1094,4,FALSE),"")</f>
        <v/>
      </c>
      <c r="AF56" s="384"/>
      <c r="AG56" s="384"/>
      <c r="AH56" s="384"/>
      <c r="AI56" s="384"/>
      <c r="AJ56" s="385"/>
      <c r="AK56" s="54" t="b">
        <v>0</v>
      </c>
      <c r="AL56" s="54" t="b">
        <v>0</v>
      </c>
      <c r="AM56" s="54"/>
      <c r="AN56" s="7" t="str">
        <v>048</v>
      </c>
      <c r="AO56" s="7"/>
      <c r="AP56" s="62"/>
      <c r="AQ56" s="75" t="str">
        <v/>
      </c>
      <c r="AR56" s="75" t="str">
        <v>-</v>
      </c>
      <c r="AS56" s="11"/>
      <c r="AT56" s="77" t="str">
        <v>-</v>
      </c>
      <c r="AU56" s="11" t="str">
        <v>-</v>
      </c>
      <c r="AV56" s="84"/>
      <c r="AW56" s="86" t="str">
        <f ca="1"/>
        <v>-</v>
      </c>
      <c r="AX56" s="86" t="b">
        <v>0</v>
      </c>
      <c r="AY56" s="68" t="str">
        <f t="shared" si="0"/>
        <v/>
      </c>
      <c r="AZ56" s="69" t="str">
        <f t="shared" si="1"/>
        <v/>
      </c>
      <c r="BA56" s="70" t="str">
        <f t="shared" si="2"/>
        <v/>
      </c>
      <c r="BB56" s="68" t="str">
        <f t="shared" si="3"/>
        <v/>
      </c>
      <c r="BC56" s="69" t="str">
        <f>IFERROR(VLOOKUP($AQ56,'(勿動)組件目錄表'!$D$15:$R$1094,7,FALSE),"")</f>
        <v/>
      </c>
      <c r="BD56" s="69" t="str">
        <f>IFERROR(VLOOKUP($AQ56,'(勿動)組件目錄表'!$D$15:$R$1094,8,FALSE),"")</f>
        <v/>
      </c>
      <c r="BE56" s="69" t="str">
        <f>IFERROR(VLOOKUP($AQ56,'(勿動)組件目錄表'!$D$15:$R$1094,9,FALSE),"")</f>
        <v/>
      </c>
      <c r="BF56" s="69" t="str">
        <f>IFERROR(VLOOKUP($AQ56,'(勿動)組件目錄表'!$D$15:$R$1094,10,FALSE),"")</f>
        <v/>
      </c>
      <c r="BG56" s="69" t="str">
        <f>IFERROR(VLOOKUP($AQ56,'(勿動)組件目錄表'!$D$15:$R$1094,11,FALSE),"")</f>
        <v/>
      </c>
      <c r="BH56" s="69" t="str">
        <f>IFERROR(VLOOKUP($AQ56,'(勿動)組件目錄表'!$D$15:$R$1094,12,FALSE),"")</f>
        <v/>
      </c>
      <c r="BI56" s="69" t="str">
        <f>IFERROR(VLOOKUP($AQ56,'(勿動)組件目錄表'!$D$15:$R$1094,13,FALSE),"")</f>
        <v/>
      </c>
      <c r="BJ56" s="69" t="str">
        <f>IFERROR(VLOOKUP($AQ56,'(勿動)組件目錄表'!$D$15:$R$1094,14,FALSE),"")</f>
        <v/>
      </c>
      <c r="BK56" s="69" t="str">
        <f>IFERROR(VLOOKUP($AQ56,'(勿動)組件目錄表'!$D$15:$R$1094,15,FALSE),"")</f>
        <v/>
      </c>
      <c r="BL56" s="81">
        <f ca="1">IFERROR(__xludf.DUMMYFUNCTION("IFERROR(
  LET(
    rowData, FILTER('(勿動)組件目錄表'!J:Q, '(勿動)組件目錄表'!D:D=AQ56),
    IF(ROWS(rowData)=0, 0, 
      (
        IF(AND(BC56&lt;&gt;"""", INDEX(rowData,1,1)=BC56),1,0) +
        IF(AND(BD56&lt;&gt;"""", INDEX(rowData,1,2)=BD56),1,0) +
        IF(AND(BE56&lt;&gt;"""""&amp;", INDEX(rowData,1,3)=BE56),1,0) +
        IF(AND(BF56&lt;&gt;"""", INDEX(rowData,1,4)=BF56),1,0) +
        IF(AND(BG56&lt;&gt;"""", INDEX(rowData,1,5)=BG56),1,0) +
        IF(AND(BH56&lt;&gt;"""", INDEX(rowData,1,6)=BH56),1,0) +
        IF(AND(BI56&lt;&gt;"""", INDEX(rowData,1,7"&amp;")=BI56),1,0) +
        IF(AND(BJ56&lt;&gt;"""", INDEX(rowData,1,8)=BJ56),1,0)
      ) - COUNTIF(BC56:BJ56, ""-"")
        - COUNTIF(BC56:BJ56, ""固定格式，不需提供資訊"")
        - COUNTIF(BC56:BJ56, ""由MKT更新，此欄位固定格式，不需提供資訊
(Voucher CID：12917705872)"")
        - COUNTIF(B"&amp;"C56:BJ56, ""text固定為以下：
※直播間僅支援手機版"")
        - COUNTIF(BC56:BJ56, ""text固定為以下：
※短影音僅支援手機版"")
    )
  ), 
  0
)
"),0)</f>
        <v>0</v>
      </c>
      <c r="BM56" s="77" t="b">
        <v>0</v>
      </c>
      <c r="BN56" s="85"/>
      <c r="BO56" s="85"/>
    </row>
    <row r="57" spans="1:67" ht="30" customHeight="1">
      <c r="A57" s="73" t="str">
        <f t="array" aca="1" ref="A57" ca="1">IFERROR(TRANSPOSE(INDIRECT('MS section版配(Old)'!$AO57)),"")</f>
        <v/>
      </c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  <c r="AD57" s="94"/>
      <c r="AE57" s="397" t="str">
        <f>IFERROR(VLOOKUP($AQ57,'(勿動)組件目錄表'!$D$15:$R$1094,4,FALSE),"")</f>
        <v/>
      </c>
      <c r="AF57" s="384"/>
      <c r="AG57" s="384"/>
      <c r="AH57" s="384"/>
      <c r="AI57" s="384"/>
      <c r="AJ57" s="385"/>
      <c r="AK57" s="54" t="b">
        <v>0</v>
      </c>
      <c r="AL57" s="54" t="b">
        <v>0</v>
      </c>
      <c r="AM57" s="54"/>
      <c r="AN57" s="7" t="str">
        <v>049</v>
      </c>
      <c r="AO57" s="7"/>
      <c r="AP57" s="62"/>
      <c r="AQ57" s="75" t="str">
        <v/>
      </c>
      <c r="AR57" s="75" t="str">
        <v>-</v>
      </c>
      <c r="AS57" s="11"/>
      <c r="AT57" s="77" t="str">
        <v>-</v>
      </c>
      <c r="AU57" s="11" t="str">
        <v>-</v>
      </c>
      <c r="AV57" s="84"/>
      <c r="AW57" s="86" t="str">
        <f ca="1"/>
        <v>-</v>
      </c>
      <c r="AX57" s="86" t="b">
        <v>0</v>
      </c>
      <c r="AY57" s="68" t="str">
        <f t="shared" si="0"/>
        <v/>
      </c>
      <c r="AZ57" s="69" t="str">
        <f t="shared" si="1"/>
        <v/>
      </c>
      <c r="BA57" s="70" t="str">
        <f t="shared" si="2"/>
        <v/>
      </c>
      <c r="BB57" s="68" t="str">
        <f t="shared" si="3"/>
        <v/>
      </c>
      <c r="BC57" s="69" t="str">
        <f>IFERROR(VLOOKUP($AQ57,'(勿動)組件目錄表'!$D$15:$R$1094,7,FALSE),"")</f>
        <v/>
      </c>
      <c r="BD57" s="69" t="str">
        <f>IFERROR(VLOOKUP($AQ57,'(勿動)組件目錄表'!$D$15:$R$1094,8,FALSE),"")</f>
        <v/>
      </c>
      <c r="BE57" s="69" t="str">
        <f>IFERROR(VLOOKUP($AQ57,'(勿動)組件目錄表'!$D$15:$R$1094,9,FALSE),"")</f>
        <v/>
      </c>
      <c r="BF57" s="69" t="str">
        <f>IFERROR(VLOOKUP($AQ57,'(勿動)組件目錄表'!$D$15:$R$1094,10,FALSE),"")</f>
        <v/>
      </c>
      <c r="BG57" s="69" t="str">
        <f>IFERROR(VLOOKUP($AQ57,'(勿動)組件目錄表'!$D$15:$R$1094,11,FALSE),"")</f>
        <v/>
      </c>
      <c r="BH57" s="69" t="str">
        <f>IFERROR(VLOOKUP($AQ57,'(勿動)組件目錄表'!$D$15:$R$1094,12,FALSE),"")</f>
        <v/>
      </c>
      <c r="BI57" s="69" t="str">
        <f>IFERROR(VLOOKUP($AQ57,'(勿動)組件目錄表'!$D$15:$R$1094,13,FALSE),"")</f>
        <v/>
      </c>
      <c r="BJ57" s="69" t="str">
        <f>IFERROR(VLOOKUP($AQ57,'(勿動)組件目錄表'!$D$15:$R$1094,14,FALSE),"")</f>
        <v/>
      </c>
      <c r="BK57" s="69" t="str">
        <f>IFERROR(VLOOKUP($AQ57,'(勿動)組件目錄表'!$D$15:$R$1094,15,FALSE),"")</f>
        <v/>
      </c>
      <c r="BL57" s="81">
        <f ca="1">IFERROR(__xludf.DUMMYFUNCTION("IFERROR(
  LET(
    rowData, FILTER('(勿動)組件目錄表'!J:Q, '(勿動)組件目錄表'!D:D=AQ57),
    IF(ROWS(rowData)=0, 0, 
      (
        IF(AND(BC57&lt;&gt;"""", INDEX(rowData,1,1)=BC57),1,0) +
        IF(AND(BD57&lt;&gt;"""", INDEX(rowData,1,2)=BD57),1,0) +
        IF(AND(BE57&lt;&gt;"""""&amp;", INDEX(rowData,1,3)=BE57),1,0) +
        IF(AND(BF57&lt;&gt;"""", INDEX(rowData,1,4)=BF57),1,0) +
        IF(AND(BG57&lt;&gt;"""", INDEX(rowData,1,5)=BG57),1,0) +
        IF(AND(BH57&lt;&gt;"""", INDEX(rowData,1,6)=BH57),1,0) +
        IF(AND(BI57&lt;&gt;"""", INDEX(rowData,1,7"&amp;")=BI57),1,0) +
        IF(AND(BJ57&lt;&gt;"""", INDEX(rowData,1,8)=BJ57),1,0)
      ) - COUNTIF(BC57:BJ57, ""-"")
        - COUNTIF(BC57:BJ57, ""固定格式，不需提供資訊"")
        - COUNTIF(BC57:BJ57, ""由MKT更新，此欄位固定格式，不需提供資訊
(Voucher CID：12917705872)"")
        - COUNTIF(B"&amp;"C57:BJ57, ""text固定為以下：
※直播間僅支援手機版"")
        - COUNTIF(BC57:BJ57, ""text固定為以下：
※短影音僅支援手機版"")
    )
  ), 
  0
)
"),0)</f>
        <v>0</v>
      </c>
      <c r="BM57" s="77" t="b">
        <v>0</v>
      </c>
      <c r="BN57" s="85"/>
      <c r="BO57" s="85"/>
    </row>
    <row r="58" spans="1:67" ht="30" customHeight="1">
      <c r="A58" s="73" t="str">
        <f t="array" aca="1" ref="A58" ca="1">IFERROR(TRANSPOSE(INDIRECT('MS section版配(Old)'!$AO58)),"")</f>
        <v/>
      </c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397" t="str">
        <f>IFERROR(VLOOKUP($AQ58,'(勿動)組件目錄表'!$D$15:$R$1094,4,FALSE),"")</f>
        <v/>
      </c>
      <c r="AF58" s="384"/>
      <c r="AG58" s="384"/>
      <c r="AH58" s="384"/>
      <c r="AI58" s="384"/>
      <c r="AJ58" s="385"/>
      <c r="AK58" s="54" t="b">
        <v>0</v>
      </c>
      <c r="AL58" s="54" t="b">
        <v>0</v>
      </c>
      <c r="AM58" s="54"/>
      <c r="AN58" s="7" t="str">
        <v>050</v>
      </c>
      <c r="AO58" s="7"/>
      <c r="AP58" s="62"/>
      <c r="AQ58" s="75" t="str">
        <v/>
      </c>
      <c r="AR58" s="75" t="str">
        <v>-</v>
      </c>
      <c r="AS58" s="11"/>
      <c r="AT58" s="77" t="str">
        <v>-</v>
      </c>
      <c r="AU58" s="11" t="str">
        <v>-</v>
      </c>
      <c r="AV58" s="84"/>
      <c r="AW58" s="86" t="str">
        <f ca="1"/>
        <v>-</v>
      </c>
      <c r="AX58" s="86" t="b">
        <v>0</v>
      </c>
      <c r="AY58" s="68" t="str">
        <f t="shared" si="0"/>
        <v/>
      </c>
      <c r="AZ58" s="69" t="str">
        <f t="shared" si="1"/>
        <v/>
      </c>
      <c r="BA58" s="70" t="str">
        <f t="shared" si="2"/>
        <v/>
      </c>
      <c r="BB58" s="68" t="str">
        <f t="shared" si="3"/>
        <v/>
      </c>
      <c r="BC58" s="69" t="str">
        <f>IFERROR(VLOOKUP($AQ58,'(勿動)組件目錄表'!$D$15:$R$1094,7,FALSE),"")</f>
        <v/>
      </c>
      <c r="BD58" s="69" t="str">
        <f>IFERROR(VLOOKUP($AQ58,'(勿動)組件目錄表'!$D$15:$R$1094,8,FALSE),"")</f>
        <v/>
      </c>
      <c r="BE58" s="69" t="str">
        <f>IFERROR(VLOOKUP($AQ58,'(勿動)組件目錄表'!$D$15:$R$1094,9,FALSE),"")</f>
        <v/>
      </c>
      <c r="BF58" s="69" t="str">
        <f>IFERROR(VLOOKUP($AQ58,'(勿動)組件目錄表'!$D$15:$R$1094,10,FALSE),"")</f>
        <v/>
      </c>
      <c r="BG58" s="69" t="str">
        <f>IFERROR(VLOOKUP($AQ58,'(勿動)組件目錄表'!$D$15:$R$1094,11,FALSE),"")</f>
        <v/>
      </c>
      <c r="BH58" s="69" t="str">
        <f>IFERROR(VLOOKUP($AQ58,'(勿動)組件目錄表'!$D$15:$R$1094,12,FALSE),"")</f>
        <v/>
      </c>
      <c r="BI58" s="69" t="str">
        <f>IFERROR(VLOOKUP($AQ58,'(勿動)組件目錄表'!$D$15:$R$1094,13,FALSE),"")</f>
        <v/>
      </c>
      <c r="BJ58" s="69" t="str">
        <f>IFERROR(VLOOKUP($AQ58,'(勿動)組件目錄表'!$D$15:$R$1094,14,FALSE),"")</f>
        <v/>
      </c>
      <c r="BK58" s="69" t="str">
        <f>IFERROR(VLOOKUP($AQ58,'(勿動)組件目錄表'!$D$15:$R$1094,15,FALSE),"")</f>
        <v/>
      </c>
      <c r="BL58" s="81">
        <f ca="1">IFERROR(__xludf.DUMMYFUNCTION("IFERROR(
  LET(
    rowData, FILTER('(勿動)組件目錄表'!J:Q, '(勿動)組件目錄表'!D:D=AQ58),
    IF(ROWS(rowData)=0, 0, 
      (
        IF(AND(BC58&lt;&gt;"""", INDEX(rowData,1,1)=BC58),1,0) +
        IF(AND(BD58&lt;&gt;"""", INDEX(rowData,1,2)=BD58),1,0) +
        IF(AND(BE58&lt;&gt;"""""&amp;", INDEX(rowData,1,3)=BE58),1,0) +
        IF(AND(BF58&lt;&gt;"""", INDEX(rowData,1,4)=BF58),1,0) +
        IF(AND(BG58&lt;&gt;"""", INDEX(rowData,1,5)=BG58),1,0) +
        IF(AND(BH58&lt;&gt;"""", INDEX(rowData,1,6)=BH58),1,0) +
        IF(AND(BI58&lt;&gt;"""", INDEX(rowData,1,7"&amp;")=BI58),1,0) +
        IF(AND(BJ58&lt;&gt;"""", INDEX(rowData,1,8)=BJ58),1,0)
      ) - COUNTIF(BC58:BJ58, ""-"")
        - COUNTIF(BC58:BJ58, ""固定格式，不需提供資訊"")
        - COUNTIF(BC58:BJ58, ""由MKT更新，此欄位固定格式，不需提供資訊
(Voucher CID：12917705872)"")
        - COUNTIF(B"&amp;"C58:BJ58, ""text固定為以下：
※直播間僅支援手機版"")
        - COUNTIF(BC58:BJ58, ""text固定為以下：
※短影音僅支援手機版"")
    )
  ), 
  0
)
"),0)</f>
        <v>0</v>
      </c>
      <c r="BM58" s="77" t="b">
        <v>0</v>
      </c>
      <c r="BN58" s="85"/>
      <c r="BO58" s="85"/>
    </row>
    <row r="59" spans="1:67" ht="30" customHeight="1">
      <c r="A59" s="73" t="str">
        <f t="array" aca="1" ref="A59" ca="1">IFERROR(TRANSPOSE(INDIRECT('MS section版配(Old)'!$AO59)),"")</f>
        <v/>
      </c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  <c r="AA59" s="87"/>
      <c r="AB59" s="87"/>
      <c r="AC59" s="87"/>
      <c r="AD59" s="87"/>
      <c r="AE59" s="397" t="str">
        <f>IFERROR(VLOOKUP($AQ59,'(勿動)組件目錄表'!$D$15:$R$1094,4,FALSE),"")</f>
        <v/>
      </c>
      <c r="AF59" s="384"/>
      <c r="AG59" s="384"/>
      <c r="AH59" s="384"/>
      <c r="AI59" s="384"/>
      <c r="AJ59" s="385"/>
      <c r="AK59" s="54" t="b">
        <v>0</v>
      </c>
      <c r="AL59" s="54" t="b">
        <v>0</v>
      </c>
      <c r="AM59" s="54"/>
      <c r="AN59" s="7" t="str">
        <v>051</v>
      </c>
      <c r="AO59" s="7"/>
      <c r="AP59" s="62"/>
      <c r="AQ59" s="75" t="str">
        <v/>
      </c>
      <c r="AR59" s="75" t="str">
        <v>-</v>
      </c>
      <c r="AS59" s="11"/>
      <c r="AT59" s="77" t="str">
        <v>-</v>
      </c>
      <c r="AU59" s="11" t="str">
        <v>-</v>
      </c>
      <c r="AV59" s="84"/>
      <c r="AW59" s="86" t="str">
        <f ca="1"/>
        <v>-</v>
      </c>
      <c r="AX59" s="86" t="b">
        <v>0</v>
      </c>
      <c r="AY59" s="68" t="str">
        <f t="shared" si="0"/>
        <v/>
      </c>
      <c r="AZ59" s="69" t="str">
        <f t="shared" si="1"/>
        <v/>
      </c>
      <c r="BA59" s="70" t="str">
        <f t="shared" si="2"/>
        <v/>
      </c>
      <c r="BB59" s="68" t="str">
        <f t="shared" si="3"/>
        <v/>
      </c>
      <c r="BC59" s="69" t="str">
        <f>IFERROR(VLOOKUP($AQ59,'(勿動)組件目錄表'!$D$15:$R$1094,7,FALSE),"")</f>
        <v/>
      </c>
      <c r="BD59" s="69" t="str">
        <f>IFERROR(VLOOKUP($AQ59,'(勿動)組件目錄表'!$D$15:$R$1094,8,FALSE),"")</f>
        <v/>
      </c>
      <c r="BE59" s="69" t="str">
        <f>IFERROR(VLOOKUP($AQ59,'(勿動)組件目錄表'!$D$15:$R$1094,9,FALSE),"")</f>
        <v/>
      </c>
      <c r="BF59" s="69" t="str">
        <f>IFERROR(VLOOKUP($AQ59,'(勿動)組件目錄表'!$D$15:$R$1094,10,FALSE),"")</f>
        <v/>
      </c>
      <c r="BG59" s="69" t="str">
        <f>IFERROR(VLOOKUP($AQ59,'(勿動)組件目錄表'!$D$15:$R$1094,11,FALSE),"")</f>
        <v/>
      </c>
      <c r="BH59" s="69" t="str">
        <f>IFERROR(VLOOKUP($AQ59,'(勿動)組件目錄表'!$D$15:$R$1094,12,FALSE),"")</f>
        <v/>
      </c>
      <c r="BI59" s="69" t="str">
        <f>IFERROR(VLOOKUP($AQ59,'(勿動)組件目錄表'!$D$15:$R$1094,13,FALSE),"")</f>
        <v/>
      </c>
      <c r="BJ59" s="69" t="str">
        <f>IFERROR(VLOOKUP($AQ59,'(勿動)組件目錄表'!$D$15:$R$1094,14,FALSE),"")</f>
        <v/>
      </c>
      <c r="BK59" s="69" t="str">
        <f>IFERROR(VLOOKUP($AQ59,'(勿動)組件目錄表'!$D$15:$R$1094,15,FALSE),"")</f>
        <v/>
      </c>
      <c r="BL59" s="81">
        <f ca="1">IFERROR(__xludf.DUMMYFUNCTION("IFERROR(
  LET(
    rowData, FILTER('(勿動)組件目錄表'!J:Q, '(勿動)組件目錄表'!D:D=AQ59),
    IF(ROWS(rowData)=0, 0, 
      (
        IF(AND(BC59&lt;&gt;"""", INDEX(rowData,1,1)=BC59),1,0) +
        IF(AND(BD59&lt;&gt;"""", INDEX(rowData,1,2)=BD59),1,0) +
        IF(AND(BE59&lt;&gt;"""""&amp;", INDEX(rowData,1,3)=BE59),1,0) +
        IF(AND(BF59&lt;&gt;"""", INDEX(rowData,1,4)=BF59),1,0) +
        IF(AND(BG59&lt;&gt;"""", INDEX(rowData,1,5)=BG59),1,0) +
        IF(AND(BH59&lt;&gt;"""", INDEX(rowData,1,6)=BH59),1,0) +
        IF(AND(BI59&lt;&gt;"""", INDEX(rowData,1,7"&amp;")=BI59),1,0) +
        IF(AND(BJ59&lt;&gt;"""", INDEX(rowData,1,8)=BJ59),1,0)
      ) - COUNTIF(BC59:BJ59, ""-"")
        - COUNTIF(BC59:BJ59, ""固定格式，不需提供資訊"")
        - COUNTIF(BC59:BJ59, ""由MKT更新，此欄位固定格式，不需提供資訊
(Voucher CID：12917705872)"")
        - COUNTIF(B"&amp;"C59:BJ59, ""text固定為以下：
※直播間僅支援手機版"")
        - COUNTIF(BC59:BJ59, ""text固定為以下：
※短影音僅支援手機版"")
    )
  ), 
  0
)
"),0)</f>
        <v>0</v>
      </c>
      <c r="BM59" s="77" t="b">
        <v>0</v>
      </c>
      <c r="BN59" s="85"/>
      <c r="BO59" s="85"/>
    </row>
    <row r="60" spans="1:67" ht="30" customHeight="1">
      <c r="A60" s="73" t="str">
        <f t="array" aca="1" ref="A60" ca="1">IFERROR(TRANSPOSE(INDIRECT('MS section版配(Old)'!$AO60)),"")</f>
        <v/>
      </c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  <c r="AA60" s="87"/>
      <c r="AB60" s="87"/>
      <c r="AC60" s="87"/>
      <c r="AD60" s="87"/>
      <c r="AE60" s="397" t="str">
        <f>IFERROR(VLOOKUP($AQ60,'(勿動)組件目錄表'!$D$15:$R$1094,4,FALSE),"")</f>
        <v/>
      </c>
      <c r="AF60" s="384"/>
      <c r="AG60" s="384"/>
      <c r="AH60" s="384"/>
      <c r="AI60" s="384"/>
      <c r="AJ60" s="385"/>
      <c r="AK60" s="54" t="b">
        <v>0</v>
      </c>
      <c r="AL60" s="54" t="b">
        <v>0</v>
      </c>
      <c r="AM60" s="54"/>
      <c r="AN60" s="7" t="str">
        <v>052</v>
      </c>
      <c r="AO60" s="7"/>
      <c r="AP60" s="62"/>
      <c r="AQ60" s="75" t="str">
        <v/>
      </c>
      <c r="AR60" s="75" t="str">
        <v>-</v>
      </c>
      <c r="AS60" s="11"/>
      <c r="AT60" s="77" t="str">
        <v>-</v>
      </c>
      <c r="AU60" s="11" t="str">
        <v>-</v>
      </c>
      <c r="AV60" s="84"/>
      <c r="AW60" s="86" t="str">
        <f ca="1"/>
        <v>-</v>
      </c>
      <c r="AX60" s="86" t="b">
        <v>0</v>
      </c>
      <c r="AY60" s="68" t="str">
        <f t="shared" si="0"/>
        <v/>
      </c>
      <c r="AZ60" s="69" t="str">
        <f t="shared" si="1"/>
        <v/>
      </c>
      <c r="BA60" s="70" t="str">
        <f t="shared" si="2"/>
        <v/>
      </c>
      <c r="BB60" s="68" t="str">
        <f t="shared" si="3"/>
        <v/>
      </c>
      <c r="BC60" s="69" t="str">
        <f>IFERROR(VLOOKUP($AQ60,'(勿動)組件目錄表'!$D$15:$R$1094,7,FALSE),"")</f>
        <v/>
      </c>
      <c r="BD60" s="69" t="str">
        <f>IFERROR(VLOOKUP($AQ60,'(勿動)組件目錄表'!$D$15:$R$1094,8,FALSE),"")</f>
        <v/>
      </c>
      <c r="BE60" s="69" t="str">
        <f>IFERROR(VLOOKUP($AQ60,'(勿動)組件目錄表'!$D$15:$R$1094,9,FALSE),"")</f>
        <v/>
      </c>
      <c r="BF60" s="69" t="str">
        <f>IFERROR(VLOOKUP($AQ60,'(勿動)組件目錄表'!$D$15:$R$1094,10,FALSE),"")</f>
        <v/>
      </c>
      <c r="BG60" s="69" t="str">
        <f>IFERROR(VLOOKUP($AQ60,'(勿動)組件目錄表'!$D$15:$R$1094,11,FALSE),"")</f>
        <v/>
      </c>
      <c r="BH60" s="69" t="str">
        <f>IFERROR(VLOOKUP($AQ60,'(勿動)組件目錄表'!$D$15:$R$1094,12,FALSE),"")</f>
        <v/>
      </c>
      <c r="BI60" s="69" t="str">
        <f>IFERROR(VLOOKUP($AQ60,'(勿動)組件目錄表'!$D$15:$R$1094,13,FALSE),"")</f>
        <v/>
      </c>
      <c r="BJ60" s="69" t="str">
        <f>IFERROR(VLOOKUP($AQ60,'(勿動)組件目錄表'!$D$15:$R$1094,14,FALSE),"")</f>
        <v/>
      </c>
      <c r="BK60" s="69" t="str">
        <f>IFERROR(VLOOKUP($AQ60,'(勿動)組件目錄表'!$D$15:$R$1094,15,FALSE),"")</f>
        <v/>
      </c>
      <c r="BL60" s="81">
        <f ca="1">IFERROR(__xludf.DUMMYFUNCTION("IFERROR(
  LET(
    rowData, FILTER('(勿動)組件目錄表'!J:Q, '(勿動)組件目錄表'!D:D=AQ60),
    IF(ROWS(rowData)=0, 0, 
      (
        IF(AND(BC60&lt;&gt;"""", INDEX(rowData,1,1)=BC60),1,0) +
        IF(AND(BD60&lt;&gt;"""", INDEX(rowData,1,2)=BD60),1,0) +
        IF(AND(BE60&lt;&gt;"""""&amp;", INDEX(rowData,1,3)=BE60),1,0) +
        IF(AND(BF60&lt;&gt;"""", INDEX(rowData,1,4)=BF60),1,0) +
        IF(AND(BG60&lt;&gt;"""", INDEX(rowData,1,5)=BG60),1,0) +
        IF(AND(BH60&lt;&gt;"""", INDEX(rowData,1,6)=BH60),1,0) +
        IF(AND(BI60&lt;&gt;"""", INDEX(rowData,1,7"&amp;")=BI60),1,0) +
        IF(AND(BJ60&lt;&gt;"""", INDEX(rowData,1,8)=BJ60),1,0)
      ) - COUNTIF(BC60:BJ60, ""-"")
        - COUNTIF(BC60:BJ60, ""固定格式，不需提供資訊"")
        - COUNTIF(BC60:BJ60, ""由MKT更新，此欄位固定格式，不需提供資訊
(Voucher CID：12917705872)"")
        - COUNTIF(B"&amp;"C60:BJ60, ""text固定為以下：
※直播間僅支援手機版"")
        - COUNTIF(BC60:BJ60, ""text固定為以下：
※短影音僅支援手機版"")
    )
  ), 
  0
)
"),0)</f>
        <v>0</v>
      </c>
      <c r="BM60" s="77" t="b">
        <v>0</v>
      </c>
      <c r="BN60" s="85"/>
      <c r="BO60" s="85"/>
    </row>
    <row r="61" spans="1:67" ht="30" customHeight="1">
      <c r="A61" s="73" t="str">
        <f t="array" aca="1" ref="A61" ca="1">IFERROR(TRANSPOSE(INDIRECT('MS section版配(Old)'!$AO61)),"")</f>
        <v/>
      </c>
      <c r="B61" s="9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397" t="str">
        <f>IFERROR(VLOOKUP($AQ61,'(勿動)組件目錄表'!$D$15:$R$1094,4,FALSE),"")</f>
        <v/>
      </c>
      <c r="AF61" s="384"/>
      <c r="AG61" s="384"/>
      <c r="AH61" s="384"/>
      <c r="AI61" s="384"/>
      <c r="AJ61" s="385"/>
      <c r="AK61" s="54" t="b">
        <v>0</v>
      </c>
      <c r="AL61" s="54" t="b">
        <v>0</v>
      </c>
      <c r="AM61" s="54"/>
      <c r="AN61" s="7" t="str">
        <v>053</v>
      </c>
      <c r="AO61" s="7"/>
      <c r="AP61" s="62"/>
      <c r="AQ61" s="75" t="str">
        <v/>
      </c>
      <c r="AR61" s="75" t="str">
        <v>-</v>
      </c>
      <c r="AS61" s="11"/>
      <c r="AT61" s="77" t="str">
        <v>-</v>
      </c>
      <c r="AU61" s="11" t="str">
        <v>-</v>
      </c>
      <c r="AV61" s="84"/>
      <c r="AW61" s="86" t="str">
        <f ca="1"/>
        <v>-</v>
      </c>
      <c r="AX61" s="86" t="b">
        <v>0</v>
      </c>
      <c r="AY61" s="68" t="str">
        <f t="shared" si="0"/>
        <v/>
      </c>
      <c r="AZ61" s="69" t="str">
        <f t="shared" si="1"/>
        <v/>
      </c>
      <c r="BA61" s="70" t="str">
        <f t="shared" si="2"/>
        <v/>
      </c>
      <c r="BB61" s="68" t="str">
        <f t="shared" si="3"/>
        <v/>
      </c>
      <c r="BC61" s="69" t="str">
        <f>IFERROR(VLOOKUP($AQ61,'(勿動)組件目錄表'!$D$15:$R$1094,7,FALSE),"")</f>
        <v/>
      </c>
      <c r="BD61" s="69" t="str">
        <f>IFERROR(VLOOKUP($AQ61,'(勿動)組件目錄表'!$D$15:$R$1094,8,FALSE),"")</f>
        <v/>
      </c>
      <c r="BE61" s="69" t="str">
        <f>IFERROR(VLOOKUP($AQ61,'(勿動)組件目錄表'!$D$15:$R$1094,9,FALSE),"")</f>
        <v/>
      </c>
      <c r="BF61" s="69" t="str">
        <f>IFERROR(VLOOKUP($AQ61,'(勿動)組件目錄表'!$D$15:$R$1094,10,FALSE),"")</f>
        <v/>
      </c>
      <c r="BG61" s="69" t="str">
        <f>IFERROR(VLOOKUP($AQ61,'(勿動)組件目錄表'!$D$15:$R$1094,11,FALSE),"")</f>
        <v/>
      </c>
      <c r="BH61" s="69" t="str">
        <f>IFERROR(VLOOKUP($AQ61,'(勿動)組件目錄表'!$D$15:$R$1094,12,FALSE),"")</f>
        <v/>
      </c>
      <c r="BI61" s="69" t="str">
        <f>IFERROR(VLOOKUP($AQ61,'(勿動)組件目錄表'!$D$15:$R$1094,13,FALSE),"")</f>
        <v/>
      </c>
      <c r="BJ61" s="69" t="str">
        <f>IFERROR(VLOOKUP($AQ61,'(勿動)組件目錄表'!$D$15:$R$1094,14,FALSE),"")</f>
        <v/>
      </c>
      <c r="BK61" s="69" t="str">
        <f>IFERROR(VLOOKUP($AQ61,'(勿動)組件目錄表'!$D$15:$R$1094,15,FALSE),"")</f>
        <v/>
      </c>
      <c r="BL61" s="81">
        <f ca="1">IFERROR(__xludf.DUMMYFUNCTION("IFERROR(
  LET(
    rowData, FILTER('(勿動)組件目錄表'!J:Q, '(勿動)組件目錄表'!D:D=AQ61),
    IF(ROWS(rowData)=0, 0, 
      (
        IF(AND(BC61&lt;&gt;"""", INDEX(rowData,1,1)=BC61),1,0) +
        IF(AND(BD61&lt;&gt;"""", INDEX(rowData,1,2)=BD61),1,0) +
        IF(AND(BE61&lt;&gt;"""""&amp;", INDEX(rowData,1,3)=BE61),1,0) +
        IF(AND(BF61&lt;&gt;"""", INDEX(rowData,1,4)=BF61),1,0) +
        IF(AND(BG61&lt;&gt;"""", INDEX(rowData,1,5)=BG61),1,0) +
        IF(AND(BH61&lt;&gt;"""", INDEX(rowData,1,6)=BH61),1,0) +
        IF(AND(BI61&lt;&gt;"""", INDEX(rowData,1,7"&amp;")=BI61),1,0) +
        IF(AND(BJ61&lt;&gt;"""", INDEX(rowData,1,8)=BJ61),1,0)
      ) - COUNTIF(BC61:BJ61, ""-"")
        - COUNTIF(BC61:BJ61, ""固定格式，不需提供資訊"")
        - COUNTIF(BC61:BJ61, ""由MKT更新，此欄位固定格式，不需提供資訊
(Voucher CID：12917705872)"")
        - COUNTIF(B"&amp;"C61:BJ61, ""text固定為以下：
※直播間僅支援手機版"")
        - COUNTIF(BC61:BJ61, ""text固定為以下：
※短影音僅支援手機版"")
    )
  ), 
  0
)
"),0)</f>
        <v>0</v>
      </c>
      <c r="BM61" s="77" t="b">
        <v>0</v>
      </c>
      <c r="BN61" s="85"/>
      <c r="BO61" s="85"/>
    </row>
    <row r="62" spans="1:67" ht="30" customHeight="1">
      <c r="A62" s="73" t="str">
        <f t="array" aca="1" ref="A62" ca="1">IFERROR(TRANSPOSE(INDIRECT('MS section版配(Old)'!$AO62)),"")</f>
        <v/>
      </c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  <c r="AA62" s="87"/>
      <c r="AB62" s="87"/>
      <c r="AC62" s="87"/>
      <c r="AD62" s="87"/>
      <c r="AE62" s="397" t="str">
        <f>IFERROR(VLOOKUP($AQ62,'(勿動)組件目錄表'!$D$15:$R$1094,4,FALSE),"")</f>
        <v/>
      </c>
      <c r="AF62" s="384"/>
      <c r="AG62" s="384"/>
      <c r="AH62" s="384"/>
      <c r="AI62" s="384"/>
      <c r="AJ62" s="385"/>
      <c r="AK62" s="54" t="b">
        <v>0</v>
      </c>
      <c r="AL62" s="54" t="b">
        <v>0</v>
      </c>
      <c r="AM62" s="54"/>
      <c r="AN62" s="7" t="str">
        <v>054</v>
      </c>
      <c r="AO62" s="7"/>
      <c r="AP62" s="62"/>
      <c r="AQ62" s="75" t="str">
        <v/>
      </c>
      <c r="AR62" s="75" t="str">
        <v>-</v>
      </c>
      <c r="AS62" s="11"/>
      <c r="AT62" s="77" t="str">
        <v>-</v>
      </c>
      <c r="AU62" s="11" t="str">
        <v>-</v>
      </c>
      <c r="AV62" s="84"/>
      <c r="AW62" s="86" t="str">
        <f ca="1"/>
        <v>-</v>
      </c>
      <c r="AX62" s="86" t="b">
        <v>0</v>
      </c>
      <c r="AY62" s="68" t="str">
        <f t="shared" si="0"/>
        <v/>
      </c>
      <c r="AZ62" s="69" t="str">
        <f t="shared" si="1"/>
        <v/>
      </c>
      <c r="BA62" s="70" t="str">
        <f t="shared" si="2"/>
        <v/>
      </c>
      <c r="BB62" s="68" t="str">
        <f t="shared" si="3"/>
        <v/>
      </c>
      <c r="BC62" s="69" t="str">
        <f>IFERROR(VLOOKUP($AQ62,'(勿動)組件目錄表'!$D$15:$R$1094,7,FALSE),"")</f>
        <v/>
      </c>
      <c r="BD62" s="69" t="str">
        <f>IFERROR(VLOOKUP($AQ62,'(勿動)組件目錄表'!$D$15:$R$1094,8,FALSE),"")</f>
        <v/>
      </c>
      <c r="BE62" s="69" t="str">
        <f>IFERROR(VLOOKUP($AQ62,'(勿動)組件目錄表'!$D$15:$R$1094,9,FALSE),"")</f>
        <v/>
      </c>
      <c r="BF62" s="69" t="str">
        <f>IFERROR(VLOOKUP($AQ62,'(勿動)組件目錄表'!$D$15:$R$1094,10,FALSE),"")</f>
        <v/>
      </c>
      <c r="BG62" s="69" t="str">
        <f>IFERROR(VLOOKUP($AQ62,'(勿動)組件目錄表'!$D$15:$R$1094,11,FALSE),"")</f>
        <v/>
      </c>
      <c r="BH62" s="69" t="str">
        <f>IFERROR(VLOOKUP($AQ62,'(勿動)組件目錄表'!$D$15:$R$1094,12,FALSE),"")</f>
        <v/>
      </c>
      <c r="BI62" s="69" t="str">
        <f>IFERROR(VLOOKUP($AQ62,'(勿動)組件目錄表'!$D$15:$R$1094,13,FALSE),"")</f>
        <v/>
      </c>
      <c r="BJ62" s="69" t="str">
        <f>IFERROR(VLOOKUP($AQ62,'(勿動)組件目錄表'!$D$15:$R$1094,14,FALSE),"")</f>
        <v/>
      </c>
      <c r="BK62" s="69" t="str">
        <f>IFERROR(VLOOKUP($AQ62,'(勿動)組件目錄表'!$D$15:$R$1094,15,FALSE),"")</f>
        <v/>
      </c>
      <c r="BL62" s="81">
        <f ca="1">IFERROR(__xludf.DUMMYFUNCTION("IFERROR(
  LET(
    rowData, FILTER('(勿動)組件目錄表'!J:Q, '(勿動)組件目錄表'!D:D=AQ62),
    IF(ROWS(rowData)=0, 0, 
      (
        IF(AND(BC62&lt;&gt;"""", INDEX(rowData,1,1)=BC62),1,0) +
        IF(AND(BD62&lt;&gt;"""", INDEX(rowData,1,2)=BD62),1,0) +
        IF(AND(BE62&lt;&gt;"""""&amp;", INDEX(rowData,1,3)=BE62),1,0) +
        IF(AND(BF62&lt;&gt;"""", INDEX(rowData,1,4)=BF62),1,0) +
        IF(AND(BG62&lt;&gt;"""", INDEX(rowData,1,5)=BG62),1,0) +
        IF(AND(BH62&lt;&gt;"""", INDEX(rowData,1,6)=BH62),1,0) +
        IF(AND(BI62&lt;&gt;"""", INDEX(rowData,1,7"&amp;")=BI62),1,0) +
        IF(AND(BJ62&lt;&gt;"""", INDEX(rowData,1,8)=BJ62),1,0)
      ) - COUNTIF(BC62:BJ62, ""-"")
        - COUNTIF(BC62:BJ62, ""固定格式，不需提供資訊"")
        - COUNTIF(BC62:BJ62, ""由MKT更新，此欄位固定格式，不需提供資訊
(Voucher CID：12917705872)"")
        - COUNTIF(B"&amp;"C62:BJ62, ""text固定為以下：
※直播間僅支援手機版"")
        - COUNTIF(BC62:BJ62, ""text固定為以下：
※短影音僅支援手機版"")
    )
  ), 
  0
)
"),0)</f>
        <v>0</v>
      </c>
      <c r="BM62" s="77" t="b">
        <v>0</v>
      </c>
      <c r="BN62" s="85"/>
      <c r="BO62" s="85"/>
    </row>
    <row r="63" spans="1:67" ht="30" customHeight="1">
      <c r="A63" s="73" t="str">
        <f t="array" aca="1" ref="A63" ca="1">IFERROR(TRANSPOSE(INDIRECT('MS section版配(Old)'!$AO63)),"")</f>
        <v/>
      </c>
      <c r="B63" s="9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397" t="str">
        <f>IFERROR(VLOOKUP($AQ63,'(勿動)組件目錄表'!$D$15:$R$1094,4,FALSE),"")</f>
        <v/>
      </c>
      <c r="AF63" s="384"/>
      <c r="AG63" s="384"/>
      <c r="AH63" s="384"/>
      <c r="AI63" s="384"/>
      <c r="AJ63" s="385"/>
      <c r="AK63" s="54" t="b">
        <v>0</v>
      </c>
      <c r="AL63" s="54" t="b">
        <v>0</v>
      </c>
      <c r="AM63" s="54"/>
      <c r="AN63" s="7" t="str">
        <v>055</v>
      </c>
      <c r="AO63" s="7"/>
      <c r="AP63" s="62"/>
      <c r="AQ63" s="75" t="str">
        <v/>
      </c>
      <c r="AR63" s="75" t="str">
        <v>-</v>
      </c>
      <c r="AS63" s="11"/>
      <c r="AT63" s="77" t="str">
        <v>-</v>
      </c>
      <c r="AU63" s="11" t="str">
        <v>-</v>
      </c>
      <c r="AV63" s="84"/>
      <c r="AW63" s="86" t="str">
        <f ca="1"/>
        <v>-</v>
      </c>
      <c r="AX63" s="86" t="b">
        <v>0</v>
      </c>
      <c r="AY63" s="68" t="str">
        <f t="shared" si="0"/>
        <v/>
      </c>
      <c r="AZ63" s="69" t="str">
        <f t="shared" si="1"/>
        <v/>
      </c>
      <c r="BA63" s="70" t="str">
        <f t="shared" si="2"/>
        <v/>
      </c>
      <c r="BB63" s="68" t="str">
        <f t="shared" si="3"/>
        <v/>
      </c>
      <c r="BC63" s="69" t="str">
        <f>IFERROR(VLOOKUP($AQ63,'(勿動)組件目錄表'!$D$15:$R$1094,7,FALSE),"")</f>
        <v/>
      </c>
      <c r="BD63" s="69" t="str">
        <f>IFERROR(VLOOKUP($AQ63,'(勿動)組件目錄表'!$D$15:$R$1094,8,FALSE),"")</f>
        <v/>
      </c>
      <c r="BE63" s="69" t="str">
        <f>IFERROR(VLOOKUP($AQ63,'(勿動)組件目錄表'!$D$15:$R$1094,9,FALSE),"")</f>
        <v/>
      </c>
      <c r="BF63" s="69" t="str">
        <f>IFERROR(VLOOKUP($AQ63,'(勿動)組件目錄表'!$D$15:$R$1094,10,FALSE),"")</f>
        <v/>
      </c>
      <c r="BG63" s="69" t="str">
        <f>IFERROR(VLOOKUP($AQ63,'(勿動)組件目錄表'!$D$15:$R$1094,11,FALSE),"")</f>
        <v/>
      </c>
      <c r="BH63" s="69" t="str">
        <f>IFERROR(VLOOKUP($AQ63,'(勿動)組件目錄表'!$D$15:$R$1094,12,FALSE),"")</f>
        <v/>
      </c>
      <c r="BI63" s="69" t="str">
        <f>IFERROR(VLOOKUP($AQ63,'(勿動)組件目錄表'!$D$15:$R$1094,13,FALSE),"")</f>
        <v/>
      </c>
      <c r="BJ63" s="69" t="str">
        <f>IFERROR(VLOOKUP($AQ63,'(勿動)組件目錄表'!$D$15:$R$1094,14,FALSE),"")</f>
        <v/>
      </c>
      <c r="BK63" s="69" t="str">
        <f>IFERROR(VLOOKUP($AQ63,'(勿動)組件目錄表'!$D$15:$R$1094,15,FALSE),"")</f>
        <v/>
      </c>
      <c r="BL63" s="81">
        <f ca="1">IFERROR(__xludf.DUMMYFUNCTION("IFERROR(
  LET(
    rowData, FILTER('(勿動)組件目錄表'!J:Q, '(勿動)組件目錄表'!D:D=AQ63),
    IF(ROWS(rowData)=0, 0, 
      (
        IF(AND(BC63&lt;&gt;"""", INDEX(rowData,1,1)=BC63),1,0) +
        IF(AND(BD63&lt;&gt;"""", INDEX(rowData,1,2)=BD63),1,0) +
        IF(AND(BE63&lt;&gt;"""""&amp;", INDEX(rowData,1,3)=BE63),1,0) +
        IF(AND(BF63&lt;&gt;"""", INDEX(rowData,1,4)=BF63),1,0) +
        IF(AND(BG63&lt;&gt;"""", INDEX(rowData,1,5)=BG63),1,0) +
        IF(AND(BH63&lt;&gt;"""", INDEX(rowData,1,6)=BH63),1,0) +
        IF(AND(BI63&lt;&gt;"""", INDEX(rowData,1,7"&amp;")=BI63),1,0) +
        IF(AND(BJ63&lt;&gt;"""", INDEX(rowData,1,8)=BJ63),1,0)
      ) - COUNTIF(BC63:BJ63, ""-"")
        - COUNTIF(BC63:BJ63, ""固定格式，不需提供資訊"")
        - COUNTIF(BC63:BJ63, ""由MKT更新，此欄位固定格式，不需提供資訊
(Voucher CID：12917705872)"")
        - COUNTIF(B"&amp;"C63:BJ63, ""text固定為以下：
※直播間僅支援手機版"")
        - COUNTIF(BC63:BJ63, ""text固定為以下：
※短影音僅支援手機版"")
    )
  ), 
  0
)
"),0)</f>
        <v>0</v>
      </c>
      <c r="BM63" s="77" t="b">
        <v>0</v>
      </c>
      <c r="BN63" s="85"/>
      <c r="BO63" s="85"/>
    </row>
    <row r="64" spans="1:67" ht="30" customHeight="1">
      <c r="A64" s="73" t="str">
        <f t="array" aca="1" ref="A64" ca="1">IFERROR(TRANSPOSE(INDIRECT('MS section版配(Old)'!$AO64)),"")</f>
        <v/>
      </c>
      <c r="B64" s="9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397" t="str">
        <f>IFERROR(VLOOKUP($AQ64,'(勿動)組件目錄表'!$D$15:$R$1094,4,FALSE),"")</f>
        <v/>
      </c>
      <c r="AF64" s="384"/>
      <c r="AG64" s="384"/>
      <c r="AH64" s="384"/>
      <c r="AI64" s="384"/>
      <c r="AJ64" s="385"/>
      <c r="AK64" s="54" t="b">
        <v>0</v>
      </c>
      <c r="AL64" s="54" t="b">
        <v>0</v>
      </c>
      <c r="AM64" s="54"/>
      <c r="AN64" s="7" t="str">
        <v>056</v>
      </c>
      <c r="AO64" s="7"/>
      <c r="AP64" s="62"/>
      <c r="AQ64" s="75" t="str">
        <v/>
      </c>
      <c r="AR64" s="75" t="str">
        <v>-</v>
      </c>
      <c r="AS64" s="11"/>
      <c r="AT64" s="77" t="str">
        <v>-</v>
      </c>
      <c r="AU64" s="11" t="str">
        <v>-</v>
      </c>
      <c r="AV64" s="84"/>
      <c r="AW64" s="86" t="str">
        <f ca="1"/>
        <v>-</v>
      </c>
      <c r="AX64" s="86" t="b">
        <v>0</v>
      </c>
      <c r="AY64" s="68" t="str">
        <f t="shared" si="0"/>
        <v/>
      </c>
      <c r="AZ64" s="69" t="str">
        <f t="shared" si="1"/>
        <v/>
      </c>
      <c r="BA64" s="70" t="str">
        <f t="shared" si="2"/>
        <v/>
      </c>
      <c r="BB64" s="68" t="str">
        <f t="shared" si="3"/>
        <v/>
      </c>
      <c r="BC64" s="69" t="str">
        <f>IFERROR(VLOOKUP($AQ64,'(勿動)組件目錄表'!$D$15:$R$1094,7,FALSE),"")</f>
        <v/>
      </c>
      <c r="BD64" s="69" t="str">
        <f>IFERROR(VLOOKUP($AQ64,'(勿動)組件目錄表'!$D$15:$R$1094,8,FALSE),"")</f>
        <v/>
      </c>
      <c r="BE64" s="69" t="str">
        <f>IFERROR(VLOOKUP($AQ64,'(勿動)組件目錄表'!$D$15:$R$1094,9,FALSE),"")</f>
        <v/>
      </c>
      <c r="BF64" s="69" t="str">
        <f>IFERROR(VLOOKUP($AQ64,'(勿動)組件目錄表'!$D$15:$R$1094,10,FALSE),"")</f>
        <v/>
      </c>
      <c r="BG64" s="69" t="str">
        <f>IFERROR(VLOOKUP($AQ64,'(勿動)組件目錄表'!$D$15:$R$1094,11,FALSE),"")</f>
        <v/>
      </c>
      <c r="BH64" s="69" t="str">
        <f>IFERROR(VLOOKUP($AQ64,'(勿動)組件目錄表'!$D$15:$R$1094,12,FALSE),"")</f>
        <v/>
      </c>
      <c r="BI64" s="69" t="str">
        <f>IFERROR(VLOOKUP($AQ64,'(勿動)組件目錄表'!$D$15:$R$1094,13,FALSE),"")</f>
        <v/>
      </c>
      <c r="BJ64" s="69" t="str">
        <f>IFERROR(VLOOKUP($AQ64,'(勿動)組件目錄表'!$D$15:$R$1094,14,FALSE),"")</f>
        <v/>
      </c>
      <c r="BK64" s="69" t="str">
        <f>IFERROR(VLOOKUP($AQ64,'(勿動)組件目錄表'!$D$15:$R$1094,15,FALSE),"")</f>
        <v/>
      </c>
      <c r="BL64" s="81">
        <f ca="1">IFERROR(__xludf.DUMMYFUNCTION("IFERROR(
  LET(
    rowData, FILTER('(勿動)組件目錄表'!J:Q, '(勿動)組件目錄表'!D:D=AQ64),
    IF(ROWS(rowData)=0, 0, 
      (
        IF(AND(BC64&lt;&gt;"""", INDEX(rowData,1,1)=BC64),1,0) +
        IF(AND(BD64&lt;&gt;"""", INDEX(rowData,1,2)=BD64),1,0) +
        IF(AND(BE64&lt;&gt;"""""&amp;", INDEX(rowData,1,3)=BE64),1,0) +
        IF(AND(BF64&lt;&gt;"""", INDEX(rowData,1,4)=BF64),1,0) +
        IF(AND(BG64&lt;&gt;"""", INDEX(rowData,1,5)=BG64),1,0) +
        IF(AND(BH64&lt;&gt;"""", INDEX(rowData,1,6)=BH64),1,0) +
        IF(AND(BI64&lt;&gt;"""", INDEX(rowData,1,7"&amp;")=BI64),1,0) +
        IF(AND(BJ64&lt;&gt;"""", INDEX(rowData,1,8)=BJ64),1,0)
      ) - COUNTIF(BC64:BJ64, ""-"")
        - COUNTIF(BC64:BJ64, ""固定格式，不需提供資訊"")
        - COUNTIF(BC64:BJ64, ""由MKT更新，此欄位固定格式，不需提供資訊
(Voucher CID：12917705872)"")
        - COUNTIF(B"&amp;"C64:BJ64, ""text固定為以下：
※直播間僅支援手機版"")
        - COUNTIF(BC64:BJ64, ""text固定為以下：
※短影音僅支援手機版"")
    )
  ), 
  0
)
"),0)</f>
        <v>0</v>
      </c>
      <c r="BM64" s="77" t="b">
        <v>0</v>
      </c>
      <c r="BN64" s="85"/>
      <c r="BO64" s="85"/>
    </row>
    <row r="65" spans="1:67" ht="30" customHeight="1">
      <c r="A65" s="73" t="str">
        <f t="array" aca="1" ref="A65" ca="1">IFERROR(TRANSPOSE(INDIRECT('MS section版配(Old)'!$AO65)),"")</f>
        <v/>
      </c>
      <c r="B65" s="9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397" t="str">
        <f>IFERROR(VLOOKUP($AQ65,'(勿動)組件目錄表'!$D$15:$R$1094,4,FALSE),"")</f>
        <v/>
      </c>
      <c r="AF65" s="384"/>
      <c r="AG65" s="384"/>
      <c r="AH65" s="384"/>
      <c r="AI65" s="384"/>
      <c r="AJ65" s="385"/>
      <c r="AK65" s="54" t="b">
        <v>0</v>
      </c>
      <c r="AL65" s="54" t="b">
        <v>0</v>
      </c>
      <c r="AM65" s="54"/>
      <c r="AN65" s="7" t="str">
        <v>057</v>
      </c>
      <c r="AO65" s="7"/>
      <c r="AP65" s="62"/>
      <c r="AQ65" s="75" t="str">
        <v/>
      </c>
      <c r="AR65" s="75" t="str">
        <v>-</v>
      </c>
      <c r="AS65" s="11"/>
      <c r="AT65" s="77" t="str">
        <v>-</v>
      </c>
      <c r="AU65" s="11" t="str">
        <v>-</v>
      </c>
      <c r="AV65" s="84"/>
      <c r="AW65" s="86" t="str">
        <f ca="1"/>
        <v>-</v>
      </c>
      <c r="AX65" s="86" t="b">
        <v>0</v>
      </c>
      <c r="AY65" s="68" t="str">
        <f t="shared" si="0"/>
        <v/>
      </c>
      <c r="AZ65" s="69" t="str">
        <f t="shared" si="1"/>
        <v/>
      </c>
      <c r="BA65" s="70" t="str">
        <f t="shared" si="2"/>
        <v/>
      </c>
      <c r="BB65" s="68" t="str">
        <f t="shared" si="3"/>
        <v/>
      </c>
      <c r="BC65" s="69" t="str">
        <f>IFERROR(VLOOKUP($AQ65,'(勿動)組件目錄表'!$D$15:$R$1094,7,FALSE),"")</f>
        <v/>
      </c>
      <c r="BD65" s="69" t="str">
        <f>IFERROR(VLOOKUP($AQ65,'(勿動)組件目錄表'!$D$15:$R$1094,8,FALSE),"")</f>
        <v/>
      </c>
      <c r="BE65" s="69" t="str">
        <f>IFERROR(VLOOKUP($AQ65,'(勿動)組件目錄表'!$D$15:$R$1094,9,FALSE),"")</f>
        <v/>
      </c>
      <c r="BF65" s="69" t="str">
        <f>IFERROR(VLOOKUP($AQ65,'(勿動)組件目錄表'!$D$15:$R$1094,10,FALSE),"")</f>
        <v/>
      </c>
      <c r="BG65" s="69" t="str">
        <f>IFERROR(VLOOKUP($AQ65,'(勿動)組件目錄表'!$D$15:$R$1094,11,FALSE),"")</f>
        <v/>
      </c>
      <c r="BH65" s="69" t="str">
        <f>IFERROR(VLOOKUP($AQ65,'(勿動)組件目錄表'!$D$15:$R$1094,12,FALSE),"")</f>
        <v/>
      </c>
      <c r="BI65" s="69" t="str">
        <f>IFERROR(VLOOKUP($AQ65,'(勿動)組件目錄表'!$D$15:$R$1094,13,FALSE),"")</f>
        <v/>
      </c>
      <c r="BJ65" s="69" t="str">
        <f>IFERROR(VLOOKUP($AQ65,'(勿動)組件目錄表'!$D$15:$R$1094,14,FALSE),"")</f>
        <v/>
      </c>
      <c r="BK65" s="69" t="str">
        <f>IFERROR(VLOOKUP($AQ65,'(勿動)組件目錄表'!$D$15:$R$1094,15,FALSE),"")</f>
        <v/>
      </c>
      <c r="BL65" s="81">
        <f ca="1">IFERROR(__xludf.DUMMYFUNCTION("IFERROR(
  LET(
    rowData, FILTER('(勿動)組件目錄表'!J:Q, '(勿動)組件目錄表'!D:D=AQ65),
    IF(ROWS(rowData)=0, 0, 
      (
        IF(AND(BC65&lt;&gt;"""", INDEX(rowData,1,1)=BC65),1,0) +
        IF(AND(BD65&lt;&gt;"""", INDEX(rowData,1,2)=BD65),1,0) +
        IF(AND(BE65&lt;&gt;"""""&amp;", INDEX(rowData,1,3)=BE65),1,0) +
        IF(AND(BF65&lt;&gt;"""", INDEX(rowData,1,4)=BF65),1,0) +
        IF(AND(BG65&lt;&gt;"""", INDEX(rowData,1,5)=BG65),1,0) +
        IF(AND(BH65&lt;&gt;"""", INDEX(rowData,1,6)=BH65),1,0) +
        IF(AND(BI65&lt;&gt;"""", INDEX(rowData,1,7"&amp;")=BI65),1,0) +
        IF(AND(BJ65&lt;&gt;"""", INDEX(rowData,1,8)=BJ65),1,0)
      ) - COUNTIF(BC65:BJ65, ""-"")
        - COUNTIF(BC65:BJ65, ""固定格式，不需提供資訊"")
        - COUNTIF(BC65:BJ65, ""由MKT更新，此欄位固定格式，不需提供資訊
(Voucher CID：12917705872)"")
        - COUNTIF(B"&amp;"C65:BJ65, ""text固定為以下：
※直播間僅支援手機版"")
        - COUNTIF(BC65:BJ65, ""text固定為以下：
※短影音僅支援手機版"")
    )
  ), 
  0
)
"),0)</f>
        <v>0</v>
      </c>
      <c r="BM65" s="77" t="b">
        <v>0</v>
      </c>
      <c r="BN65" s="85"/>
      <c r="BO65" s="85"/>
    </row>
    <row r="66" spans="1:67" ht="30" customHeight="1">
      <c r="A66" s="73" t="str">
        <f t="array" aca="1" ref="A66" ca="1">IFERROR(TRANSPOSE(INDIRECT('MS section版配(Old)'!$AO66)),"")</f>
        <v/>
      </c>
      <c r="B66" s="9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397" t="str">
        <f>IFERROR(VLOOKUP($AQ66,'(勿動)組件目錄表'!$D$15:$R$1094,4,FALSE),"")</f>
        <v/>
      </c>
      <c r="AF66" s="384"/>
      <c r="AG66" s="384"/>
      <c r="AH66" s="384"/>
      <c r="AI66" s="384"/>
      <c r="AJ66" s="385"/>
      <c r="AK66" s="54" t="b">
        <v>0</v>
      </c>
      <c r="AL66" s="54" t="b">
        <v>0</v>
      </c>
      <c r="AM66" s="54"/>
      <c r="AN66" s="7" t="str">
        <v>058</v>
      </c>
      <c r="AO66" s="7"/>
      <c r="AP66" s="62"/>
      <c r="AQ66" s="75" t="str">
        <v/>
      </c>
      <c r="AR66" s="75" t="str">
        <v>-</v>
      </c>
      <c r="AS66" s="11"/>
      <c r="AT66" s="77" t="str">
        <v>-</v>
      </c>
      <c r="AU66" s="11" t="str">
        <v>-</v>
      </c>
      <c r="AV66" s="84"/>
      <c r="AW66" s="86" t="str">
        <f ca="1"/>
        <v>-</v>
      </c>
      <c r="AX66" s="86" t="b">
        <v>0</v>
      </c>
      <c r="AY66" s="68" t="str">
        <f t="shared" si="0"/>
        <v/>
      </c>
      <c r="AZ66" s="69" t="str">
        <f t="shared" si="1"/>
        <v/>
      </c>
      <c r="BA66" s="70" t="str">
        <f t="shared" si="2"/>
        <v/>
      </c>
      <c r="BB66" s="68" t="str">
        <f t="shared" si="3"/>
        <v/>
      </c>
      <c r="BC66" s="69" t="str">
        <f>IFERROR(VLOOKUP($AQ66,'(勿動)組件目錄表'!$D$15:$R$1094,7,FALSE),"")</f>
        <v/>
      </c>
      <c r="BD66" s="69" t="str">
        <f>IFERROR(VLOOKUP($AQ66,'(勿動)組件目錄表'!$D$15:$R$1094,8,FALSE),"")</f>
        <v/>
      </c>
      <c r="BE66" s="69" t="str">
        <f>IFERROR(VLOOKUP($AQ66,'(勿動)組件目錄表'!$D$15:$R$1094,9,FALSE),"")</f>
        <v/>
      </c>
      <c r="BF66" s="69" t="str">
        <f>IFERROR(VLOOKUP($AQ66,'(勿動)組件目錄表'!$D$15:$R$1094,10,FALSE),"")</f>
        <v/>
      </c>
      <c r="BG66" s="69" t="str">
        <f>IFERROR(VLOOKUP($AQ66,'(勿動)組件目錄表'!$D$15:$R$1094,11,FALSE),"")</f>
        <v/>
      </c>
      <c r="BH66" s="69" t="str">
        <f>IFERROR(VLOOKUP($AQ66,'(勿動)組件目錄表'!$D$15:$R$1094,12,FALSE),"")</f>
        <v/>
      </c>
      <c r="BI66" s="69" t="str">
        <f>IFERROR(VLOOKUP($AQ66,'(勿動)組件目錄表'!$D$15:$R$1094,13,FALSE),"")</f>
        <v/>
      </c>
      <c r="BJ66" s="69" t="str">
        <f>IFERROR(VLOOKUP($AQ66,'(勿動)組件目錄表'!$D$15:$R$1094,14,FALSE),"")</f>
        <v/>
      </c>
      <c r="BK66" s="69" t="str">
        <f>IFERROR(VLOOKUP($AQ66,'(勿動)組件目錄表'!$D$15:$R$1094,15,FALSE),"")</f>
        <v/>
      </c>
      <c r="BL66" s="81">
        <f ca="1">IFERROR(__xludf.DUMMYFUNCTION("IFERROR(
  LET(
    rowData, FILTER('(勿動)組件目錄表'!J:Q, '(勿動)組件目錄表'!D:D=AQ66),
    IF(ROWS(rowData)=0, 0, 
      (
        IF(AND(BC66&lt;&gt;"""", INDEX(rowData,1,1)=BC66),1,0) +
        IF(AND(BD66&lt;&gt;"""", INDEX(rowData,1,2)=BD66),1,0) +
        IF(AND(BE66&lt;&gt;"""""&amp;", INDEX(rowData,1,3)=BE66),1,0) +
        IF(AND(BF66&lt;&gt;"""", INDEX(rowData,1,4)=BF66),1,0) +
        IF(AND(BG66&lt;&gt;"""", INDEX(rowData,1,5)=BG66),1,0) +
        IF(AND(BH66&lt;&gt;"""", INDEX(rowData,1,6)=BH66),1,0) +
        IF(AND(BI66&lt;&gt;"""", INDEX(rowData,1,7"&amp;")=BI66),1,0) +
        IF(AND(BJ66&lt;&gt;"""", INDEX(rowData,1,8)=BJ66),1,0)
      ) - COUNTIF(BC66:BJ66, ""-"")
        - COUNTIF(BC66:BJ66, ""固定格式，不需提供資訊"")
        - COUNTIF(BC66:BJ66, ""由MKT更新，此欄位固定格式，不需提供資訊
(Voucher CID：12917705872)"")
        - COUNTIF(B"&amp;"C66:BJ66, ""text固定為以下：
※直播間僅支援手機版"")
        - COUNTIF(BC66:BJ66, ""text固定為以下：
※短影音僅支援手機版"")
    )
  ), 
  0
)
"),0)</f>
        <v>0</v>
      </c>
      <c r="BM66" s="77" t="b">
        <v>0</v>
      </c>
      <c r="BN66" s="85"/>
      <c r="BO66" s="85"/>
    </row>
    <row r="67" spans="1:67" ht="30" customHeight="1">
      <c r="A67" s="73" t="str">
        <f t="array" aca="1" ref="A67" ca="1">IFERROR(TRANSPOSE(INDIRECT('MS section版配(Old)'!$AO67)),"")</f>
        <v/>
      </c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/>
      <c r="AE67" s="397" t="str">
        <f>IFERROR(VLOOKUP($AQ67,'(勿動)組件目錄表'!$D$15:$R$1094,4,FALSE),"")</f>
        <v/>
      </c>
      <c r="AF67" s="384"/>
      <c r="AG67" s="384"/>
      <c r="AH67" s="384"/>
      <c r="AI67" s="384"/>
      <c r="AJ67" s="385"/>
      <c r="AK67" s="54" t="b">
        <v>0</v>
      </c>
      <c r="AL67" s="54" t="b">
        <v>0</v>
      </c>
      <c r="AM67" s="54"/>
      <c r="AN67" s="7" t="str">
        <v>059</v>
      </c>
      <c r="AO67" s="7"/>
      <c r="AP67" s="62"/>
      <c r="AQ67" s="75" t="str">
        <v/>
      </c>
      <c r="AR67" s="75" t="str">
        <v>-</v>
      </c>
      <c r="AS67" s="11"/>
      <c r="AT67" s="77" t="str">
        <v>-</v>
      </c>
      <c r="AU67" s="11" t="str">
        <v>-</v>
      </c>
      <c r="AV67" s="84"/>
      <c r="AW67" s="86" t="str">
        <f ca="1"/>
        <v>-</v>
      </c>
      <c r="AX67" s="86" t="b">
        <v>0</v>
      </c>
      <c r="AY67" s="68" t="str">
        <f t="shared" si="0"/>
        <v/>
      </c>
      <c r="AZ67" s="69" t="str">
        <f t="shared" si="1"/>
        <v/>
      </c>
      <c r="BA67" s="70" t="str">
        <f t="shared" si="2"/>
        <v/>
      </c>
      <c r="BB67" s="68" t="str">
        <f t="shared" si="3"/>
        <v/>
      </c>
      <c r="BC67" s="69" t="str">
        <f>IFERROR(VLOOKUP($AQ67,'(勿動)組件目錄表'!$D$15:$R$1094,7,FALSE),"")</f>
        <v/>
      </c>
      <c r="BD67" s="69" t="str">
        <f>IFERROR(VLOOKUP($AQ67,'(勿動)組件目錄表'!$D$15:$R$1094,8,FALSE),"")</f>
        <v/>
      </c>
      <c r="BE67" s="69" t="str">
        <f>IFERROR(VLOOKUP($AQ67,'(勿動)組件目錄表'!$D$15:$R$1094,9,FALSE),"")</f>
        <v/>
      </c>
      <c r="BF67" s="69" t="str">
        <f>IFERROR(VLOOKUP($AQ67,'(勿動)組件目錄表'!$D$15:$R$1094,10,FALSE),"")</f>
        <v/>
      </c>
      <c r="BG67" s="69" t="str">
        <f>IFERROR(VLOOKUP($AQ67,'(勿動)組件目錄表'!$D$15:$R$1094,11,FALSE),"")</f>
        <v/>
      </c>
      <c r="BH67" s="69" t="str">
        <f>IFERROR(VLOOKUP($AQ67,'(勿動)組件目錄表'!$D$15:$R$1094,12,FALSE),"")</f>
        <v/>
      </c>
      <c r="BI67" s="69" t="str">
        <f>IFERROR(VLOOKUP($AQ67,'(勿動)組件目錄表'!$D$15:$R$1094,13,FALSE),"")</f>
        <v/>
      </c>
      <c r="BJ67" s="69" t="str">
        <f>IFERROR(VLOOKUP($AQ67,'(勿動)組件目錄表'!$D$15:$R$1094,14,FALSE),"")</f>
        <v/>
      </c>
      <c r="BK67" s="69" t="str">
        <f>IFERROR(VLOOKUP($AQ67,'(勿動)組件目錄表'!$D$15:$R$1094,15,FALSE),"")</f>
        <v/>
      </c>
      <c r="BL67" s="81">
        <f ca="1">IFERROR(__xludf.DUMMYFUNCTION("IFERROR(
  LET(
    rowData, FILTER('(勿動)組件目錄表'!J:Q, '(勿動)組件目錄表'!D:D=AQ67),
    IF(ROWS(rowData)=0, 0, 
      (
        IF(AND(BC67&lt;&gt;"""", INDEX(rowData,1,1)=BC67),1,0) +
        IF(AND(BD67&lt;&gt;"""", INDEX(rowData,1,2)=BD67),1,0) +
        IF(AND(BE67&lt;&gt;"""""&amp;", INDEX(rowData,1,3)=BE67),1,0) +
        IF(AND(BF67&lt;&gt;"""", INDEX(rowData,1,4)=BF67),1,0) +
        IF(AND(BG67&lt;&gt;"""", INDEX(rowData,1,5)=BG67),1,0) +
        IF(AND(BH67&lt;&gt;"""", INDEX(rowData,1,6)=BH67),1,0) +
        IF(AND(BI67&lt;&gt;"""", INDEX(rowData,1,7"&amp;")=BI67),1,0) +
        IF(AND(BJ67&lt;&gt;"""", INDEX(rowData,1,8)=BJ67),1,0)
      ) - COUNTIF(BC67:BJ67, ""-"")
        - COUNTIF(BC67:BJ67, ""固定格式，不需提供資訊"")
        - COUNTIF(BC67:BJ67, ""由MKT更新，此欄位固定格式，不需提供資訊
(Voucher CID：12917705872)"")
        - COUNTIF(B"&amp;"C67:BJ67, ""text固定為以下：
※直播間僅支援手機版"")
        - COUNTIF(BC67:BJ67, ""text固定為以下：
※短影音僅支援手機版"")
    )
  ), 
  0
)
"),0)</f>
        <v>0</v>
      </c>
      <c r="BM67" s="77" t="b">
        <v>0</v>
      </c>
      <c r="BN67" s="85"/>
      <c r="BO67" s="85"/>
    </row>
    <row r="68" spans="1:67" ht="30" customHeight="1">
      <c r="A68" s="73" t="str">
        <f t="array" aca="1" ref="A68" ca="1">IFERROR(TRANSPOSE(INDIRECT('MS section版配(Old)'!$AO68)),"")</f>
        <v/>
      </c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397" t="str">
        <f>IFERROR(VLOOKUP($AQ68,'(勿動)組件目錄表'!$D$15:$R$1094,4,FALSE),"")</f>
        <v/>
      </c>
      <c r="AF68" s="384"/>
      <c r="AG68" s="384"/>
      <c r="AH68" s="384"/>
      <c r="AI68" s="384"/>
      <c r="AJ68" s="385"/>
      <c r="AK68" s="54" t="b">
        <v>0</v>
      </c>
      <c r="AL68" s="54" t="b">
        <v>0</v>
      </c>
      <c r="AM68" s="54"/>
      <c r="AN68" s="7" t="str">
        <v>060</v>
      </c>
      <c r="AO68" s="7"/>
      <c r="AP68" s="62"/>
      <c r="AQ68" s="75" t="str">
        <v/>
      </c>
      <c r="AR68" s="75" t="str">
        <v>-</v>
      </c>
      <c r="AS68" s="11"/>
      <c r="AT68" s="77" t="str">
        <v>-</v>
      </c>
      <c r="AU68" s="11" t="str">
        <v>-</v>
      </c>
      <c r="AV68" s="84"/>
      <c r="AW68" s="86" t="str">
        <f ca="1"/>
        <v>-</v>
      </c>
      <c r="AX68" s="86" t="b">
        <v>0</v>
      </c>
      <c r="AY68" s="68" t="str">
        <f t="shared" si="0"/>
        <v/>
      </c>
      <c r="AZ68" s="69" t="str">
        <f t="shared" si="1"/>
        <v/>
      </c>
      <c r="BA68" s="70" t="str">
        <f t="shared" si="2"/>
        <v/>
      </c>
      <c r="BB68" s="68" t="str">
        <f t="shared" si="3"/>
        <v/>
      </c>
      <c r="BC68" s="69" t="str">
        <f>IFERROR(VLOOKUP($AQ68,'(勿動)組件目錄表'!$D$15:$R$1094,7,FALSE),"")</f>
        <v/>
      </c>
      <c r="BD68" s="69" t="str">
        <f>IFERROR(VLOOKUP($AQ68,'(勿動)組件目錄表'!$D$15:$R$1094,8,FALSE),"")</f>
        <v/>
      </c>
      <c r="BE68" s="69" t="str">
        <f>IFERROR(VLOOKUP($AQ68,'(勿動)組件目錄表'!$D$15:$R$1094,9,FALSE),"")</f>
        <v/>
      </c>
      <c r="BF68" s="69" t="str">
        <f>IFERROR(VLOOKUP($AQ68,'(勿動)組件目錄表'!$D$15:$R$1094,10,FALSE),"")</f>
        <v/>
      </c>
      <c r="BG68" s="69" t="str">
        <f>IFERROR(VLOOKUP($AQ68,'(勿動)組件目錄表'!$D$15:$R$1094,11,FALSE),"")</f>
        <v/>
      </c>
      <c r="BH68" s="69" t="str">
        <f>IFERROR(VLOOKUP($AQ68,'(勿動)組件目錄表'!$D$15:$R$1094,12,FALSE),"")</f>
        <v/>
      </c>
      <c r="BI68" s="69" t="str">
        <f>IFERROR(VLOOKUP($AQ68,'(勿動)組件目錄表'!$D$15:$R$1094,13,FALSE),"")</f>
        <v/>
      </c>
      <c r="BJ68" s="69" t="str">
        <f>IFERROR(VLOOKUP($AQ68,'(勿動)組件目錄表'!$D$15:$R$1094,14,FALSE),"")</f>
        <v/>
      </c>
      <c r="BK68" s="69" t="str">
        <f>IFERROR(VLOOKUP($AQ68,'(勿動)組件目錄表'!$D$15:$R$1094,15,FALSE),"")</f>
        <v/>
      </c>
      <c r="BL68" s="81">
        <f ca="1">IFERROR(__xludf.DUMMYFUNCTION("IFERROR(
  LET(
    rowData, FILTER('(勿動)組件目錄表'!J:Q, '(勿動)組件目錄表'!D:D=AQ68),
    IF(ROWS(rowData)=0, 0, 
      (
        IF(AND(BC68&lt;&gt;"""", INDEX(rowData,1,1)=BC68),1,0) +
        IF(AND(BD68&lt;&gt;"""", INDEX(rowData,1,2)=BD68),1,0) +
        IF(AND(BE68&lt;&gt;"""""&amp;", INDEX(rowData,1,3)=BE68),1,0) +
        IF(AND(BF68&lt;&gt;"""", INDEX(rowData,1,4)=BF68),1,0) +
        IF(AND(BG68&lt;&gt;"""", INDEX(rowData,1,5)=BG68),1,0) +
        IF(AND(BH68&lt;&gt;"""", INDEX(rowData,1,6)=BH68),1,0) +
        IF(AND(BI68&lt;&gt;"""", INDEX(rowData,1,7"&amp;")=BI68),1,0) +
        IF(AND(BJ68&lt;&gt;"""", INDEX(rowData,1,8)=BJ68),1,0)
      ) - COUNTIF(BC68:BJ68, ""-"")
        - COUNTIF(BC68:BJ68, ""固定格式，不需提供資訊"")
        - COUNTIF(BC68:BJ68, ""由MKT更新，此欄位固定格式，不需提供資訊
(Voucher CID：12917705872)"")
        - COUNTIF(B"&amp;"C68:BJ68, ""text固定為以下：
※直播間僅支援手機版"")
        - COUNTIF(BC68:BJ68, ""text固定為以下：
※短影音僅支援手機版"")
    )
  ), 
  0
)
"),0)</f>
        <v>0</v>
      </c>
      <c r="BM68" s="77" t="b">
        <v>0</v>
      </c>
      <c r="BN68" s="85"/>
      <c r="BO68" s="85"/>
    </row>
    <row r="69" spans="1:67" ht="30" customHeight="1">
      <c r="A69" s="73" t="str">
        <f t="array" aca="1" ref="A69" ca="1">IFERROR(TRANSPOSE(INDIRECT('MS section版配(Old)'!$AO69)),"")</f>
        <v/>
      </c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7"/>
      <c r="AB69" s="87"/>
      <c r="AC69" s="87"/>
      <c r="AD69" s="87"/>
      <c r="AE69" s="397" t="str">
        <f>IFERROR(VLOOKUP($AQ69,'(勿動)組件目錄表'!$D$15:$R$1094,4,FALSE),"")</f>
        <v/>
      </c>
      <c r="AF69" s="384"/>
      <c r="AG69" s="384"/>
      <c r="AH69" s="384"/>
      <c r="AI69" s="384"/>
      <c r="AJ69" s="385"/>
      <c r="AK69" s="54" t="b">
        <v>0</v>
      </c>
      <c r="AL69" s="54" t="b">
        <v>0</v>
      </c>
      <c r="AM69" s="54"/>
      <c r="AN69" s="7" t="str">
        <v>061</v>
      </c>
      <c r="AO69" s="7"/>
      <c r="AP69" s="62"/>
      <c r="AQ69" s="75" t="str">
        <v/>
      </c>
      <c r="AR69" s="75" t="str">
        <v>-</v>
      </c>
      <c r="AS69" s="11"/>
      <c r="AT69" s="77" t="str">
        <v>-</v>
      </c>
      <c r="AU69" s="11" t="str">
        <v>-</v>
      </c>
      <c r="AV69" s="84"/>
      <c r="AW69" s="86" t="str">
        <f ca="1"/>
        <v>-</v>
      </c>
      <c r="AX69" s="86" t="b">
        <v>0</v>
      </c>
      <c r="AY69" s="68" t="str">
        <f t="shared" si="0"/>
        <v/>
      </c>
      <c r="AZ69" s="69" t="str">
        <f t="shared" si="1"/>
        <v/>
      </c>
      <c r="BA69" s="70" t="str">
        <f t="shared" si="2"/>
        <v/>
      </c>
      <c r="BB69" s="68" t="str">
        <f t="shared" si="3"/>
        <v/>
      </c>
      <c r="BC69" s="69" t="str">
        <f>IFERROR(VLOOKUP($AQ69,'(勿動)組件目錄表'!$D$15:$R$1094,7,FALSE),"")</f>
        <v/>
      </c>
      <c r="BD69" s="69" t="str">
        <f>IFERROR(VLOOKUP($AQ69,'(勿動)組件目錄表'!$D$15:$R$1094,8,FALSE),"")</f>
        <v/>
      </c>
      <c r="BE69" s="69" t="str">
        <f>IFERROR(VLOOKUP($AQ69,'(勿動)組件目錄表'!$D$15:$R$1094,9,FALSE),"")</f>
        <v/>
      </c>
      <c r="BF69" s="69" t="str">
        <f>IFERROR(VLOOKUP($AQ69,'(勿動)組件目錄表'!$D$15:$R$1094,10,FALSE),"")</f>
        <v/>
      </c>
      <c r="BG69" s="69" t="str">
        <f>IFERROR(VLOOKUP($AQ69,'(勿動)組件目錄表'!$D$15:$R$1094,11,FALSE),"")</f>
        <v/>
      </c>
      <c r="BH69" s="69" t="str">
        <f>IFERROR(VLOOKUP($AQ69,'(勿動)組件目錄表'!$D$15:$R$1094,12,FALSE),"")</f>
        <v/>
      </c>
      <c r="BI69" s="69" t="str">
        <f>IFERROR(VLOOKUP($AQ69,'(勿動)組件目錄表'!$D$15:$R$1094,13,FALSE),"")</f>
        <v/>
      </c>
      <c r="BJ69" s="69" t="str">
        <f>IFERROR(VLOOKUP($AQ69,'(勿動)組件目錄表'!$D$15:$R$1094,14,FALSE),"")</f>
        <v/>
      </c>
      <c r="BK69" s="69" t="str">
        <f>IFERROR(VLOOKUP($AQ69,'(勿動)組件目錄表'!$D$15:$R$1094,15,FALSE),"")</f>
        <v/>
      </c>
      <c r="BL69" s="81">
        <f ca="1">IFERROR(__xludf.DUMMYFUNCTION("IFERROR(
  LET(
    rowData, FILTER('(勿動)組件目錄表'!J:Q, '(勿動)組件目錄表'!D:D=AQ69),
    IF(ROWS(rowData)=0, 0, 
      (
        IF(AND(BC69&lt;&gt;"""", INDEX(rowData,1,1)=BC69),1,0) +
        IF(AND(BD69&lt;&gt;"""", INDEX(rowData,1,2)=BD69),1,0) +
        IF(AND(BE69&lt;&gt;"""""&amp;", INDEX(rowData,1,3)=BE69),1,0) +
        IF(AND(BF69&lt;&gt;"""", INDEX(rowData,1,4)=BF69),1,0) +
        IF(AND(BG69&lt;&gt;"""", INDEX(rowData,1,5)=BG69),1,0) +
        IF(AND(BH69&lt;&gt;"""", INDEX(rowData,1,6)=BH69),1,0) +
        IF(AND(BI69&lt;&gt;"""", INDEX(rowData,1,7"&amp;")=BI69),1,0) +
        IF(AND(BJ69&lt;&gt;"""", INDEX(rowData,1,8)=BJ69),1,0)
      ) - COUNTIF(BC69:BJ69, ""-"")
        - COUNTIF(BC69:BJ69, ""固定格式，不需提供資訊"")
        - COUNTIF(BC69:BJ69, ""由MKT更新，此欄位固定格式，不需提供資訊
(Voucher CID：12917705872)"")
        - COUNTIF(B"&amp;"C69:BJ69, ""text固定為以下：
※直播間僅支援手機版"")
        - COUNTIF(BC69:BJ69, ""text固定為以下：
※短影音僅支援手機版"")
    )
  ), 
  0
)
"),0)</f>
        <v>0</v>
      </c>
      <c r="BM69" s="77" t="b">
        <v>0</v>
      </c>
      <c r="BN69" s="85"/>
      <c r="BO69" s="85"/>
    </row>
    <row r="70" spans="1:67" ht="30" customHeight="1">
      <c r="A70" s="73" t="str">
        <f t="array" aca="1" ref="A70" ca="1">IFERROR(TRANSPOSE(INDIRECT('MS section版配(Old)'!$AO70)),"")</f>
        <v/>
      </c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  <c r="AD70" s="94"/>
      <c r="AE70" s="397" t="str">
        <f>IFERROR(VLOOKUP($AQ70,'(勿動)組件目錄表'!$D$15:$R$1094,4,FALSE),"")</f>
        <v/>
      </c>
      <c r="AF70" s="384"/>
      <c r="AG70" s="384"/>
      <c r="AH70" s="384"/>
      <c r="AI70" s="384"/>
      <c r="AJ70" s="385"/>
      <c r="AK70" s="54" t="b">
        <v>0</v>
      </c>
      <c r="AL70" s="54" t="b">
        <v>0</v>
      </c>
      <c r="AM70" s="54"/>
      <c r="AN70" s="7" t="str">
        <v>062</v>
      </c>
      <c r="AO70" s="7"/>
      <c r="AP70" s="62"/>
      <c r="AQ70" s="75" t="str">
        <v/>
      </c>
      <c r="AR70" s="75" t="str">
        <v>-</v>
      </c>
      <c r="AS70" s="11"/>
      <c r="AT70" s="77" t="str">
        <v>-</v>
      </c>
      <c r="AU70" s="11" t="str">
        <v>-</v>
      </c>
      <c r="AV70" s="84"/>
      <c r="AW70" s="86" t="str">
        <f ca="1"/>
        <v>-</v>
      </c>
      <c r="AX70" s="86" t="b">
        <v>0</v>
      </c>
      <c r="AY70" s="68" t="str">
        <f t="shared" si="0"/>
        <v/>
      </c>
      <c r="AZ70" s="69" t="str">
        <f t="shared" si="1"/>
        <v/>
      </c>
      <c r="BA70" s="70" t="str">
        <f t="shared" si="2"/>
        <v/>
      </c>
      <c r="BB70" s="68" t="str">
        <f t="shared" si="3"/>
        <v/>
      </c>
      <c r="BC70" s="69" t="str">
        <f>IFERROR(VLOOKUP($AQ70,'(勿動)組件目錄表'!$D$15:$R$1094,7,FALSE),"")</f>
        <v/>
      </c>
      <c r="BD70" s="69" t="str">
        <f>IFERROR(VLOOKUP($AQ70,'(勿動)組件目錄表'!$D$15:$R$1094,8,FALSE),"")</f>
        <v/>
      </c>
      <c r="BE70" s="69" t="str">
        <f>IFERROR(VLOOKUP($AQ70,'(勿動)組件目錄表'!$D$15:$R$1094,9,FALSE),"")</f>
        <v/>
      </c>
      <c r="BF70" s="69" t="str">
        <f>IFERROR(VLOOKUP($AQ70,'(勿動)組件目錄表'!$D$15:$R$1094,10,FALSE),"")</f>
        <v/>
      </c>
      <c r="BG70" s="69" t="str">
        <f>IFERROR(VLOOKUP($AQ70,'(勿動)組件目錄表'!$D$15:$R$1094,11,FALSE),"")</f>
        <v/>
      </c>
      <c r="BH70" s="69" t="str">
        <f>IFERROR(VLOOKUP($AQ70,'(勿動)組件目錄表'!$D$15:$R$1094,12,FALSE),"")</f>
        <v/>
      </c>
      <c r="BI70" s="69" t="str">
        <f>IFERROR(VLOOKUP($AQ70,'(勿動)組件目錄表'!$D$15:$R$1094,13,FALSE),"")</f>
        <v/>
      </c>
      <c r="BJ70" s="69" t="str">
        <f>IFERROR(VLOOKUP($AQ70,'(勿動)組件目錄表'!$D$15:$R$1094,14,FALSE),"")</f>
        <v/>
      </c>
      <c r="BK70" s="69" t="str">
        <f>IFERROR(VLOOKUP($AQ70,'(勿動)組件目錄表'!$D$15:$R$1094,15,FALSE),"")</f>
        <v/>
      </c>
      <c r="BL70" s="81">
        <f ca="1">IFERROR(__xludf.DUMMYFUNCTION("IFERROR(
  LET(
    rowData, FILTER('(勿動)組件目錄表'!J:Q, '(勿動)組件目錄表'!D:D=AQ70),
    IF(ROWS(rowData)=0, 0, 
      (
        IF(AND(BC70&lt;&gt;"""", INDEX(rowData,1,1)=BC70),1,0) +
        IF(AND(BD70&lt;&gt;"""", INDEX(rowData,1,2)=BD70),1,0) +
        IF(AND(BE70&lt;&gt;"""""&amp;", INDEX(rowData,1,3)=BE70),1,0) +
        IF(AND(BF70&lt;&gt;"""", INDEX(rowData,1,4)=BF70),1,0) +
        IF(AND(BG70&lt;&gt;"""", INDEX(rowData,1,5)=BG70),1,0) +
        IF(AND(BH70&lt;&gt;"""", INDEX(rowData,1,6)=BH70),1,0) +
        IF(AND(BI70&lt;&gt;"""", INDEX(rowData,1,7"&amp;")=BI70),1,0) +
        IF(AND(BJ70&lt;&gt;"""", INDEX(rowData,1,8)=BJ70),1,0)
      ) - COUNTIF(BC70:BJ70, ""-"")
        - COUNTIF(BC70:BJ70, ""固定格式，不需提供資訊"")
        - COUNTIF(BC70:BJ70, ""由MKT更新，此欄位固定格式，不需提供資訊
(Voucher CID：12917705872)"")
        - COUNTIF(B"&amp;"C70:BJ70, ""text固定為以下：
※直播間僅支援手機版"")
        - COUNTIF(BC70:BJ70, ""text固定為以下：
※短影音僅支援手機版"")
    )
  ), 
  0
)
"),0)</f>
        <v>0</v>
      </c>
      <c r="BM70" s="77" t="b">
        <v>0</v>
      </c>
      <c r="BN70" s="85"/>
      <c r="BO70" s="85"/>
    </row>
    <row r="71" spans="1:67" ht="30" customHeight="1">
      <c r="A71" s="73" t="str">
        <f t="array" aca="1" ref="A71" ca="1">IFERROR(TRANSPOSE(INDIRECT('MS section版配(Old)'!$AO71)),"")</f>
        <v/>
      </c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7"/>
      <c r="AB71" s="87"/>
      <c r="AC71" s="87"/>
      <c r="AD71" s="87"/>
      <c r="AE71" s="397" t="str">
        <f>IFERROR(VLOOKUP($AQ71,'(勿動)組件目錄表'!$D$15:$R$1094,4,FALSE),"")</f>
        <v/>
      </c>
      <c r="AF71" s="384"/>
      <c r="AG71" s="384"/>
      <c r="AH71" s="384"/>
      <c r="AI71" s="384"/>
      <c r="AJ71" s="385"/>
      <c r="AK71" s="54" t="b">
        <v>0</v>
      </c>
      <c r="AL71" s="54" t="b">
        <v>0</v>
      </c>
      <c r="AM71" s="54"/>
      <c r="AN71" s="7" t="str">
        <v>063</v>
      </c>
      <c r="AO71" s="7"/>
      <c r="AP71" s="62"/>
      <c r="AQ71" s="75" t="str">
        <v/>
      </c>
      <c r="AR71" s="75" t="str">
        <v>-</v>
      </c>
      <c r="AS71" s="11"/>
      <c r="AT71" s="77" t="str">
        <v>-</v>
      </c>
      <c r="AU71" s="11" t="str">
        <v>-</v>
      </c>
      <c r="AV71" s="84"/>
      <c r="AW71" s="86" t="str">
        <f ca="1"/>
        <v>-</v>
      </c>
      <c r="AX71" s="86" t="b">
        <v>0</v>
      </c>
      <c r="AY71" s="68" t="str">
        <f t="shared" si="0"/>
        <v/>
      </c>
      <c r="AZ71" s="69" t="str">
        <f t="shared" si="1"/>
        <v/>
      </c>
      <c r="BA71" s="70" t="str">
        <f t="shared" si="2"/>
        <v/>
      </c>
      <c r="BB71" s="68" t="str">
        <f t="shared" si="3"/>
        <v/>
      </c>
      <c r="BC71" s="69" t="str">
        <f>IFERROR(VLOOKUP($AQ71,'(勿動)組件目錄表'!$D$15:$R$1094,7,FALSE),"")</f>
        <v/>
      </c>
      <c r="BD71" s="69" t="str">
        <f>IFERROR(VLOOKUP($AQ71,'(勿動)組件目錄表'!$D$15:$R$1094,8,FALSE),"")</f>
        <v/>
      </c>
      <c r="BE71" s="69" t="str">
        <f>IFERROR(VLOOKUP($AQ71,'(勿動)組件目錄表'!$D$15:$R$1094,9,FALSE),"")</f>
        <v/>
      </c>
      <c r="BF71" s="69" t="str">
        <f>IFERROR(VLOOKUP($AQ71,'(勿動)組件目錄表'!$D$15:$R$1094,10,FALSE),"")</f>
        <v/>
      </c>
      <c r="BG71" s="69" t="str">
        <f>IFERROR(VLOOKUP($AQ71,'(勿動)組件目錄表'!$D$15:$R$1094,11,FALSE),"")</f>
        <v/>
      </c>
      <c r="BH71" s="69" t="str">
        <f>IFERROR(VLOOKUP($AQ71,'(勿動)組件目錄表'!$D$15:$R$1094,12,FALSE),"")</f>
        <v/>
      </c>
      <c r="BI71" s="69" t="str">
        <f>IFERROR(VLOOKUP($AQ71,'(勿動)組件目錄表'!$D$15:$R$1094,13,FALSE),"")</f>
        <v/>
      </c>
      <c r="BJ71" s="69" t="str">
        <f>IFERROR(VLOOKUP($AQ71,'(勿動)組件目錄表'!$D$15:$R$1094,14,FALSE),"")</f>
        <v/>
      </c>
      <c r="BK71" s="69" t="str">
        <f>IFERROR(VLOOKUP($AQ71,'(勿動)組件目錄表'!$D$15:$R$1094,15,FALSE),"")</f>
        <v/>
      </c>
      <c r="BL71" s="81">
        <f ca="1">IFERROR(__xludf.DUMMYFUNCTION("IFERROR(
  LET(
    rowData, FILTER('(勿動)組件目錄表'!J:Q, '(勿動)組件目錄表'!D:D=AQ71),
    IF(ROWS(rowData)=0, 0, 
      (
        IF(AND(BC71&lt;&gt;"""", INDEX(rowData,1,1)=BC71),1,0) +
        IF(AND(BD71&lt;&gt;"""", INDEX(rowData,1,2)=BD71),1,0) +
        IF(AND(BE71&lt;&gt;"""""&amp;", INDEX(rowData,1,3)=BE71),1,0) +
        IF(AND(BF71&lt;&gt;"""", INDEX(rowData,1,4)=BF71),1,0) +
        IF(AND(BG71&lt;&gt;"""", INDEX(rowData,1,5)=BG71),1,0) +
        IF(AND(BH71&lt;&gt;"""", INDEX(rowData,1,6)=BH71),1,0) +
        IF(AND(BI71&lt;&gt;"""", INDEX(rowData,1,7"&amp;")=BI71),1,0) +
        IF(AND(BJ71&lt;&gt;"""", INDEX(rowData,1,8)=BJ71),1,0)
      ) - COUNTIF(BC71:BJ71, ""-"")
        - COUNTIF(BC71:BJ71, ""固定格式，不需提供資訊"")
        - COUNTIF(BC71:BJ71, ""由MKT更新，此欄位固定格式，不需提供資訊
(Voucher CID：12917705872)"")
        - COUNTIF(B"&amp;"C71:BJ71, ""text固定為以下：
※直播間僅支援手機版"")
        - COUNTIF(BC71:BJ71, ""text固定為以下：
※短影音僅支援手機版"")
    )
  ), 
  0
)
"),0)</f>
        <v>0</v>
      </c>
      <c r="BM71" s="77" t="b">
        <v>0</v>
      </c>
      <c r="BN71" s="85"/>
      <c r="BO71" s="85"/>
    </row>
    <row r="72" spans="1:67" ht="30" customHeight="1">
      <c r="A72" s="73" t="str">
        <f t="array" aca="1" ref="A72" ca="1">IFERROR(TRANSPOSE(INDIRECT('MS section版配(Old)'!$AO72)),"")</f>
        <v/>
      </c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7"/>
      <c r="AB72" s="87"/>
      <c r="AC72" s="87"/>
      <c r="AD72" s="87"/>
      <c r="AE72" s="397" t="str">
        <f>IFERROR(VLOOKUP($AQ72,'(勿動)組件目錄表'!$D$15:$R$1094,4,FALSE),"")</f>
        <v/>
      </c>
      <c r="AF72" s="384"/>
      <c r="AG72" s="384"/>
      <c r="AH72" s="384"/>
      <c r="AI72" s="384"/>
      <c r="AJ72" s="385"/>
      <c r="AK72" s="54" t="b">
        <v>0</v>
      </c>
      <c r="AL72" s="54" t="b">
        <v>0</v>
      </c>
      <c r="AM72" s="54"/>
      <c r="AN72" s="7" t="str">
        <v>064</v>
      </c>
      <c r="AO72" s="7"/>
      <c r="AP72" s="62"/>
      <c r="AQ72" s="75" t="str">
        <v/>
      </c>
      <c r="AR72" s="75" t="str">
        <v>-</v>
      </c>
      <c r="AS72" s="11"/>
      <c r="AT72" s="77" t="str">
        <v>-</v>
      </c>
      <c r="AU72" s="11" t="str">
        <v>-</v>
      </c>
      <c r="AV72" s="84"/>
      <c r="AW72" s="86" t="str">
        <f ca="1"/>
        <v>-</v>
      </c>
      <c r="AX72" s="86" t="b">
        <v>0</v>
      </c>
      <c r="AY72" s="68" t="str">
        <f t="shared" si="0"/>
        <v/>
      </c>
      <c r="AZ72" s="69" t="str">
        <f t="shared" si="1"/>
        <v/>
      </c>
      <c r="BA72" s="70" t="str">
        <f t="shared" si="2"/>
        <v/>
      </c>
      <c r="BB72" s="68" t="str">
        <f t="shared" si="3"/>
        <v/>
      </c>
      <c r="BC72" s="69" t="str">
        <f>IFERROR(VLOOKUP($AQ72,'(勿動)組件目錄表'!$D$15:$R$1094,7,FALSE),"")</f>
        <v/>
      </c>
      <c r="BD72" s="69" t="str">
        <f>IFERROR(VLOOKUP($AQ72,'(勿動)組件目錄表'!$D$15:$R$1094,8,FALSE),"")</f>
        <v/>
      </c>
      <c r="BE72" s="69" t="str">
        <f>IFERROR(VLOOKUP($AQ72,'(勿動)組件目錄表'!$D$15:$R$1094,9,FALSE),"")</f>
        <v/>
      </c>
      <c r="BF72" s="69" t="str">
        <f>IFERROR(VLOOKUP($AQ72,'(勿動)組件目錄表'!$D$15:$R$1094,10,FALSE),"")</f>
        <v/>
      </c>
      <c r="BG72" s="69" t="str">
        <f>IFERROR(VLOOKUP($AQ72,'(勿動)組件目錄表'!$D$15:$R$1094,11,FALSE),"")</f>
        <v/>
      </c>
      <c r="BH72" s="69" t="str">
        <f>IFERROR(VLOOKUP($AQ72,'(勿動)組件目錄表'!$D$15:$R$1094,12,FALSE),"")</f>
        <v/>
      </c>
      <c r="BI72" s="69" t="str">
        <f>IFERROR(VLOOKUP($AQ72,'(勿動)組件目錄表'!$D$15:$R$1094,13,FALSE),"")</f>
        <v/>
      </c>
      <c r="BJ72" s="69" t="str">
        <f>IFERROR(VLOOKUP($AQ72,'(勿動)組件目錄表'!$D$15:$R$1094,14,FALSE),"")</f>
        <v/>
      </c>
      <c r="BK72" s="69" t="str">
        <f>IFERROR(VLOOKUP($AQ72,'(勿動)組件目錄表'!$D$15:$R$1094,15,FALSE),"")</f>
        <v/>
      </c>
      <c r="BL72" s="81">
        <f ca="1">IFERROR(__xludf.DUMMYFUNCTION("IFERROR(
  LET(
    rowData, FILTER('(勿動)組件目錄表'!J:Q, '(勿動)組件目錄表'!D:D=AQ72),
    IF(ROWS(rowData)=0, 0, 
      (
        IF(AND(BC72&lt;&gt;"""", INDEX(rowData,1,1)=BC72),1,0) +
        IF(AND(BD72&lt;&gt;"""", INDEX(rowData,1,2)=BD72),1,0) +
        IF(AND(BE72&lt;&gt;"""""&amp;", INDEX(rowData,1,3)=BE72),1,0) +
        IF(AND(BF72&lt;&gt;"""", INDEX(rowData,1,4)=BF72),1,0) +
        IF(AND(BG72&lt;&gt;"""", INDEX(rowData,1,5)=BG72),1,0) +
        IF(AND(BH72&lt;&gt;"""", INDEX(rowData,1,6)=BH72),1,0) +
        IF(AND(BI72&lt;&gt;"""", INDEX(rowData,1,7"&amp;")=BI72),1,0) +
        IF(AND(BJ72&lt;&gt;"""", INDEX(rowData,1,8)=BJ72),1,0)
      ) - COUNTIF(BC72:BJ72, ""-"")
        - COUNTIF(BC72:BJ72, ""固定格式，不需提供資訊"")
        - COUNTIF(BC72:BJ72, ""由MKT更新，此欄位固定格式，不需提供資訊
(Voucher CID：12917705872)"")
        - COUNTIF(B"&amp;"C72:BJ72, ""text固定為以下：
※直播間僅支援手機版"")
        - COUNTIF(BC72:BJ72, ""text固定為以下：
※短影音僅支援手機版"")
    )
  ), 
  0
)
"),0)</f>
        <v>0</v>
      </c>
      <c r="BM72" s="77" t="b">
        <v>0</v>
      </c>
      <c r="BN72" s="85"/>
      <c r="BO72" s="85"/>
    </row>
    <row r="73" spans="1:67" ht="30" customHeight="1">
      <c r="A73" s="73" t="str">
        <f t="array" aca="1" ref="A73" ca="1">IFERROR(TRANSPOSE(INDIRECT('MS section版配(Old)'!$AO73)),"")</f>
        <v/>
      </c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7"/>
      <c r="AB73" s="87"/>
      <c r="AC73" s="87"/>
      <c r="AD73" s="87"/>
      <c r="AE73" s="397" t="str">
        <f>IFERROR(VLOOKUP($AQ73,'(勿動)組件目錄表'!$D$15:$R$1094,4,FALSE),"")</f>
        <v/>
      </c>
      <c r="AF73" s="384"/>
      <c r="AG73" s="384"/>
      <c r="AH73" s="384"/>
      <c r="AI73" s="384"/>
      <c r="AJ73" s="385"/>
      <c r="AK73" s="54" t="b">
        <v>0</v>
      </c>
      <c r="AL73" s="54" t="b">
        <v>0</v>
      </c>
      <c r="AM73" s="54"/>
      <c r="AN73" s="7" t="str">
        <v>065</v>
      </c>
      <c r="AO73" s="7"/>
      <c r="AP73" s="62"/>
      <c r="AQ73" s="75" t="str">
        <v/>
      </c>
      <c r="AR73" s="75" t="str">
        <v>-</v>
      </c>
      <c r="AS73" s="11"/>
      <c r="AT73" s="77" t="str">
        <v>-</v>
      </c>
      <c r="AU73" s="11" t="str">
        <v>-</v>
      </c>
      <c r="AV73" s="84"/>
      <c r="AW73" s="86" t="str">
        <f ca="1"/>
        <v>-</v>
      </c>
      <c r="AX73" s="86" t="b">
        <v>0</v>
      </c>
      <c r="AY73" s="68" t="str">
        <f t="shared" si="0"/>
        <v/>
      </c>
      <c r="AZ73" s="69" t="str">
        <f t="shared" si="1"/>
        <v/>
      </c>
      <c r="BA73" s="70" t="str">
        <f t="shared" si="2"/>
        <v/>
      </c>
      <c r="BB73" s="68" t="str">
        <f t="shared" si="3"/>
        <v/>
      </c>
      <c r="BC73" s="69" t="str">
        <f>IFERROR(VLOOKUP($AQ73,'(勿動)組件目錄表'!$D$15:$R$1094,7,FALSE),"")</f>
        <v/>
      </c>
      <c r="BD73" s="69" t="str">
        <f>IFERROR(VLOOKUP($AQ73,'(勿動)組件目錄表'!$D$15:$R$1094,8,FALSE),"")</f>
        <v/>
      </c>
      <c r="BE73" s="69" t="str">
        <f>IFERROR(VLOOKUP($AQ73,'(勿動)組件目錄表'!$D$15:$R$1094,9,FALSE),"")</f>
        <v/>
      </c>
      <c r="BF73" s="69" t="str">
        <f>IFERROR(VLOOKUP($AQ73,'(勿動)組件目錄表'!$D$15:$R$1094,10,FALSE),"")</f>
        <v/>
      </c>
      <c r="BG73" s="69" t="str">
        <f>IFERROR(VLOOKUP($AQ73,'(勿動)組件目錄表'!$D$15:$R$1094,11,FALSE),"")</f>
        <v/>
      </c>
      <c r="BH73" s="69" t="str">
        <f>IFERROR(VLOOKUP($AQ73,'(勿動)組件目錄表'!$D$15:$R$1094,12,FALSE),"")</f>
        <v/>
      </c>
      <c r="BI73" s="69" t="str">
        <f>IFERROR(VLOOKUP($AQ73,'(勿動)組件目錄表'!$D$15:$R$1094,13,FALSE),"")</f>
        <v/>
      </c>
      <c r="BJ73" s="69" t="str">
        <f>IFERROR(VLOOKUP($AQ73,'(勿動)組件目錄表'!$D$15:$R$1094,14,FALSE),"")</f>
        <v/>
      </c>
      <c r="BK73" s="69" t="str">
        <f>IFERROR(VLOOKUP($AQ73,'(勿動)組件目錄表'!$D$15:$R$1094,15,FALSE),"")</f>
        <v/>
      </c>
      <c r="BL73" s="81">
        <f ca="1">IFERROR(__xludf.DUMMYFUNCTION("IFERROR(
  LET(
    rowData, FILTER('(勿動)組件目錄表'!J:Q, '(勿動)組件目錄表'!D:D=AQ73),
    IF(ROWS(rowData)=0, 0, 
      (
        IF(AND(BC73&lt;&gt;"""", INDEX(rowData,1,1)=BC73),1,0) +
        IF(AND(BD73&lt;&gt;"""", INDEX(rowData,1,2)=BD73),1,0) +
        IF(AND(BE73&lt;&gt;"""""&amp;", INDEX(rowData,1,3)=BE73),1,0) +
        IF(AND(BF73&lt;&gt;"""", INDEX(rowData,1,4)=BF73),1,0) +
        IF(AND(BG73&lt;&gt;"""", INDEX(rowData,1,5)=BG73),1,0) +
        IF(AND(BH73&lt;&gt;"""", INDEX(rowData,1,6)=BH73),1,0) +
        IF(AND(BI73&lt;&gt;"""", INDEX(rowData,1,7"&amp;")=BI73),1,0) +
        IF(AND(BJ73&lt;&gt;"""", INDEX(rowData,1,8)=BJ73),1,0)
      ) - COUNTIF(BC73:BJ73, ""-"")
        - COUNTIF(BC73:BJ73, ""固定格式，不需提供資訊"")
        - COUNTIF(BC73:BJ73, ""由MKT更新，此欄位固定格式，不需提供資訊
(Voucher CID：12917705872)"")
        - COUNTIF(B"&amp;"C73:BJ73, ""text固定為以下：
※直播間僅支援手機版"")
        - COUNTIF(BC73:BJ73, ""text固定為以下：
※短影音僅支援手機版"")
    )
  ), 
  0
)
"),0)</f>
        <v>0</v>
      </c>
      <c r="BM73" s="77" t="b">
        <v>0</v>
      </c>
      <c r="BN73" s="85"/>
      <c r="BO73" s="85"/>
    </row>
    <row r="74" spans="1:67" ht="30" customHeight="1">
      <c r="A74" s="73" t="str">
        <f t="array" aca="1" ref="A74" ca="1">IFERROR(TRANSPOSE(INDIRECT('MS section版配(Old)'!$AO74)),"")</f>
        <v/>
      </c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7"/>
      <c r="AB74" s="87"/>
      <c r="AC74" s="87"/>
      <c r="AD74" s="87"/>
      <c r="AE74" s="397" t="str">
        <f>IFERROR(VLOOKUP($AQ74,'(勿動)組件目錄表'!$D$15:$R$1094,4,FALSE),"")</f>
        <v/>
      </c>
      <c r="AF74" s="384"/>
      <c r="AG74" s="384"/>
      <c r="AH74" s="384"/>
      <c r="AI74" s="384"/>
      <c r="AJ74" s="385"/>
      <c r="AK74" s="54" t="b">
        <v>0</v>
      </c>
      <c r="AL74" s="54" t="b">
        <v>0</v>
      </c>
      <c r="AM74" s="54"/>
      <c r="AN74" s="7" t="str">
        <v>066</v>
      </c>
      <c r="AO74" s="7"/>
      <c r="AP74" s="62"/>
      <c r="AQ74" s="75" t="str">
        <v/>
      </c>
      <c r="AR74" s="75" t="str">
        <v>-</v>
      </c>
      <c r="AS74" s="11"/>
      <c r="AT74" s="77" t="str">
        <v>-</v>
      </c>
      <c r="AU74" s="11" t="str">
        <v>-</v>
      </c>
      <c r="AV74" s="84"/>
      <c r="AW74" s="86" t="str">
        <f ca="1"/>
        <v>-</v>
      </c>
      <c r="AX74" s="86" t="b">
        <v>0</v>
      </c>
      <c r="AY74" s="68" t="str">
        <f t="shared" si="0"/>
        <v/>
      </c>
      <c r="AZ74" s="69" t="str">
        <f t="shared" si="1"/>
        <v/>
      </c>
      <c r="BA74" s="70" t="str">
        <f t="shared" si="2"/>
        <v/>
      </c>
      <c r="BB74" s="68" t="str">
        <f t="shared" si="3"/>
        <v/>
      </c>
      <c r="BC74" s="69" t="str">
        <f>IFERROR(VLOOKUP($AQ74,'(勿動)組件目錄表'!$D$15:$R$1094,7,FALSE),"")</f>
        <v/>
      </c>
      <c r="BD74" s="69" t="str">
        <f>IFERROR(VLOOKUP($AQ74,'(勿動)組件目錄表'!$D$15:$R$1094,8,FALSE),"")</f>
        <v/>
      </c>
      <c r="BE74" s="69" t="str">
        <f>IFERROR(VLOOKUP($AQ74,'(勿動)組件目錄表'!$D$15:$R$1094,9,FALSE),"")</f>
        <v/>
      </c>
      <c r="BF74" s="69" t="str">
        <f>IFERROR(VLOOKUP($AQ74,'(勿動)組件目錄表'!$D$15:$R$1094,10,FALSE),"")</f>
        <v/>
      </c>
      <c r="BG74" s="69" t="str">
        <f>IFERROR(VLOOKUP($AQ74,'(勿動)組件目錄表'!$D$15:$R$1094,11,FALSE),"")</f>
        <v/>
      </c>
      <c r="BH74" s="69" t="str">
        <f>IFERROR(VLOOKUP($AQ74,'(勿動)組件目錄表'!$D$15:$R$1094,12,FALSE),"")</f>
        <v/>
      </c>
      <c r="BI74" s="69" t="str">
        <f>IFERROR(VLOOKUP($AQ74,'(勿動)組件目錄表'!$D$15:$R$1094,13,FALSE),"")</f>
        <v/>
      </c>
      <c r="BJ74" s="69" t="str">
        <f>IFERROR(VLOOKUP($AQ74,'(勿動)組件目錄表'!$D$15:$R$1094,14,FALSE),"")</f>
        <v/>
      </c>
      <c r="BK74" s="69" t="str">
        <f>IFERROR(VLOOKUP($AQ74,'(勿動)組件目錄表'!$D$15:$R$1094,15,FALSE),"")</f>
        <v/>
      </c>
      <c r="BL74" s="81">
        <f ca="1">IFERROR(__xludf.DUMMYFUNCTION("IFERROR(
  LET(
    rowData, FILTER('(勿動)組件目錄表'!J:Q, '(勿動)組件目錄表'!D:D=AQ74),
    IF(ROWS(rowData)=0, 0, 
      (
        IF(AND(BC74&lt;&gt;"""", INDEX(rowData,1,1)=BC74),1,0) +
        IF(AND(BD74&lt;&gt;"""", INDEX(rowData,1,2)=BD74),1,0) +
        IF(AND(BE74&lt;&gt;"""""&amp;", INDEX(rowData,1,3)=BE74),1,0) +
        IF(AND(BF74&lt;&gt;"""", INDEX(rowData,1,4)=BF74),1,0) +
        IF(AND(BG74&lt;&gt;"""", INDEX(rowData,1,5)=BG74),1,0) +
        IF(AND(BH74&lt;&gt;"""", INDEX(rowData,1,6)=BH74),1,0) +
        IF(AND(BI74&lt;&gt;"""", INDEX(rowData,1,7"&amp;")=BI74),1,0) +
        IF(AND(BJ74&lt;&gt;"""", INDEX(rowData,1,8)=BJ74),1,0)
      ) - COUNTIF(BC74:BJ74, ""-"")
        - COUNTIF(BC74:BJ74, ""固定格式，不需提供資訊"")
        - COUNTIF(BC74:BJ74, ""由MKT更新，此欄位固定格式，不需提供資訊
(Voucher CID：12917705872)"")
        - COUNTIF(B"&amp;"C74:BJ74, ""text固定為以下：
※直播間僅支援手機版"")
        - COUNTIF(BC74:BJ74, ""text固定為以下：
※短影音僅支援手機版"")
    )
  ), 
  0
)
"),0)</f>
        <v>0</v>
      </c>
      <c r="BM74" s="77" t="b">
        <v>0</v>
      </c>
      <c r="BN74" s="85"/>
      <c r="BO74" s="85"/>
    </row>
    <row r="75" spans="1:67" ht="30" customHeight="1">
      <c r="A75" s="73" t="str">
        <f t="array" aca="1" ref="A75" ca="1">IFERROR(TRANSPOSE(INDIRECT('MS section版配(Old)'!$AO75)),"")</f>
        <v/>
      </c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7"/>
      <c r="AB75" s="87"/>
      <c r="AC75" s="87"/>
      <c r="AD75" s="87"/>
      <c r="AE75" s="397" t="str">
        <f>IFERROR(VLOOKUP($AQ75,'(勿動)組件目錄表'!$D$15:$R$1094,4,FALSE),"")</f>
        <v/>
      </c>
      <c r="AF75" s="384"/>
      <c r="AG75" s="384"/>
      <c r="AH75" s="384"/>
      <c r="AI75" s="384"/>
      <c r="AJ75" s="385"/>
      <c r="AK75" s="54" t="b">
        <v>0</v>
      </c>
      <c r="AL75" s="54" t="b">
        <v>0</v>
      </c>
      <c r="AM75" s="54"/>
      <c r="AN75" s="7" t="str">
        <v>067</v>
      </c>
      <c r="AO75" s="7"/>
      <c r="AP75" s="62"/>
      <c r="AQ75" s="75" t="str">
        <v/>
      </c>
      <c r="AR75" s="75" t="str">
        <v>-</v>
      </c>
      <c r="AS75" s="11"/>
      <c r="AT75" s="77" t="str">
        <v>-</v>
      </c>
      <c r="AU75" s="11" t="str">
        <v>-</v>
      </c>
      <c r="AV75" s="84"/>
      <c r="AW75" s="86" t="str">
        <f ca="1"/>
        <v>-</v>
      </c>
      <c r="AX75" s="86" t="b">
        <v>0</v>
      </c>
      <c r="AY75" s="68" t="str">
        <f t="shared" si="0"/>
        <v/>
      </c>
      <c r="AZ75" s="69" t="str">
        <f t="shared" si="1"/>
        <v/>
      </c>
      <c r="BA75" s="70" t="str">
        <f t="shared" si="2"/>
        <v/>
      </c>
      <c r="BB75" s="68" t="str">
        <f t="shared" si="3"/>
        <v/>
      </c>
      <c r="BC75" s="69" t="str">
        <f>IFERROR(VLOOKUP($AQ75,'(勿動)組件目錄表'!$D$15:$R$1094,7,FALSE),"")</f>
        <v/>
      </c>
      <c r="BD75" s="69" t="str">
        <f>IFERROR(VLOOKUP($AQ75,'(勿動)組件目錄表'!$D$15:$R$1094,8,FALSE),"")</f>
        <v/>
      </c>
      <c r="BE75" s="69" t="str">
        <f>IFERROR(VLOOKUP($AQ75,'(勿動)組件目錄表'!$D$15:$R$1094,9,FALSE),"")</f>
        <v/>
      </c>
      <c r="BF75" s="69" t="str">
        <f>IFERROR(VLOOKUP($AQ75,'(勿動)組件目錄表'!$D$15:$R$1094,10,FALSE),"")</f>
        <v/>
      </c>
      <c r="BG75" s="69" t="str">
        <f>IFERROR(VLOOKUP($AQ75,'(勿動)組件目錄表'!$D$15:$R$1094,11,FALSE),"")</f>
        <v/>
      </c>
      <c r="BH75" s="69" t="str">
        <f>IFERROR(VLOOKUP($AQ75,'(勿動)組件目錄表'!$D$15:$R$1094,12,FALSE),"")</f>
        <v/>
      </c>
      <c r="BI75" s="69" t="str">
        <f>IFERROR(VLOOKUP($AQ75,'(勿動)組件目錄表'!$D$15:$R$1094,13,FALSE),"")</f>
        <v/>
      </c>
      <c r="BJ75" s="69" t="str">
        <f>IFERROR(VLOOKUP($AQ75,'(勿動)組件目錄表'!$D$15:$R$1094,14,FALSE),"")</f>
        <v/>
      </c>
      <c r="BK75" s="69" t="str">
        <f>IFERROR(VLOOKUP($AQ75,'(勿動)組件目錄表'!$D$15:$R$1094,15,FALSE),"")</f>
        <v/>
      </c>
      <c r="BL75" s="81">
        <f ca="1">IFERROR(__xludf.DUMMYFUNCTION("IFERROR(
  LET(
    rowData, FILTER('(勿動)組件目錄表'!J:Q, '(勿動)組件目錄表'!D:D=AQ75),
    IF(ROWS(rowData)=0, 0, 
      (
        IF(AND(BC75&lt;&gt;"""", INDEX(rowData,1,1)=BC75),1,0) +
        IF(AND(BD75&lt;&gt;"""", INDEX(rowData,1,2)=BD75),1,0) +
        IF(AND(BE75&lt;&gt;"""""&amp;", INDEX(rowData,1,3)=BE75),1,0) +
        IF(AND(BF75&lt;&gt;"""", INDEX(rowData,1,4)=BF75),1,0) +
        IF(AND(BG75&lt;&gt;"""", INDEX(rowData,1,5)=BG75),1,0) +
        IF(AND(BH75&lt;&gt;"""", INDEX(rowData,1,6)=BH75),1,0) +
        IF(AND(BI75&lt;&gt;"""", INDEX(rowData,1,7"&amp;")=BI75),1,0) +
        IF(AND(BJ75&lt;&gt;"""", INDEX(rowData,1,8)=BJ75),1,0)
      ) - COUNTIF(BC75:BJ75, ""-"")
        - COUNTIF(BC75:BJ75, ""固定格式，不需提供資訊"")
        - COUNTIF(BC75:BJ75, ""由MKT更新，此欄位固定格式，不需提供資訊
(Voucher CID：12917705872)"")
        - COUNTIF(B"&amp;"C75:BJ75, ""text固定為以下：
※直播間僅支援手機版"")
        - COUNTIF(BC75:BJ75, ""text固定為以下：
※短影音僅支援手機版"")
    )
  ), 
  0
)
"),0)</f>
        <v>0</v>
      </c>
      <c r="BM75" s="77" t="b">
        <v>0</v>
      </c>
      <c r="BN75" s="85"/>
      <c r="BO75" s="85"/>
    </row>
    <row r="76" spans="1:67" ht="30" customHeight="1">
      <c r="A76" s="73" t="str">
        <f t="array" aca="1" ref="A76" ca="1">IFERROR(TRANSPOSE(INDIRECT('MS section版配(Old)'!$AO76)),"")</f>
        <v/>
      </c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  <c r="AD76" s="95"/>
      <c r="AE76" s="397" t="str">
        <f>IFERROR(VLOOKUP($AQ76,'(勿動)組件目錄表'!$D$15:$R$1094,4,FALSE),"")</f>
        <v/>
      </c>
      <c r="AF76" s="384"/>
      <c r="AG76" s="384"/>
      <c r="AH76" s="384"/>
      <c r="AI76" s="384"/>
      <c r="AJ76" s="385"/>
      <c r="AK76" s="54" t="b">
        <v>0</v>
      </c>
      <c r="AL76" s="54" t="b">
        <v>0</v>
      </c>
      <c r="AM76" s="54"/>
      <c r="AN76" s="7" t="str">
        <v>068</v>
      </c>
      <c r="AO76" s="7"/>
      <c r="AP76" s="62"/>
      <c r="AQ76" s="75" t="str">
        <v/>
      </c>
      <c r="AR76" s="75" t="str">
        <v>-</v>
      </c>
      <c r="AS76" s="11"/>
      <c r="AT76" s="77" t="str">
        <v>-</v>
      </c>
      <c r="AU76" s="11" t="str">
        <v>-</v>
      </c>
      <c r="AV76" s="84"/>
      <c r="AW76" s="86" t="str">
        <f ca="1"/>
        <v>-</v>
      </c>
      <c r="AX76" s="86" t="b">
        <v>0</v>
      </c>
      <c r="AY76" s="68" t="str">
        <f t="shared" si="0"/>
        <v/>
      </c>
      <c r="AZ76" s="69" t="str">
        <f t="shared" si="1"/>
        <v/>
      </c>
      <c r="BA76" s="70" t="str">
        <f t="shared" si="2"/>
        <v/>
      </c>
      <c r="BB76" s="68" t="str">
        <f t="shared" si="3"/>
        <v/>
      </c>
      <c r="BC76" s="69" t="str">
        <f>IFERROR(VLOOKUP($AQ76,'(勿動)組件目錄表'!$D$15:$R$1094,7,FALSE),"")</f>
        <v/>
      </c>
      <c r="BD76" s="69" t="str">
        <f>IFERROR(VLOOKUP($AQ76,'(勿動)組件目錄表'!$D$15:$R$1094,8,FALSE),"")</f>
        <v/>
      </c>
      <c r="BE76" s="69" t="str">
        <f>IFERROR(VLOOKUP($AQ76,'(勿動)組件目錄表'!$D$15:$R$1094,9,FALSE),"")</f>
        <v/>
      </c>
      <c r="BF76" s="69" t="str">
        <f>IFERROR(VLOOKUP($AQ76,'(勿動)組件目錄表'!$D$15:$R$1094,10,FALSE),"")</f>
        <v/>
      </c>
      <c r="BG76" s="69" t="str">
        <f>IFERROR(VLOOKUP($AQ76,'(勿動)組件目錄表'!$D$15:$R$1094,11,FALSE),"")</f>
        <v/>
      </c>
      <c r="BH76" s="69" t="str">
        <f>IFERROR(VLOOKUP($AQ76,'(勿動)組件目錄表'!$D$15:$R$1094,12,FALSE),"")</f>
        <v/>
      </c>
      <c r="BI76" s="69" t="str">
        <f>IFERROR(VLOOKUP($AQ76,'(勿動)組件目錄表'!$D$15:$R$1094,13,FALSE),"")</f>
        <v/>
      </c>
      <c r="BJ76" s="69" t="str">
        <f>IFERROR(VLOOKUP($AQ76,'(勿動)組件目錄表'!$D$15:$R$1094,14,FALSE),"")</f>
        <v/>
      </c>
      <c r="BK76" s="69" t="str">
        <f>IFERROR(VLOOKUP($AQ76,'(勿動)組件目錄表'!$D$15:$R$1094,15,FALSE),"")</f>
        <v/>
      </c>
      <c r="BL76" s="81">
        <f ca="1">IFERROR(__xludf.DUMMYFUNCTION("IFERROR(
  LET(
    rowData, FILTER('(勿動)組件目錄表'!J:Q, '(勿動)組件目錄表'!D:D=AQ76),
    IF(ROWS(rowData)=0, 0, 
      (
        IF(AND(BC76&lt;&gt;"""", INDEX(rowData,1,1)=BC76),1,0) +
        IF(AND(BD76&lt;&gt;"""", INDEX(rowData,1,2)=BD76),1,0) +
        IF(AND(BE76&lt;&gt;"""""&amp;", INDEX(rowData,1,3)=BE76),1,0) +
        IF(AND(BF76&lt;&gt;"""", INDEX(rowData,1,4)=BF76),1,0) +
        IF(AND(BG76&lt;&gt;"""", INDEX(rowData,1,5)=BG76),1,0) +
        IF(AND(BH76&lt;&gt;"""", INDEX(rowData,1,6)=BH76),1,0) +
        IF(AND(BI76&lt;&gt;"""", INDEX(rowData,1,7"&amp;")=BI76),1,0) +
        IF(AND(BJ76&lt;&gt;"""", INDEX(rowData,1,8)=BJ76),1,0)
      ) - COUNTIF(BC76:BJ76, ""-"")
        - COUNTIF(BC76:BJ76, ""固定格式，不需提供資訊"")
        - COUNTIF(BC76:BJ76, ""由MKT更新，此欄位固定格式，不需提供資訊
(Voucher CID：12917705872)"")
        - COUNTIF(B"&amp;"C76:BJ76, ""text固定為以下：
※直播間僅支援手機版"")
        - COUNTIF(BC76:BJ76, ""text固定為以下：
※短影音僅支援手機版"")
    )
  ), 
  0
)
"),0)</f>
        <v>0</v>
      </c>
      <c r="BM76" s="77" t="b">
        <v>0</v>
      </c>
      <c r="BN76" s="85"/>
      <c r="BO76" s="85"/>
    </row>
    <row r="77" spans="1:67" ht="30" customHeight="1">
      <c r="A77" s="73" t="str">
        <f t="array" aca="1" ref="A77" ca="1">IFERROR(TRANSPOSE(INDIRECT('MS section版配(Old)'!$AO77)),"")</f>
        <v/>
      </c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  <c r="AD77" s="94"/>
      <c r="AE77" s="397" t="str">
        <f>IFERROR(VLOOKUP($AQ77,'(勿動)組件目錄表'!$D$15:$R$1094,4,FALSE),"")</f>
        <v/>
      </c>
      <c r="AF77" s="384"/>
      <c r="AG77" s="384"/>
      <c r="AH77" s="384"/>
      <c r="AI77" s="384"/>
      <c r="AJ77" s="385"/>
      <c r="AK77" s="54" t="b">
        <v>0</v>
      </c>
      <c r="AL77" s="54" t="b">
        <v>0</v>
      </c>
      <c r="AM77" s="54"/>
      <c r="AN77" s="7" t="str">
        <v>069</v>
      </c>
      <c r="AO77" s="7"/>
      <c r="AP77" s="62"/>
      <c r="AQ77" s="75" t="str">
        <v/>
      </c>
      <c r="AR77" s="75" t="str">
        <v>-</v>
      </c>
      <c r="AS77" s="11"/>
      <c r="AT77" s="77" t="str">
        <v>-</v>
      </c>
      <c r="AU77" s="11" t="str">
        <v>-</v>
      </c>
      <c r="AV77" s="84"/>
      <c r="AW77" s="86" t="str">
        <f ca="1"/>
        <v>-</v>
      </c>
      <c r="AX77" s="86" t="b">
        <v>0</v>
      </c>
      <c r="AY77" s="68" t="str">
        <f t="shared" si="0"/>
        <v/>
      </c>
      <c r="AZ77" s="69" t="str">
        <f t="shared" si="1"/>
        <v/>
      </c>
      <c r="BA77" s="70" t="str">
        <f t="shared" si="2"/>
        <v/>
      </c>
      <c r="BB77" s="68" t="str">
        <f t="shared" si="3"/>
        <v/>
      </c>
      <c r="BC77" s="69" t="str">
        <f>IFERROR(VLOOKUP($AQ77,'(勿動)組件目錄表'!$D$15:$R$1094,7,FALSE),"")</f>
        <v/>
      </c>
      <c r="BD77" s="69" t="str">
        <f>IFERROR(VLOOKUP($AQ77,'(勿動)組件目錄表'!$D$15:$R$1094,8,FALSE),"")</f>
        <v/>
      </c>
      <c r="BE77" s="69" t="str">
        <f>IFERROR(VLOOKUP($AQ77,'(勿動)組件目錄表'!$D$15:$R$1094,9,FALSE),"")</f>
        <v/>
      </c>
      <c r="BF77" s="69" t="str">
        <f>IFERROR(VLOOKUP($AQ77,'(勿動)組件目錄表'!$D$15:$R$1094,10,FALSE),"")</f>
        <v/>
      </c>
      <c r="BG77" s="69" t="str">
        <f>IFERROR(VLOOKUP($AQ77,'(勿動)組件目錄表'!$D$15:$R$1094,11,FALSE),"")</f>
        <v/>
      </c>
      <c r="BH77" s="69" t="str">
        <f>IFERROR(VLOOKUP($AQ77,'(勿動)組件目錄表'!$D$15:$R$1094,12,FALSE),"")</f>
        <v/>
      </c>
      <c r="BI77" s="69" t="str">
        <f>IFERROR(VLOOKUP($AQ77,'(勿動)組件目錄表'!$D$15:$R$1094,13,FALSE),"")</f>
        <v/>
      </c>
      <c r="BJ77" s="69" t="str">
        <f>IFERROR(VLOOKUP($AQ77,'(勿動)組件目錄表'!$D$15:$R$1094,14,FALSE),"")</f>
        <v/>
      </c>
      <c r="BK77" s="69" t="str">
        <f>IFERROR(VLOOKUP($AQ77,'(勿動)組件目錄表'!$D$15:$R$1094,15,FALSE),"")</f>
        <v/>
      </c>
      <c r="BL77" s="81">
        <f ca="1">IFERROR(__xludf.DUMMYFUNCTION("IFERROR(
  LET(
    rowData, FILTER('(勿動)組件目錄表'!J:Q, '(勿動)組件目錄表'!D:D=AQ77),
    IF(ROWS(rowData)=0, 0, 
      (
        IF(AND(BC77&lt;&gt;"""", INDEX(rowData,1,1)=BC77),1,0) +
        IF(AND(BD77&lt;&gt;"""", INDEX(rowData,1,2)=BD77),1,0) +
        IF(AND(BE77&lt;&gt;"""""&amp;", INDEX(rowData,1,3)=BE77),1,0) +
        IF(AND(BF77&lt;&gt;"""", INDEX(rowData,1,4)=BF77),1,0) +
        IF(AND(BG77&lt;&gt;"""", INDEX(rowData,1,5)=BG77),1,0) +
        IF(AND(BH77&lt;&gt;"""", INDEX(rowData,1,6)=BH77),1,0) +
        IF(AND(BI77&lt;&gt;"""", INDEX(rowData,1,7"&amp;")=BI77),1,0) +
        IF(AND(BJ77&lt;&gt;"""", INDEX(rowData,1,8)=BJ77),1,0)
      ) - COUNTIF(BC77:BJ77, ""-"")
        - COUNTIF(BC77:BJ77, ""固定格式，不需提供資訊"")
        - COUNTIF(BC77:BJ77, ""由MKT更新，此欄位固定格式，不需提供資訊
(Voucher CID：12917705872)"")
        - COUNTIF(B"&amp;"C77:BJ77, ""text固定為以下：
※直播間僅支援手機版"")
        - COUNTIF(BC77:BJ77, ""text固定為以下：
※短影音僅支援手機版"")
    )
  ), 
  0
)
"),0)</f>
        <v>0</v>
      </c>
      <c r="BM77" s="77" t="b">
        <v>0</v>
      </c>
      <c r="BN77" s="85"/>
      <c r="BO77" s="85"/>
    </row>
    <row r="78" spans="1:67" ht="30" customHeight="1">
      <c r="A78" s="73" t="str">
        <f t="array" aca="1" ref="A78" ca="1">IFERROR(TRANSPOSE(INDIRECT('MS section版配(Old)'!$AO78)),"")</f>
        <v/>
      </c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  <c r="AD78" s="95"/>
      <c r="AE78" s="397" t="str">
        <f>IFERROR(VLOOKUP($AQ78,'(勿動)組件目錄表'!$D$15:$R$1094,4,FALSE),"")</f>
        <v/>
      </c>
      <c r="AF78" s="384"/>
      <c r="AG78" s="384"/>
      <c r="AH78" s="384"/>
      <c r="AI78" s="384"/>
      <c r="AJ78" s="385"/>
      <c r="AK78" s="54" t="b">
        <v>0</v>
      </c>
      <c r="AL78" s="54" t="b">
        <v>0</v>
      </c>
      <c r="AM78" s="54"/>
      <c r="AN78" s="7" t="str">
        <v>070</v>
      </c>
      <c r="AO78" s="7"/>
      <c r="AP78" s="62"/>
      <c r="AQ78" s="75" t="str">
        <v/>
      </c>
      <c r="AR78" s="75" t="str">
        <v>-</v>
      </c>
      <c r="AS78" s="11"/>
      <c r="AT78" s="77" t="str">
        <v>-</v>
      </c>
      <c r="AU78" s="11" t="str">
        <v>-</v>
      </c>
      <c r="AV78" s="84"/>
      <c r="AW78" s="86" t="str">
        <f ca="1"/>
        <v>-</v>
      </c>
      <c r="AX78" s="86" t="b">
        <v>0</v>
      </c>
      <c r="AY78" s="68" t="str">
        <f t="shared" si="0"/>
        <v/>
      </c>
      <c r="AZ78" s="69" t="str">
        <f t="shared" si="1"/>
        <v/>
      </c>
      <c r="BA78" s="70" t="str">
        <f t="shared" si="2"/>
        <v/>
      </c>
      <c r="BB78" s="68" t="str">
        <f t="shared" si="3"/>
        <v/>
      </c>
      <c r="BC78" s="69" t="str">
        <f>IFERROR(VLOOKUP($AQ78,'(勿動)組件目錄表'!$D$15:$R$1094,7,FALSE),"")</f>
        <v/>
      </c>
      <c r="BD78" s="69" t="str">
        <f>IFERROR(VLOOKUP($AQ78,'(勿動)組件目錄表'!$D$15:$R$1094,8,FALSE),"")</f>
        <v/>
      </c>
      <c r="BE78" s="69" t="str">
        <f>IFERROR(VLOOKUP($AQ78,'(勿動)組件目錄表'!$D$15:$R$1094,9,FALSE),"")</f>
        <v/>
      </c>
      <c r="BF78" s="69" t="str">
        <f>IFERROR(VLOOKUP($AQ78,'(勿動)組件目錄表'!$D$15:$R$1094,10,FALSE),"")</f>
        <v/>
      </c>
      <c r="BG78" s="69" t="str">
        <f>IFERROR(VLOOKUP($AQ78,'(勿動)組件目錄表'!$D$15:$R$1094,11,FALSE),"")</f>
        <v/>
      </c>
      <c r="BH78" s="69" t="str">
        <f>IFERROR(VLOOKUP($AQ78,'(勿動)組件目錄表'!$D$15:$R$1094,12,FALSE),"")</f>
        <v/>
      </c>
      <c r="BI78" s="69" t="str">
        <f>IFERROR(VLOOKUP($AQ78,'(勿動)組件目錄表'!$D$15:$R$1094,13,FALSE),"")</f>
        <v/>
      </c>
      <c r="BJ78" s="69" t="str">
        <f>IFERROR(VLOOKUP($AQ78,'(勿動)組件目錄表'!$D$15:$R$1094,14,FALSE),"")</f>
        <v/>
      </c>
      <c r="BK78" s="69" t="str">
        <f>IFERROR(VLOOKUP($AQ78,'(勿動)組件目錄表'!$D$15:$R$1094,15,FALSE),"")</f>
        <v/>
      </c>
      <c r="BL78" s="81">
        <f ca="1">IFERROR(__xludf.DUMMYFUNCTION("IFERROR(
  LET(
    rowData, FILTER('(勿動)組件目錄表'!J:Q, '(勿動)組件目錄表'!D:D=AQ78),
    IF(ROWS(rowData)=0, 0, 
      (
        IF(AND(BC78&lt;&gt;"""", INDEX(rowData,1,1)=BC78),1,0) +
        IF(AND(BD78&lt;&gt;"""", INDEX(rowData,1,2)=BD78),1,0) +
        IF(AND(BE78&lt;&gt;"""""&amp;", INDEX(rowData,1,3)=BE78),1,0) +
        IF(AND(BF78&lt;&gt;"""", INDEX(rowData,1,4)=BF78),1,0) +
        IF(AND(BG78&lt;&gt;"""", INDEX(rowData,1,5)=BG78),1,0) +
        IF(AND(BH78&lt;&gt;"""", INDEX(rowData,1,6)=BH78),1,0) +
        IF(AND(BI78&lt;&gt;"""", INDEX(rowData,1,7"&amp;")=BI78),1,0) +
        IF(AND(BJ78&lt;&gt;"""", INDEX(rowData,1,8)=BJ78),1,0)
      ) - COUNTIF(BC78:BJ78, ""-"")
        - COUNTIF(BC78:BJ78, ""固定格式，不需提供資訊"")
        - COUNTIF(BC78:BJ78, ""由MKT更新，此欄位固定格式，不需提供資訊
(Voucher CID：12917705872)"")
        - COUNTIF(B"&amp;"C78:BJ78, ""text固定為以下：
※直播間僅支援手機版"")
        - COUNTIF(BC78:BJ78, ""text固定為以下：
※短影音僅支援手機版"")
    )
  ), 
  0
)
"),0)</f>
        <v>0</v>
      </c>
      <c r="BM78" s="77" t="b">
        <v>0</v>
      </c>
      <c r="BN78" s="85"/>
      <c r="BO78" s="85"/>
    </row>
    <row r="79" spans="1:67" ht="30" customHeight="1">
      <c r="A79" s="73" t="str">
        <f t="array" aca="1" ref="A79" ca="1">IFERROR(TRANSPOSE(INDIRECT('MS section版配(Old)'!$AO79)),"")</f>
        <v/>
      </c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7"/>
      <c r="AB79" s="87"/>
      <c r="AC79" s="87"/>
      <c r="AD79" s="87"/>
      <c r="AE79" s="397" t="str">
        <f>IFERROR(VLOOKUP($AQ79,'(勿動)組件目錄表'!$D$15:$R$1094,4,FALSE),"")</f>
        <v/>
      </c>
      <c r="AF79" s="384"/>
      <c r="AG79" s="384"/>
      <c r="AH79" s="384"/>
      <c r="AI79" s="384"/>
      <c r="AJ79" s="385"/>
      <c r="AK79" s="54" t="b">
        <v>0</v>
      </c>
      <c r="AL79" s="54" t="b">
        <v>0</v>
      </c>
      <c r="AM79" s="54"/>
      <c r="AN79" s="7" t="str">
        <v>071</v>
      </c>
      <c r="AO79" s="7"/>
      <c r="AP79" s="62"/>
      <c r="AQ79" s="75" t="str">
        <v/>
      </c>
      <c r="AR79" s="75" t="str">
        <v>-</v>
      </c>
      <c r="AS79" s="11"/>
      <c r="AT79" s="77" t="str">
        <v>-</v>
      </c>
      <c r="AU79" s="11" t="str">
        <v>-</v>
      </c>
      <c r="AV79" s="84"/>
      <c r="AW79" s="86" t="str">
        <f ca="1"/>
        <v>-</v>
      </c>
      <c r="AX79" s="86" t="b">
        <v>0</v>
      </c>
      <c r="AY79" s="68" t="str">
        <f t="shared" si="0"/>
        <v/>
      </c>
      <c r="AZ79" s="69" t="str">
        <f t="shared" si="1"/>
        <v/>
      </c>
      <c r="BA79" s="70" t="str">
        <f t="shared" si="2"/>
        <v/>
      </c>
      <c r="BB79" s="68" t="str">
        <f t="shared" si="3"/>
        <v/>
      </c>
      <c r="BC79" s="69" t="str">
        <f>IFERROR(VLOOKUP($AQ79,'(勿動)組件目錄表'!$D$15:$R$1094,7,FALSE),"")</f>
        <v/>
      </c>
      <c r="BD79" s="69" t="str">
        <f>IFERROR(VLOOKUP($AQ79,'(勿動)組件目錄表'!$D$15:$R$1094,8,FALSE),"")</f>
        <v/>
      </c>
      <c r="BE79" s="69" t="str">
        <f>IFERROR(VLOOKUP($AQ79,'(勿動)組件目錄表'!$D$15:$R$1094,9,FALSE),"")</f>
        <v/>
      </c>
      <c r="BF79" s="69" t="str">
        <f>IFERROR(VLOOKUP($AQ79,'(勿動)組件目錄表'!$D$15:$R$1094,10,FALSE),"")</f>
        <v/>
      </c>
      <c r="BG79" s="69" t="str">
        <f>IFERROR(VLOOKUP($AQ79,'(勿動)組件目錄表'!$D$15:$R$1094,11,FALSE),"")</f>
        <v/>
      </c>
      <c r="BH79" s="69" t="str">
        <f>IFERROR(VLOOKUP($AQ79,'(勿動)組件目錄表'!$D$15:$R$1094,12,FALSE),"")</f>
        <v/>
      </c>
      <c r="BI79" s="69" t="str">
        <f>IFERROR(VLOOKUP($AQ79,'(勿動)組件目錄表'!$D$15:$R$1094,13,FALSE),"")</f>
        <v/>
      </c>
      <c r="BJ79" s="69" t="str">
        <f>IFERROR(VLOOKUP($AQ79,'(勿動)組件目錄表'!$D$15:$R$1094,14,FALSE),"")</f>
        <v/>
      </c>
      <c r="BK79" s="69" t="str">
        <f>IFERROR(VLOOKUP($AQ79,'(勿動)組件目錄表'!$D$15:$R$1094,15,FALSE),"")</f>
        <v/>
      </c>
      <c r="BL79" s="81">
        <f ca="1">IFERROR(__xludf.DUMMYFUNCTION("IFERROR(
  LET(
    rowData, FILTER('(勿動)組件目錄表'!J:Q, '(勿動)組件目錄表'!D:D=AQ79),
    IF(ROWS(rowData)=0, 0, 
      (
        IF(AND(BC79&lt;&gt;"""", INDEX(rowData,1,1)=BC79),1,0) +
        IF(AND(BD79&lt;&gt;"""", INDEX(rowData,1,2)=BD79),1,0) +
        IF(AND(BE79&lt;&gt;"""""&amp;", INDEX(rowData,1,3)=BE79),1,0) +
        IF(AND(BF79&lt;&gt;"""", INDEX(rowData,1,4)=BF79),1,0) +
        IF(AND(BG79&lt;&gt;"""", INDEX(rowData,1,5)=BG79),1,0) +
        IF(AND(BH79&lt;&gt;"""", INDEX(rowData,1,6)=BH79),1,0) +
        IF(AND(BI79&lt;&gt;"""", INDEX(rowData,1,7"&amp;")=BI79),1,0) +
        IF(AND(BJ79&lt;&gt;"""", INDEX(rowData,1,8)=BJ79),1,0)
      ) - COUNTIF(BC79:BJ79, ""-"")
        - COUNTIF(BC79:BJ79, ""固定格式，不需提供資訊"")
        - COUNTIF(BC79:BJ79, ""由MKT更新，此欄位固定格式，不需提供資訊
(Voucher CID：12917705872)"")
        - COUNTIF(B"&amp;"C79:BJ79, ""text固定為以下：
※直播間僅支援手機版"")
        - COUNTIF(BC79:BJ79, ""text固定為以下：
※短影音僅支援手機版"")
    )
  ), 
  0
)
"),0)</f>
        <v>0</v>
      </c>
      <c r="BM79" s="77" t="b">
        <v>0</v>
      </c>
      <c r="BN79" s="85"/>
      <c r="BO79" s="85"/>
    </row>
    <row r="80" spans="1:67" ht="30" customHeight="1">
      <c r="A80" s="73" t="str">
        <f t="array" aca="1" ref="A80" ca="1">IFERROR(TRANSPOSE(INDIRECT('MS section版配(Old)'!$AO80)),"")</f>
        <v/>
      </c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7"/>
      <c r="AB80" s="87"/>
      <c r="AC80" s="87"/>
      <c r="AD80" s="87"/>
      <c r="AE80" s="397" t="str">
        <f>IFERROR(VLOOKUP($AQ80,'(勿動)組件目錄表'!$D$15:$R$1094,4,FALSE),"")</f>
        <v/>
      </c>
      <c r="AF80" s="384"/>
      <c r="AG80" s="384"/>
      <c r="AH80" s="384"/>
      <c r="AI80" s="384"/>
      <c r="AJ80" s="385"/>
      <c r="AK80" s="54" t="b">
        <v>0</v>
      </c>
      <c r="AL80" s="54" t="b">
        <v>0</v>
      </c>
      <c r="AM80" s="54"/>
      <c r="AN80" s="7" t="str">
        <v>072</v>
      </c>
      <c r="AO80" s="7"/>
      <c r="AP80" s="62"/>
      <c r="AQ80" s="75" t="str">
        <v/>
      </c>
      <c r="AR80" s="75" t="str">
        <v>-</v>
      </c>
      <c r="AS80" s="11"/>
      <c r="AT80" s="77" t="str">
        <v>-</v>
      </c>
      <c r="AU80" s="11" t="str">
        <v>-</v>
      </c>
      <c r="AV80" s="84"/>
      <c r="AW80" s="86" t="str">
        <f ca="1"/>
        <v>-</v>
      </c>
      <c r="AX80" s="86" t="b">
        <v>0</v>
      </c>
      <c r="AY80" s="68" t="str">
        <f t="shared" si="0"/>
        <v/>
      </c>
      <c r="AZ80" s="69" t="str">
        <f t="shared" si="1"/>
        <v/>
      </c>
      <c r="BA80" s="70" t="str">
        <f t="shared" si="2"/>
        <v/>
      </c>
      <c r="BB80" s="68" t="str">
        <f t="shared" si="3"/>
        <v/>
      </c>
      <c r="BC80" s="69" t="str">
        <f>IFERROR(VLOOKUP($AQ80,'(勿動)組件目錄表'!$D$15:$R$1094,7,FALSE),"")</f>
        <v/>
      </c>
      <c r="BD80" s="69" t="str">
        <f>IFERROR(VLOOKUP($AQ80,'(勿動)組件目錄表'!$D$15:$R$1094,8,FALSE),"")</f>
        <v/>
      </c>
      <c r="BE80" s="69" t="str">
        <f>IFERROR(VLOOKUP($AQ80,'(勿動)組件目錄表'!$D$15:$R$1094,9,FALSE),"")</f>
        <v/>
      </c>
      <c r="BF80" s="69" t="str">
        <f>IFERROR(VLOOKUP($AQ80,'(勿動)組件目錄表'!$D$15:$R$1094,10,FALSE),"")</f>
        <v/>
      </c>
      <c r="BG80" s="69" t="str">
        <f>IFERROR(VLOOKUP($AQ80,'(勿動)組件目錄表'!$D$15:$R$1094,11,FALSE),"")</f>
        <v/>
      </c>
      <c r="BH80" s="69" t="str">
        <f>IFERROR(VLOOKUP($AQ80,'(勿動)組件目錄表'!$D$15:$R$1094,12,FALSE),"")</f>
        <v/>
      </c>
      <c r="BI80" s="69" t="str">
        <f>IFERROR(VLOOKUP($AQ80,'(勿動)組件目錄表'!$D$15:$R$1094,13,FALSE),"")</f>
        <v/>
      </c>
      <c r="BJ80" s="69" t="str">
        <f>IFERROR(VLOOKUP($AQ80,'(勿動)組件目錄表'!$D$15:$R$1094,14,FALSE),"")</f>
        <v/>
      </c>
      <c r="BK80" s="69" t="str">
        <f>IFERROR(VLOOKUP($AQ80,'(勿動)組件目錄表'!$D$15:$R$1094,15,FALSE),"")</f>
        <v/>
      </c>
      <c r="BL80" s="81">
        <f ca="1">IFERROR(__xludf.DUMMYFUNCTION("IFERROR(
  LET(
    rowData, FILTER('(勿動)組件目錄表'!J:Q, '(勿動)組件目錄表'!D:D=AQ80),
    IF(ROWS(rowData)=0, 0, 
      (
        IF(AND(BC80&lt;&gt;"""", INDEX(rowData,1,1)=BC80),1,0) +
        IF(AND(BD80&lt;&gt;"""", INDEX(rowData,1,2)=BD80),1,0) +
        IF(AND(BE80&lt;&gt;"""""&amp;", INDEX(rowData,1,3)=BE80),1,0) +
        IF(AND(BF80&lt;&gt;"""", INDEX(rowData,1,4)=BF80),1,0) +
        IF(AND(BG80&lt;&gt;"""", INDEX(rowData,1,5)=BG80),1,0) +
        IF(AND(BH80&lt;&gt;"""", INDEX(rowData,1,6)=BH80),1,0) +
        IF(AND(BI80&lt;&gt;"""", INDEX(rowData,1,7"&amp;")=BI80),1,0) +
        IF(AND(BJ80&lt;&gt;"""", INDEX(rowData,1,8)=BJ80),1,0)
      ) - COUNTIF(BC80:BJ80, ""-"")
        - COUNTIF(BC80:BJ80, ""固定格式，不需提供資訊"")
        - COUNTIF(BC80:BJ80, ""由MKT更新，此欄位固定格式，不需提供資訊
(Voucher CID：12917705872)"")
        - COUNTIF(B"&amp;"C80:BJ80, ""text固定為以下：
※直播間僅支援手機版"")
        - COUNTIF(BC80:BJ80, ""text固定為以下：
※短影音僅支援手機版"")
    )
  ), 
  0
)
"),0)</f>
        <v>0</v>
      </c>
      <c r="BM80" s="77" t="b">
        <v>0</v>
      </c>
      <c r="BN80" s="85"/>
      <c r="BO80" s="85"/>
    </row>
    <row r="81" spans="1:67" ht="30" customHeight="1">
      <c r="A81" s="73" t="str">
        <f t="array" aca="1" ref="A81" ca="1">IFERROR(TRANSPOSE(INDIRECT('MS section版配(Old)'!$AO81)),"")</f>
        <v/>
      </c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397" t="str">
        <f>IFERROR(VLOOKUP($AQ81,'(勿動)組件目錄表'!$D$15:$R$1094,4,FALSE),"")</f>
        <v/>
      </c>
      <c r="AF81" s="384"/>
      <c r="AG81" s="384"/>
      <c r="AH81" s="384"/>
      <c r="AI81" s="384"/>
      <c r="AJ81" s="385"/>
      <c r="AK81" s="54" t="b">
        <v>0</v>
      </c>
      <c r="AL81" s="54" t="b">
        <v>0</v>
      </c>
      <c r="AM81" s="54"/>
      <c r="AN81" s="7" t="str">
        <v>073</v>
      </c>
      <c r="AO81" s="7"/>
      <c r="AP81" s="62"/>
      <c r="AQ81" s="75" t="str">
        <v/>
      </c>
      <c r="AR81" s="75" t="str">
        <v>-</v>
      </c>
      <c r="AS81" s="11"/>
      <c r="AT81" s="77" t="str">
        <v>-</v>
      </c>
      <c r="AU81" s="11" t="str">
        <v>-</v>
      </c>
      <c r="AV81" s="84"/>
      <c r="AW81" s="86" t="str">
        <f ca="1"/>
        <v>-</v>
      </c>
      <c r="AX81" s="86" t="b">
        <v>0</v>
      </c>
      <c r="AY81" s="68" t="str">
        <f t="shared" si="0"/>
        <v/>
      </c>
      <c r="AZ81" s="69" t="str">
        <f t="shared" si="1"/>
        <v/>
      </c>
      <c r="BA81" s="70" t="str">
        <f t="shared" si="2"/>
        <v/>
      </c>
      <c r="BB81" s="68" t="str">
        <f t="shared" si="3"/>
        <v/>
      </c>
      <c r="BC81" s="69" t="str">
        <f>IFERROR(VLOOKUP($AQ81,'(勿動)組件目錄表'!$D$15:$R$1094,7,FALSE),"")</f>
        <v/>
      </c>
      <c r="BD81" s="69" t="str">
        <f>IFERROR(VLOOKUP($AQ81,'(勿動)組件目錄表'!$D$15:$R$1094,8,FALSE),"")</f>
        <v/>
      </c>
      <c r="BE81" s="69" t="str">
        <f>IFERROR(VLOOKUP($AQ81,'(勿動)組件目錄表'!$D$15:$R$1094,9,FALSE),"")</f>
        <v/>
      </c>
      <c r="BF81" s="69" t="str">
        <f>IFERROR(VLOOKUP($AQ81,'(勿動)組件目錄表'!$D$15:$R$1094,10,FALSE),"")</f>
        <v/>
      </c>
      <c r="BG81" s="69" t="str">
        <f>IFERROR(VLOOKUP($AQ81,'(勿動)組件目錄表'!$D$15:$R$1094,11,FALSE),"")</f>
        <v/>
      </c>
      <c r="BH81" s="69" t="str">
        <f>IFERROR(VLOOKUP($AQ81,'(勿動)組件目錄表'!$D$15:$R$1094,12,FALSE),"")</f>
        <v/>
      </c>
      <c r="BI81" s="69" t="str">
        <f>IFERROR(VLOOKUP($AQ81,'(勿動)組件目錄表'!$D$15:$R$1094,13,FALSE),"")</f>
        <v/>
      </c>
      <c r="BJ81" s="69" t="str">
        <f>IFERROR(VLOOKUP($AQ81,'(勿動)組件目錄表'!$D$15:$R$1094,14,FALSE),"")</f>
        <v/>
      </c>
      <c r="BK81" s="69" t="str">
        <f>IFERROR(VLOOKUP($AQ81,'(勿動)組件目錄表'!$D$15:$R$1094,15,FALSE),"")</f>
        <v/>
      </c>
      <c r="BL81" s="81">
        <f ca="1">IFERROR(__xludf.DUMMYFUNCTION("IFERROR(
  LET(
    rowData, FILTER('(勿動)組件目錄表'!J:Q, '(勿動)組件目錄表'!D:D=AQ81),
    IF(ROWS(rowData)=0, 0, 
      (
        IF(AND(BC81&lt;&gt;"""", INDEX(rowData,1,1)=BC81),1,0) +
        IF(AND(BD81&lt;&gt;"""", INDEX(rowData,1,2)=BD81),1,0) +
        IF(AND(BE81&lt;&gt;"""""&amp;", INDEX(rowData,1,3)=BE81),1,0) +
        IF(AND(BF81&lt;&gt;"""", INDEX(rowData,1,4)=BF81),1,0) +
        IF(AND(BG81&lt;&gt;"""", INDEX(rowData,1,5)=BG81),1,0) +
        IF(AND(BH81&lt;&gt;"""", INDEX(rowData,1,6)=BH81),1,0) +
        IF(AND(BI81&lt;&gt;"""", INDEX(rowData,1,7"&amp;")=BI81),1,0) +
        IF(AND(BJ81&lt;&gt;"""", INDEX(rowData,1,8)=BJ81),1,0)
      ) - COUNTIF(BC81:BJ81, ""-"")
        - COUNTIF(BC81:BJ81, ""固定格式，不需提供資訊"")
        - COUNTIF(BC81:BJ81, ""由MKT更新，此欄位固定格式，不需提供資訊
(Voucher CID：12917705872)"")
        - COUNTIF(B"&amp;"C81:BJ81, ""text固定為以下：
※直播間僅支援手機版"")
        - COUNTIF(BC81:BJ81, ""text固定為以下：
※短影音僅支援手機版"")
    )
  ), 
  0
)
"),0)</f>
        <v>0</v>
      </c>
      <c r="BM81" s="77" t="b">
        <v>0</v>
      </c>
      <c r="BN81" s="85"/>
      <c r="BO81" s="85"/>
    </row>
    <row r="82" spans="1:67" ht="30" customHeight="1">
      <c r="A82" s="73" t="str">
        <f t="array" aca="1" ref="A82" ca="1">IFERROR(TRANSPOSE(INDIRECT('MS section版配(Old)'!$AO82)),"")</f>
        <v/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7"/>
      <c r="AB82" s="87"/>
      <c r="AC82" s="87"/>
      <c r="AD82" s="87"/>
      <c r="AE82" s="397" t="str">
        <f>IFERROR(VLOOKUP($AQ82,'(勿動)組件目錄表'!$D$15:$R$1094,4,FALSE),"")</f>
        <v/>
      </c>
      <c r="AF82" s="384"/>
      <c r="AG82" s="384"/>
      <c r="AH82" s="384"/>
      <c r="AI82" s="384"/>
      <c r="AJ82" s="385"/>
      <c r="AK82" s="54" t="b">
        <v>0</v>
      </c>
      <c r="AL82" s="54" t="b">
        <v>0</v>
      </c>
      <c r="AM82" s="54"/>
      <c r="AN82" s="7" t="str">
        <v>074</v>
      </c>
      <c r="AO82" s="7"/>
      <c r="AP82" s="62"/>
      <c r="AQ82" s="75" t="str">
        <v/>
      </c>
      <c r="AR82" s="75" t="str">
        <v>-</v>
      </c>
      <c r="AS82" s="11"/>
      <c r="AT82" s="77" t="str">
        <v>-</v>
      </c>
      <c r="AU82" s="11" t="str">
        <v>-</v>
      </c>
      <c r="AV82" s="84"/>
      <c r="AW82" s="86" t="str">
        <f ca="1"/>
        <v>-</v>
      </c>
      <c r="AX82" s="86" t="b">
        <v>0</v>
      </c>
      <c r="AY82" s="68" t="str">
        <f t="shared" si="0"/>
        <v/>
      </c>
      <c r="AZ82" s="69" t="str">
        <f t="shared" si="1"/>
        <v/>
      </c>
      <c r="BA82" s="70" t="str">
        <f t="shared" si="2"/>
        <v/>
      </c>
      <c r="BB82" s="68" t="str">
        <f t="shared" si="3"/>
        <v/>
      </c>
      <c r="BC82" s="69" t="str">
        <f>IFERROR(VLOOKUP($AQ82,'(勿動)組件目錄表'!$D$15:$R$1094,7,FALSE),"")</f>
        <v/>
      </c>
      <c r="BD82" s="69" t="str">
        <f>IFERROR(VLOOKUP($AQ82,'(勿動)組件目錄表'!$D$15:$R$1094,8,FALSE),"")</f>
        <v/>
      </c>
      <c r="BE82" s="69" t="str">
        <f>IFERROR(VLOOKUP($AQ82,'(勿動)組件目錄表'!$D$15:$R$1094,9,FALSE),"")</f>
        <v/>
      </c>
      <c r="BF82" s="69" t="str">
        <f>IFERROR(VLOOKUP($AQ82,'(勿動)組件目錄表'!$D$15:$R$1094,10,FALSE),"")</f>
        <v/>
      </c>
      <c r="BG82" s="69" t="str">
        <f>IFERROR(VLOOKUP($AQ82,'(勿動)組件目錄表'!$D$15:$R$1094,11,FALSE),"")</f>
        <v/>
      </c>
      <c r="BH82" s="69" t="str">
        <f>IFERROR(VLOOKUP($AQ82,'(勿動)組件目錄表'!$D$15:$R$1094,12,FALSE),"")</f>
        <v/>
      </c>
      <c r="BI82" s="69" t="str">
        <f>IFERROR(VLOOKUP($AQ82,'(勿動)組件目錄表'!$D$15:$R$1094,13,FALSE),"")</f>
        <v/>
      </c>
      <c r="BJ82" s="69" t="str">
        <f>IFERROR(VLOOKUP($AQ82,'(勿動)組件目錄表'!$D$15:$R$1094,14,FALSE),"")</f>
        <v/>
      </c>
      <c r="BK82" s="69" t="str">
        <f>IFERROR(VLOOKUP($AQ82,'(勿動)組件目錄表'!$D$15:$R$1094,15,FALSE),"")</f>
        <v/>
      </c>
      <c r="BL82" s="81">
        <f ca="1">IFERROR(__xludf.DUMMYFUNCTION("IFERROR(
  LET(
    rowData, FILTER('(勿動)組件目錄表'!J:Q, '(勿動)組件目錄表'!D:D=AQ82),
    IF(ROWS(rowData)=0, 0, 
      (
        IF(AND(BC82&lt;&gt;"""", INDEX(rowData,1,1)=BC82),1,0) +
        IF(AND(BD82&lt;&gt;"""", INDEX(rowData,1,2)=BD82),1,0) +
        IF(AND(BE82&lt;&gt;"""""&amp;", INDEX(rowData,1,3)=BE82),1,0) +
        IF(AND(BF82&lt;&gt;"""", INDEX(rowData,1,4)=BF82),1,0) +
        IF(AND(BG82&lt;&gt;"""", INDEX(rowData,1,5)=BG82),1,0) +
        IF(AND(BH82&lt;&gt;"""", INDEX(rowData,1,6)=BH82),1,0) +
        IF(AND(BI82&lt;&gt;"""", INDEX(rowData,1,7"&amp;")=BI82),1,0) +
        IF(AND(BJ82&lt;&gt;"""", INDEX(rowData,1,8)=BJ82),1,0)
      ) - COUNTIF(BC82:BJ82, ""-"")
        - COUNTIF(BC82:BJ82, ""固定格式，不需提供資訊"")
        - COUNTIF(BC82:BJ82, ""由MKT更新，此欄位固定格式，不需提供資訊
(Voucher CID：12917705872)"")
        - COUNTIF(B"&amp;"C82:BJ82, ""text固定為以下：
※直播間僅支援手機版"")
        - COUNTIF(BC82:BJ82, ""text固定為以下：
※短影音僅支援手機版"")
    )
  ), 
  0
)
"),0)</f>
        <v>0</v>
      </c>
      <c r="BM82" s="77" t="b">
        <v>0</v>
      </c>
      <c r="BN82" s="85"/>
      <c r="BO82" s="85"/>
    </row>
    <row r="83" spans="1:67" ht="30" customHeight="1">
      <c r="A83" s="73" t="str">
        <f t="array" aca="1" ref="A83" ca="1">IFERROR(TRANSPOSE(INDIRECT('MS section版配(Old)'!$AO83)),"")</f>
        <v/>
      </c>
      <c r="B83" s="9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397" t="str">
        <f>IFERROR(VLOOKUP($AQ83,'(勿動)組件目錄表'!$D$15:$R$1094,4,FALSE),"")</f>
        <v/>
      </c>
      <c r="AF83" s="384"/>
      <c r="AG83" s="384"/>
      <c r="AH83" s="384"/>
      <c r="AI83" s="384"/>
      <c r="AJ83" s="385"/>
      <c r="AK83" s="54" t="b">
        <v>0</v>
      </c>
      <c r="AL83" s="54" t="b">
        <v>0</v>
      </c>
      <c r="AM83" s="54"/>
      <c r="AN83" s="7" t="str">
        <v>075</v>
      </c>
      <c r="AO83" s="7"/>
      <c r="AP83" s="62"/>
      <c r="AQ83" s="75" t="str">
        <v/>
      </c>
      <c r="AR83" s="75" t="str">
        <v>-</v>
      </c>
      <c r="AS83" s="11"/>
      <c r="AT83" s="77" t="str">
        <v>-</v>
      </c>
      <c r="AU83" s="11" t="str">
        <v>-</v>
      </c>
      <c r="AV83" s="84"/>
      <c r="AW83" s="86" t="str">
        <f ca="1"/>
        <v>-</v>
      </c>
      <c r="AX83" s="86" t="b">
        <v>0</v>
      </c>
      <c r="AY83" s="68" t="str">
        <f t="shared" si="0"/>
        <v/>
      </c>
      <c r="AZ83" s="69" t="str">
        <f t="shared" si="1"/>
        <v/>
      </c>
      <c r="BA83" s="70" t="str">
        <f t="shared" si="2"/>
        <v/>
      </c>
      <c r="BB83" s="68" t="str">
        <f t="shared" si="3"/>
        <v/>
      </c>
      <c r="BC83" s="69" t="str">
        <f>IFERROR(VLOOKUP($AQ83,'(勿動)組件目錄表'!$D$15:$R$1094,7,FALSE),"")</f>
        <v/>
      </c>
      <c r="BD83" s="69" t="str">
        <f>IFERROR(VLOOKUP($AQ83,'(勿動)組件目錄表'!$D$15:$R$1094,8,FALSE),"")</f>
        <v/>
      </c>
      <c r="BE83" s="69" t="str">
        <f>IFERROR(VLOOKUP($AQ83,'(勿動)組件目錄表'!$D$15:$R$1094,9,FALSE),"")</f>
        <v/>
      </c>
      <c r="BF83" s="69" t="str">
        <f>IFERROR(VLOOKUP($AQ83,'(勿動)組件目錄表'!$D$15:$R$1094,10,FALSE),"")</f>
        <v/>
      </c>
      <c r="BG83" s="69" t="str">
        <f>IFERROR(VLOOKUP($AQ83,'(勿動)組件目錄表'!$D$15:$R$1094,11,FALSE),"")</f>
        <v/>
      </c>
      <c r="BH83" s="69" t="str">
        <f>IFERROR(VLOOKUP($AQ83,'(勿動)組件目錄表'!$D$15:$R$1094,12,FALSE),"")</f>
        <v/>
      </c>
      <c r="BI83" s="69" t="str">
        <f>IFERROR(VLOOKUP($AQ83,'(勿動)組件目錄表'!$D$15:$R$1094,13,FALSE),"")</f>
        <v/>
      </c>
      <c r="BJ83" s="69" t="str">
        <f>IFERROR(VLOOKUP($AQ83,'(勿動)組件目錄表'!$D$15:$R$1094,14,FALSE),"")</f>
        <v/>
      </c>
      <c r="BK83" s="69" t="str">
        <f>IFERROR(VLOOKUP($AQ83,'(勿動)組件目錄表'!$D$15:$R$1094,15,FALSE),"")</f>
        <v/>
      </c>
      <c r="BL83" s="81">
        <f ca="1">IFERROR(__xludf.DUMMYFUNCTION("IFERROR(
  LET(
    rowData, FILTER('(勿動)組件目錄表'!J:Q, '(勿動)組件目錄表'!D:D=AQ83),
    IF(ROWS(rowData)=0, 0, 
      (
        IF(AND(BC83&lt;&gt;"""", INDEX(rowData,1,1)=BC83),1,0) +
        IF(AND(BD83&lt;&gt;"""", INDEX(rowData,1,2)=BD83),1,0) +
        IF(AND(BE83&lt;&gt;"""""&amp;", INDEX(rowData,1,3)=BE83),1,0) +
        IF(AND(BF83&lt;&gt;"""", INDEX(rowData,1,4)=BF83),1,0) +
        IF(AND(BG83&lt;&gt;"""", INDEX(rowData,1,5)=BG83),1,0) +
        IF(AND(BH83&lt;&gt;"""", INDEX(rowData,1,6)=BH83),1,0) +
        IF(AND(BI83&lt;&gt;"""", INDEX(rowData,1,7"&amp;")=BI83),1,0) +
        IF(AND(BJ83&lt;&gt;"""", INDEX(rowData,1,8)=BJ83),1,0)
      ) - COUNTIF(BC83:BJ83, ""-"")
        - COUNTIF(BC83:BJ83, ""固定格式，不需提供資訊"")
        - COUNTIF(BC83:BJ83, ""由MKT更新，此欄位固定格式，不需提供資訊
(Voucher CID：12917705872)"")
        - COUNTIF(B"&amp;"C83:BJ83, ""text固定為以下：
※直播間僅支援手機版"")
        - COUNTIF(BC83:BJ83, ""text固定為以下：
※短影音僅支援手機版"")
    )
  ), 
  0
)
"),0)</f>
        <v>0</v>
      </c>
      <c r="BM83" s="77" t="b">
        <v>0</v>
      </c>
      <c r="BN83" s="85"/>
      <c r="BO83" s="85"/>
    </row>
    <row r="84" spans="1:67" ht="30" customHeight="1">
      <c r="A84" s="73" t="str">
        <f t="array" aca="1" ref="A84" ca="1">IFERROR(TRANSPOSE(INDIRECT('MS section版配(Old)'!$AO84)),"")</f>
        <v/>
      </c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  <c r="AA84" s="87"/>
      <c r="AB84" s="87"/>
      <c r="AC84" s="87"/>
      <c r="AD84" s="87"/>
      <c r="AE84" s="397" t="str">
        <f>IFERROR(VLOOKUP($AQ84,'(勿動)組件目錄表'!$D$15:$R$1094,4,FALSE),"")</f>
        <v/>
      </c>
      <c r="AF84" s="384"/>
      <c r="AG84" s="384"/>
      <c r="AH84" s="384"/>
      <c r="AI84" s="384"/>
      <c r="AJ84" s="385"/>
      <c r="AK84" s="54" t="b">
        <v>0</v>
      </c>
      <c r="AL84" s="54" t="b">
        <v>0</v>
      </c>
      <c r="AM84" s="54"/>
      <c r="AN84" s="7" t="str">
        <v>076</v>
      </c>
      <c r="AO84" s="7"/>
      <c r="AP84" s="62"/>
      <c r="AQ84" s="75" t="str">
        <v/>
      </c>
      <c r="AR84" s="75" t="str">
        <v>-</v>
      </c>
      <c r="AS84" s="11"/>
      <c r="AT84" s="77" t="str">
        <v>-</v>
      </c>
      <c r="AU84" s="11" t="str">
        <v>-</v>
      </c>
      <c r="AV84" s="84"/>
      <c r="AW84" s="86" t="str">
        <f ca="1"/>
        <v>-</v>
      </c>
      <c r="AX84" s="86" t="b">
        <v>0</v>
      </c>
      <c r="AY84" s="68" t="str">
        <f t="shared" si="0"/>
        <v/>
      </c>
      <c r="AZ84" s="69" t="str">
        <f t="shared" si="1"/>
        <v/>
      </c>
      <c r="BA84" s="70" t="str">
        <f t="shared" si="2"/>
        <v/>
      </c>
      <c r="BB84" s="68" t="str">
        <f t="shared" si="3"/>
        <v/>
      </c>
      <c r="BC84" s="69" t="str">
        <f>IFERROR(VLOOKUP($AQ84,'(勿動)組件目錄表'!$D$15:$R$1094,7,FALSE),"")</f>
        <v/>
      </c>
      <c r="BD84" s="69" t="str">
        <f>IFERROR(VLOOKUP($AQ84,'(勿動)組件目錄表'!$D$15:$R$1094,8,FALSE),"")</f>
        <v/>
      </c>
      <c r="BE84" s="69" t="str">
        <f>IFERROR(VLOOKUP($AQ84,'(勿動)組件目錄表'!$D$15:$R$1094,9,FALSE),"")</f>
        <v/>
      </c>
      <c r="BF84" s="69" t="str">
        <f>IFERROR(VLOOKUP($AQ84,'(勿動)組件目錄表'!$D$15:$R$1094,10,FALSE),"")</f>
        <v/>
      </c>
      <c r="BG84" s="69" t="str">
        <f>IFERROR(VLOOKUP($AQ84,'(勿動)組件目錄表'!$D$15:$R$1094,11,FALSE),"")</f>
        <v/>
      </c>
      <c r="BH84" s="69" t="str">
        <f>IFERROR(VLOOKUP($AQ84,'(勿動)組件目錄表'!$D$15:$R$1094,12,FALSE),"")</f>
        <v/>
      </c>
      <c r="BI84" s="69" t="str">
        <f>IFERROR(VLOOKUP($AQ84,'(勿動)組件目錄表'!$D$15:$R$1094,13,FALSE),"")</f>
        <v/>
      </c>
      <c r="BJ84" s="69" t="str">
        <f>IFERROR(VLOOKUP($AQ84,'(勿動)組件目錄表'!$D$15:$R$1094,14,FALSE),"")</f>
        <v/>
      </c>
      <c r="BK84" s="69" t="str">
        <f>IFERROR(VLOOKUP($AQ84,'(勿動)組件目錄表'!$D$15:$R$1094,15,FALSE),"")</f>
        <v/>
      </c>
      <c r="BL84" s="81">
        <f ca="1">IFERROR(__xludf.DUMMYFUNCTION("IFERROR(
  LET(
    rowData, FILTER('(勿動)組件目錄表'!J:Q, '(勿動)組件目錄表'!D:D=AQ84),
    IF(ROWS(rowData)=0, 0, 
      (
        IF(AND(BC84&lt;&gt;"""", INDEX(rowData,1,1)=BC84),1,0) +
        IF(AND(BD84&lt;&gt;"""", INDEX(rowData,1,2)=BD84),1,0) +
        IF(AND(BE84&lt;&gt;"""""&amp;", INDEX(rowData,1,3)=BE84),1,0) +
        IF(AND(BF84&lt;&gt;"""", INDEX(rowData,1,4)=BF84),1,0) +
        IF(AND(BG84&lt;&gt;"""", INDEX(rowData,1,5)=BG84),1,0) +
        IF(AND(BH84&lt;&gt;"""", INDEX(rowData,1,6)=BH84),1,0) +
        IF(AND(BI84&lt;&gt;"""", INDEX(rowData,1,7"&amp;")=BI84),1,0) +
        IF(AND(BJ84&lt;&gt;"""", INDEX(rowData,1,8)=BJ84),1,0)
      ) - COUNTIF(BC84:BJ84, ""-"")
        - COUNTIF(BC84:BJ84, ""固定格式，不需提供資訊"")
        - COUNTIF(BC84:BJ84, ""由MKT更新，此欄位固定格式，不需提供資訊
(Voucher CID：12917705872)"")
        - COUNTIF(B"&amp;"C84:BJ84, ""text固定為以下：
※直播間僅支援手機版"")
        - COUNTIF(BC84:BJ84, ""text固定為以下：
※短影音僅支援手機版"")
    )
  ), 
  0
)
"),0)</f>
        <v>0</v>
      </c>
      <c r="BM84" s="77" t="b">
        <v>0</v>
      </c>
      <c r="BN84" s="85"/>
      <c r="BO84" s="85"/>
    </row>
    <row r="85" spans="1:67" ht="30" customHeight="1">
      <c r="A85" s="73" t="str">
        <f t="array" aca="1" ref="A85" ca="1">IFERROR(TRANSPOSE(INDIRECT('MS section版配(Old)'!$AO85)),"")</f>
        <v/>
      </c>
      <c r="B85" s="9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397" t="str">
        <f>IFERROR(VLOOKUP($AQ85,'(勿動)組件目錄表'!$D$15:$R$1094,4,FALSE),"")</f>
        <v/>
      </c>
      <c r="AF85" s="384"/>
      <c r="AG85" s="384"/>
      <c r="AH85" s="384"/>
      <c r="AI85" s="384"/>
      <c r="AJ85" s="385"/>
      <c r="AK85" s="54" t="b">
        <v>0</v>
      </c>
      <c r="AL85" s="54" t="b">
        <v>0</v>
      </c>
      <c r="AM85" s="54"/>
      <c r="AN85" s="7" t="str">
        <v>077</v>
      </c>
      <c r="AO85" s="7"/>
      <c r="AP85" s="62"/>
      <c r="AQ85" s="75" t="str">
        <v/>
      </c>
      <c r="AR85" s="75" t="str">
        <v>-</v>
      </c>
      <c r="AS85" s="11"/>
      <c r="AT85" s="77" t="str">
        <v>-</v>
      </c>
      <c r="AU85" s="11" t="str">
        <v>-</v>
      </c>
      <c r="AV85" s="84"/>
      <c r="AW85" s="86" t="str">
        <f ca="1"/>
        <v>-</v>
      </c>
      <c r="AX85" s="86" t="b">
        <v>0</v>
      </c>
      <c r="AY85" s="68" t="str">
        <f t="shared" si="0"/>
        <v/>
      </c>
      <c r="AZ85" s="69" t="str">
        <f t="shared" si="1"/>
        <v/>
      </c>
      <c r="BA85" s="70" t="str">
        <f t="shared" si="2"/>
        <v/>
      </c>
      <c r="BB85" s="68" t="str">
        <f t="shared" si="3"/>
        <v/>
      </c>
      <c r="BC85" s="69" t="str">
        <f>IFERROR(VLOOKUP($AQ85,'(勿動)組件目錄表'!$D$15:$R$1094,7,FALSE),"")</f>
        <v/>
      </c>
      <c r="BD85" s="69" t="str">
        <f>IFERROR(VLOOKUP($AQ85,'(勿動)組件目錄表'!$D$15:$R$1094,8,FALSE),"")</f>
        <v/>
      </c>
      <c r="BE85" s="69" t="str">
        <f>IFERROR(VLOOKUP($AQ85,'(勿動)組件目錄表'!$D$15:$R$1094,9,FALSE),"")</f>
        <v/>
      </c>
      <c r="BF85" s="69" t="str">
        <f>IFERROR(VLOOKUP($AQ85,'(勿動)組件目錄表'!$D$15:$R$1094,10,FALSE),"")</f>
        <v/>
      </c>
      <c r="BG85" s="69" t="str">
        <f>IFERROR(VLOOKUP($AQ85,'(勿動)組件目錄表'!$D$15:$R$1094,11,FALSE),"")</f>
        <v/>
      </c>
      <c r="BH85" s="69" t="str">
        <f>IFERROR(VLOOKUP($AQ85,'(勿動)組件目錄表'!$D$15:$R$1094,12,FALSE),"")</f>
        <v/>
      </c>
      <c r="BI85" s="69" t="str">
        <f>IFERROR(VLOOKUP($AQ85,'(勿動)組件目錄表'!$D$15:$R$1094,13,FALSE),"")</f>
        <v/>
      </c>
      <c r="BJ85" s="69" t="str">
        <f>IFERROR(VLOOKUP($AQ85,'(勿動)組件目錄表'!$D$15:$R$1094,14,FALSE),"")</f>
        <v/>
      </c>
      <c r="BK85" s="69" t="str">
        <f>IFERROR(VLOOKUP($AQ85,'(勿動)組件目錄表'!$D$15:$R$1094,15,FALSE),"")</f>
        <v/>
      </c>
      <c r="BL85" s="81">
        <f ca="1">IFERROR(__xludf.DUMMYFUNCTION("IFERROR(
  LET(
    rowData, FILTER('(勿動)組件目錄表'!J:Q, '(勿動)組件目錄表'!D:D=AQ85),
    IF(ROWS(rowData)=0, 0, 
      (
        IF(AND(BC85&lt;&gt;"""", INDEX(rowData,1,1)=BC85),1,0) +
        IF(AND(BD85&lt;&gt;"""", INDEX(rowData,1,2)=BD85),1,0) +
        IF(AND(BE85&lt;&gt;"""""&amp;", INDEX(rowData,1,3)=BE85),1,0) +
        IF(AND(BF85&lt;&gt;"""", INDEX(rowData,1,4)=BF85),1,0) +
        IF(AND(BG85&lt;&gt;"""", INDEX(rowData,1,5)=BG85),1,0) +
        IF(AND(BH85&lt;&gt;"""", INDEX(rowData,1,6)=BH85),1,0) +
        IF(AND(BI85&lt;&gt;"""", INDEX(rowData,1,7"&amp;")=BI85),1,0) +
        IF(AND(BJ85&lt;&gt;"""", INDEX(rowData,1,8)=BJ85),1,0)
      ) - COUNTIF(BC85:BJ85, ""-"")
        - COUNTIF(BC85:BJ85, ""固定格式，不需提供資訊"")
        - COUNTIF(BC85:BJ85, ""由MKT更新，此欄位固定格式，不需提供資訊
(Voucher CID：12917705872)"")
        - COUNTIF(B"&amp;"C85:BJ85, ""text固定為以下：
※直播間僅支援手機版"")
        - COUNTIF(BC85:BJ85, ""text固定為以下：
※短影音僅支援手機版"")
    )
  ), 
  0
)
"),0)</f>
        <v>0</v>
      </c>
      <c r="BM85" s="77" t="b">
        <v>0</v>
      </c>
      <c r="BN85" s="85"/>
      <c r="BO85" s="85"/>
    </row>
    <row r="86" spans="1:67" ht="30" customHeight="1">
      <c r="A86" s="73" t="str">
        <f t="array" aca="1" ref="A86" ca="1">IFERROR(TRANSPOSE(INDIRECT('MS section版配(Old)'!$AO86)),"")</f>
        <v/>
      </c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  <c r="AA86" s="87"/>
      <c r="AB86" s="87"/>
      <c r="AC86" s="87"/>
      <c r="AD86" s="87"/>
      <c r="AE86" s="397" t="str">
        <f>IFERROR(VLOOKUP($AQ86,'(勿動)組件目錄表'!$D$15:$R$1094,4,FALSE),"")</f>
        <v/>
      </c>
      <c r="AF86" s="384"/>
      <c r="AG86" s="384"/>
      <c r="AH86" s="384"/>
      <c r="AI86" s="384"/>
      <c r="AJ86" s="385"/>
      <c r="AK86" s="54" t="b">
        <v>0</v>
      </c>
      <c r="AL86" s="54" t="b">
        <v>0</v>
      </c>
      <c r="AM86" s="54"/>
      <c r="AN86" s="7" t="str">
        <v>078</v>
      </c>
      <c r="AO86" s="7"/>
      <c r="AP86" s="62"/>
      <c r="AQ86" s="75" t="str">
        <v/>
      </c>
      <c r="AR86" s="75" t="str">
        <v>-</v>
      </c>
      <c r="AS86" s="11"/>
      <c r="AT86" s="77" t="str">
        <v>-</v>
      </c>
      <c r="AU86" s="11" t="str">
        <v>-</v>
      </c>
      <c r="AV86" s="84"/>
      <c r="AW86" s="86" t="str">
        <f ca="1"/>
        <v>-</v>
      </c>
      <c r="AX86" s="86" t="b">
        <v>0</v>
      </c>
      <c r="AY86" s="68" t="str">
        <f t="shared" si="0"/>
        <v/>
      </c>
      <c r="AZ86" s="69" t="str">
        <f t="shared" si="1"/>
        <v/>
      </c>
      <c r="BA86" s="70" t="str">
        <f t="shared" si="2"/>
        <v/>
      </c>
      <c r="BB86" s="68" t="str">
        <f t="shared" si="3"/>
        <v/>
      </c>
      <c r="BC86" s="69" t="str">
        <f>IFERROR(VLOOKUP($AQ86,'(勿動)組件目錄表'!$D$15:$R$1094,7,FALSE),"")</f>
        <v/>
      </c>
      <c r="BD86" s="69" t="str">
        <f>IFERROR(VLOOKUP($AQ86,'(勿動)組件目錄表'!$D$15:$R$1094,8,FALSE),"")</f>
        <v/>
      </c>
      <c r="BE86" s="69" t="str">
        <f>IFERROR(VLOOKUP($AQ86,'(勿動)組件目錄表'!$D$15:$R$1094,9,FALSE),"")</f>
        <v/>
      </c>
      <c r="BF86" s="69" t="str">
        <f>IFERROR(VLOOKUP($AQ86,'(勿動)組件目錄表'!$D$15:$R$1094,10,FALSE),"")</f>
        <v/>
      </c>
      <c r="BG86" s="69" t="str">
        <f>IFERROR(VLOOKUP($AQ86,'(勿動)組件目錄表'!$D$15:$R$1094,11,FALSE),"")</f>
        <v/>
      </c>
      <c r="BH86" s="69" t="str">
        <f>IFERROR(VLOOKUP($AQ86,'(勿動)組件目錄表'!$D$15:$R$1094,12,FALSE),"")</f>
        <v/>
      </c>
      <c r="BI86" s="69" t="str">
        <f>IFERROR(VLOOKUP($AQ86,'(勿動)組件目錄表'!$D$15:$R$1094,13,FALSE),"")</f>
        <v/>
      </c>
      <c r="BJ86" s="69" t="str">
        <f>IFERROR(VLOOKUP($AQ86,'(勿動)組件目錄表'!$D$15:$R$1094,14,FALSE),"")</f>
        <v/>
      </c>
      <c r="BK86" s="69" t="str">
        <f>IFERROR(VLOOKUP($AQ86,'(勿動)組件目錄表'!$D$15:$R$1094,15,FALSE),"")</f>
        <v/>
      </c>
      <c r="BL86" s="81">
        <f ca="1">IFERROR(__xludf.DUMMYFUNCTION("IFERROR(
  LET(
    rowData, FILTER('(勿動)組件目錄表'!J:Q, '(勿動)組件目錄表'!D:D=AQ86),
    IF(ROWS(rowData)=0, 0, 
      (
        IF(AND(BC86&lt;&gt;"""", INDEX(rowData,1,1)=BC86),1,0) +
        IF(AND(BD86&lt;&gt;"""", INDEX(rowData,1,2)=BD86),1,0) +
        IF(AND(BE86&lt;&gt;"""""&amp;", INDEX(rowData,1,3)=BE86),1,0) +
        IF(AND(BF86&lt;&gt;"""", INDEX(rowData,1,4)=BF86),1,0) +
        IF(AND(BG86&lt;&gt;"""", INDEX(rowData,1,5)=BG86),1,0) +
        IF(AND(BH86&lt;&gt;"""", INDEX(rowData,1,6)=BH86),1,0) +
        IF(AND(BI86&lt;&gt;"""", INDEX(rowData,1,7"&amp;")=BI86),1,0) +
        IF(AND(BJ86&lt;&gt;"""", INDEX(rowData,1,8)=BJ86),1,0)
      ) - COUNTIF(BC86:BJ86, ""-"")
        - COUNTIF(BC86:BJ86, ""固定格式，不需提供資訊"")
        - COUNTIF(BC86:BJ86, ""由MKT更新，此欄位固定格式，不需提供資訊
(Voucher CID：12917705872)"")
        - COUNTIF(B"&amp;"C86:BJ86, ""text固定為以下：
※直播間僅支援手機版"")
        - COUNTIF(BC86:BJ86, ""text固定為以下：
※短影音僅支援手機版"")
    )
  ), 
  0
)
"),0)</f>
        <v>0</v>
      </c>
      <c r="BM86" s="77" t="b">
        <v>0</v>
      </c>
      <c r="BN86" s="85"/>
      <c r="BO86" s="85"/>
    </row>
    <row r="87" spans="1:67" ht="30" customHeight="1">
      <c r="A87" s="73" t="str">
        <f t="array" aca="1" ref="A87" ca="1">IFERROR(TRANSPOSE(INDIRECT('MS section版配(Old)'!$AO87)),"")</f>
        <v/>
      </c>
      <c r="B87" s="9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397" t="str">
        <f>IFERROR(VLOOKUP($AQ87,'(勿動)組件目錄表'!$D$15:$R$1094,4,FALSE),"")</f>
        <v/>
      </c>
      <c r="AF87" s="384"/>
      <c r="AG87" s="384"/>
      <c r="AH87" s="384"/>
      <c r="AI87" s="384"/>
      <c r="AJ87" s="385"/>
      <c r="AK87" s="54" t="b">
        <v>0</v>
      </c>
      <c r="AL87" s="54" t="b">
        <v>0</v>
      </c>
      <c r="AM87" s="54"/>
      <c r="AN87" s="7" t="str">
        <v>079</v>
      </c>
      <c r="AO87" s="7"/>
      <c r="AP87" s="62"/>
      <c r="AQ87" s="75" t="str">
        <v/>
      </c>
      <c r="AR87" s="75" t="str">
        <v>-</v>
      </c>
      <c r="AS87" s="11"/>
      <c r="AT87" s="77" t="str">
        <v>-</v>
      </c>
      <c r="AU87" s="11" t="str">
        <v>-</v>
      </c>
      <c r="AV87" s="84"/>
      <c r="AW87" s="86" t="str">
        <f ca="1"/>
        <v>-</v>
      </c>
      <c r="AX87" s="86" t="b">
        <v>0</v>
      </c>
      <c r="AY87" s="68" t="str">
        <f t="shared" si="0"/>
        <v/>
      </c>
      <c r="AZ87" s="69" t="str">
        <f t="shared" si="1"/>
        <v/>
      </c>
      <c r="BA87" s="70" t="str">
        <f t="shared" si="2"/>
        <v/>
      </c>
      <c r="BB87" s="68" t="str">
        <f t="shared" si="3"/>
        <v/>
      </c>
      <c r="BC87" s="69" t="str">
        <f>IFERROR(VLOOKUP($AQ87,'(勿動)組件目錄表'!$D$15:$R$1094,7,FALSE),"")</f>
        <v/>
      </c>
      <c r="BD87" s="69" t="str">
        <f>IFERROR(VLOOKUP($AQ87,'(勿動)組件目錄表'!$D$15:$R$1094,8,FALSE),"")</f>
        <v/>
      </c>
      <c r="BE87" s="69" t="str">
        <f>IFERROR(VLOOKUP($AQ87,'(勿動)組件目錄表'!$D$15:$R$1094,9,FALSE),"")</f>
        <v/>
      </c>
      <c r="BF87" s="69" t="str">
        <f>IFERROR(VLOOKUP($AQ87,'(勿動)組件目錄表'!$D$15:$R$1094,10,FALSE),"")</f>
        <v/>
      </c>
      <c r="BG87" s="69" t="str">
        <f>IFERROR(VLOOKUP($AQ87,'(勿動)組件目錄表'!$D$15:$R$1094,11,FALSE),"")</f>
        <v/>
      </c>
      <c r="BH87" s="69" t="str">
        <f>IFERROR(VLOOKUP($AQ87,'(勿動)組件目錄表'!$D$15:$R$1094,12,FALSE),"")</f>
        <v/>
      </c>
      <c r="BI87" s="69" t="str">
        <f>IFERROR(VLOOKUP($AQ87,'(勿動)組件目錄表'!$D$15:$R$1094,13,FALSE),"")</f>
        <v/>
      </c>
      <c r="BJ87" s="69" t="str">
        <f>IFERROR(VLOOKUP($AQ87,'(勿動)組件目錄表'!$D$15:$R$1094,14,FALSE),"")</f>
        <v/>
      </c>
      <c r="BK87" s="69" t="str">
        <f>IFERROR(VLOOKUP($AQ87,'(勿動)組件目錄表'!$D$15:$R$1094,15,FALSE),"")</f>
        <v/>
      </c>
      <c r="BL87" s="81">
        <f ca="1">IFERROR(__xludf.DUMMYFUNCTION("IFERROR(
  LET(
    rowData, FILTER('(勿動)組件目錄表'!J:Q, '(勿動)組件目錄表'!D:D=AQ87),
    IF(ROWS(rowData)=0, 0, 
      (
        IF(AND(BC87&lt;&gt;"""", INDEX(rowData,1,1)=BC87),1,0) +
        IF(AND(BD87&lt;&gt;"""", INDEX(rowData,1,2)=BD87),1,0) +
        IF(AND(BE87&lt;&gt;"""""&amp;", INDEX(rowData,1,3)=BE87),1,0) +
        IF(AND(BF87&lt;&gt;"""", INDEX(rowData,1,4)=BF87),1,0) +
        IF(AND(BG87&lt;&gt;"""", INDEX(rowData,1,5)=BG87),1,0) +
        IF(AND(BH87&lt;&gt;"""", INDEX(rowData,1,6)=BH87),1,0) +
        IF(AND(BI87&lt;&gt;"""", INDEX(rowData,1,7"&amp;")=BI87),1,0) +
        IF(AND(BJ87&lt;&gt;"""", INDEX(rowData,1,8)=BJ87),1,0)
      ) - COUNTIF(BC87:BJ87, ""-"")
        - COUNTIF(BC87:BJ87, ""固定格式，不需提供資訊"")
        - COUNTIF(BC87:BJ87, ""由MKT更新，此欄位固定格式，不需提供資訊
(Voucher CID：12917705872)"")
        - COUNTIF(B"&amp;"C87:BJ87, ""text固定為以下：
※直播間僅支援手機版"")
        - COUNTIF(BC87:BJ87, ""text固定為以下：
※短影音僅支援手機版"")
    )
  ), 
  0
)
"),0)</f>
        <v>0</v>
      </c>
      <c r="BM87" s="77" t="b">
        <v>0</v>
      </c>
      <c r="BN87" s="85"/>
      <c r="BO87" s="85"/>
    </row>
    <row r="88" spans="1:67" ht="30" customHeight="1">
      <c r="A88" s="73" t="str">
        <f t="array" aca="1" ref="A88" ca="1">IFERROR(TRANSPOSE(INDIRECT('MS section版配(Old)'!$AO88)),"")</f>
        <v/>
      </c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  <c r="AA88" s="87"/>
      <c r="AB88" s="87"/>
      <c r="AC88" s="87"/>
      <c r="AD88" s="87"/>
      <c r="AE88" s="397" t="str">
        <f>IFERROR(VLOOKUP($AQ88,'(勿動)組件目錄表'!$D$15:$R$1094,4,FALSE),"")</f>
        <v/>
      </c>
      <c r="AF88" s="384"/>
      <c r="AG88" s="384"/>
      <c r="AH88" s="384"/>
      <c r="AI88" s="384"/>
      <c r="AJ88" s="385"/>
      <c r="AK88" s="54" t="b">
        <v>0</v>
      </c>
      <c r="AL88" s="54" t="b">
        <v>0</v>
      </c>
      <c r="AM88" s="54"/>
      <c r="AN88" s="7" t="str">
        <v>080</v>
      </c>
      <c r="AO88" s="7"/>
      <c r="AP88" s="62"/>
      <c r="AQ88" s="75" t="str">
        <v/>
      </c>
      <c r="AR88" s="75" t="str">
        <v>-</v>
      </c>
      <c r="AS88" s="11"/>
      <c r="AT88" s="77" t="str">
        <v>-</v>
      </c>
      <c r="AU88" s="11" t="str">
        <v>-</v>
      </c>
      <c r="AV88" s="84"/>
      <c r="AW88" s="86" t="str">
        <f ca="1"/>
        <v>-</v>
      </c>
      <c r="AX88" s="86" t="b">
        <v>0</v>
      </c>
      <c r="AY88" s="68" t="str">
        <f t="shared" si="0"/>
        <v/>
      </c>
      <c r="AZ88" s="69" t="str">
        <f t="shared" si="1"/>
        <v/>
      </c>
      <c r="BA88" s="70" t="str">
        <f t="shared" si="2"/>
        <v/>
      </c>
      <c r="BB88" s="68" t="str">
        <f t="shared" si="3"/>
        <v/>
      </c>
      <c r="BC88" s="69" t="str">
        <f>IFERROR(VLOOKUP($AQ88,'(勿動)組件目錄表'!$D$15:$R$1094,7,FALSE),"")</f>
        <v/>
      </c>
      <c r="BD88" s="69" t="str">
        <f>IFERROR(VLOOKUP($AQ88,'(勿動)組件目錄表'!$D$15:$R$1094,8,FALSE),"")</f>
        <v/>
      </c>
      <c r="BE88" s="69" t="str">
        <f>IFERROR(VLOOKUP($AQ88,'(勿動)組件目錄表'!$D$15:$R$1094,9,FALSE),"")</f>
        <v/>
      </c>
      <c r="BF88" s="69" t="str">
        <f>IFERROR(VLOOKUP($AQ88,'(勿動)組件目錄表'!$D$15:$R$1094,10,FALSE),"")</f>
        <v/>
      </c>
      <c r="BG88" s="69" t="str">
        <f>IFERROR(VLOOKUP($AQ88,'(勿動)組件目錄表'!$D$15:$R$1094,11,FALSE),"")</f>
        <v/>
      </c>
      <c r="BH88" s="69" t="str">
        <f>IFERROR(VLOOKUP($AQ88,'(勿動)組件目錄表'!$D$15:$R$1094,12,FALSE),"")</f>
        <v/>
      </c>
      <c r="BI88" s="69" t="str">
        <f>IFERROR(VLOOKUP($AQ88,'(勿動)組件目錄表'!$D$15:$R$1094,13,FALSE),"")</f>
        <v/>
      </c>
      <c r="BJ88" s="69" t="str">
        <f>IFERROR(VLOOKUP($AQ88,'(勿動)組件目錄表'!$D$15:$R$1094,14,FALSE),"")</f>
        <v/>
      </c>
      <c r="BK88" s="69" t="str">
        <f>IFERROR(VLOOKUP($AQ88,'(勿動)組件目錄表'!$D$15:$R$1094,15,FALSE),"")</f>
        <v/>
      </c>
      <c r="BL88" s="81">
        <f ca="1">IFERROR(__xludf.DUMMYFUNCTION("IFERROR(
  LET(
    rowData, FILTER('(勿動)組件目錄表'!J:Q, '(勿動)組件目錄表'!D:D=AQ88),
    IF(ROWS(rowData)=0, 0, 
      (
        IF(AND(BC88&lt;&gt;"""", INDEX(rowData,1,1)=BC88),1,0) +
        IF(AND(BD88&lt;&gt;"""", INDEX(rowData,1,2)=BD88),1,0) +
        IF(AND(BE88&lt;&gt;"""""&amp;", INDEX(rowData,1,3)=BE88),1,0) +
        IF(AND(BF88&lt;&gt;"""", INDEX(rowData,1,4)=BF88),1,0) +
        IF(AND(BG88&lt;&gt;"""", INDEX(rowData,1,5)=BG88),1,0) +
        IF(AND(BH88&lt;&gt;"""", INDEX(rowData,1,6)=BH88),1,0) +
        IF(AND(BI88&lt;&gt;"""", INDEX(rowData,1,7"&amp;")=BI88),1,0) +
        IF(AND(BJ88&lt;&gt;"""", INDEX(rowData,1,8)=BJ88),1,0)
      ) - COUNTIF(BC88:BJ88, ""-"")
        - COUNTIF(BC88:BJ88, ""固定格式，不需提供資訊"")
        - COUNTIF(BC88:BJ88, ""由MKT更新，此欄位固定格式，不需提供資訊
(Voucher CID：12917705872)"")
        - COUNTIF(B"&amp;"C88:BJ88, ""text固定為以下：
※直播間僅支援手機版"")
        - COUNTIF(BC88:BJ88, ""text固定為以下：
※短影音僅支援手機版"")
    )
  ), 
  0
)
"),0)</f>
        <v>0</v>
      </c>
      <c r="BM88" s="77" t="b">
        <v>0</v>
      </c>
      <c r="BN88" s="85"/>
      <c r="BO88" s="85"/>
    </row>
    <row r="89" spans="1:67" ht="30" customHeight="1">
      <c r="A89" s="73" t="str">
        <f t="array" aca="1" ref="A89" ca="1">IFERROR(TRANSPOSE(INDIRECT('MS section版配(Old)'!$AO89)),"")</f>
        <v/>
      </c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397" t="str">
        <f>IFERROR(VLOOKUP($AQ89,'(勿動)組件目錄表'!$D$15:$R$1094,4,FALSE),"")</f>
        <v/>
      </c>
      <c r="AF89" s="384"/>
      <c r="AG89" s="384"/>
      <c r="AH89" s="384"/>
      <c r="AI89" s="384"/>
      <c r="AJ89" s="385"/>
      <c r="AK89" s="54" t="b">
        <v>0</v>
      </c>
      <c r="AL89" s="54" t="b">
        <v>0</v>
      </c>
      <c r="AM89" s="54"/>
      <c r="AN89" s="7" t="str">
        <v>081</v>
      </c>
      <c r="AO89" s="7"/>
      <c r="AP89" s="62"/>
      <c r="AQ89" s="75" t="str">
        <v/>
      </c>
      <c r="AR89" s="75" t="str">
        <v>-</v>
      </c>
      <c r="AS89" s="11"/>
      <c r="AT89" s="77" t="str">
        <v>-</v>
      </c>
      <c r="AU89" s="11" t="str">
        <v>-</v>
      </c>
      <c r="AV89" s="84"/>
      <c r="AW89" s="86" t="str">
        <f ca="1"/>
        <v>-</v>
      </c>
      <c r="AX89" s="86" t="b">
        <v>0</v>
      </c>
      <c r="AY89" s="68" t="str">
        <f t="shared" si="0"/>
        <v/>
      </c>
      <c r="AZ89" s="69" t="str">
        <f t="shared" si="1"/>
        <v/>
      </c>
      <c r="BA89" s="70" t="str">
        <f t="shared" si="2"/>
        <v/>
      </c>
      <c r="BB89" s="68" t="str">
        <f t="shared" si="3"/>
        <v/>
      </c>
      <c r="BC89" s="69" t="str">
        <f>IFERROR(VLOOKUP($AQ89,'(勿動)組件目錄表'!$D$15:$R$1094,7,FALSE),"")</f>
        <v/>
      </c>
      <c r="BD89" s="69" t="str">
        <f>IFERROR(VLOOKUP($AQ89,'(勿動)組件目錄表'!$D$15:$R$1094,8,FALSE),"")</f>
        <v/>
      </c>
      <c r="BE89" s="69" t="str">
        <f>IFERROR(VLOOKUP($AQ89,'(勿動)組件目錄表'!$D$15:$R$1094,9,FALSE),"")</f>
        <v/>
      </c>
      <c r="BF89" s="69" t="str">
        <f>IFERROR(VLOOKUP($AQ89,'(勿動)組件目錄表'!$D$15:$R$1094,10,FALSE),"")</f>
        <v/>
      </c>
      <c r="BG89" s="69" t="str">
        <f>IFERROR(VLOOKUP($AQ89,'(勿動)組件目錄表'!$D$15:$R$1094,11,FALSE),"")</f>
        <v/>
      </c>
      <c r="BH89" s="69" t="str">
        <f>IFERROR(VLOOKUP($AQ89,'(勿動)組件目錄表'!$D$15:$R$1094,12,FALSE),"")</f>
        <v/>
      </c>
      <c r="BI89" s="69" t="str">
        <f>IFERROR(VLOOKUP($AQ89,'(勿動)組件目錄表'!$D$15:$R$1094,13,FALSE),"")</f>
        <v/>
      </c>
      <c r="BJ89" s="69" t="str">
        <f>IFERROR(VLOOKUP($AQ89,'(勿動)組件目錄表'!$D$15:$R$1094,14,FALSE),"")</f>
        <v/>
      </c>
      <c r="BK89" s="69" t="str">
        <f>IFERROR(VLOOKUP($AQ89,'(勿動)組件目錄表'!$D$15:$R$1094,15,FALSE),"")</f>
        <v/>
      </c>
      <c r="BL89" s="81">
        <f ca="1">IFERROR(__xludf.DUMMYFUNCTION("IFERROR(
  LET(
    rowData, FILTER('(勿動)組件目錄表'!J:Q, '(勿動)組件目錄表'!D:D=AQ89),
    IF(ROWS(rowData)=0, 0, 
      (
        IF(AND(BC89&lt;&gt;"""", INDEX(rowData,1,1)=BC89),1,0) +
        IF(AND(BD89&lt;&gt;"""", INDEX(rowData,1,2)=BD89),1,0) +
        IF(AND(BE89&lt;&gt;"""""&amp;", INDEX(rowData,1,3)=BE89),1,0) +
        IF(AND(BF89&lt;&gt;"""", INDEX(rowData,1,4)=BF89),1,0) +
        IF(AND(BG89&lt;&gt;"""", INDEX(rowData,1,5)=BG89),1,0) +
        IF(AND(BH89&lt;&gt;"""", INDEX(rowData,1,6)=BH89),1,0) +
        IF(AND(BI89&lt;&gt;"""", INDEX(rowData,1,7"&amp;")=BI89),1,0) +
        IF(AND(BJ89&lt;&gt;"""", INDEX(rowData,1,8)=BJ89),1,0)
      ) - COUNTIF(BC89:BJ89, ""-"")
        - COUNTIF(BC89:BJ89, ""固定格式，不需提供資訊"")
        - COUNTIF(BC89:BJ89, ""由MKT更新，此欄位固定格式，不需提供資訊
(Voucher CID：12917705872)"")
        - COUNTIF(B"&amp;"C89:BJ89, ""text固定為以下：
※直播間僅支援手機版"")
        - COUNTIF(BC89:BJ89, ""text固定為以下：
※短影音僅支援手機版"")
    )
  ), 
  0
)
"),0)</f>
        <v>0</v>
      </c>
      <c r="BM89" s="77" t="b">
        <v>0</v>
      </c>
      <c r="BN89" s="85"/>
      <c r="BO89" s="85"/>
    </row>
    <row r="90" spans="1:67" ht="30" customHeight="1">
      <c r="A90" s="73" t="str">
        <f t="array" aca="1" ref="A90" ca="1">IFERROR(TRANSPOSE(INDIRECT('MS section版配(Old)'!$AO90)),"")</f>
        <v/>
      </c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  <c r="AA90" s="87"/>
      <c r="AB90" s="87"/>
      <c r="AC90" s="87"/>
      <c r="AD90" s="87"/>
      <c r="AE90" s="397" t="str">
        <f>IFERROR(VLOOKUP($AQ90,'(勿動)組件目錄表'!$D$15:$R$1094,4,FALSE),"")</f>
        <v/>
      </c>
      <c r="AF90" s="384"/>
      <c r="AG90" s="384"/>
      <c r="AH90" s="384"/>
      <c r="AI90" s="384"/>
      <c r="AJ90" s="385"/>
      <c r="AK90" s="54" t="b">
        <v>0</v>
      </c>
      <c r="AL90" s="54" t="b">
        <v>0</v>
      </c>
      <c r="AM90" s="54"/>
      <c r="AN90" s="7" t="str">
        <v>082</v>
      </c>
      <c r="AO90" s="7"/>
      <c r="AP90" s="62"/>
      <c r="AQ90" s="75" t="str">
        <v/>
      </c>
      <c r="AR90" s="75" t="str">
        <v>-</v>
      </c>
      <c r="AS90" s="11"/>
      <c r="AT90" s="77" t="str">
        <v>-</v>
      </c>
      <c r="AU90" s="11" t="str">
        <v>-</v>
      </c>
      <c r="AV90" s="84"/>
      <c r="AW90" s="86" t="str">
        <f ca="1"/>
        <v>-</v>
      </c>
      <c r="AX90" s="86" t="b">
        <v>0</v>
      </c>
      <c r="AY90" s="68" t="str">
        <f t="shared" si="0"/>
        <v/>
      </c>
      <c r="AZ90" s="69" t="str">
        <f t="shared" si="1"/>
        <v/>
      </c>
      <c r="BA90" s="70" t="str">
        <f t="shared" si="2"/>
        <v/>
      </c>
      <c r="BB90" s="68" t="str">
        <f t="shared" si="3"/>
        <v/>
      </c>
      <c r="BC90" s="69" t="str">
        <f>IFERROR(VLOOKUP($AQ90,'(勿動)組件目錄表'!$D$15:$R$1094,7,FALSE),"")</f>
        <v/>
      </c>
      <c r="BD90" s="69" t="str">
        <f>IFERROR(VLOOKUP($AQ90,'(勿動)組件目錄表'!$D$15:$R$1094,8,FALSE),"")</f>
        <v/>
      </c>
      <c r="BE90" s="69" t="str">
        <f>IFERROR(VLOOKUP($AQ90,'(勿動)組件目錄表'!$D$15:$R$1094,9,FALSE),"")</f>
        <v/>
      </c>
      <c r="BF90" s="69" t="str">
        <f>IFERROR(VLOOKUP($AQ90,'(勿動)組件目錄表'!$D$15:$R$1094,10,FALSE),"")</f>
        <v/>
      </c>
      <c r="BG90" s="69" t="str">
        <f>IFERROR(VLOOKUP($AQ90,'(勿動)組件目錄表'!$D$15:$R$1094,11,FALSE),"")</f>
        <v/>
      </c>
      <c r="BH90" s="69" t="str">
        <f>IFERROR(VLOOKUP($AQ90,'(勿動)組件目錄表'!$D$15:$R$1094,12,FALSE),"")</f>
        <v/>
      </c>
      <c r="BI90" s="69" t="str">
        <f>IFERROR(VLOOKUP($AQ90,'(勿動)組件目錄表'!$D$15:$R$1094,13,FALSE),"")</f>
        <v/>
      </c>
      <c r="BJ90" s="69" t="str">
        <f>IFERROR(VLOOKUP($AQ90,'(勿動)組件目錄表'!$D$15:$R$1094,14,FALSE),"")</f>
        <v/>
      </c>
      <c r="BK90" s="69" t="str">
        <f>IFERROR(VLOOKUP($AQ90,'(勿動)組件目錄表'!$D$15:$R$1094,15,FALSE),"")</f>
        <v/>
      </c>
      <c r="BL90" s="81">
        <f ca="1">IFERROR(__xludf.DUMMYFUNCTION("IFERROR(
  LET(
    rowData, FILTER('(勿動)組件目錄表'!J:Q, '(勿動)組件目錄表'!D:D=AQ90),
    IF(ROWS(rowData)=0, 0, 
      (
        IF(AND(BC90&lt;&gt;"""", INDEX(rowData,1,1)=BC90),1,0) +
        IF(AND(BD90&lt;&gt;"""", INDEX(rowData,1,2)=BD90),1,0) +
        IF(AND(BE90&lt;&gt;"""""&amp;", INDEX(rowData,1,3)=BE90),1,0) +
        IF(AND(BF90&lt;&gt;"""", INDEX(rowData,1,4)=BF90),1,0) +
        IF(AND(BG90&lt;&gt;"""", INDEX(rowData,1,5)=BG90),1,0) +
        IF(AND(BH90&lt;&gt;"""", INDEX(rowData,1,6)=BH90),1,0) +
        IF(AND(BI90&lt;&gt;"""", INDEX(rowData,1,7"&amp;")=BI90),1,0) +
        IF(AND(BJ90&lt;&gt;"""", INDEX(rowData,1,8)=BJ90),1,0)
      ) - COUNTIF(BC90:BJ90, ""-"")
        - COUNTIF(BC90:BJ90, ""固定格式，不需提供資訊"")
        - COUNTIF(BC90:BJ90, ""由MKT更新，此欄位固定格式，不需提供資訊
(Voucher CID：12917705872)"")
        - COUNTIF(B"&amp;"C90:BJ90, ""text固定為以下：
※直播間僅支援手機版"")
        - COUNTIF(BC90:BJ90, ""text固定為以下：
※短影音僅支援手機版"")
    )
  ), 
  0
)
"),0)</f>
        <v>0</v>
      </c>
      <c r="BM90" s="77" t="b">
        <v>0</v>
      </c>
      <c r="BN90" s="85"/>
      <c r="BO90" s="85"/>
    </row>
    <row r="91" spans="1:67" ht="30" customHeight="1">
      <c r="A91" s="73" t="str">
        <f t="array" aca="1" ref="A91" ca="1">IFERROR(TRANSPOSE(INDIRECT('MS section版配(Old)'!$AO91)),"")</f>
        <v/>
      </c>
      <c r="B91" s="9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397" t="str">
        <f>IFERROR(VLOOKUP($AQ91,'(勿動)組件目錄表'!$D$15:$R$1094,4,FALSE),"")</f>
        <v/>
      </c>
      <c r="AF91" s="384"/>
      <c r="AG91" s="384"/>
      <c r="AH91" s="384"/>
      <c r="AI91" s="384"/>
      <c r="AJ91" s="385"/>
      <c r="AK91" s="54" t="b">
        <v>0</v>
      </c>
      <c r="AL91" s="54" t="b">
        <v>0</v>
      </c>
      <c r="AM91" s="54"/>
      <c r="AN91" s="7" t="str">
        <v>083</v>
      </c>
      <c r="AO91" s="7"/>
      <c r="AP91" s="62"/>
      <c r="AQ91" s="75" t="str">
        <v/>
      </c>
      <c r="AR91" s="75" t="str">
        <v>-</v>
      </c>
      <c r="AS91" s="11"/>
      <c r="AT91" s="77" t="str">
        <v>-</v>
      </c>
      <c r="AU91" s="11" t="str">
        <v>-</v>
      </c>
      <c r="AV91" s="84"/>
      <c r="AW91" s="86" t="str">
        <f ca="1"/>
        <v>-</v>
      </c>
      <c r="AX91" s="86" t="b">
        <v>0</v>
      </c>
      <c r="AY91" s="68" t="str">
        <f t="shared" si="0"/>
        <v/>
      </c>
      <c r="AZ91" s="69" t="str">
        <f t="shared" si="1"/>
        <v/>
      </c>
      <c r="BA91" s="70" t="str">
        <f t="shared" si="2"/>
        <v/>
      </c>
      <c r="BB91" s="68" t="str">
        <f t="shared" si="3"/>
        <v/>
      </c>
      <c r="BC91" s="69" t="str">
        <f>IFERROR(VLOOKUP($AQ91,'(勿動)組件目錄表'!$D$15:$R$1094,7,FALSE),"")</f>
        <v/>
      </c>
      <c r="BD91" s="69" t="str">
        <f>IFERROR(VLOOKUP($AQ91,'(勿動)組件目錄表'!$D$15:$R$1094,8,FALSE),"")</f>
        <v/>
      </c>
      <c r="BE91" s="69" t="str">
        <f>IFERROR(VLOOKUP($AQ91,'(勿動)組件目錄表'!$D$15:$R$1094,9,FALSE),"")</f>
        <v/>
      </c>
      <c r="BF91" s="69" t="str">
        <f>IFERROR(VLOOKUP($AQ91,'(勿動)組件目錄表'!$D$15:$R$1094,10,FALSE),"")</f>
        <v/>
      </c>
      <c r="BG91" s="69" t="str">
        <f>IFERROR(VLOOKUP($AQ91,'(勿動)組件目錄表'!$D$15:$R$1094,11,FALSE),"")</f>
        <v/>
      </c>
      <c r="BH91" s="69" t="str">
        <f>IFERROR(VLOOKUP($AQ91,'(勿動)組件目錄表'!$D$15:$R$1094,12,FALSE),"")</f>
        <v/>
      </c>
      <c r="BI91" s="69" t="str">
        <f>IFERROR(VLOOKUP($AQ91,'(勿動)組件目錄表'!$D$15:$R$1094,13,FALSE),"")</f>
        <v/>
      </c>
      <c r="BJ91" s="69" t="str">
        <f>IFERROR(VLOOKUP($AQ91,'(勿動)組件目錄表'!$D$15:$R$1094,14,FALSE),"")</f>
        <v/>
      </c>
      <c r="BK91" s="69" t="str">
        <f>IFERROR(VLOOKUP($AQ91,'(勿動)組件目錄表'!$D$15:$R$1094,15,FALSE),"")</f>
        <v/>
      </c>
      <c r="BL91" s="81">
        <f ca="1">IFERROR(__xludf.DUMMYFUNCTION("IFERROR(
  LET(
    rowData, FILTER('(勿動)組件目錄表'!J:Q, '(勿動)組件目錄表'!D:D=AQ91),
    IF(ROWS(rowData)=0, 0, 
      (
        IF(AND(BC91&lt;&gt;"""", INDEX(rowData,1,1)=BC91),1,0) +
        IF(AND(BD91&lt;&gt;"""", INDEX(rowData,1,2)=BD91),1,0) +
        IF(AND(BE91&lt;&gt;"""""&amp;", INDEX(rowData,1,3)=BE91),1,0) +
        IF(AND(BF91&lt;&gt;"""", INDEX(rowData,1,4)=BF91),1,0) +
        IF(AND(BG91&lt;&gt;"""", INDEX(rowData,1,5)=BG91),1,0) +
        IF(AND(BH91&lt;&gt;"""", INDEX(rowData,1,6)=BH91),1,0) +
        IF(AND(BI91&lt;&gt;"""", INDEX(rowData,1,7"&amp;")=BI91),1,0) +
        IF(AND(BJ91&lt;&gt;"""", INDEX(rowData,1,8)=BJ91),1,0)
      ) - COUNTIF(BC91:BJ91, ""-"")
        - COUNTIF(BC91:BJ91, ""固定格式，不需提供資訊"")
        - COUNTIF(BC91:BJ91, ""由MKT更新，此欄位固定格式，不需提供資訊
(Voucher CID：12917705872)"")
        - COUNTIF(B"&amp;"C91:BJ91, ""text固定為以下：
※直播間僅支援手機版"")
        - COUNTIF(BC91:BJ91, ""text固定為以下：
※短影音僅支援手機版"")
    )
  ), 
  0
)
"),0)</f>
        <v>0</v>
      </c>
      <c r="BM91" s="77" t="b">
        <v>0</v>
      </c>
      <c r="BN91" s="85"/>
      <c r="BO91" s="85"/>
    </row>
    <row r="92" spans="1:67" ht="30" customHeight="1">
      <c r="A92" s="73" t="str">
        <f t="array" aca="1" ref="A92" ca="1">IFERROR(TRANSPOSE(INDIRECT('MS section版配(Old)'!$AO92)),"")</f>
        <v/>
      </c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  <c r="AA92" s="87"/>
      <c r="AB92" s="87"/>
      <c r="AC92" s="87"/>
      <c r="AD92" s="87"/>
      <c r="AE92" s="397" t="str">
        <f>IFERROR(VLOOKUP($AQ92,'(勿動)組件目錄表'!$D$15:$R$1094,4,FALSE),"")</f>
        <v/>
      </c>
      <c r="AF92" s="384"/>
      <c r="AG92" s="384"/>
      <c r="AH92" s="384"/>
      <c r="AI92" s="384"/>
      <c r="AJ92" s="385"/>
      <c r="AK92" s="54" t="b">
        <v>0</v>
      </c>
      <c r="AL92" s="54" t="b">
        <v>0</v>
      </c>
      <c r="AM92" s="54"/>
      <c r="AN92" s="7" t="str">
        <v>084</v>
      </c>
      <c r="AO92" s="7"/>
      <c r="AP92" s="62"/>
      <c r="AQ92" s="75" t="str">
        <v/>
      </c>
      <c r="AR92" s="75" t="str">
        <v>-</v>
      </c>
      <c r="AS92" s="11"/>
      <c r="AT92" s="77" t="str">
        <v>-</v>
      </c>
      <c r="AU92" s="11" t="str">
        <v>-</v>
      </c>
      <c r="AV92" s="84"/>
      <c r="AW92" s="86" t="str">
        <f ca="1"/>
        <v>-</v>
      </c>
      <c r="AX92" s="86" t="b">
        <v>0</v>
      </c>
      <c r="AY92" s="68" t="str">
        <f t="shared" si="0"/>
        <v/>
      </c>
      <c r="AZ92" s="69" t="str">
        <f t="shared" si="1"/>
        <v/>
      </c>
      <c r="BA92" s="70" t="str">
        <f t="shared" si="2"/>
        <v/>
      </c>
      <c r="BB92" s="68" t="str">
        <f t="shared" si="3"/>
        <v/>
      </c>
      <c r="BC92" s="69" t="str">
        <f>IFERROR(VLOOKUP($AQ92,'(勿動)組件目錄表'!$D$15:$R$1094,7,FALSE),"")</f>
        <v/>
      </c>
      <c r="BD92" s="69" t="str">
        <f>IFERROR(VLOOKUP($AQ92,'(勿動)組件目錄表'!$D$15:$R$1094,8,FALSE),"")</f>
        <v/>
      </c>
      <c r="BE92" s="69" t="str">
        <f>IFERROR(VLOOKUP($AQ92,'(勿動)組件目錄表'!$D$15:$R$1094,9,FALSE),"")</f>
        <v/>
      </c>
      <c r="BF92" s="69" t="str">
        <f>IFERROR(VLOOKUP($AQ92,'(勿動)組件目錄表'!$D$15:$R$1094,10,FALSE),"")</f>
        <v/>
      </c>
      <c r="BG92" s="69" t="str">
        <f>IFERROR(VLOOKUP($AQ92,'(勿動)組件目錄表'!$D$15:$R$1094,11,FALSE),"")</f>
        <v/>
      </c>
      <c r="BH92" s="69" t="str">
        <f>IFERROR(VLOOKUP($AQ92,'(勿動)組件目錄表'!$D$15:$R$1094,12,FALSE),"")</f>
        <v/>
      </c>
      <c r="BI92" s="69" t="str">
        <f>IFERROR(VLOOKUP($AQ92,'(勿動)組件目錄表'!$D$15:$R$1094,13,FALSE),"")</f>
        <v/>
      </c>
      <c r="BJ92" s="69" t="str">
        <f>IFERROR(VLOOKUP($AQ92,'(勿動)組件目錄表'!$D$15:$R$1094,14,FALSE),"")</f>
        <v/>
      </c>
      <c r="BK92" s="69" t="str">
        <f>IFERROR(VLOOKUP($AQ92,'(勿動)組件目錄表'!$D$15:$R$1094,15,FALSE),"")</f>
        <v/>
      </c>
      <c r="BL92" s="81">
        <f ca="1">IFERROR(__xludf.DUMMYFUNCTION("IFERROR(
  LET(
    rowData, FILTER('(勿動)組件目錄表'!J:Q, '(勿動)組件目錄表'!D:D=AQ92),
    IF(ROWS(rowData)=0, 0, 
      (
        IF(AND(BC92&lt;&gt;"""", INDEX(rowData,1,1)=BC92),1,0) +
        IF(AND(BD92&lt;&gt;"""", INDEX(rowData,1,2)=BD92),1,0) +
        IF(AND(BE92&lt;&gt;"""""&amp;", INDEX(rowData,1,3)=BE92),1,0) +
        IF(AND(BF92&lt;&gt;"""", INDEX(rowData,1,4)=BF92),1,0) +
        IF(AND(BG92&lt;&gt;"""", INDEX(rowData,1,5)=BG92),1,0) +
        IF(AND(BH92&lt;&gt;"""", INDEX(rowData,1,6)=BH92),1,0) +
        IF(AND(BI92&lt;&gt;"""", INDEX(rowData,1,7"&amp;")=BI92),1,0) +
        IF(AND(BJ92&lt;&gt;"""", INDEX(rowData,1,8)=BJ92),1,0)
      ) - COUNTIF(BC92:BJ92, ""-"")
        - COUNTIF(BC92:BJ92, ""固定格式，不需提供資訊"")
        - COUNTIF(BC92:BJ92, ""由MKT更新，此欄位固定格式，不需提供資訊
(Voucher CID：12917705872)"")
        - COUNTIF(B"&amp;"C92:BJ92, ""text固定為以下：
※直播間僅支援手機版"")
        - COUNTIF(BC92:BJ92, ""text固定為以下：
※短影音僅支援手機版"")
    )
  ), 
  0
)
"),0)</f>
        <v>0</v>
      </c>
      <c r="BM92" s="77" t="b">
        <v>0</v>
      </c>
      <c r="BN92" s="85"/>
      <c r="BO92" s="85"/>
    </row>
    <row r="93" spans="1:67" ht="30" customHeight="1">
      <c r="A93" s="73" t="str">
        <f t="array" aca="1" ref="A93" ca="1">IFERROR(TRANSPOSE(INDIRECT('MS section版配(Old)'!$AO93)),"")</f>
        <v/>
      </c>
      <c r="B93" s="9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397" t="str">
        <f>IFERROR(VLOOKUP($AQ93,'(勿動)組件目錄表'!$D$15:$R$1094,4,FALSE),"")</f>
        <v/>
      </c>
      <c r="AF93" s="384"/>
      <c r="AG93" s="384"/>
      <c r="AH93" s="384"/>
      <c r="AI93" s="384"/>
      <c r="AJ93" s="385"/>
      <c r="AK93" s="54" t="b">
        <v>0</v>
      </c>
      <c r="AL93" s="54" t="b">
        <v>0</v>
      </c>
      <c r="AM93" s="54"/>
      <c r="AN93" s="7" t="str">
        <v>085</v>
      </c>
      <c r="AO93" s="7"/>
      <c r="AP93" s="62"/>
      <c r="AQ93" s="75" t="str">
        <v/>
      </c>
      <c r="AR93" s="75" t="str">
        <v>-</v>
      </c>
      <c r="AS93" s="11"/>
      <c r="AT93" s="77" t="str">
        <v>-</v>
      </c>
      <c r="AU93" s="11" t="str">
        <v>-</v>
      </c>
      <c r="AV93" s="84"/>
      <c r="AW93" s="86" t="str">
        <f ca="1"/>
        <v>-</v>
      </c>
      <c r="AX93" s="86" t="b">
        <v>0</v>
      </c>
      <c r="AY93" s="68" t="str">
        <f t="shared" si="0"/>
        <v/>
      </c>
      <c r="AZ93" s="69" t="str">
        <f t="shared" si="1"/>
        <v/>
      </c>
      <c r="BA93" s="70" t="str">
        <f t="shared" si="2"/>
        <v/>
      </c>
      <c r="BB93" s="68" t="str">
        <f t="shared" si="3"/>
        <v/>
      </c>
      <c r="BC93" s="69" t="str">
        <f>IFERROR(VLOOKUP($AQ93,'(勿動)組件目錄表'!$D$15:$R$1094,7,FALSE),"")</f>
        <v/>
      </c>
      <c r="BD93" s="69" t="str">
        <f>IFERROR(VLOOKUP($AQ93,'(勿動)組件目錄表'!$D$15:$R$1094,8,FALSE),"")</f>
        <v/>
      </c>
      <c r="BE93" s="69" t="str">
        <f>IFERROR(VLOOKUP($AQ93,'(勿動)組件目錄表'!$D$15:$R$1094,9,FALSE),"")</f>
        <v/>
      </c>
      <c r="BF93" s="69" t="str">
        <f>IFERROR(VLOOKUP($AQ93,'(勿動)組件目錄表'!$D$15:$R$1094,10,FALSE),"")</f>
        <v/>
      </c>
      <c r="BG93" s="69" t="str">
        <f>IFERROR(VLOOKUP($AQ93,'(勿動)組件目錄表'!$D$15:$R$1094,11,FALSE),"")</f>
        <v/>
      </c>
      <c r="BH93" s="69" t="str">
        <f>IFERROR(VLOOKUP($AQ93,'(勿動)組件目錄表'!$D$15:$R$1094,12,FALSE),"")</f>
        <v/>
      </c>
      <c r="BI93" s="69" t="str">
        <f>IFERROR(VLOOKUP($AQ93,'(勿動)組件目錄表'!$D$15:$R$1094,13,FALSE),"")</f>
        <v/>
      </c>
      <c r="BJ93" s="69" t="str">
        <f>IFERROR(VLOOKUP($AQ93,'(勿動)組件目錄表'!$D$15:$R$1094,14,FALSE),"")</f>
        <v/>
      </c>
      <c r="BK93" s="69" t="str">
        <f>IFERROR(VLOOKUP($AQ93,'(勿動)組件目錄表'!$D$15:$R$1094,15,FALSE),"")</f>
        <v/>
      </c>
      <c r="BL93" s="81">
        <f ca="1">IFERROR(__xludf.DUMMYFUNCTION("IFERROR(
  LET(
    rowData, FILTER('(勿動)組件目錄表'!J:Q, '(勿動)組件目錄表'!D:D=AQ93),
    IF(ROWS(rowData)=0, 0, 
      (
        IF(AND(BC93&lt;&gt;"""", INDEX(rowData,1,1)=BC93),1,0) +
        IF(AND(BD93&lt;&gt;"""", INDEX(rowData,1,2)=BD93),1,0) +
        IF(AND(BE93&lt;&gt;"""""&amp;", INDEX(rowData,1,3)=BE93),1,0) +
        IF(AND(BF93&lt;&gt;"""", INDEX(rowData,1,4)=BF93),1,0) +
        IF(AND(BG93&lt;&gt;"""", INDEX(rowData,1,5)=BG93),1,0) +
        IF(AND(BH93&lt;&gt;"""", INDEX(rowData,1,6)=BH93),1,0) +
        IF(AND(BI93&lt;&gt;"""", INDEX(rowData,1,7"&amp;")=BI93),1,0) +
        IF(AND(BJ93&lt;&gt;"""", INDEX(rowData,1,8)=BJ93),1,0)
      ) - COUNTIF(BC93:BJ93, ""-"")
        - COUNTIF(BC93:BJ93, ""固定格式，不需提供資訊"")
        - COUNTIF(BC93:BJ93, ""由MKT更新，此欄位固定格式，不需提供資訊
(Voucher CID：12917705872)"")
        - COUNTIF(B"&amp;"C93:BJ93, ""text固定為以下：
※直播間僅支援手機版"")
        - COUNTIF(BC93:BJ93, ""text固定為以下：
※短影音僅支援手機版"")
    )
  ), 
  0
)
"),0)</f>
        <v>0</v>
      </c>
      <c r="BM93" s="77" t="b">
        <v>0</v>
      </c>
      <c r="BN93" s="85"/>
      <c r="BO93" s="85"/>
    </row>
    <row r="94" spans="1:67" ht="30" customHeight="1">
      <c r="A94" s="73" t="str">
        <f t="array" aca="1" ref="A94" ca="1">IFERROR(TRANSPOSE(INDIRECT('MS section版配(Old)'!$AO94)),"")</f>
        <v/>
      </c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  <c r="AA94" s="87"/>
      <c r="AB94" s="87"/>
      <c r="AC94" s="87"/>
      <c r="AD94" s="87"/>
      <c r="AE94" s="397" t="str">
        <f>IFERROR(VLOOKUP($AQ94,'(勿動)組件目錄表'!$D$15:$R$1094,4,FALSE),"")</f>
        <v/>
      </c>
      <c r="AF94" s="384"/>
      <c r="AG94" s="384"/>
      <c r="AH94" s="384"/>
      <c r="AI94" s="384"/>
      <c r="AJ94" s="385"/>
      <c r="AK94" s="54" t="b">
        <v>0</v>
      </c>
      <c r="AL94" s="54" t="b">
        <v>0</v>
      </c>
      <c r="AM94" s="54"/>
      <c r="AN94" s="7" t="str">
        <v>086</v>
      </c>
      <c r="AO94" s="7"/>
      <c r="AP94" s="62"/>
      <c r="AQ94" s="75" t="str">
        <v/>
      </c>
      <c r="AR94" s="75" t="str">
        <v>-</v>
      </c>
      <c r="AS94" s="11"/>
      <c r="AT94" s="77" t="str">
        <v>-</v>
      </c>
      <c r="AU94" s="11" t="str">
        <v>-</v>
      </c>
      <c r="AV94" s="84"/>
      <c r="AW94" s="86" t="str">
        <f ca="1"/>
        <v>-</v>
      </c>
      <c r="AX94" s="86" t="b">
        <v>0</v>
      </c>
      <c r="AY94" s="68" t="str">
        <f t="shared" si="0"/>
        <v/>
      </c>
      <c r="AZ94" s="69" t="str">
        <f t="shared" si="1"/>
        <v/>
      </c>
      <c r="BA94" s="70" t="str">
        <f t="shared" si="2"/>
        <v/>
      </c>
      <c r="BB94" s="68" t="str">
        <f t="shared" si="3"/>
        <v/>
      </c>
      <c r="BC94" s="69" t="str">
        <f>IFERROR(VLOOKUP($AQ94,'(勿動)組件目錄表'!$D$15:$R$1094,7,FALSE),"")</f>
        <v/>
      </c>
      <c r="BD94" s="69" t="str">
        <f>IFERROR(VLOOKUP($AQ94,'(勿動)組件目錄表'!$D$15:$R$1094,8,FALSE),"")</f>
        <v/>
      </c>
      <c r="BE94" s="69" t="str">
        <f>IFERROR(VLOOKUP($AQ94,'(勿動)組件目錄表'!$D$15:$R$1094,9,FALSE),"")</f>
        <v/>
      </c>
      <c r="BF94" s="69" t="str">
        <f>IFERROR(VLOOKUP($AQ94,'(勿動)組件目錄表'!$D$15:$R$1094,10,FALSE),"")</f>
        <v/>
      </c>
      <c r="BG94" s="69" t="str">
        <f>IFERROR(VLOOKUP($AQ94,'(勿動)組件目錄表'!$D$15:$R$1094,11,FALSE),"")</f>
        <v/>
      </c>
      <c r="BH94" s="69" t="str">
        <f>IFERROR(VLOOKUP($AQ94,'(勿動)組件目錄表'!$D$15:$R$1094,12,FALSE),"")</f>
        <v/>
      </c>
      <c r="BI94" s="69" t="str">
        <f>IFERROR(VLOOKUP($AQ94,'(勿動)組件目錄表'!$D$15:$R$1094,13,FALSE),"")</f>
        <v/>
      </c>
      <c r="BJ94" s="69" t="str">
        <f>IFERROR(VLOOKUP($AQ94,'(勿動)組件目錄表'!$D$15:$R$1094,14,FALSE),"")</f>
        <v/>
      </c>
      <c r="BK94" s="69" t="str">
        <f>IFERROR(VLOOKUP($AQ94,'(勿動)組件目錄表'!$D$15:$R$1094,15,FALSE),"")</f>
        <v/>
      </c>
      <c r="BL94" s="81">
        <f ca="1">IFERROR(__xludf.DUMMYFUNCTION("IFERROR(
  LET(
    rowData, FILTER('(勿動)組件目錄表'!J:Q, '(勿動)組件目錄表'!D:D=AQ94),
    IF(ROWS(rowData)=0, 0, 
      (
        IF(AND(BC94&lt;&gt;"""", INDEX(rowData,1,1)=BC94),1,0) +
        IF(AND(BD94&lt;&gt;"""", INDEX(rowData,1,2)=BD94),1,0) +
        IF(AND(BE94&lt;&gt;"""""&amp;", INDEX(rowData,1,3)=BE94),1,0) +
        IF(AND(BF94&lt;&gt;"""", INDEX(rowData,1,4)=BF94),1,0) +
        IF(AND(BG94&lt;&gt;"""", INDEX(rowData,1,5)=BG94),1,0) +
        IF(AND(BH94&lt;&gt;"""", INDEX(rowData,1,6)=BH94),1,0) +
        IF(AND(BI94&lt;&gt;"""", INDEX(rowData,1,7"&amp;")=BI94),1,0) +
        IF(AND(BJ94&lt;&gt;"""", INDEX(rowData,1,8)=BJ94),1,0)
      ) - COUNTIF(BC94:BJ94, ""-"")
        - COUNTIF(BC94:BJ94, ""固定格式，不需提供資訊"")
        - COUNTIF(BC94:BJ94, ""由MKT更新，此欄位固定格式，不需提供資訊
(Voucher CID：12917705872)"")
        - COUNTIF(B"&amp;"C94:BJ94, ""text固定為以下：
※直播間僅支援手機版"")
        - COUNTIF(BC94:BJ94, ""text固定為以下：
※短影音僅支援手機版"")
    )
  ), 
  0
)
"),0)</f>
        <v>0</v>
      </c>
      <c r="BM94" s="77" t="b">
        <v>0</v>
      </c>
      <c r="BN94" s="85"/>
      <c r="BO94" s="85"/>
    </row>
    <row r="95" spans="1:67" ht="30" customHeight="1">
      <c r="A95" s="73" t="str">
        <f t="array" aca="1" ref="A95" ca="1">IFERROR(TRANSPOSE(INDIRECT('MS section版配(Old)'!$AO95)),"")</f>
        <v/>
      </c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  <c r="AA95" s="87"/>
      <c r="AB95" s="87"/>
      <c r="AC95" s="87"/>
      <c r="AD95" s="87"/>
      <c r="AE95" s="397" t="str">
        <f>IFERROR(VLOOKUP($AQ95,'(勿動)組件目錄表'!$D$15:$R$1094,4,FALSE),"")</f>
        <v/>
      </c>
      <c r="AF95" s="384"/>
      <c r="AG95" s="384"/>
      <c r="AH95" s="384"/>
      <c r="AI95" s="384"/>
      <c r="AJ95" s="385"/>
      <c r="AK95" s="54" t="b">
        <v>0</v>
      </c>
      <c r="AL95" s="54" t="b">
        <v>0</v>
      </c>
      <c r="AM95" s="54"/>
      <c r="AN95" s="7" t="str">
        <v>087</v>
      </c>
      <c r="AO95" s="7"/>
      <c r="AP95" s="62"/>
      <c r="AQ95" s="75" t="str">
        <v/>
      </c>
      <c r="AR95" s="75" t="str">
        <v>-</v>
      </c>
      <c r="AS95" s="11"/>
      <c r="AT95" s="77" t="str">
        <v>-</v>
      </c>
      <c r="AU95" s="11" t="str">
        <v>-</v>
      </c>
      <c r="AV95" s="84"/>
      <c r="AW95" s="86" t="str">
        <f ca="1"/>
        <v>-</v>
      </c>
      <c r="AX95" s="86" t="b">
        <v>0</v>
      </c>
      <c r="AY95" s="68" t="str">
        <f t="shared" si="0"/>
        <v/>
      </c>
      <c r="AZ95" s="69" t="str">
        <f t="shared" si="1"/>
        <v/>
      </c>
      <c r="BA95" s="70" t="str">
        <f t="shared" si="2"/>
        <v/>
      </c>
      <c r="BB95" s="68" t="str">
        <f t="shared" si="3"/>
        <v/>
      </c>
      <c r="BC95" s="69" t="str">
        <f>IFERROR(VLOOKUP($AQ95,'(勿動)組件目錄表'!$D$15:$R$1094,7,FALSE),"")</f>
        <v/>
      </c>
      <c r="BD95" s="69" t="str">
        <f>IFERROR(VLOOKUP($AQ95,'(勿動)組件目錄表'!$D$15:$R$1094,8,FALSE),"")</f>
        <v/>
      </c>
      <c r="BE95" s="69" t="str">
        <f>IFERROR(VLOOKUP($AQ95,'(勿動)組件目錄表'!$D$15:$R$1094,9,FALSE),"")</f>
        <v/>
      </c>
      <c r="BF95" s="69" t="str">
        <f>IFERROR(VLOOKUP($AQ95,'(勿動)組件目錄表'!$D$15:$R$1094,10,FALSE),"")</f>
        <v/>
      </c>
      <c r="BG95" s="69" t="str">
        <f>IFERROR(VLOOKUP($AQ95,'(勿動)組件目錄表'!$D$15:$R$1094,11,FALSE),"")</f>
        <v/>
      </c>
      <c r="BH95" s="69" t="str">
        <f>IFERROR(VLOOKUP($AQ95,'(勿動)組件目錄表'!$D$15:$R$1094,12,FALSE),"")</f>
        <v/>
      </c>
      <c r="BI95" s="69" t="str">
        <f>IFERROR(VLOOKUP($AQ95,'(勿動)組件目錄表'!$D$15:$R$1094,13,FALSE),"")</f>
        <v/>
      </c>
      <c r="BJ95" s="69" t="str">
        <f>IFERROR(VLOOKUP($AQ95,'(勿動)組件目錄表'!$D$15:$R$1094,14,FALSE),"")</f>
        <v/>
      </c>
      <c r="BK95" s="69" t="str">
        <f>IFERROR(VLOOKUP($AQ95,'(勿動)組件目錄表'!$D$15:$R$1094,15,FALSE),"")</f>
        <v/>
      </c>
      <c r="BL95" s="81">
        <f ca="1">IFERROR(__xludf.DUMMYFUNCTION("IFERROR(
  LET(
    rowData, FILTER('(勿動)組件目錄表'!J:Q, '(勿動)組件目錄表'!D:D=AQ95),
    IF(ROWS(rowData)=0, 0, 
      (
        IF(AND(BC95&lt;&gt;"""", INDEX(rowData,1,1)=BC95),1,0) +
        IF(AND(BD95&lt;&gt;"""", INDEX(rowData,1,2)=BD95),1,0) +
        IF(AND(BE95&lt;&gt;"""""&amp;", INDEX(rowData,1,3)=BE95),1,0) +
        IF(AND(BF95&lt;&gt;"""", INDEX(rowData,1,4)=BF95),1,0) +
        IF(AND(BG95&lt;&gt;"""", INDEX(rowData,1,5)=BG95),1,0) +
        IF(AND(BH95&lt;&gt;"""", INDEX(rowData,1,6)=BH95),1,0) +
        IF(AND(BI95&lt;&gt;"""", INDEX(rowData,1,7"&amp;")=BI95),1,0) +
        IF(AND(BJ95&lt;&gt;"""", INDEX(rowData,1,8)=BJ95),1,0)
      ) - COUNTIF(BC95:BJ95, ""-"")
        - COUNTIF(BC95:BJ95, ""固定格式，不需提供資訊"")
        - COUNTIF(BC95:BJ95, ""由MKT更新，此欄位固定格式，不需提供資訊
(Voucher CID：12917705872)"")
        - COUNTIF(B"&amp;"C95:BJ95, ""text固定為以下：
※直播間僅支援手機版"")
        - COUNTIF(BC95:BJ95, ""text固定為以下：
※短影音僅支援手機版"")
    )
  ), 
  0
)
"),0)</f>
        <v>0</v>
      </c>
      <c r="BM95" s="77" t="b">
        <v>0</v>
      </c>
      <c r="BN95" s="85"/>
      <c r="BO95" s="85"/>
    </row>
    <row r="96" spans="1:67" ht="30" customHeight="1">
      <c r="A96" s="73" t="str">
        <f t="array" aca="1" ref="A96" ca="1">IFERROR(TRANSPOSE(INDIRECT('MS section版配(Old)'!$AO96)),"")</f>
        <v/>
      </c>
      <c r="B96" s="9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397" t="str">
        <f>IFERROR(VLOOKUP($AQ96,'(勿動)組件目錄表'!$D$15:$R$1094,4,FALSE),"")</f>
        <v/>
      </c>
      <c r="AF96" s="384"/>
      <c r="AG96" s="384"/>
      <c r="AH96" s="384"/>
      <c r="AI96" s="384"/>
      <c r="AJ96" s="385"/>
      <c r="AK96" s="54" t="b">
        <v>0</v>
      </c>
      <c r="AL96" s="54" t="b">
        <v>0</v>
      </c>
      <c r="AM96" s="54"/>
      <c r="AN96" s="7" t="str">
        <v>088</v>
      </c>
      <c r="AO96" s="7"/>
      <c r="AP96" s="62"/>
      <c r="AQ96" s="75" t="str">
        <v/>
      </c>
      <c r="AR96" s="75" t="str">
        <v>-</v>
      </c>
      <c r="AS96" s="11"/>
      <c r="AT96" s="77" t="str">
        <v>-</v>
      </c>
      <c r="AU96" s="11" t="str">
        <v>-</v>
      </c>
      <c r="AV96" s="84"/>
      <c r="AW96" s="86" t="str">
        <f ca="1"/>
        <v>-</v>
      </c>
      <c r="AX96" s="86" t="b">
        <v>0</v>
      </c>
      <c r="AY96" s="68" t="str">
        <f t="shared" si="0"/>
        <v/>
      </c>
      <c r="AZ96" s="69" t="str">
        <f t="shared" si="1"/>
        <v/>
      </c>
      <c r="BA96" s="70" t="str">
        <f t="shared" si="2"/>
        <v/>
      </c>
      <c r="BB96" s="68" t="str">
        <f t="shared" si="3"/>
        <v/>
      </c>
      <c r="BC96" s="69" t="str">
        <f>IFERROR(VLOOKUP($AQ96,'(勿動)組件目錄表'!$D$15:$R$1094,7,FALSE),"")</f>
        <v/>
      </c>
      <c r="BD96" s="69" t="str">
        <f>IFERROR(VLOOKUP($AQ96,'(勿動)組件目錄表'!$D$15:$R$1094,8,FALSE),"")</f>
        <v/>
      </c>
      <c r="BE96" s="69" t="str">
        <f>IFERROR(VLOOKUP($AQ96,'(勿動)組件目錄表'!$D$15:$R$1094,9,FALSE),"")</f>
        <v/>
      </c>
      <c r="BF96" s="69" t="str">
        <f>IFERROR(VLOOKUP($AQ96,'(勿動)組件目錄表'!$D$15:$R$1094,10,FALSE),"")</f>
        <v/>
      </c>
      <c r="BG96" s="69" t="str">
        <f>IFERROR(VLOOKUP($AQ96,'(勿動)組件目錄表'!$D$15:$R$1094,11,FALSE),"")</f>
        <v/>
      </c>
      <c r="BH96" s="69" t="str">
        <f>IFERROR(VLOOKUP($AQ96,'(勿動)組件目錄表'!$D$15:$R$1094,12,FALSE),"")</f>
        <v/>
      </c>
      <c r="BI96" s="69" t="str">
        <f>IFERROR(VLOOKUP($AQ96,'(勿動)組件目錄表'!$D$15:$R$1094,13,FALSE),"")</f>
        <v/>
      </c>
      <c r="BJ96" s="69" t="str">
        <f>IFERROR(VLOOKUP($AQ96,'(勿動)組件目錄表'!$D$15:$R$1094,14,FALSE),"")</f>
        <v/>
      </c>
      <c r="BK96" s="69" t="str">
        <f>IFERROR(VLOOKUP($AQ96,'(勿動)組件目錄表'!$D$15:$R$1094,15,FALSE),"")</f>
        <v/>
      </c>
      <c r="BL96" s="81">
        <f ca="1">IFERROR(__xludf.DUMMYFUNCTION("IFERROR(
  LET(
    rowData, FILTER('(勿動)組件目錄表'!J:Q, '(勿動)組件目錄表'!D:D=AQ96),
    IF(ROWS(rowData)=0, 0, 
      (
        IF(AND(BC96&lt;&gt;"""", INDEX(rowData,1,1)=BC96),1,0) +
        IF(AND(BD96&lt;&gt;"""", INDEX(rowData,1,2)=BD96),1,0) +
        IF(AND(BE96&lt;&gt;"""""&amp;", INDEX(rowData,1,3)=BE96),1,0) +
        IF(AND(BF96&lt;&gt;"""", INDEX(rowData,1,4)=BF96),1,0) +
        IF(AND(BG96&lt;&gt;"""", INDEX(rowData,1,5)=BG96),1,0) +
        IF(AND(BH96&lt;&gt;"""", INDEX(rowData,1,6)=BH96),1,0) +
        IF(AND(BI96&lt;&gt;"""", INDEX(rowData,1,7"&amp;")=BI96),1,0) +
        IF(AND(BJ96&lt;&gt;"""", INDEX(rowData,1,8)=BJ96),1,0)
      ) - COUNTIF(BC96:BJ96, ""-"")
        - COUNTIF(BC96:BJ96, ""固定格式，不需提供資訊"")
        - COUNTIF(BC96:BJ96, ""由MKT更新，此欄位固定格式，不需提供資訊
(Voucher CID：12917705872)"")
        - COUNTIF(B"&amp;"C96:BJ96, ""text固定為以下：
※直播間僅支援手機版"")
        - COUNTIF(BC96:BJ96, ""text固定為以下：
※短影音僅支援手機版"")
    )
  ), 
  0
)
"),0)</f>
        <v>0</v>
      </c>
      <c r="BM96" s="77" t="b">
        <v>0</v>
      </c>
      <c r="BN96" s="85"/>
      <c r="BO96" s="85"/>
    </row>
    <row r="97" spans="1:67" ht="30" customHeight="1">
      <c r="A97" s="73" t="str">
        <f t="array" aca="1" ref="A97" ca="1">IFERROR(TRANSPOSE(INDIRECT('MS section版配(Old)'!$AO97)),"")</f>
        <v/>
      </c>
      <c r="B97" s="9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397" t="str">
        <f>IFERROR(VLOOKUP($AQ97,'(勿動)組件目錄表'!$D$15:$R$1094,4,FALSE),"")</f>
        <v/>
      </c>
      <c r="AF97" s="384"/>
      <c r="AG97" s="384"/>
      <c r="AH97" s="384"/>
      <c r="AI97" s="384"/>
      <c r="AJ97" s="385"/>
      <c r="AK97" s="54" t="b">
        <v>0</v>
      </c>
      <c r="AL97" s="54" t="b">
        <v>0</v>
      </c>
      <c r="AM97" s="54"/>
      <c r="AN97" s="7" t="str">
        <v>089</v>
      </c>
      <c r="AO97" s="7"/>
      <c r="AP97" s="62"/>
      <c r="AQ97" s="75" t="str">
        <v/>
      </c>
      <c r="AR97" s="75" t="str">
        <v>-</v>
      </c>
      <c r="AS97" s="11"/>
      <c r="AT97" s="77" t="str">
        <v>-</v>
      </c>
      <c r="AU97" s="11" t="str">
        <v>-</v>
      </c>
      <c r="AV97" s="84"/>
      <c r="AW97" s="86" t="str">
        <f ca="1"/>
        <v>-</v>
      </c>
      <c r="AX97" s="86" t="b">
        <v>0</v>
      </c>
      <c r="AY97" s="68" t="str">
        <f t="shared" si="0"/>
        <v/>
      </c>
      <c r="AZ97" s="69" t="str">
        <f t="shared" si="1"/>
        <v/>
      </c>
      <c r="BA97" s="70" t="str">
        <f t="shared" si="2"/>
        <v/>
      </c>
      <c r="BB97" s="68" t="str">
        <f t="shared" si="3"/>
        <v/>
      </c>
      <c r="BC97" s="69" t="str">
        <f>IFERROR(VLOOKUP($AQ97,'(勿動)組件目錄表'!$D$15:$R$1094,7,FALSE),"")</f>
        <v/>
      </c>
      <c r="BD97" s="69" t="str">
        <f>IFERROR(VLOOKUP($AQ97,'(勿動)組件目錄表'!$D$15:$R$1094,8,FALSE),"")</f>
        <v/>
      </c>
      <c r="BE97" s="69" t="str">
        <f>IFERROR(VLOOKUP($AQ97,'(勿動)組件目錄表'!$D$15:$R$1094,9,FALSE),"")</f>
        <v/>
      </c>
      <c r="BF97" s="69" t="str">
        <f>IFERROR(VLOOKUP($AQ97,'(勿動)組件目錄表'!$D$15:$R$1094,10,FALSE),"")</f>
        <v/>
      </c>
      <c r="BG97" s="69" t="str">
        <f>IFERROR(VLOOKUP($AQ97,'(勿動)組件目錄表'!$D$15:$R$1094,11,FALSE),"")</f>
        <v/>
      </c>
      <c r="BH97" s="69" t="str">
        <f>IFERROR(VLOOKUP($AQ97,'(勿動)組件目錄表'!$D$15:$R$1094,12,FALSE),"")</f>
        <v/>
      </c>
      <c r="BI97" s="69" t="str">
        <f>IFERROR(VLOOKUP($AQ97,'(勿動)組件目錄表'!$D$15:$R$1094,13,FALSE),"")</f>
        <v/>
      </c>
      <c r="BJ97" s="69" t="str">
        <f>IFERROR(VLOOKUP($AQ97,'(勿動)組件目錄表'!$D$15:$R$1094,14,FALSE),"")</f>
        <v/>
      </c>
      <c r="BK97" s="69" t="str">
        <f>IFERROR(VLOOKUP($AQ97,'(勿動)組件目錄表'!$D$15:$R$1094,15,FALSE),"")</f>
        <v/>
      </c>
      <c r="BL97" s="81">
        <f ca="1">IFERROR(__xludf.DUMMYFUNCTION("IFERROR(
  LET(
    rowData, FILTER('(勿動)組件目錄表'!J:Q, '(勿動)組件目錄表'!D:D=AQ97),
    IF(ROWS(rowData)=0, 0, 
      (
        IF(AND(BC97&lt;&gt;"""", INDEX(rowData,1,1)=BC97),1,0) +
        IF(AND(BD97&lt;&gt;"""", INDEX(rowData,1,2)=BD97),1,0) +
        IF(AND(BE97&lt;&gt;"""""&amp;", INDEX(rowData,1,3)=BE97),1,0) +
        IF(AND(BF97&lt;&gt;"""", INDEX(rowData,1,4)=BF97),1,0) +
        IF(AND(BG97&lt;&gt;"""", INDEX(rowData,1,5)=BG97),1,0) +
        IF(AND(BH97&lt;&gt;"""", INDEX(rowData,1,6)=BH97),1,0) +
        IF(AND(BI97&lt;&gt;"""", INDEX(rowData,1,7"&amp;")=BI97),1,0) +
        IF(AND(BJ97&lt;&gt;"""", INDEX(rowData,1,8)=BJ97),1,0)
      ) - COUNTIF(BC97:BJ97, ""-"")
        - COUNTIF(BC97:BJ97, ""固定格式，不需提供資訊"")
        - COUNTIF(BC97:BJ97, ""由MKT更新，此欄位固定格式，不需提供資訊
(Voucher CID：12917705872)"")
        - COUNTIF(B"&amp;"C97:BJ97, ""text固定為以下：
※直播間僅支援手機版"")
        - COUNTIF(BC97:BJ97, ""text固定為以下：
※短影音僅支援手機版"")
    )
  ), 
  0
)
"),0)</f>
        <v>0</v>
      </c>
      <c r="BM97" s="77" t="b">
        <v>0</v>
      </c>
      <c r="BN97" s="85"/>
      <c r="BO97" s="85"/>
    </row>
    <row r="98" spans="1:67" ht="30" customHeight="1">
      <c r="A98" s="73" t="str">
        <f t="array" aca="1" ref="A98" ca="1">IFERROR(TRANSPOSE(INDIRECT('MS section版配(Old)'!$AO98)),"")</f>
        <v/>
      </c>
      <c r="B98" s="9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397" t="str">
        <f>IFERROR(VLOOKUP($AQ98,'(勿動)組件目錄表'!$D$15:$R$1094,4,FALSE),"")</f>
        <v/>
      </c>
      <c r="AF98" s="384"/>
      <c r="AG98" s="384"/>
      <c r="AH98" s="384"/>
      <c r="AI98" s="384"/>
      <c r="AJ98" s="385"/>
      <c r="AK98" s="54" t="b">
        <v>0</v>
      </c>
      <c r="AL98" s="54" t="b">
        <v>0</v>
      </c>
      <c r="AM98" s="54"/>
      <c r="AN98" s="7" t="str">
        <v>090</v>
      </c>
      <c r="AO98" s="7"/>
      <c r="AP98" s="62"/>
      <c r="AQ98" s="75" t="str">
        <v/>
      </c>
      <c r="AR98" s="75" t="str">
        <v>-</v>
      </c>
      <c r="AS98" s="11"/>
      <c r="AT98" s="77" t="str">
        <v>-</v>
      </c>
      <c r="AU98" s="11" t="str">
        <v>-</v>
      </c>
      <c r="AV98" s="84"/>
      <c r="AW98" s="86" t="str">
        <f ca="1"/>
        <v>-</v>
      </c>
      <c r="AX98" s="86" t="b">
        <v>0</v>
      </c>
      <c r="AY98" s="68" t="str">
        <f t="shared" si="0"/>
        <v/>
      </c>
      <c r="AZ98" s="69" t="str">
        <f t="shared" si="1"/>
        <v/>
      </c>
      <c r="BA98" s="70" t="str">
        <f t="shared" si="2"/>
        <v/>
      </c>
      <c r="BB98" s="68" t="str">
        <f t="shared" si="3"/>
        <v/>
      </c>
      <c r="BC98" s="69" t="str">
        <f>IFERROR(VLOOKUP($AQ98,'(勿動)組件目錄表'!$D$15:$R$1094,7,FALSE),"")</f>
        <v/>
      </c>
      <c r="BD98" s="69" t="str">
        <f>IFERROR(VLOOKUP($AQ98,'(勿動)組件目錄表'!$D$15:$R$1094,8,FALSE),"")</f>
        <v/>
      </c>
      <c r="BE98" s="69" t="str">
        <f>IFERROR(VLOOKUP($AQ98,'(勿動)組件目錄表'!$D$15:$R$1094,9,FALSE),"")</f>
        <v/>
      </c>
      <c r="BF98" s="69" t="str">
        <f>IFERROR(VLOOKUP($AQ98,'(勿動)組件目錄表'!$D$15:$R$1094,10,FALSE),"")</f>
        <v/>
      </c>
      <c r="BG98" s="69" t="str">
        <f>IFERROR(VLOOKUP($AQ98,'(勿動)組件目錄表'!$D$15:$R$1094,11,FALSE),"")</f>
        <v/>
      </c>
      <c r="BH98" s="69" t="str">
        <f>IFERROR(VLOOKUP($AQ98,'(勿動)組件目錄表'!$D$15:$R$1094,12,FALSE),"")</f>
        <v/>
      </c>
      <c r="BI98" s="69" t="str">
        <f>IFERROR(VLOOKUP($AQ98,'(勿動)組件目錄表'!$D$15:$R$1094,13,FALSE),"")</f>
        <v/>
      </c>
      <c r="BJ98" s="69" t="str">
        <f>IFERROR(VLOOKUP($AQ98,'(勿動)組件目錄表'!$D$15:$R$1094,14,FALSE),"")</f>
        <v/>
      </c>
      <c r="BK98" s="69" t="str">
        <f>IFERROR(VLOOKUP($AQ98,'(勿動)組件目錄表'!$D$15:$R$1094,15,FALSE),"")</f>
        <v/>
      </c>
      <c r="BL98" s="81">
        <f ca="1">IFERROR(__xludf.DUMMYFUNCTION("IFERROR(
  LET(
    rowData, FILTER('(勿動)組件目錄表'!J:Q, '(勿動)組件目錄表'!D:D=AQ98),
    IF(ROWS(rowData)=0, 0, 
      (
        IF(AND(BC98&lt;&gt;"""", INDEX(rowData,1,1)=BC98),1,0) +
        IF(AND(BD98&lt;&gt;"""", INDEX(rowData,1,2)=BD98),1,0) +
        IF(AND(BE98&lt;&gt;"""""&amp;", INDEX(rowData,1,3)=BE98),1,0) +
        IF(AND(BF98&lt;&gt;"""", INDEX(rowData,1,4)=BF98),1,0) +
        IF(AND(BG98&lt;&gt;"""", INDEX(rowData,1,5)=BG98),1,0) +
        IF(AND(BH98&lt;&gt;"""", INDEX(rowData,1,6)=BH98),1,0) +
        IF(AND(BI98&lt;&gt;"""", INDEX(rowData,1,7"&amp;")=BI98),1,0) +
        IF(AND(BJ98&lt;&gt;"""", INDEX(rowData,1,8)=BJ98),1,0)
      ) - COUNTIF(BC98:BJ98, ""-"")
        - COUNTIF(BC98:BJ98, ""固定格式，不需提供資訊"")
        - COUNTIF(BC98:BJ98, ""由MKT更新，此欄位固定格式，不需提供資訊
(Voucher CID：12917705872)"")
        - COUNTIF(B"&amp;"C98:BJ98, ""text固定為以下：
※直播間僅支援手機版"")
        - COUNTIF(BC98:BJ98, ""text固定為以下：
※短影音僅支援手機版"")
    )
  ), 
  0
)
"),0)</f>
        <v>0</v>
      </c>
      <c r="BM98" s="77" t="b">
        <v>0</v>
      </c>
      <c r="BN98" s="85"/>
      <c r="BO98" s="85"/>
    </row>
    <row r="99" spans="1:67" ht="30" customHeight="1">
      <c r="A99" s="73" t="str">
        <f t="array" aca="1" ref="A99" ca="1">IFERROR(TRANSPOSE(INDIRECT('MS section版配(Old)'!$AO99)),"")</f>
        <v/>
      </c>
      <c r="B99" s="9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  <c r="S99" s="93"/>
      <c r="T99" s="93"/>
      <c r="U99" s="93"/>
      <c r="V99" s="93"/>
      <c r="W99" s="93"/>
      <c r="X99" s="93"/>
      <c r="Y99" s="93"/>
      <c r="Z99" s="93"/>
      <c r="AA99" s="93"/>
      <c r="AB99" s="93"/>
      <c r="AC99" s="93"/>
      <c r="AD99" s="93"/>
      <c r="AE99" s="397" t="str">
        <f>IFERROR(VLOOKUP($AQ99,'(勿動)組件目錄表'!$D$15:$R$1094,4,FALSE),"")</f>
        <v/>
      </c>
      <c r="AF99" s="384"/>
      <c r="AG99" s="384"/>
      <c r="AH99" s="384"/>
      <c r="AI99" s="384"/>
      <c r="AJ99" s="385"/>
      <c r="AK99" s="54" t="b">
        <v>0</v>
      </c>
      <c r="AL99" s="54" t="b">
        <v>0</v>
      </c>
      <c r="AM99" s="54"/>
      <c r="AN99" s="7" t="str">
        <v>091</v>
      </c>
      <c r="AO99" s="7"/>
      <c r="AP99" s="62"/>
      <c r="AQ99" s="75" t="str">
        <v/>
      </c>
      <c r="AR99" s="75" t="str">
        <v>-</v>
      </c>
      <c r="AS99" s="11"/>
      <c r="AT99" s="77" t="str">
        <v>-</v>
      </c>
      <c r="AU99" s="11" t="str">
        <v>-</v>
      </c>
      <c r="AV99" s="84"/>
      <c r="AW99" s="86" t="str">
        <f ca="1"/>
        <v>-</v>
      </c>
      <c r="AX99" s="86" t="b">
        <v>0</v>
      </c>
      <c r="AY99" s="68" t="str">
        <f t="shared" si="0"/>
        <v/>
      </c>
      <c r="AZ99" s="69" t="str">
        <f t="shared" si="1"/>
        <v/>
      </c>
      <c r="BA99" s="70" t="str">
        <f t="shared" si="2"/>
        <v/>
      </c>
      <c r="BB99" s="68" t="str">
        <f t="shared" si="3"/>
        <v/>
      </c>
      <c r="BC99" s="69" t="str">
        <f>IFERROR(VLOOKUP($AQ99,'(勿動)組件目錄表'!$D$15:$R$1094,7,FALSE),"")</f>
        <v/>
      </c>
      <c r="BD99" s="69" t="str">
        <f>IFERROR(VLOOKUP($AQ99,'(勿動)組件目錄表'!$D$15:$R$1094,8,FALSE),"")</f>
        <v/>
      </c>
      <c r="BE99" s="69" t="str">
        <f>IFERROR(VLOOKUP($AQ99,'(勿動)組件目錄表'!$D$15:$R$1094,9,FALSE),"")</f>
        <v/>
      </c>
      <c r="BF99" s="69" t="str">
        <f>IFERROR(VLOOKUP($AQ99,'(勿動)組件目錄表'!$D$15:$R$1094,10,FALSE),"")</f>
        <v/>
      </c>
      <c r="BG99" s="69" t="str">
        <f>IFERROR(VLOOKUP($AQ99,'(勿動)組件目錄表'!$D$15:$R$1094,11,FALSE),"")</f>
        <v/>
      </c>
      <c r="BH99" s="69" t="str">
        <f>IFERROR(VLOOKUP($AQ99,'(勿動)組件目錄表'!$D$15:$R$1094,12,FALSE),"")</f>
        <v/>
      </c>
      <c r="BI99" s="69" t="str">
        <f>IFERROR(VLOOKUP($AQ99,'(勿動)組件目錄表'!$D$15:$R$1094,13,FALSE),"")</f>
        <v/>
      </c>
      <c r="BJ99" s="69" t="str">
        <f>IFERROR(VLOOKUP($AQ99,'(勿動)組件目錄表'!$D$15:$R$1094,14,FALSE),"")</f>
        <v/>
      </c>
      <c r="BK99" s="69" t="str">
        <f>IFERROR(VLOOKUP($AQ99,'(勿動)組件目錄表'!$D$15:$R$1094,15,FALSE),"")</f>
        <v/>
      </c>
      <c r="BL99" s="81">
        <f ca="1">IFERROR(__xludf.DUMMYFUNCTION("IFERROR(
  LET(
    rowData, FILTER('(勿動)組件目錄表'!J:Q, '(勿動)組件目錄表'!D:D=AQ99),
    IF(ROWS(rowData)=0, 0, 
      (
        IF(AND(BC99&lt;&gt;"""", INDEX(rowData,1,1)=BC99),1,0) +
        IF(AND(BD99&lt;&gt;"""", INDEX(rowData,1,2)=BD99),1,0) +
        IF(AND(BE99&lt;&gt;"""""&amp;", INDEX(rowData,1,3)=BE99),1,0) +
        IF(AND(BF99&lt;&gt;"""", INDEX(rowData,1,4)=BF99),1,0) +
        IF(AND(BG99&lt;&gt;"""", INDEX(rowData,1,5)=BG99),1,0) +
        IF(AND(BH99&lt;&gt;"""", INDEX(rowData,1,6)=BH99),1,0) +
        IF(AND(BI99&lt;&gt;"""", INDEX(rowData,1,7"&amp;")=BI99),1,0) +
        IF(AND(BJ99&lt;&gt;"""", INDEX(rowData,1,8)=BJ99),1,0)
      ) - COUNTIF(BC99:BJ99, ""-"")
        - COUNTIF(BC99:BJ99, ""固定格式，不需提供資訊"")
        - COUNTIF(BC99:BJ99, ""由MKT更新，此欄位固定格式，不需提供資訊
(Voucher CID：12917705872)"")
        - COUNTIF(B"&amp;"C99:BJ99, ""text固定為以下：
※直播間僅支援手機版"")
        - COUNTIF(BC99:BJ99, ""text固定為以下：
※短影音僅支援手機版"")
    )
  ), 
  0
)
"),0)</f>
        <v>0</v>
      </c>
      <c r="BM99" s="77" t="b">
        <v>0</v>
      </c>
      <c r="BN99" s="85"/>
      <c r="BO99" s="85"/>
    </row>
    <row r="100" spans="1:67" ht="30" customHeight="1">
      <c r="A100" s="73" t="str">
        <f t="array" aca="1" ref="A100" ca="1">IFERROR(TRANSPOSE(INDIRECT('MS section版配(Old)'!$AO100)),"")</f>
        <v/>
      </c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397" t="str">
        <f>IFERROR(VLOOKUP($AQ100,'(勿動)組件目錄表'!$D$15:$R$1094,4,FALSE),"")</f>
        <v/>
      </c>
      <c r="AF100" s="384"/>
      <c r="AG100" s="384"/>
      <c r="AH100" s="384"/>
      <c r="AI100" s="384"/>
      <c r="AJ100" s="385"/>
      <c r="AK100" s="54" t="b">
        <v>0</v>
      </c>
      <c r="AL100" s="54" t="b">
        <v>0</v>
      </c>
      <c r="AM100" s="54"/>
      <c r="AN100" s="7" t="str">
        <v>092</v>
      </c>
      <c r="AO100" s="7"/>
      <c r="AP100" s="62"/>
      <c r="AQ100" s="75" t="str">
        <v/>
      </c>
      <c r="AR100" s="75" t="str">
        <v>-</v>
      </c>
      <c r="AS100" s="11"/>
      <c r="AT100" s="77" t="str">
        <v>-</v>
      </c>
      <c r="AU100" s="11" t="str">
        <v>-</v>
      </c>
      <c r="AV100" s="84"/>
      <c r="AW100" s="86" t="str">
        <f ca="1"/>
        <v>-</v>
      </c>
      <c r="AX100" s="86" t="b">
        <v>0</v>
      </c>
      <c r="AY100" s="68" t="str">
        <f t="shared" si="0"/>
        <v/>
      </c>
      <c r="AZ100" s="69" t="str">
        <f t="shared" si="1"/>
        <v/>
      </c>
      <c r="BA100" s="70" t="str">
        <f t="shared" si="2"/>
        <v/>
      </c>
      <c r="BB100" s="68" t="str">
        <f t="shared" si="3"/>
        <v/>
      </c>
      <c r="BC100" s="69" t="str">
        <f>IFERROR(VLOOKUP($AQ100,'(勿動)組件目錄表'!$D$15:$R$1094,7,FALSE),"")</f>
        <v/>
      </c>
      <c r="BD100" s="69" t="str">
        <f>IFERROR(VLOOKUP($AQ100,'(勿動)組件目錄表'!$D$15:$R$1094,8,FALSE),"")</f>
        <v/>
      </c>
      <c r="BE100" s="69" t="str">
        <f>IFERROR(VLOOKUP($AQ100,'(勿動)組件目錄表'!$D$15:$R$1094,9,FALSE),"")</f>
        <v/>
      </c>
      <c r="BF100" s="69" t="str">
        <f>IFERROR(VLOOKUP($AQ100,'(勿動)組件目錄表'!$D$15:$R$1094,10,FALSE),"")</f>
        <v/>
      </c>
      <c r="BG100" s="69" t="str">
        <f>IFERROR(VLOOKUP($AQ100,'(勿動)組件目錄表'!$D$15:$R$1094,11,FALSE),"")</f>
        <v/>
      </c>
      <c r="BH100" s="69" t="str">
        <f>IFERROR(VLOOKUP($AQ100,'(勿動)組件目錄表'!$D$15:$R$1094,12,FALSE),"")</f>
        <v/>
      </c>
      <c r="BI100" s="69" t="str">
        <f>IFERROR(VLOOKUP($AQ100,'(勿動)組件目錄表'!$D$15:$R$1094,13,FALSE),"")</f>
        <v/>
      </c>
      <c r="BJ100" s="69" t="str">
        <f>IFERROR(VLOOKUP($AQ100,'(勿動)組件目錄表'!$D$15:$R$1094,14,FALSE),"")</f>
        <v/>
      </c>
      <c r="BK100" s="69" t="str">
        <f>IFERROR(VLOOKUP($AQ100,'(勿動)組件目錄表'!$D$15:$R$1094,15,FALSE),"")</f>
        <v/>
      </c>
      <c r="BL100" s="81">
        <f ca="1">IFERROR(__xludf.DUMMYFUNCTION("IFERROR(
  LET(
    rowData, FILTER('(勿動)組件目錄表'!J:Q, '(勿動)組件目錄表'!D:D=AQ100),
    IF(ROWS(rowData)=0, 0, 
      (
        IF(AND(BC100&lt;&gt;"""", INDEX(rowData,1,1)=BC100),1,0) +
        IF(AND(BD100&lt;&gt;"""", INDEX(rowData,1,2)=BD100),1,0) +
        IF(AND(BE100"&amp;"&lt;&gt;"""", INDEX(rowData,1,3)=BE100),1,0) +
        IF(AND(BF100&lt;&gt;"""", INDEX(rowData,1,4)=BF100),1,0) +
        IF(AND(BG100&lt;&gt;"""", INDEX(rowData,1,5)=BG100),1,0) +
        IF(AND(BH100&lt;&gt;"""", INDEX(rowData,1,6)=BH100),1,0) +
        IF(AND(BI100&lt;&gt;"""", IND"&amp;"EX(rowData,1,7)=BI100),1,0) +
        IF(AND(BJ100&lt;&gt;"""", INDEX(rowData,1,8)=BJ100),1,0)
      ) - COUNTIF(BC100:BJ100, ""-"")
        - COUNTIF(BC100:BJ100, ""固定格式，不需提供資訊"")
        - COUNTIF(BC100:BJ100, ""由MKT更新，此欄位固定格式，不需提供資訊
(Voucher CID：12917705872)"&amp;""")
        - COUNTIF(BC100:BJ100, ""text固定為以下：
※直播間僅支援手機版"")
        - COUNTIF(BC100:BJ100, ""text固定為以下：
※短影音僅支援手機版"")
    )
  ), 
  0
)
"),0)</f>
        <v>0</v>
      </c>
      <c r="BM100" s="77" t="b">
        <v>0</v>
      </c>
      <c r="BN100" s="85"/>
      <c r="BO100" s="85"/>
    </row>
    <row r="101" spans="1:67" ht="30" customHeight="1">
      <c r="A101" s="73" t="str">
        <f t="array" aca="1" ref="A101" ca="1">IFERROR(TRANSPOSE(INDIRECT('MS section版配(Old)'!$AO101)),"")</f>
        <v/>
      </c>
      <c r="B101" s="9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  <c r="S101" s="93"/>
      <c r="T101" s="93"/>
      <c r="U101" s="93"/>
      <c r="V101" s="93"/>
      <c r="W101" s="93"/>
      <c r="X101" s="93"/>
      <c r="Y101" s="93"/>
      <c r="Z101" s="93"/>
      <c r="AA101" s="93"/>
      <c r="AB101" s="93"/>
      <c r="AC101" s="93"/>
      <c r="AD101" s="93"/>
      <c r="AE101" s="397" t="str">
        <f>IFERROR(VLOOKUP($AQ101,'(勿動)組件目錄表'!$D$15:$R$1094,4,FALSE),"")</f>
        <v/>
      </c>
      <c r="AF101" s="384"/>
      <c r="AG101" s="384"/>
      <c r="AH101" s="384"/>
      <c r="AI101" s="384"/>
      <c r="AJ101" s="385"/>
      <c r="AK101" s="54" t="b">
        <v>0</v>
      </c>
      <c r="AL101" s="54" t="b">
        <v>0</v>
      </c>
      <c r="AM101" s="54"/>
      <c r="AN101" s="7" t="str">
        <v>093</v>
      </c>
      <c r="AO101" s="7"/>
      <c r="AP101" s="62"/>
      <c r="AQ101" s="75" t="str">
        <v/>
      </c>
      <c r="AR101" s="75" t="str">
        <v>-</v>
      </c>
      <c r="AS101" s="11"/>
      <c r="AT101" s="77" t="str">
        <v>-</v>
      </c>
      <c r="AU101" s="11" t="str">
        <v>-</v>
      </c>
      <c r="AV101" s="84"/>
      <c r="AW101" s="86" t="str">
        <f ca="1"/>
        <v>-</v>
      </c>
      <c r="AX101" s="86" t="b">
        <v>0</v>
      </c>
      <c r="AY101" s="68" t="str">
        <f t="shared" si="0"/>
        <v/>
      </c>
      <c r="AZ101" s="69" t="str">
        <f t="shared" si="1"/>
        <v/>
      </c>
      <c r="BA101" s="70" t="str">
        <f t="shared" si="2"/>
        <v/>
      </c>
      <c r="BB101" s="68" t="str">
        <f t="shared" si="3"/>
        <v/>
      </c>
      <c r="BC101" s="69" t="str">
        <f>IFERROR(VLOOKUP($AQ101,'(勿動)組件目錄表'!$D$15:$R$1094,7,FALSE),"")</f>
        <v/>
      </c>
      <c r="BD101" s="69" t="str">
        <f>IFERROR(VLOOKUP($AQ101,'(勿動)組件目錄表'!$D$15:$R$1094,8,FALSE),"")</f>
        <v/>
      </c>
      <c r="BE101" s="69" t="str">
        <f>IFERROR(VLOOKUP($AQ101,'(勿動)組件目錄表'!$D$15:$R$1094,9,FALSE),"")</f>
        <v/>
      </c>
      <c r="BF101" s="69" t="str">
        <f>IFERROR(VLOOKUP($AQ101,'(勿動)組件目錄表'!$D$15:$R$1094,10,FALSE),"")</f>
        <v/>
      </c>
      <c r="BG101" s="69" t="str">
        <f>IFERROR(VLOOKUP($AQ101,'(勿動)組件目錄表'!$D$15:$R$1094,11,FALSE),"")</f>
        <v/>
      </c>
      <c r="BH101" s="69" t="str">
        <f>IFERROR(VLOOKUP($AQ101,'(勿動)組件目錄表'!$D$15:$R$1094,12,FALSE),"")</f>
        <v/>
      </c>
      <c r="BI101" s="69" t="str">
        <f>IFERROR(VLOOKUP($AQ101,'(勿動)組件目錄表'!$D$15:$R$1094,13,FALSE),"")</f>
        <v/>
      </c>
      <c r="BJ101" s="69" t="str">
        <f>IFERROR(VLOOKUP($AQ101,'(勿動)組件目錄表'!$D$15:$R$1094,14,FALSE),"")</f>
        <v/>
      </c>
      <c r="BK101" s="69" t="str">
        <f>IFERROR(VLOOKUP($AQ101,'(勿動)組件目錄表'!$D$15:$R$1094,15,FALSE),"")</f>
        <v/>
      </c>
      <c r="BL101" s="81">
        <f ca="1">IFERROR(__xludf.DUMMYFUNCTION("IFERROR(
  LET(
    rowData, FILTER('(勿動)組件目錄表'!J:Q, '(勿動)組件目錄表'!D:D=AQ101),
    IF(ROWS(rowData)=0, 0, 
      (
        IF(AND(BC101&lt;&gt;"""", INDEX(rowData,1,1)=BC101),1,0) +
        IF(AND(BD101&lt;&gt;"""", INDEX(rowData,1,2)=BD101),1,0) +
        IF(AND(BE101"&amp;"&lt;&gt;"""", INDEX(rowData,1,3)=BE101),1,0) +
        IF(AND(BF101&lt;&gt;"""", INDEX(rowData,1,4)=BF101),1,0) +
        IF(AND(BG101&lt;&gt;"""", INDEX(rowData,1,5)=BG101),1,0) +
        IF(AND(BH101&lt;&gt;"""", INDEX(rowData,1,6)=BH101),1,0) +
        IF(AND(BI101&lt;&gt;"""", IND"&amp;"EX(rowData,1,7)=BI101),1,0) +
        IF(AND(BJ101&lt;&gt;"""", INDEX(rowData,1,8)=BJ101),1,0)
      ) - COUNTIF(BC101:BJ101, ""-"")
        - COUNTIF(BC101:BJ101, ""固定格式，不需提供資訊"")
        - COUNTIF(BC101:BJ101, ""由MKT更新，此欄位固定格式，不需提供資訊
(Voucher CID：12917705872)"&amp;""")
        - COUNTIF(BC101:BJ101, ""text固定為以下：
※直播間僅支援手機版"")
        - COUNTIF(BC101:BJ101, ""text固定為以下：
※短影音僅支援手機版"")
    )
  ), 
  0
)
"),0)</f>
        <v>0</v>
      </c>
      <c r="BM101" s="77" t="b">
        <v>0</v>
      </c>
      <c r="BN101" s="85"/>
      <c r="BO101" s="85"/>
    </row>
    <row r="102" spans="1:67" ht="30" customHeight="1">
      <c r="A102" s="73" t="str">
        <f t="array" aca="1" ref="A102" ca="1">IFERROR(TRANSPOSE(INDIRECT('MS section版配(Old)'!$AO102)),"")</f>
        <v/>
      </c>
      <c r="B102" s="9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  <c r="S102" s="93"/>
      <c r="T102" s="93"/>
      <c r="U102" s="93"/>
      <c r="V102" s="93"/>
      <c r="W102" s="93"/>
      <c r="X102" s="93"/>
      <c r="Y102" s="93"/>
      <c r="Z102" s="93"/>
      <c r="AA102" s="93"/>
      <c r="AB102" s="93"/>
      <c r="AC102" s="93"/>
      <c r="AD102" s="93"/>
      <c r="AE102" s="397" t="str">
        <f>IFERROR(VLOOKUP($AQ102,'(勿動)組件目錄表'!$D$15:$R$1094,4,FALSE),"")</f>
        <v/>
      </c>
      <c r="AF102" s="384"/>
      <c r="AG102" s="384"/>
      <c r="AH102" s="384"/>
      <c r="AI102" s="384"/>
      <c r="AJ102" s="385"/>
      <c r="AK102" s="54" t="b">
        <v>0</v>
      </c>
      <c r="AL102" s="54" t="b">
        <v>0</v>
      </c>
      <c r="AM102" s="54"/>
      <c r="AN102" s="7" t="str">
        <v>094</v>
      </c>
      <c r="AO102" s="7"/>
      <c r="AP102" s="62"/>
      <c r="AQ102" s="75" t="str">
        <v/>
      </c>
      <c r="AR102" s="75" t="str">
        <v>-</v>
      </c>
      <c r="AS102" s="11"/>
      <c r="AT102" s="77" t="str">
        <v>-</v>
      </c>
      <c r="AU102" s="11" t="str">
        <v>-</v>
      </c>
      <c r="AV102" s="84"/>
      <c r="AW102" s="86" t="str">
        <f ca="1"/>
        <v>-</v>
      </c>
      <c r="AX102" s="86" t="b">
        <v>0</v>
      </c>
      <c r="AY102" s="68" t="str">
        <f t="shared" si="0"/>
        <v/>
      </c>
      <c r="AZ102" s="69" t="str">
        <f t="shared" si="1"/>
        <v/>
      </c>
      <c r="BA102" s="70" t="str">
        <f t="shared" si="2"/>
        <v/>
      </c>
      <c r="BB102" s="68" t="str">
        <f t="shared" si="3"/>
        <v/>
      </c>
      <c r="BC102" s="69" t="str">
        <f>IFERROR(VLOOKUP($AQ102,'(勿動)組件目錄表'!$D$15:$R$1094,7,FALSE),"")</f>
        <v/>
      </c>
      <c r="BD102" s="69" t="str">
        <f>IFERROR(VLOOKUP($AQ102,'(勿動)組件目錄表'!$D$15:$R$1094,8,FALSE),"")</f>
        <v/>
      </c>
      <c r="BE102" s="69" t="str">
        <f>IFERROR(VLOOKUP($AQ102,'(勿動)組件目錄表'!$D$15:$R$1094,9,FALSE),"")</f>
        <v/>
      </c>
      <c r="BF102" s="69" t="str">
        <f>IFERROR(VLOOKUP($AQ102,'(勿動)組件目錄表'!$D$15:$R$1094,10,FALSE),"")</f>
        <v/>
      </c>
      <c r="BG102" s="69" t="str">
        <f>IFERROR(VLOOKUP($AQ102,'(勿動)組件目錄表'!$D$15:$R$1094,11,FALSE),"")</f>
        <v/>
      </c>
      <c r="BH102" s="69" t="str">
        <f>IFERROR(VLOOKUP($AQ102,'(勿動)組件目錄表'!$D$15:$R$1094,12,FALSE),"")</f>
        <v/>
      </c>
      <c r="BI102" s="69" t="str">
        <f>IFERROR(VLOOKUP($AQ102,'(勿動)組件目錄表'!$D$15:$R$1094,13,FALSE),"")</f>
        <v/>
      </c>
      <c r="BJ102" s="69" t="str">
        <f>IFERROR(VLOOKUP($AQ102,'(勿動)組件目錄表'!$D$15:$R$1094,14,FALSE),"")</f>
        <v/>
      </c>
      <c r="BK102" s="69" t="str">
        <f>IFERROR(VLOOKUP($AQ102,'(勿動)組件目錄表'!$D$15:$R$1094,15,FALSE),"")</f>
        <v/>
      </c>
      <c r="BL102" s="81">
        <f ca="1">IFERROR(__xludf.DUMMYFUNCTION("IFERROR(
  LET(
    rowData, FILTER('(勿動)組件目錄表'!J:Q, '(勿動)組件目錄表'!D:D=AQ102),
    IF(ROWS(rowData)=0, 0, 
      (
        IF(AND(BC102&lt;&gt;"""", INDEX(rowData,1,1)=BC102),1,0) +
        IF(AND(BD102&lt;&gt;"""", INDEX(rowData,1,2)=BD102),1,0) +
        IF(AND(BE102"&amp;"&lt;&gt;"""", INDEX(rowData,1,3)=BE102),1,0) +
        IF(AND(BF102&lt;&gt;"""", INDEX(rowData,1,4)=BF102),1,0) +
        IF(AND(BG102&lt;&gt;"""", INDEX(rowData,1,5)=BG102),1,0) +
        IF(AND(BH102&lt;&gt;"""", INDEX(rowData,1,6)=BH102),1,0) +
        IF(AND(BI102&lt;&gt;"""", IND"&amp;"EX(rowData,1,7)=BI102),1,0) +
        IF(AND(BJ102&lt;&gt;"""", INDEX(rowData,1,8)=BJ102),1,0)
      ) - COUNTIF(BC102:BJ102, ""-"")
        - COUNTIF(BC102:BJ102, ""固定格式，不需提供資訊"")
        - COUNTIF(BC102:BJ102, ""由MKT更新，此欄位固定格式，不需提供資訊
(Voucher CID：12917705872)"&amp;""")
        - COUNTIF(BC102:BJ102, ""text固定為以下：
※直播間僅支援手機版"")
        - COUNTIF(BC102:BJ102, ""text固定為以下：
※短影音僅支援手機版"")
    )
  ), 
  0
)
"),0)</f>
        <v>0</v>
      </c>
      <c r="BM102" s="77" t="b">
        <v>0</v>
      </c>
      <c r="BN102" s="85"/>
      <c r="BO102" s="85"/>
    </row>
    <row r="103" spans="1:67" ht="30" customHeight="1">
      <c r="A103" s="73" t="str">
        <f t="array" aca="1" ref="A103" ca="1">IFERROR(TRANSPOSE(INDIRECT('MS section版配(Old)'!$AO103)),"")</f>
        <v/>
      </c>
      <c r="B103" s="9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  <c r="S103" s="93"/>
      <c r="T103" s="93"/>
      <c r="U103" s="93"/>
      <c r="V103" s="93"/>
      <c r="W103" s="93"/>
      <c r="X103" s="93"/>
      <c r="Y103" s="93"/>
      <c r="Z103" s="93"/>
      <c r="AA103" s="93"/>
      <c r="AB103" s="93"/>
      <c r="AC103" s="93"/>
      <c r="AD103" s="93"/>
      <c r="AE103" s="397" t="str">
        <f>IFERROR(VLOOKUP($AQ103,'(勿動)組件目錄表'!$D$15:$R$1094,4,FALSE),"")</f>
        <v/>
      </c>
      <c r="AF103" s="384"/>
      <c r="AG103" s="384"/>
      <c r="AH103" s="384"/>
      <c r="AI103" s="384"/>
      <c r="AJ103" s="385"/>
      <c r="AK103" s="54" t="b">
        <v>0</v>
      </c>
      <c r="AL103" s="54" t="b">
        <v>0</v>
      </c>
      <c r="AM103" s="54"/>
      <c r="AN103" s="7" t="str">
        <v>095</v>
      </c>
      <c r="AO103" s="7"/>
      <c r="AP103" s="62"/>
      <c r="AQ103" s="75" t="str">
        <v/>
      </c>
      <c r="AR103" s="75" t="str">
        <v>-</v>
      </c>
      <c r="AS103" s="11"/>
      <c r="AT103" s="77" t="str">
        <v>-</v>
      </c>
      <c r="AU103" s="11" t="str">
        <v>-</v>
      </c>
      <c r="AV103" s="84"/>
      <c r="AW103" s="86" t="str">
        <f ca="1"/>
        <v>-</v>
      </c>
      <c r="AX103" s="86" t="b">
        <v>0</v>
      </c>
      <c r="AY103" s="68" t="str">
        <f t="shared" si="0"/>
        <v/>
      </c>
      <c r="AZ103" s="69" t="str">
        <f t="shared" si="1"/>
        <v/>
      </c>
      <c r="BA103" s="70" t="str">
        <f t="shared" si="2"/>
        <v/>
      </c>
      <c r="BB103" s="68" t="str">
        <f t="shared" si="3"/>
        <v/>
      </c>
      <c r="BC103" s="69" t="str">
        <f>IFERROR(VLOOKUP($AQ103,'(勿動)組件目錄表'!$D$15:$R$1094,7,FALSE),"")</f>
        <v/>
      </c>
      <c r="BD103" s="69" t="str">
        <f>IFERROR(VLOOKUP($AQ103,'(勿動)組件目錄表'!$D$15:$R$1094,8,FALSE),"")</f>
        <v/>
      </c>
      <c r="BE103" s="69" t="str">
        <f>IFERROR(VLOOKUP($AQ103,'(勿動)組件目錄表'!$D$15:$R$1094,9,FALSE),"")</f>
        <v/>
      </c>
      <c r="BF103" s="69" t="str">
        <f>IFERROR(VLOOKUP($AQ103,'(勿動)組件目錄表'!$D$15:$R$1094,10,FALSE),"")</f>
        <v/>
      </c>
      <c r="BG103" s="69" t="str">
        <f>IFERROR(VLOOKUP($AQ103,'(勿動)組件目錄表'!$D$15:$R$1094,11,FALSE),"")</f>
        <v/>
      </c>
      <c r="BH103" s="69" t="str">
        <f>IFERROR(VLOOKUP($AQ103,'(勿動)組件目錄表'!$D$15:$R$1094,12,FALSE),"")</f>
        <v/>
      </c>
      <c r="BI103" s="69" t="str">
        <f>IFERROR(VLOOKUP($AQ103,'(勿動)組件目錄表'!$D$15:$R$1094,13,FALSE),"")</f>
        <v/>
      </c>
      <c r="BJ103" s="69" t="str">
        <f>IFERROR(VLOOKUP($AQ103,'(勿動)組件目錄表'!$D$15:$R$1094,14,FALSE),"")</f>
        <v/>
      </c>
      <c r="BK103" s="69" t="str">
        <f>IFERROR(VLOOKUP($AQ103,'(勿動)組件目錄表'!$D$15:$R$1094,15,FALSE),"")</f>
        <v/>
      </c>
      <c r="BL103" s="81">
        <f ca="1">IFERROR(__xludf.DUMMYFUNCTION("IFERROR(
  LET(
    rowData, FILTER('(勿動)組件目錄表'!J:Q, '(勿動)組件目錄表'!D:D=AQ103),
    IF(ROWS(rowData)=0, 0, 
      (
        IF(AND(BC103&lt;&gt;"""", INDEX(rowData,1,1)=BC103),1,0) +
        IF(AND(BD103&lt;&gt;"""", INDEX(rowData,1,2)=BD103),1,0) +
        IF(AND(BE103"&amp;"&lt;&gt;"""", INDEX(rowData,1,3)=BE103),1,0) +
        IF(AND(BF103&lt;&gt;"""", INDEX(rowData,1,4)=BF103),1,0) +
        IF(AND(BG103&lt;&gt;"""", INDEX(rowData,1,5)=BG103),1,0) +
        IF(AND(BH103&lt;&gt;"""", INDEX(rowData,1,6)=BH103),1,0) +
        IF(AND(BI103&lt;&gt;"""", IND"&amp;"EX(rowData,1,7)=BI103),1,0) +
        IF(AND(BJ103&lt;&gt;"""", INDEX(rowData,1,8)=BJ103),1,0)
      ) - COUNTIF(BC103:BJ103, ""-"")
        - COUNTIF(BC103:BJ103, ""固定格式，不需提供資訊"")
        - COUNTIF(BC103:BJ103, ""由MKT更新，此欄位固定格式，不需提供資訊
(Voucher CID：12917705872)"&amp;""")
        - COUNTIF(BC103:BJ103, ""text固定為以下：
※直播間僅支援手機版"")
        - COUNTIF(BC103:BJ103, ""text固定為以下：
※短影音僅支援手機版"")
    )
  ), 
  0
)
"),0)</f>
        <v>0</v>
      </c>
      <c r="BM103" s="77" t="b">
        <v>0</v>
      </c>
      <c r="BN103" s="85"/>
      <c r="BO103" s="85"/>
    </row>
    <row r="104" spans="1:67" ht="30" customHeight="1">
      <c r="A104" s="73" t="str">
        <f t="array" aca="1" ref="A104" ca="1">IFERROR(TRANSPOSE(INDIRECT('MS section版配(Old)'!$AO104)),"")</f>
        <v/>
      </c>
      <c r="B104" s="9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397" t="str">
        <f>IFERROR(VLOOKUP($AQ104,'(勿動)組件目錄表'!$D$15:$R$1094,4,FALSE),"")</f>
        <v/>
      </c>
      <c r="AF104" s="384"/>
      <c r="AG104" s="384"/>
      <c r="AH104" s="384"/>
      <c r="AI104" s="384"/>
      <c r="AJ104" s="385"/>
      <c r="AK104" s="54" t="b">
        <v>0</v>
      </c>
      <c r="AL104" s="54" t="b">
        <v>0</v>
      </c>
      <c r="AM104" s="54"/>
      <c r="AN104" s="7" t="str">
        <v>096</v>
      </c>
      <c r="AO104" s="7"/>
      <c r="AP104" s="62"/>
      <c r="AQ104" s="75" t="str">
        <v/>
      </c>
      <c r="AR104" s="75" t="str">
        <v>-</v>
      </c>
      <c r="AS104" s="11"/>
      <c r="AT104" s="77" t="str">
        <v>-</v>
      </c>
      <c r="AU104" s="11" t="str">
        <v>-</v>
      </c>
      <c r="AV104" s="84"/>
      <c r="AW104" s="86" t="str">
        <f ca="1"/>
        <v>-</v>
      </c>
      <c r="AX104" s="86" t="b">
        <v>0</v>
      </c>
      <c r="AY104" s="68" t="str">
        <f t="shared" si="0"/>
        <v/>
      </c>
      <c r="AZ104" s="69" t="str">
        <f t="shared" si="1"/>
        <v/>
      </c>
      <c r="BA104" s="70" t="str">
        <f t="shared" si="2"/>
        <v/>
      </c>
      <c r="BB104" s="68" t="str">
        <f t="shared" si="3"/>
        <v/>
      </c>
      <c r="BC104" s="69" t="str">
        <f>IFERROR(VLOOKUP($AQ104,'(勿動)組件目錄表'!$D$15:$R$1094,7,FALSE),"")</f>
        <v/>
      </c>
      <c r="BD104" s="69" t="str">
        <f>IFERROR(VLOOKUP($AQ104,'(勿動)組件目錄表'!$D$15:$R$1094,8,FALSE),"")</f>
        <v/>
      </c>
      <c r="BE104" s="69" t="str">
        <f>IFERROR(VLOOKUP($AQ104,'(勿動)組件目錄表'!$D$15:$R$1094,9,FALSE),"")</f>
        <v/>
      </c>
      <c r="BF104" s="69" t="str">
        <f>IFERROR(VLOOKUP($AQ104,'(勿動)組件目錄表'!$D$15:$R$1094,10,FALSE),"")</f>
        <v/>
      </c>
      <c r="BG104" s="69" t="str">
        <f>IFERROR(VLOOKUP($AQ104,'(勿動)組件目錄表'!$D$15:$R$1094,11,FALSE),"")</f>
        <v/>
      </c>
      <c r="BH104" s="69" t="str">
        <f>IFERROR(VLOOKUP($AQ104,'(勿動)組件目錄表'!$D$15:$R$1094,12,FALSE),"")</f>
        <v/>
      </c>
      <c r="BI104" s="69" t="str">
        <f>IFERROR(VLOOKUP($AQ104,'(勿動)組件目錄表'!$D$15:$R$1094,13,FALSE),"")</f>
        <v/>
      </c>
      <c r="BJ104" s="69" t="str">
        <f>IFERROR(VLOOKUP($AQ104,'(勿動)組件目錄表'!$D$15:$R$1094,14,FALSE),"")</f>
        <v/>
      </c>
      <c r="BK104" s="69" t="str">
        <f>IFERROR(VLOOKUP($AQ104,'(勿動)組件目錄表'!$D$15:$R$1094,15,FALSE),"")</f>
        <v/>
      </c>
      <c r="BL104" s="81">
        <f ca="1">IFERROR(__xludf.DUMMYFUNCTION("IFERROR(
  LET(
    rowData, FILTER('(勿動)組件目錄表'!J:Q, '(勿動)組件目錄表'!D:D=AQ104),
    IF(ROWS(rowData)=0, 0, 
      (
        IF(AND(BC104&lt;&gt;"""", INDEX(rowData,1,1)=BC104),1,0) +
        IF(AND(BD104&lt;&gt;"""", INDEX(rowData,1,2)=BD104),1,0) +
        IF(AND(BE104"&amp;"&lt;&gt;"""", INDEX(rowData,1,3)=BE104),1,0) +
        IF(AND(BF104&lt;&gt;"""", INDEX(rowData,1,4)=BF104),1,0) +
        IF(AND(BG104&lt;&gt;"""", INDEX(rowData,1,5)=BG104),1,0) +
        IF(AND(BH104&lt;&gt;"""", INDEX(rowData,1,6)=BH104),1,0) +
        IF(AND(BI104&lt;&gt;"""", IND"&amp;"EX(rowData,1,7)=BI104),1,0) +
        IF(AND(BJ104&lt;&gt;"""", INDEX(rowData,1,8)=BJ104),1,0)
      ) - COUNTIF(BC104:BJ104, ""-"")
        - COUNTIF(BC104:BJ104, ""固定格式，不需提供資訊"")
        - COUNTIF(BC104:BJ104, ""由MKT更新，此欄位固定格式，不需提供資訊
(Voucher CID：12917705872)"&amp;""")
        - COUNTIF(BC104:BJ104, ""text固定為以下：
※直播間僅支援手機版"")
        - COUNTIF(BC104:BJ104, ""text固定為以下：
※短影音僅支援手機版"")
    )
  ), 
  0
)
"),0)</f>
        <v>0</v>
      </c>
      <c r="BM104" s="77" t="b">
        <v>0</v>
      </c>
      <c r="BN104" s="85"/>
      <c r="BO104" s="85"/>
    </row>
    <row r="105" spans="1:67" ht="30" customHeight="1">
      <c r="A105" s="73" t="str">
        <f t="array" aca="1" ref="A105" ca="1">IFERROR(TRANSPOSE(INDIRECT('MS section版配(Old)'!$AO105)),"")</f>
        <v/>
      </c>
      <c r="B105" s="9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397" t="str">
        <f>IFERROR(VLOOKUP($AQ105,'(勿動)組件目錄表'!$D$15:$R$1094,4,FALSE),"")</f>
        <v/>
      </c>
      <c r="AF105" s="384"/>
      <c r="AG105" s="384"/>
      <c r="AH105" s="384"/>
      <c r="AI105" s="384"/>
      <c r="AJ105" s="385"/>
      <c r="AK105" s="54" t="b">
        <v>0</v>
      </c>
      <c r="AL105" s="54" t="b">
        <v>0</v>
      </c>
      <c r="AM105" s="54"/>
      <c r="AN105" s="7" t="str">
        <v>097</v>
      </c>
      <c r="AO105" s="7"/>
      <c r="AP105" s="62"/>
      <c r="AQ105" s="75" t="str">
        <v/>
      </c>
      <c r="AR105" s="75" t="str">
        <v>-</v>
      </c>
      <c r="AS105" s="11"/>
      <c r="AT105" s="77" t="str">
        <v>-</v>
      </c>
      <c r="AU105" s="11" t="str">
        <v>-</v>
      </c>
      <c r="AV105" s="84"/>
      <c r="AW105" s="86" t="str">
        <f ca="1"/>
        <v>-</v>
      </c>
      <c r="AX105" s="86" t="b">
        <v>0</v>
      </c>
      <c r="AY105" s="68" t="str">
        <f t="shared" si="0"/>
        <v/>
      </c>
      <c r="AZ105" s="69" t="str">
        <f t="shared" si="1"/>
        <v/>
      </c>
      <c r="BA105" s="70" t="str">
        <f t="shared" si="2"/>
        <v/>
      </c>
      <c r="BB105" s="68" t="str">
        <f t="shared" si="3"/>
        <v/>
      </c>
      <c r="BC105" s="69" t="str">
        <f>IFERROR(VLOOKUP($AQ105,'(勿動)組件目錄表'!$D$15:$R$1094,7,FALSE),"")</f>
        <v/>
      </c>
      <c r="BD105" s="69" t="str">
        <f>IFERROR(VLOOKUP($AQ105,'(勿動)組件目錄表'!$D$15:$R$1094,8,FALSE),"")</f>
        <v/>
      </c>
      <c r="BE105" s="69" t="str">
        <f>IFERROR(VLOOKUP($AQ105,'(勿動)組件目錄表'!$D$15:$R$1094,9,FALSE),"")</f>
        <v/>
      </c>
      <c r="BF105" s="69" t="str">
        <f>IFERROR(VLOOKUP($AQ105,'(勿動)組件目錄表'!$D$15:$R$1094,10,FALSE),"")</f>
        <v/>
      </c>
      <c r="BG105" s="69" t="str">
        <f>IFERROR(VLOOKUP($AQ105,'(勿動)組件目錄表'!$D$15:$R$1094,11,FALSE),"")</f>
        <v/>
      </c>
      <c r="BH105" s="69" t="str">
        <f>IFERROR(VLOOKUP($AQ105,'(勿動)組件目錄表'!$D$15:$R$1094,12,FALSE),"")</f>
        <v/>
      </c>
      <c r="BI105" s="69" t="str">
        <f>IFERROR(VLOOKUP($AQ105,'(勿動)組件目錄表'!$D$15:$R$1094,13,FALSE),"")</f>
        <v/>
      </c>
      <c r="BJ105" s="69" t="str">
        <f>IFERROR(VLOOKUP($AQ105,'(勿動)組件目錄表'!$D$15:$R$1094,14,FALSE),"")</f>
        <v/>
      </c>
      <c r="BK105" s="69" t="str">
        <f>IFERROR(VLOOKUP($AQ105,'(勿動)組件目錄表'!$D$15:$R$1094,15,FALSE),"")</f>
        <v/>
      </c>
      <c r="BL105" s="81">
        <f ca="1">IFERROR(__xludf.DUMMYFUNCTION("IFERROR(
  LET(
    rowData, FILTER('(勿動)組件目錄表'!J:Q, '(勿動)組件目錄表'!D:D=AQ105),
    IF(ROWS(rowData)=0, 0, 
      (
        IF(AND(BC105&lt;&gt;"""", INDEX(rowData,1,1)=BC105),1,0) +
        IF(AND(BD105&lt;&gt;"""", INDEX(rowData,1,2)=BD105),1,0) +
        IF(AND(BE105"&amp;"&lt;&gt;"""", INDEX(rowData,1,3)=BE105),1,0) +
        IF(AND(BF105&lt;&gt;"""", INDEX(rowData,1,4)=BF105),1,0) +
        IF(AND(BG105&lt;&gt;"""", INDEX(rowData,1,5)=BG105),1,0) +
        IF(AND(BH105&lt;&gt;"""", INDEX(rowData,1,6)=BH105),1,0) +
        IF(AND(BI105&lt;&gt;"""", IND"&amp;"EX(rowData,1,7)=BI105),1,0) +
        IF(AND(BJ105&lt;&gt;"""", INDEX(rowData,1,8)=BJ105),1,0)
      ) - COUNTIF(BC105:BJ105, ""-"")
        - COUNTIF(BC105:BJ105, ""固定格式，不需提供資訊"")
        - COUNTIF(BC105:BJ105, ""由MKT更新，此欄位固定格式，不需提供資訊
(Voucher CID：12917705872)"&amp;""")
        - COUNTIF(BC105:BJ105, ""text固定為以下：
※直播間僅支援手機版"")
        - COUNTIF(BC105:BJ105, ""text固定為以下：
※短影音僅支援手機版"")
    )
  ), 
  0
)
"),0)</f>
        <v>0</v>
      </c>
      <c r="BM105" s="77" t="b">
        <v>0</v>
      </c>
      <c r="BN105" s="85"/>
      <c r="BO105" s="85"/>
    </row>
    <row r="106" spans="1:67" ht="30" customHeight="1">
      <c r="A106" s="73" t="str">
        <f t="array" aca="1" ref="A106" ca="1">IFERROR(TRANSPOSE(INDIRECT('MS section版配(Old)'!$AO106)),"")</f>
        <v/>
      </c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397" t="str">
        <f>IFERROR(VLOOKUP($AQ106,'(勿動)組件目錄表'!$D$15:$R$1094,4,FALSE),"")</f>
        <v/>
      </c>
      <c r="AF106" s="384"/>
      <c r="AG106" s="384"/>
      <c r="AH106" s="384"/>
      <c r="AI106" s="384"/>
      <c r="AJ106" s="385"/>
      <c r="AK106" s="54" t="b">
        <v>0</v>
      </c>
      <c r="AL106" s="54" t="b">
        <v>0</v>
      </c>
      <c r="AM106" s="54"/>
      <c r="AN106" s="7" t="str">
        <v>098</v>
      </c>
      <c r="AO106" s="7"/>
      <c r="AP106" s="62"/>
      <c r="AQ106" s="75" t="str">
        <v/>
      </c>
      <c r="AR106" s="75" t="str">
        <v>-</v>
      </c>
      <c r="AS106" s="11"/>
      <c r="AT106" s="77" t="str">
        <v>-</v>
      </c>
      <c r="AU106" s="11" t="str">
        <v>-</v>
      </c>
      <c r="AV106" s="84"/>
      <c r="AW106" s="86" t="str">
        <f ca="1"/>
        <v>-</v>
      </c>
      <c r="AX106" s="86" t="b">
        <v>0</v>
      </c>
      <c r="AY106" s="68" t="str">
        <f t="shared" si="0"/>
        <v/>
      </c>
      <c r="AZ106" s="69" t="str">
        <f t="shared" si="1"/>
        <v/>
      </c>
      <c r="BA106" s="70" t="str">
        <f t="shared" si="2"/>
        <v/>
      </c>
      <c r="BB106" s="68" t="str">
        <f t="shared" si="3"/>
        <v/>
      </c>
      <c r="BC106" s="69" t="str">
        <f>IFERROR(VLOOKUP($AQ106,'(勿動)組件目錄表'!$D$15:$R$1094,7,FALSE),"")</f>
        <v/>
      </c>
      <c r="BD106" s="69" t="str">
        <f>IFERROR(VLOOKUP($AQ106,'(勿動)組件目錄表'!$D$15:$R$1094,8,FALSE),"")</f>
        <v/>
      </c>
      <c r="BE106" s="69" t="str">
        <f>IFERROR(VLOOKUP($AQ106,'(勿動)組件目錄表'!$D$15:$R$1094,9,FALSE),"")</f>
        <v/>
      </c>
      <c r="BF106" s="69" t="str">
        <f>IFERROR(VLOOKUP($AQ106,'(勿動)組件目錄表'!$D$15:$R$1094,10,FALSE),"")</f>
        <v/>
      </c>
      <c r="BG106" s="69" t="str">
        <f>IFERROR(VLOOKUP($AQ106,'(勿動)組件目錄表'!$D$15:$R$1094,11,FALSE),"")</f>
        <v/>
      </c>
      <c r="BH106" s="69" t="str">
        <f>IFERROR(VLOOKUP($AQ106,'(勿動)組件目錄表'!$D$15:$R$1094,12,FALSE),"")</f>
        <v/>
      </c>
      <c r="BI106" s="69" t="str">
        <f>IFERROR(VLOOKUP($AQ106,'(勿動)組件目錄表'!$D$15:$R$1094,13,FALSE),"")</f>
        <v/>
      </c>
      <c r="BJ106" s="69" t="str">
        <f>IFERROR(VLOOKUP($AQ106,'(勿動)組件目錄表'!$D$15:$R$1094,14,FALSE),"")</f>
        <v/>
      </c>
      <c r="BK106" s="69" t="str">
        <f>IFERROR(VLOOKUP($AQ106,'(勿動)組件目錄表'!$D$15:$R$1094,15,FALSE),"")</f>
        <v/>
      </c>
      <c r="BL106" s="81">
        <f ca="1">IFERROR(__xludf.DUMMYFUNCTION("IFERROR(
  LET(
    rowData, FILTER('(勿動)組件目錄表'!J:Q, '(勿動)組件目錄表'!D:D=AQ106),
    IF(ROWS(rowData)=0, 0, 
      (
        IF(AND(BC106&lt;&gt;"""", INDEX(rowData,1,1)=BC106),1,0) +
        IF(AND(BD106&lt;&gt;"""", INDEX(rowData,1,2)=BD106),1,0) +
        IF(AND(BE106"&amp;"&lt;&gt;"""", INDEX(rowData,1,3)=BE106),1,0) +
        IF(AND(BF106&lt;&gt;"""", INDEX(rowData,1,4)=BF106),1,0) +
        IF(AND(BG106&lt;&gt;"""", INDEX(rowData,1,5)=BG106),1,0) +
        IF(AND(BH106&lt;&gt;"""", INDEX(rowData,1,6)=BH106),1,0) +
        IF(AND(BI106&lt;&gt;"""", IND"&amp;"EX(rowData,1,7)=BI106),1,0) +
        IF(AND(BJ106&lt;&gt;"""", INDEX(rowData,1,8)=BJ106),1,0)
      ) - COUNTIF(BC106:BJ106, ""-"")
        - COUNTIF(BC106:BJ106, ""固定格式，不需提供資訊"")
        - COUNTIF(BC106:BJ106, ""由MKT更新，此欄位固定格式，不需提供資訊
(Voucher CID：12917705872)"&amp;""")
        - COUNTIF(BC106:BJ106, ""text固定為以下：
※直播間僅支援手機版"")
        - COUNTIF(BC106:BJ106, ""text固定為以下：
※短影音僅支援手機版"")
    )
  ), 
  0
)
"),0)</f>
        <v>0</v>
      </c>
      <c r="BM106" s="77" t="b">
        <v>0</v>
      </c>
      <c r="BN106" s="85"/>
      <c r="BO106" s="85"/>
    </row>
    <row r="107" spans="1:67" ht="30" customHeight="1">
      <c r="A107" s="73" t="str">
        <f t="array" aca="1" ref="A107" ca="1">IFERROR(TRANSPOSE(INDIRECT('MS section版配(Old)'!$AO107)),"")</f>
        <v/>
      </c>
      <c r="B107" s="9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397" t="str">
        <f>IFERROR(VLOOKUP($AQ107,'(勿動)組件目錄表'!$D$15:$R$1094,4,FALSE),"")</f>
        <v/>
      </c>
      <c r="AF107" s="384"/>
      <c r="AG107" s="384"/>
      <c r="AH107" s="384"/>
      <c r="AI107" s="384"/>
      <c r="AJ107" s="385"/>
      <c r="AK107" s="54" t="b">
        <v>0</v>
      </c>
      <c r="AL107" s="54" t="b">
        <v>0</v>
      </c>
      <c r="AM107" s="54"/>
      <c r="AN107" s="7" t="str">
        <v>099</v>
      </c>
      <c r="AO107" s="7"/>
      <c r="AP107" s="62"/>
      <c r="AQ107" s="75" t="str">
        <v/>
      </c>
      <c r="AR107" s="75" t="str">
        <v>-</v>
      </c>
      <c r="AS107" s="11"/>
      <c r="AT107" s="77" t="str">
        <v>-</v>
      </c>
      <c r="AU107" s="11" t="str">
        <v>-</v>
      </c>
      <c r="AV107" s="84"/>
      <c r="AW107" s="86" t="str">
        <f ca="1"/>
        <v>-</v>
      </c>
      <c r="AX107" s="86" t="b">
        <v>0</v>
      </c>
      <c r="AY107" s="68" t="str">
        <f t="shared" si="0"/>
        <v/>
      </c>
      <c r="AZ107" s="69" t="str">
        <f t="shared" si="1"/>
        <v/>
      </c>
      <c r="BA107" s="70" t="str">
        <f t="shared" si="2"/>
        <v/>
      </c>
      <c r="BB107" s="68" t="str">
        <f t="shared" si="3"/>
        <v/>
      </c>
      <c r="BC107" s="69" t="str">
        <f>IFERROR(VLOOKUP($AQ107,'(勿動)組件目錄表'!$D$15:$R$1094,7,FALSE),"")</f>
        <v/>
      </c>
      <c r="BD107" s="69" t="str">
        <f>IFERROR(VLOOKUP($AQ107,'(勿動)組件目錄表'!$D$15:$R$1094,8,FALSE),"")</f>
        <v/>
      </c>
      <c r="BE107" s="69" t="str">
        <f>IFERROR(VLOOKUP($AQ107,'(勿動)組件目錄表'!$D$15:$R$1094,9,FALSE),"")</f>
        <v/>
      </c>
      <c r="BF107" s="69" t="str">
        <f>IFERROR(VLOOKUP($AQ107,'(勿動)組件目錄表'!$D$15:$R$1094,10,FALSE),"")</f>
        <v/>
      </c>
      <c r="BG107" s="69" t="str">
        <f>IFERROR(VLOOKUP($AQ107,'(勿動)組件目錄表'!$D$15:$R$1094,11,FALSE),"")</f>
        <v/>
      </c>
      <c r="BH107" s="69" t="str">
        <f>IFERROR(VLOOKUP($AQ107,'(勿動)組件目錄表'!$D$15:$R$1094,12,FALSE),"")</f>
        <v/>
      </c>
      <c r="BI107" s="69" t="str">
        <f>IFERROR(VLOOKUP($AQ107,'(勿動)組件目錄表'!$D$15:$R$1094,13,FALSE),"")</f>
        <v/>
      </c>
      <c r="BJ107" s="69" t="str">
        <f>IFERROR(VLOOKUP($AQ107,'(勿動)組件目錄表'!$D$15:$R$1094,14,FALSE),"")</f>
        <v/>
      </c>
      <c r="BK107" s="69" t="str">
        <f>IFERROR(VLOOKUP($AQ107,'(勿動)組件目錄表'!$D$15:$R$1094,15,FALSE),"")</f>
        <v/>
      </c>
      <c r="BL107" s="81">
        <f ca="1">IFERROR(__xludf.DUMMYFUNCTION("IFERROR(
  LET(
    rowData, FILTER('(勿動)組件目錄表'!J:Q, '(勿動)組件目錄表'!D:D=AQ107),
    IF(ROWS(rowData)=0, 0, 
      (
        IF(AND(BC107&lt;&gt;"""", INDEX(rowData,1,1)=BC107),1,0) +
        IF(AND(BD107&lt;&gt;"""", INDEX(rowData,1,2)=BD107),1,0) +
        IF(AND(BE107"&amp;"&lt;&gt;"""", INDEX(rowData,1,3)=BE107),1,0) +
        IF(AND(BF107&lt;&gt;"""", INDEX(rowData,1,4)=BF107),1,0) +
        IF(AND(BG107&lt;&gt;"""", INDEX(rowData,1,5)=BG107),1,0) +
        IF(AND(BH107&lt;&gt;"""", INDEX(rowData,1,6)=BH107),1,0) +
        IF(AND(BI107&lt;&gt;"""", IND"&amp;"EX(rowData,1,7)=BI107),1,0) +
        IF(AND(BJ107&lt;&gt;"""", INDEX(rowData,1,8)=BJ107),1,0)
      ) - COUNTIF(BC107:BJ107, ""-"")
        - COUNTIF(BC107:BJ107, ""固定格式，不需提供資訊"")
        - COUNTIF(BC107:BJ107, ""由MKT更新，此欄位固定格式，不需提供資訊
(Voucher CID：12917705872)"&amp;""")
        - COUNTIF(BC107:BJ107, ""text固定為以下：
※直播間僅支援手機版"")
        - COUNTIF(BC107:BJ107, ""text固定為以下：
※短影音僅支援手機版"")
    )
  ), 
  0
)
"),0)</f>
        <v>0</v>
      </c>
      <c r="BM107" s="77" t="b">
        <v>0</v>
      </c>
      <c r="BN107" s="85"/>
      <c r="BO107" s="85"/>
    </row>
    <row r="108" spans="1:67" ht="30" customHeight="1">
      <c r="A108" s="73" t="str">
        <f t="array" aca="1" ref="A108" ca="1">IFERROR(TRANSPOSE(INDIRECT('MS section版配(Old)'!$AO108)),"")</f>
        <v/>
      </c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  <c r="AA108" s="87"/>
      <c r="AB108" s="87"/>
      <c r="AC108" s="87"/>
      <c r="AD108" s="87"/>
      <c r="AE108" s="397" t="str">
        <f>IFERROR(VLOOKUP($AQ108,'(勿動)組件目錄表'!$D$15:$R$1094,4,FALSE),"")</f>
        <v/>
      </c>
      <c r="AF108" s="384"/>
      <c r="AG108" s="384"/>
      <c r="AH108" s="384"/>
      <c r="AI108" s="384"/>
      <c r="AJ108" s="385"/>
      <c r="AK108" s="54" t="b">
        <v>0</v>
      </c>
      <c r="AL108" s="54" t="b">
        <v>0</v>
      </c>
      <c r="AM108" s="54"/>
      <c r="AN108" s="7" t="str">
        <v>100</v>
      </c>
      <c r="AO108" s="7"/>
      <c r="AP108" s="62"/>
      <c r="AQ108" s="75" t="str">
        <v/>
      </c>
      <c r="AR108" s="75" t="str">
        <v>-</v>
      </c>
      <c r="AS108" s="11"/>
      <c r="AT108" s="77" t="str">
        <v>-</v>
      </c>
      <c r="AU108" s="11" t="str">
        <v>-</v>
      </c>
      <c r="AV108" s="84"/>
      <c r="AW108" s="86" t="str">
        <f ca="1"/>
        <v>-</v>
      </c>
      <c r="AX108" s="86" t="b">
        <v>0</v>
      </c>
      <c r="AY108" s="68" t="str">
        <f t="shared" si="0"/>
        <v/>
      </c>
      <c r="AZ108" s="69" t="str">
        <f t="shared" si="1"/>
        <v/>
      </c>
      <c r="BA108" s="70" t="str">
        <f t="shared" si="2"/>
        <v/>
      </c>
      <c r="BB108" s="68" t="str">
        <f t="shared" si="3"/>
        <v/>
      </c>
      <c r="BC108" s="69" t="str">
        <f>IFERROR(VLOOKUP($AQ108,'(勿動)組件目錄表'!$D$15:$R$1094,7,FALSE),"")</f>
        <v/>
      </c>
      <c r="BD108" s="69" t="str">
        <f>IFERROR(VLOOKUP($AQ108,'(勿動)組件目錄表'!$D$15:$R$1094,8,FALSE),"")</f>
        <v/>
      </c>
      <c r="BE108" s="69" t="str">
        <f>IFERROR(VLOOKUP($AQ108,'(勿動)組件目錄表'!$D$15:$R$1094,9,FALSE),"")</f>
        <v/>
      </c>
      <c r="BF108" s="69" t="str">
        <f>IFERROR(VLOOKUP($AQ108,'(勿動)組件目錄表'!$D$15:$R$1094,10,FALSE),"")</f>
        <v/>
      </c>
      <c r="BG108" s="69" t="str">
        <f>IFERROR(VLOOKUP($AQ108,'(勿動)組件目錄表'!$D$15:$R$1094,11,FALSE),"")</f>
        <v/>
      </c>
      <c r="BH108" s="69" t="str">
        <f>IFERROR(VLOOKUP($AQ108,'(勿動)組件目錄表'!$D$15:$R$1094,12,FALSE),"")</f>
        <v/>
      </c>
      <c r="BI108" s="69" t="str">
        <f>IFERROR(VLOOKUP($AQ108,'(勿動)組件目錄表'!$D$15:$R$1094,13,FALSE),"")</f>
        <v/>
      </c>
      <c r="BJ108" s="69" t="str">
        <f>IFERROR(VLOOKUP($AQ108,'(勿動)組件目錄表'!$D$15:$R$1094,14,FALSE),"")</f>
        <v/>
      </c>
      <c r="BK108" s="69" t="str">
        <f>IFERROR(VLOOKUP($AQ108,'(勿動)組件目錄表'!$D$15:$R$1094,15,FALSE),"")</f>
        <v/>
      </c>
      <c r="BL108" s="81">
        <f ca="1">IFERROR(__xludf.DUMMYFUNCTION("IFERROR(
  LET(
    rowData, FILTER('(勿動)組件目錄表'!J:Q, '(勿動)組件目錄表'!D:D=AQ108),
    IF(ROWS(rowData)=0, 0, 
      (
        IF(AND(BC108&lt;&gt;"""", INDEX(rowData,1,1)=BC108),1,0) +
        IF(AND(BD108&lt;&gt;"""", INDEX(rowData,1,2)=BD108),1,0) +
        IF(AND(BE108"&amp;"&lt;&gt;"""", INDEX(rowData,1,3)=BE108),1,0) +
        IF(AND(BF108&lt;&gt;"""", INDEX(rowData,1,4)=BF108),1,0) +
        IF(AND(BG108&lt;&gt;"""", INDEX(rowData,1,5)=BG108),1,0) +
        IF(AND(BH108&lt;&gt;"""", INDEX(rowData,1,6)=BH108),1,0) +
        IF(AND(BI108&lt;&gt;"""", IND"&amp;"EX(rowData,1,7)=BI108),1,0) +
        IF(AND(BJ108&lt;&gt;"""", INDEX(rowData,1,8)=BJ108),1,0)
      ) - COUNTIF(BC108:BJ108, ""-"")
        - COUNTIF(BC108:BJ108, ""固定格式，不需提供資訊"")
        - COUNTIF(BC108:BJ108, ""由MKT更新，此欄位固定格式，不需提供資訊
(Voucher CID：12917705872)"&amp;""")
        - COUNTIF(BC108:BJ108, ""text固定為以下：
※直播間僅支援手機版"")
        - COUNTIF(BC108:BJ108, ""text固定為以下：
※短影音僅支援手機版"")
    )
  ), 
  0
)
"),0)</f>
        <v>0</v>
      </c>
      <c r="BM108" s="77" t="b">
        <v>0</v>
      </c>
      <c r="BN108" s="85"/>
      <c r="BO108" s="85"/>
    </row>
    <row r="109" spans="1:67" ht="30" customHeight="1">
      <c r="A109" s="73" t="str">
        <f t="array" aca="1" ref="A109" ca="1">IFERROR(TRANSPOSE(INDIRECT('MS section版配(Old)'!$AO109)),"")</f>
        <v/>
      </c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  <c r="AD109" s="96"/>
      <c r="AE109" s="397" t="str">
        <f>IFERROR(VLOOKUP($AQ109,'(勿動)組件目錄表'!$D$15:$R$1094,4,FALSE),"")</f>
        <v/>
      </c>
      <c r="AF109" s="384"/>
      <c r="AG109" s="384"/>
      <c r="AH109" s="384"/>
      <c r="AI109" s="384"/>
      <c r="AJ109" s="385"/>
      <c r="AK109" s="54" t="b">
        <v>0</v>
      </c>
      <c r="AL109" s="54" t="b">
        <v>0</v>
      </c>
      <c r="AM109" s="54"/>
      <c r="AN109" s="7" t="str">
        <v>101</v>
      </c>
      <c r="AO109" s="7"/>
      <c r="AP109" s="62"/>
      <c r="AQ109" s="75" t="str">
        <v/>
      </c>
      <c r="AR109" s="75" t="str">
        <v>-</v>
      </c>
      <c r="AS109" s="11"/>
      <c r="AT109" s="77" t="str">
        <v>-</v>
      </c>
      <c r="AU109" s="11" t="str">
        <v>-</v>
      </c>
      <c r="AV109" s="84"/>
      <c r="AW109" s="86" t="str">
        <f ca="1"/>
        <v>-</v>
      </c>
      <c r="AX109" s="86" t="b">
        <v>0</v>
      </c>
      <c r="AY109" s="68" t="str">
        <f t="shared" si="0"/>
        <v/>
      </c>
      <c r="AZ109" s="69" t="str">
        <f t="shared" si="1"/>
        <v/>
      </c>
      <c r="BA109" s="70" t="str">
        <f t="shared" si="2"/>
        <v/>
      </c>
      <c r="BB109" s="68" t="str">
        <f t="shared" si="3"/>
        <v/>
      </c>
      <c r="BC109" s="69" t="str">
        <f>IFERROR(VLOOKUP($AQ109,'(勿動)組件目錄表'!$D$15:$R$1094,7,FALSE),"")</f>
        <v/>
      </c>
      <c r="BD109" s="69" t="str">
        <f>IFERROR(VLOOKUP($AQ109,'(勿動)組件目錄表'!$D$15:$R$1094,8,FALSE),"")</f>
        <v/>
      </c>
      <c r="BE109" s="69" t="str">
        <f>IFERROR(VLOOKUP($AQ109,'(勿動)組件目錄表'!$D$15:$R$1094,9,FALSE),"")</f>
        <v/>
      </c>
      <c r="BF109" s="69" t="str">
        <f>IFERROR(VLOOKUP($AQ109,'(勿動)組件目錄表'!$D$15:$R$1094,10,FALSE),"")</f>
        <v/>
      </c>
      <c r="BG109" s="69" t="str">
        <f>IFERROR(VLOOKUP($AQ109,'(勿動)組件目錄表'!$D$15:$R$1094,11,FALSE),"")</f>
        <v/>
      </c>
      <c r="BH109" s="69" t="str">
        <f>IFERROR(VLOOKUP($AQ109,'(勿動)組件目錄表'!$D$15:$R$1094,12,FALSE),"")</f>
        <v/>
      </c>
      <c r="BI109" s="69" t="str">
        <f>IFERROR(VLOOKUP($AQ109,'(勿動)組件目錄表'!$D$15:$R$1094,13,FALSE),"")</f>
        <v/>
      </c>
      <c r="BJ109" s="69" t="str">
        <f>IFERROR(VLOOKUP($AQ109,'(勿動)組件目錄表'!$D$15:$R$1094,14,FALSE),"")</f>
        <v/>
      </c>
      <c r="BK109" s="69" t="str">
        <f>IFERROR(VLOOKUP($AQ109,'(勿動)組件目錄表'!$D$15:$R$1094,15,FALSE),"")</f>
        <v/>
      </c>
      <c r="BL109" s="81">
        <f ca="1">IFERROR(__xludf.DUMMYFUNCTION("IFERROR(
  LET(
    rowData, FILTER('(勿動)組件目錄表'!J:Q, '(勿動)組件目錄表'!D:D=AQ109),
    IF(ROWS(rowData)=0, 0, 
      (
        IF(AND(BC109&lt;&gt;"""", INDEX(rowData,1,1)=BC109),1,0) +
        IF(AND(BD109&lt;&gt;"""", INDEX(rowData,1,2)=BD109),1,0) +
        IF(AND(BE109"&amp;"&lt;&gt;"""", INDEX(rowData,1,3)=BE109),1,0) +
        IF(AND(BF109&lt;&gt;"""", INDEX(rowData,1,4)=BF109),1,0) +
        IF(AND(BG109&lt;&gt;"""", INDEX(rowData,1,5)=BG109),1,0) +
        IF(AND(BH109&lt;&gt;"""", INDEX(rowData,1,6)=BH109),1,0) +
        IF(AND(BI109&lt;&gt;"""", IND"&amp;"EX(rowData,1,7)=BI109),1,0) +
        IF(AND(BJ109&lt;&gt;"""", INDEX(rowData,1,8)=BJ109),1,0)
      ) - COUNTIF(BC109:BJ109, ""-"")
        - COUNTIF(BC109:BJ109, ""固定格式，不需提供資訊"")
        - COUNTIF(BC109:BJ109, ""由MKT更新，此欄位固定格式，不需提供資訊
(Voucher CID：12917705872)"&amp;""")
        - COUNTIF(BC109:BJ109, ""text固定為以下：
※直播間僅支援手機版"")
        - COUNTIF(BC109:BJ109, ""text固定為以下：
※短影音僅支援手機版"")
    )
  ), 
  0
)
"),0)</f>
        <v>0</v>
      </c>
      <c r="BM109" s="77" t="b">
        <v>0</v>
      </c>
      <c r="BN109" s="85"/>
      <c r="BO109" s="85"/>
    </row>
    <row r="110" spans="1:67" ht="30" customHeight="1">
      <c r="A110" s="73" t="str">
        <f t="array" aca="1" ref="A110" ca="1">IFERROR(TRANSPOSE(INDIRECT('MS section版配(Old)'!$AO110)),"")</f>
        <v/>
      </c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  <c r="AA110" s="97"/>
      <c r="AB110" s="97"/>
      <c r="AC110" s="97"/>
      <c r="AD110" s="97"/>
      <c r="AE110" s="397" t="str">
        <f>IFERROR(VLOOKUP($AQ110,'(勿動)組件目錄表'!$D$15:$R$1094,4,FALSE),"")</f>
        <v/>
      </c>
      <c r="AF110" s="384"/>
      <c r="AG110" s="384"/>
      <c r="AH110" s="384"/>
      <c r="AI110" s="384"/>
      <c r="AJ110" s="385"/>
      <c r="AK110" s="54" t="b">
        <v>0</v>
      </c>
      <c r="AL110" s="54" t="b">
        <v>0</v>
      </c>
      <c r="AM110" s="54"/>
      <c r="AN110" s="7" t="str">
        <v>102</v>
      </c>
      <c r="AO110" s="7"/>
      <c r="AP110" s="62"/>
      <c r="AQ110" s="75" t="str">
        <v/>
      </c>
      <c r="AR110" s="75" t="str">
        <v>-</v>
      </c>
      <c r="AS110" s="11"/>
      <c r="AT110" s="77" t="str">
        <v>-</v>
      </c>
      <c r="AU110" s="11" t="str">
        <v>-</v>
      </c>
      <c r="AV110" s="84"/>
      <c r="AW110" s="86" t="str">
        <f ca="1"/>
        <v>-</v>
      </c>
      <c r="AX110" s="86" t="b">
        <v>0</v>
      </c>
      <c r="AY110" s="68" t="str">
        <f t="shared" si="0"/>
        <v/>
      </c>
      <c r="AZ110" s="69" t="str">
        <f t="shared" si="1"/>
        <v/>
      </c>
      <c r="BA110" s="70" t="str">
        <f t="shared" si="2"/>
        <v/>
      </c>
      <c r="BB110" s="68" t="str">
        <f t="shared" si="3"/>
        <v/>
      </c>
      <c r="BC110" s="69" t="str">
        <f>IFERROR(VLOOKUP($AQ110,'(勿動)組件目錄表'!$D$15:$R$1094,7,FALSE),"")</f>
        <v/>
      </c>
      <c r="BD110" s="69" t="str">
        <f>IFERROR(VLOOKUP($AQ110,'(勿動)組件目錄表'!$D$15:$R$1094,8,FALSE),"")</f>
        <v/>
      </c>
      <c r="BE110" s="69" t="str">
        <f>IFERROR(VLOOKUP($AQ110,'(勿動)組件目錄表'!$D$15:$R$1094,9,FALSE),"")</f>
        <v/>
      </c>
      <c r="BF110" s="69" t="str">
        <f>IFERROR(VLOOKUP($AQ110,'(勿動)組件目錄表'!$D$15:$R$1094,10,FALSE),"")</f>
        <v/>
      </c>
      <c r="BG110" s="69" t="str">
        <f>IFERROR(VLOOKUP($AQ110,'(勿動)組件目錄表'!$D$15:$R$1094,11,FALSE),"")</f>
        <v/>
      </c>
      <c r="BH110" s="69" t="str">
        <f>IFERROR(VLOOKUP($AQ110,'(勿動)組件目錄表'!$D$15:$R$1094,12,FALSE),"")</f>
        <v/>
      </c>
      <c r="BI110" s="69" t="str">
        <f>IFERROR(VLOOKUP($AQ110,'(勿動)組件目錄表'!$D$15:$R$1094,13,FALSE),"")</f>
        <v/>
      </c>
      <c r="BJ110" s="69" t="str">
        <f>IFERROR(VLOOKUP($AQ110,'(勿動)組件目錄表'!$D$15:$R$1094,14,FALSE),"")</f>
        <v/>
      </c>
      <c r="BK110" s="69" t="str">
        <f>IFERROR(VLOOKUP($AQ110,'(勿動)組件目錄表'!$D$15:$R$1094,15,FALSE),"")</f>
        <v/>
      </c>
      <c r="BL110" s="81">
        <f ca="1">IFERROR(__xludf.DUMMYFUNCTION("IFERROR(
  LET(
    rowData, FILTER('(勿動)組件目錄表'!J:Q, '(勿動)組件目錄表'!D:D=AQ110),
    IF(ROWS(rowData)=0, 0, 
      (
        IF(AND(BC110&lt;&gt;"""", INDEX(rowData,1,1)=BC110),1,0) +
        IF(AND(BD110&lt;&gt;"""", INDEX(rowData,1,2)=BD110),1,0) +
        IF(AND(BE110"&amp;"&lt;&gt;"""", INDEX(rowData,1,3)=BE110),1,0) +
        IF(AND(BF110&lt;&gt;"""", INDEX(rowData,1,4)=BF110),1,0) +
        IF(AND(BG110&lt;&gt;"""", INDEX(rowData,1,5)=BG110),1,0) +
        IF(AND(BH110&lt;&gt;"""", INDEX(rowData,1,6)=BH110),1,0) +
        IF(AND(BI110&lt;&gt;"""", IND"&amp;"EX(rowData,1,7)=BI110),1,0) +
        IF(AND(BJ110&lt;&gt;"""", INDEX(rowData,1,8)=BJ110),1,0)
      ) - COUNTIF(BC110:BJ110, ""-"")
        - COUNTIF(BC110:BJ110, ""固定格式，不需提供資訊"")
        - COUNTIF(BC110:BJ110, ""由MKT更新，此欄位固定格式，不需提供資訊
(Voucher CID：12917705872)"&amp;""")
        - COUNTIF(BC110:BJ110, ""text固定為以下：
※直播間僅支援手機版"")
        - COUNTIF(BC110:BJ110, ""text固定為以下：
※短影音僅支援手機版"")
    )
  ), 
  0
)
"),0)</f>
        <v>0</v>
      </c>
      <c r="BM110" s="77" t="b">
        <v>0</v>
      </c>
      <c r="BN110" s="85"/>
      <c r="BO110" s="85"/>
    </row>
    <row r="111" spans="1:67" ht="30" customHeight="1">
      <c r="A111" s="73" t="str">
        <f t="array" aca="1" ref="A111" ca="1">IFERROR(TRANSPOSE(INDIRECT('MS section版配(Old)'!$AO111)),"")</f>
        <v/>
      </c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397" t="str">
        <f>IFERROR(VLOOKUP($AQ111,'(勿動)組件目錄表'!$D$15:$R$1094,4,FALSE),"")</f>
        <v/>
      </c>
      <c r="AF111" s="384"/>
      <c r="AG111" s="384"/>
      <c r="AH111" s="384"/>
      <c r="AI111" s="384"/>
      <c r="AJ111" s="385"/>
      <c r="AK111" s="54" t="b">
        <v>0</v>
      </c>
      <c r="AL111" s="54" t="b">
        <v>0</v>
      </c>
      <c r="AM111" s="54"/>
      <c r="AN111" s="7" t="str">
        <v>103</v>
      </c>
      <c r="AO111" s="7"/>
      <c r="AP111" s="62"/>
      <c r="AQ111" s="75" t="str">
        <v/>
      </c>
      <c r="AR111" s="75" t="str">
        <v>-</v>
      </c>
      <c r="AS111" s="11"/>
      <c r="AT111" s="77" t="str">
        <v>-</v>
      </c>
      <c r="AU111" s="11" t="str">
        <v>-</v>
      </c>
      <c r="AV111" s="84"/>
      <c r="AW111" s="86" t="str">
        <f ca="1"/>
        <v>-</v>
      </c>
      <c r="AX111" s="86" t="b">
        <v>0</v>
      </c>
      <c r="AY111" s="68" t="str">
        <f t="shared" si="0"/>
        <v/>
      </c>
      <c r="AZ111" s="69" t="str">
        <f t="shared" si="1"/>
        <v/>
      </c>
      <c r="BA111" s="70" t="str">
        <f t="shared" si="2"/>
        <v/>
      </c>
      <c r="BB111" s="68" t="str">
        <f t="shared" si="3"/>
        <v/>
      </c>
      <c r="BC111" s="69" t="str">
        <f>IFERROR(VLOOKUP($AQ111,'(勿動)組件目錄表'!$D$15:$R$1094,7,FALSE),"")</f>
        <v/>
      </c>
      <c r="BD111" s="69" t="str">
        <f>IFERROR(VLOOKUP($AQ111,'(勿動)組件目錄表'!$D$15:$R$1094,8,FALSE),"")</f>
        <v/>
      </c>
      <c r="BE111" s="69" t="str">
        <f>IFERROR(VLOOKUP($AQ111,'(勿動)組件目錄表'!$D$15:$R$1094,9,FALSE),"")</f>
        <v/>
      </c>
      <c r="BF111" s="69" t="str">
        <f>IFERROR(VLOOKUP($AQ111,'(勿動)組件目錄表'!$D$15:$R$1094,10,FALSE),"")</f>
        <v/>
      </c>
      <c r="BG111" s="69" t="str">
        <f>IFERROR(VLOOKUP($AQ111,'(勿動)組件目錄表'!$D$15:$R$1094,11,FALSE),"")</f>
        <v/>
      </c>
      <c r="BH111" s="69" t="str">
        <f>IFERROR(VLOOKUP($AQ111,'(勿動)組件目錄表'!$D$15:$R$1094,12,FALSE),"")</f>
        <v/>
      </c>
      <c r="BI111" s="69" t="str">
        <f>IFERROR(VLOOKUP($AQ111,'(勿動)組件目錄表'!$D$15:$R$1094,13,FALSE),"")</f>
        <v/>
      </c>
      <c r="BJ111" s="69" t="str">
        <f>IFERROR(VLOOKUP($AQ111,'(勿動)組件目錄表'!$D$15:$R$1094,14,FALSE),"")</f>
        <v/>
      </c>
      <c r="BK111" s="69" t="str">
        <f>IFERROR(VLOOKUP($AQ111,'(勿動)組件目錄表'!$D$15:$R$1094,15,FALSE),"")</f>
        <v/>
      </c>
      <c r="BL111" s="81">
        <f ca="1">IFERROR(__xludf.DUMMYFUNCTION("IFERROR(
  LET(
    rowData, FILTER('(勿動)組件目錄表'!J:Q, '(勿動)組件目錄表'!D:D=AQ111),
    IF(ROWS(rowData)=0, 0, 
      (
        IF(AND(BC111&lt;&gt;"""", INDEX(rowData,1,1)=BC111),1,0) +
        IF(AND(BD111&lt;&gt;"""", INDEX(rowData,1,2)=BD111),1,0) +
        IF(AND(BE111"&amp;"&lt;&gt;"""", INDEX(rowData,1,3)=BE111),1,0) +
        IF(AND(BF111&lt;&gt;"""", INDEX(rowData,1,4)=BF111),1,0) +
        IF(AND(BG111&lt;&gt;"""", INDEX(rowData,1,5)=BG111),1,0) +
        IF(AND(BH111&lt;&gt;"""", INDEX(rowData,1,6)=BH111),1,0) +
        IF(AND(BI111&lt;&gt;"""", IND"&amp;"EX(rowData,1,7)=BI111),1,0) +
        IF(AND(BJ111&lt;&gt;"""", INDEX(rowData,1,8)=BJ111),1,0)
      ) - COUNTIF(BC111:BJ111, ""-"")
        - COUNTIF(BC111:BJ111, ""固定格式，不需提供資訊"")
        - COUNTIF(BC111:BJ111, ""由MKT更新，此欄位固定格式，不需提供資訊
(Voucher CID：12917705872)"&amp;""")
        - COUNTIF(BC111:BJ111, ""text固定為以下：
※直播間僅支援手機版"")
        - COUNTIF(BC111:BJ111, ""text固定為以下：
※短影音僅支援手機版"")
    )
  ), 
  0
)
"),0)</f>
        <v>0</v>
      </c>
      <c r="BM111" s="77" t="b">
        <v>0</v>
      </c>
      <c r="BN111" s="85"/>
      <c r="BO111" s="85"/>
    </row>
    <row r="112" spans="1:67" ht="30" customHeight="1">
      <c r="A112" s="73" t="str">
        <f t="array" aca="1" ref="A112" ca="1">IFERROR(TRANSPOSE(INDIRECT('MS section版配(Old)'!$AO112)),"")</f>
        <v/>
      </c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  <c r="AD112" s="99"/>
      <c r="AE112" s="397" t="str">
        <f>IFERROR(VLOOKUP($AQ112,'(勿動)組件目錄表'!$D$15:$R$1094,4,FALSE),"")</f>
        <v/>
      </c>
      <c r="AF112" s="384"/>
      <c r="AG112" s="384"/>
      <c r="AH112" s="384"/>
      <c r="AI112" s="384"/>
      <c r="AJ112" s="385"/>
      <c r="AK112" s="54" t="b">
        <v>0</v>
      </c>
      <c r="AL112" s="54" t="b">
        <v>0</v>
      </c>
      <c r="AM112" s="54"/>
      <c r="AN112" s="7" t="str">
        <v>104</v>
      </c>
      <c r="AO112" s="7"/>
      <c r="AP112" s="62"/>
      <c r="AQ112" s="75" t="str">
        <v/>
      </c>
      <c r="AR112" s="75" t="str">
        <v>-</v>
      </c>
      <c r="AS112" s="11"/>
      <c r="AT112" s="77" t="str">
        <v>-</v>
      </c>
      <c r="AU112" s="11" t="str">
        <v>-</v>
      </c>
      <c r="AV112" s="84"/>
      <c r="AW112" s="86" t="str">
        <f ca="1"/>
        <v>-</v>
      </c>
      <c r="AX112" s="86" t="b">
        <v>0</v>
      </c>
      <c r="AY112" s="68" t="str">
        <f t="shared" si="0"/>
        <v/>
      </c>
      <c r="AZ112" s="69" t="str">
        <f t="shared" si="1"/>
        <v/>
      </c>
      <c r="BA112" s="70" t="str">
        <f t="shared" si="2"/>
        <v/>
      </c>
      <c r="BB112" s="68" t="str">
        <f t="shared" si="3"/>
        <v/>
      </c>
      <c r="BC112" s="69" t="str">
        <f>IFERROR(VLOOKUP($AQ112,'(勿動)組件目錄表'!$D$15:$R$1094,7,FALSE),"")</f>
        <v/>
      </c>
      <c r="BD112" s="69" t="str">
        <f>IFERROR(VLOOKUP($AQ112,'(勿動)組件目錄表'!$D$15:$R$1094,8,FALSE),"")</f>
        <v/>
      </c>
      <c r="BE112" s="69" t="str">
        <f>IFERROR(VLOOKUP($AQ112,'(勿動)組件目錄表'!$D$15:$R$1094,9,FALSE),"")</f>
        <v/>
      </c>
      <c r="BF112" s="69" t="str">
        <f>IFERROR(VLOOKUP($AQ112,'(勿動)組件目錄表'!$D$15:$R$1094,10,FALSE),"")</f>
        <v/>
      </c>
      <c r="BG112" s="69" t="str">
        <f>IFERROR(VLOOKUP($AQ112,'(勿動)組件目錄表'!$D$15:$R$1094,11,FALSE),"")</f>
        <v/>
      </c>
      <c r="BH112" s="69" t="str">
        <f>IFERROR(VLOOKUP($AQ112,'(勿動)組件目錄表'!$D$15:$R$1094,12,FALSE),"")</f>
        <v/>
      </c>
      <c r="BI112" s="69" t="str">
        <f>IFERROR(VLOOKUP($AQ112,'(勿動)組件目錄表'!$D$15:$R$1094,13,FALSE),"")</f>
        <v/>
      </c>
      <c r="BJ112" s="69" t="str">
        <f>IFERROR(VLOOKUP($AQ112,'(勿動)組件目錄表'!$D$15:$R$1094,14,FALSE),"")</f>
        <v/>
      </c>
      <c r="BK112" s="69" t="str">
        <f>IFERROR(VLOOKUP($AQ112,'(勿動)組件目錄表'!$D$15:$R$1094,15,FALSE),"")</f>
        <v/>
      </c>
      <c r="BL112" s="81">
        <f ca="1">IFERROR(__xludf.DUMMYFUNCTION("IFERROR(
  LET(
    rowData, FILTER('(勿動)組件目錄表'!J:Q, '(勿動)組件目錄表'!D:D=AQ112),
    IF(ROWS(rowData)=0, 0, 
      (
        IF(AND(BC112&lt;&gt;"""", INDEX(rowData,1,1)=BC112),1,0) +
        IF(AND(BD112&lt;&gt;"""", INDEX(rowData,1,2)=BD112),1,0) +
        IF(AND(BE112"&amp;"&lt;&gt;"""", INDEX(rowData,1,3)=BE112),1,0) +
        IF(AND(BF112&lt;&gt;"""", INDEX(rowData,1,4)=BF112),1,0) +
        IF(AND(BG112&lt;&gt;"""", INDEX(rowData,1,5)=BG112),1,0) +
        IF(AND(BH112&lt;&gt;"""", INDEX(rowData,1,6)=BH112),1,0) +
        IF(AND(BI112&lt;&gt;"""", IND"&amp;"EX(rowData,1,7)=BI112),1,0) +
        IF(AND(BJ112&lt;&gt;"""", INDEX(rowData,1,8)=BJ112),1,0)
      ) - COUNTIF(BC112:BJ112, ""-"")
        - COUNTIF(BC112:BJ112, ""固定格式，不需提供資訊"")
        - COUNTIF(BC112:BJ112, ""由MKT更新，此欄位固定格式，不需提供資訊
(Voucher CID：12917705872)"&amp;""")
        - COUNTIF(BC112:BJ112, ""text固定為以下：
※直播間僅支援手機版"")
        - COUNTIF(BC112:BJ112, ""text固定為以下：
※短影音僅支援手機版"")
    )
  ), 
  0
)
"),0)</f>
        <v>0</v>
      </c>
      <c r="BM112" s="77" t="b">
        <v>0</v>
      </c>
      <c r="BN112" s="85"/>
      <c r="BO112" s="85"/>
    </row>
    <row r="113" spans="1:67" ht="30" customHeight="1">
      <c r="A113" s="73" t="str">
        <f t="array" aca="1" ref="A113" ca="1">IFERROR(TRANSPOSE(INDIRECT('MS section版配(Old)'!$AO113)),"")</f>
        <v/>
      </c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  <c r="AA113" s="97"/>
      <c r="AB113" s="97"/>
      <c r="AC113" s="97"/>
      <c r="AD113" s="97"/>
      <c r="AE113" s="397" t="str">
        <f>IFERROR(VLOOKUP($AQ113,'(勿動)組件目錄表'!$D$15:$R$1094,4,FALSE),"")</f>
        <v/>
      </c>
      <c r="AF113" s="384"/>
      <c r="AG113" s="384"/>
      <c r="AH113" s="384"/>
      <c r="AI113" s="384"/>
      <c r="AJ113" s="385"/>
      <c r="AK113" s="54" t="b">
        <v>0</v>
      </c>
      <c r="AL113" s="54" t="b">
        <v>0</v>
      </c>
      <c r="AM113" s="54"/>
      <c r="AN113" s="7" t="str">
        <v>105</v>
      </c>
      <c r="AO113" s="7"/>
      <c r="AP113" s="62"/>
      <c r="AQ113" s="75" t="str">
        <v/>
      </c>
      <c r="AR113" s="75" t="str">
        <v>-</v>
      </c>
      <c r="AS113" s="11"/>
      <c r="AT113" s="77" t="str">
        <v>-</v>
      </c>
      <c r="AU113" s="11" t="str">
        <v>-</v>
      </c>
      <c r="AV113" s="84"/>
      <c r="AW113" s="86" t="str">
        <f ca="1"/>
        <v>-</v>
      </c>
      <c r="AX113" s="86" t="b">
        <v>0</v>
      </c>
      <c r="AY113" s="68" t="str">
        <f t="shared" si="0"/>
        <v/>
      </c>
      <c r="AZ113" s="69" t="str">
        <f t="shared" si="1"/>
        <v/>
      </c>
      <c r="BA113" s="70" t="str">
        <f t="shared" si="2"/>
        <v/>
      </c>
      <c r="BB113" s="68" t="str">
        <f t="shared" si="3"/>
        <v/>
      </c>
      <c r="BC113" s="69" t="str">
        <f>IFERROR(VLOOKUP($AQ113,'(勿動)組件目錄表'!$D$15:$R$1094,7,FALSE),"")</f>
        <v/>
      </c>
      <c r="BD113" s="69" t="str">
        <f>IFERROR(VLOOKUP($AQ113,'(勿動)組件目錄表'!$D$15:$R$1094,8,FALSE),"")</f>
        <v/>
      </c>
      <c r="BE113" s="69" t="str">
        <f>IFERROR(VLOOKUP($AQ113,'(勿動)組件目錄表'!$D$15:$R$1094,9,FALSE),"")</f>
        <v/>
      </c>
      <c r="BF113" s="69" t="str">
        <f>IFERROR(VLOOKUP($AQ113,'(勿動)組件目錄表'!$D$15:$R$1094,10,FALSE),"")</f>
        <v/>
      </c>
      <c r="BG113" s="69" t="str">
        <f>IFERROR(VLOOKUP($AQ113,'(勿動)組件目錄表'!$D$15:$R$1094,11,FALSE),"")</f>
        <v/>
      </c>
      <c r="BH113" s="69" t="str">
        <f>IFERROR(VLOOKUP($AQ113,'(勿動)組件目錄表'!$D$15:$R$1094,12,FALSE),"")</f>
        <v/>
      </c>
      <c r="BI113" s="69" t="str">
        <f>IFERROR(VLOOKUP($AQ113,'(勿動)組件目錄表'!$D$15:$R$1094,13,FALSE),"")</f>
        <v/>
      </c>
      <c r="BJ113" s="69" t="str">
        <f>IFERROR(VLOOKUP($AQ113,'(勿動)組件目錄表'!$D$15:$R$1094,14,FALSE),"")</f>
        <v/>
      </c>
      <c r="BK113" s="69" t="str">
        <f>IFERROR(VLOOKUP($AQ113,'(勿動)組件目錄表'!$D$15:$R$1094,15,FALSE),"")</f>
        <v/>
      </c>
      <c r="BL113" s="81">
        <f ca="1">IFERROR(__xludf.DUMMYFUNCTION("IFERROR(
  LET(
    rowData, FILTER('(勿動)組件目錄表'!J:Q, '(勿動)組件目錄表'!D:D=AQ113),
    IF(ROWS(rowData)=0, 0, 
      (
        IF(AND(BC113&lt;&gt;"""", INDEX(rowData,1,1)=BC113),1,0) +
        IF(AND(BD113&lt;&gt;"""", INDEX(rowData,1,2)=BD113),1,0) +
        IF(AND(BE113"&amp;"&lt;&gt;"""", INDEX(rowData,1,3)=BE113),1,0) +
        IF(AND(BF113&lt;&gt;"""", INDEX(rowData,1,4)=BF113),1,0) +
        IF(AND(BG113&lt;&gt;"""", INDEX(rowData,1,5)=BG113),1,0) +
        IF(AND(BH113&lt;&gt;"""", INDEX(rowData,1,6)=BH113),1,0) +
        IF(AND(BI113&lt;&gt;"""", IND"&amp;"EX(rowData,1,7)=BI113),1,0) +
        IF(AND(BJ113&lt;&gt;"""", INDEX(rowData,1,8)=BJ113),1,0)
      ) - COUNTIF(BC113:BJ113, ""-"")
        - COUNTIF(BC113:BJ113, ""固定格式，不需提供資訊"")
        - COUNTIF(BC113:BJ113, ""由MKT更新，此欄位固定格式，不需提供資訊
(Voucher CID：12917705872)"&amp;""")
        - COUNTIF(BC113:BJ113, ""text固定為以下：
※直播間僅支援手機版"")
        - COUNTIF(BC113:BJ113, ""text固定為以下：
※短影音僅支援手機版"")
    )
  ), 
  0
)
"),0)</f>
        <v>0</v>
      </c>
      <c r="BM113" s="77" t="b">
        <v>0</v>
      </c>
      <c r="BN113" s="85"/>
      <c r="BO113" s="85"/>
    </row>
    <row r="114" spans="1:67" ht="30" customHeight="1">
      <c r="A114" s="73" t="str">
        <f t="array" aca="1" ref="A114" ca="1">IFERROR(TRANSPOSE(INDIRECT('MS section版配(Old)'!$AO114)),"")</f>
        <v/>
      </c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397" t="str">
        <f>IFERROR(VLOOKUP($AQ114,'(勿動)組件目錄表'!$D$15:$R$1094,4,FALSE),"")</f>
        <v/>
      </c>
      <c r="AF114" s="384"/>
      <c r="AG114" s="384"/>
      <c r="AH114" s="384"/>
      <c r="AI114" s="384"/>
      <c r="AJ114" s="385"/>
      <c r="AK114" s="54" t="b">
        <v>0</v>
      </c>
      <c r="AL114" s="54" t="b">
        <v>0</v>
      </c>
      <c r="AM114" s="54"/>
      <c r="AN114" s="7" t="str">
        <v>106</v>
      </c>
      <c r="AO114" s="7"/>
      <c r="AP114" s="62"/>
      <c r="AQ114" s="75" t="str">
        <v/>
      </c>
      <c r="AR114" s="75" t="str">
        <v>-</v>
      </c>
      <c r="AS114" s="11"/>
      <c r="AT114" s="77" t="str">
        <v>-</v>
      </c>
      <c r="AU114" s="11" t="str">
        <v>-</v>
      </c>
      <c r="AV114" s="84"/>
      <c r="AW114" s="86" t="str">
        <f ca="1"/>
        <v>-</v>
      </c>
      <c r="AX114" s="86" t="b">
        <v>0</v>
      </c>
      <c r="AY114" s="68" t="str">
        <f t="shared" si="0"/>
        <v/>
      </c>
      <c r="AZ114" s="69" t="str">
        <f t="shared" si="1"/>
        <v/>
      </c>
      <c r="BA114" s="70" t="str">
        <f t="shared" si="2"/>
        <v/>
      </c>
      <c r="BB114" s="68" t="str">
        <f t="shared" si="3"/>
        <v/>
      </c>
      <c r="BC114" s="69" t="str">
        <f>IFERROR(VLOOKUP($AQ114,'(勿動)組件目錄表'!$D$15:$R$1094,7,FALSE),"")</f>
        <v/>
      </c>
      <c r="BD114" s="69" t="str">
        <f>IFERROR(VLOOKUP($AQ114,'(勿動)組件目錄表'!$D$15:$R$1094,8,FALSE),"")</f>
        <v/>
      </c>
      <c r="BE114" s="69" t="str">
        <f>IFERROR(VLOOKUP($AQ114,'(勿動)組件目錄表'!$D$15:$R$1094,9,FALSE),"")</f>
        <v/>
      </c>
      <c r="BF114" s="69" t="str">
        <f>IFERROR(VLOOKUP($AQ114,'(勿動)組件目錄表'!$D$15:$R$1094,10,FALSE),"")</f>
        <v/>
      </c>
      <c r="BG114" s="69" t="str">
        <f>IFERROR(VLOOKUP($AQ114,'(勿動)組件目錄表'!$D$15:$R$1094,11,FALSE),"")</f>
        <v/>
      </c>
      <c r="BH114" s="69" t="str">
        <f>IFERROR(VLOOKUP($AQ114,'(勿動)組件目錄表'!$D$15:$R$1094,12,FALSE),"")</f>
        <v/>
      </c>
      <c r="BI114" s="69" t="str">
        <f>IFERROR(VLOOKUP($AQ114,'(勿動)組件目錄表'!$D$15:$R$1094,13,FALSE),"")</f>
        <v/>
      </c>
      <c r="BJ114" s="69" t="str">
        <f>IFERROR(VLOOKUP($AQ114,'(勿動)組件目錄表'!$D$15:$R$1094,14,FALSE),"")</f>
        <v/>
      </c>
      <c r="BK114" s="69" t="str">
        <f>IFERROR(VLOOKUP($AQ114,'(勿動)組件目錄表'!$D$15:$R$1094,15,FALSE),"")</f>
        <v/>
      </c>
      <c r="BL114" s="81">
        <f ca="1">IFERROR(__xludf.DUMMYFUNCTION("IFERROR(
  LET(
    rowData, FILTER('(勿動)組件目錄表'!J:Q, '(勿動)組件目錄表'!D:D=AQ114),
    IF(ROWS(rowData)=0, 0, 
      (
        IF(AND(BC114&lt;&gt;"""", INDEX(rowData,1,1)=BC114),1,0) +
        IF(AND(BD114&lt;&gt;"""", INDEX(rowData,1,2)=BD114),1,0) +
        IF(AND(BE114"&amp;"&lt;&gt;"""", INDEX(rowData,1,3)=BE114),1,0) +
        IF(AND(BF114&lt;&gt;"""", INDEX(rowData,1,4)=BF114),1,0) +
        IF(AND(BG114&lt;&gt;"""", INDEX(rowData,1,5)=BG114),1,0) +
        IF(AND(BH114&lt;&gt;"""", INDEX(rowData,1,6)=BH114),1,0) +
        IF(AND(BI114&lt;&gt;"""", IND"&amp;"EX(rowData,1,7)=BI114),1,0) +
        IF(AND(BJ114&lt;&gt;"""", INDEX(rowData,1,8)=BJ114),1,0)
      ) - COUNTIF(BC114:BJ114, ""-"")
        - COUNTIF(BC114:BJ114, ""固定格式，不需提供資訊"")
        - COUNTIF(BC114:BJ114, ""由MKT更新，此欄位固定格式，不需提供資訊
(Voucher CID：12917705872)"&amp;""")
        - COUNTIF(BC114:BJ114, ""text固定為以下：
※直播間僅支援手機版"")
        - COUNTIF(BC114:BJ114, ""text固定為以下：
※短影音僅支援手機版"")
    )
  ), 
  0
)
"),0)</f>
        <v>0</v>
      </c>
      <c r="BM114" s="77" t="b">
        <v>0</v>
      </c>
      <c r="BN114" s="85"/>
      <c r="BO114" s="85"/>
    </row>
    <row r="115" spans="1:67" ht="30" customHeight="1">
      <c r="A115" s="73" t="str">
        <f t="array" aca="1" ref="A115" ca="1">IFERROR(TRANSPOSE(INDIRECT('MS section版配(Old)'!$AO115)),"")</f>
        <v/>
      </c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  <c r="AA115" s="99"/>
      <c r="AB115" s="99"/>
      <c r="AC115" s="99"/>
      <c r="AD115" s="99"/>
      <c r="AE115" s="397" t="str">
        <f>IFERROR(VLOOKUP($AQ115,'(勿動)組件目錄表'!$D$15:$R$1094,4,FALSE),"")</f>
        <v/>
      </c>
      <c r="AF115" s="384"/>
      <c r="AG115" s="384"/>
      <c r="AH115" s="384"/>
      <c r="AI115" s="384"/>
      <c r="AJ115" s="385"/>
      <c r="AK115" s="54" t="b">
        <v>0</v>
      </c>
      <c r="AL115" s="54" t="b">
        <v>0</v>
      </c>
      <c r="AM115" s="54"/>
      <c r="AN115" s="7" t="str">
        <v>107</v>
      </c>
      <c r="AO115" s="7"/>
      <c r="AP115" s="62"/>
      <c r="AQ115" s="75" t="str">
        <v/>
      </c>
      <c r="AR115" s="75" t="str">
        <v>-</v>
      </c>
      <c r="AS115" s="11"/>
      <c r="AT115" s="77" t="str">
        <v>-</v>
      </c>
      <c r="AU115" s="11" t="str">
        <v>-</v>
      </c>
      <c r="AV115" s="84"/>
      <c r="AW115" s="86" t="str">
        <f ca="1"/>
        <v>-</v>
      </c>
      <c r="AX115" s="86" t="b">
        <v>0</v>
      </c>
      <c r="AY115" s="68" t="str">
        <f t="shared" si="0"/>
        <v/>
      </c>
      <c r="AZ115" s="69" t="str">
        <f t="shared" si="1"/>
        <v/>
      </c>
      <c r="BA115" s="70" t="str">
        <f t="shared" si="2"/>
        <v/>
      </c>
      <c r="BB115" s="68" t="str">
        <f t="shared" si="3"/>
        <v/>
      </c>
      <c r="BC115" s="69" t="str">
        <f>IFERROR(VLOOKUP($AQ115,'(勿動)組件目錄表'!$D$15:$R$1094,7,FALSE),"")</f>
        <v/>
      </c>
      <c r="BD115" s="69" t="str">
        <f>IFERROR(VLOOKUP($AQ115,'(勿動)組件目錄表'!$D$15:$R$1094,8,FALSE),"")</f>
        <v/>
      </c>
      <c r="BE115" s="69" t="str">
        <f>IFERROR(VLOOKUP($AQ115,'(勿動)組件目錄表'!$D$15:$R$1094,9,FALSE),"")</f>
        <v/>
      </c>
      <c r="BF115" s="69" t="str">
        <f>IFERROR(VLOOKUP($AQ115,'(勿動)組件目錄表'!$D$15:$R$1094,10,FALSE),"")</f>
        <v/>
      </c>
      <c r="BG115" s="69" t="str">
        <f>IFERROR(VLOOKUP($AQ115,'(勿動)組件目錄表'!$D$15:$R$1094,11,FALSE),"")</f>
        <v/>
      </c>
      <c r="BH115" s="69" t="str">
        <f>IFERROR(VLOOKUP($AQ115,'(勿動)組件目錄表'!$D$15:$R$1094,12,FALSE),"")</f>
        <v/>
      </c>
      <c r="BI115" s="69" t="str">
        <f>IFERROR(VLOOKUP($AQ115,'(勿動)組件目錄表'!$D$15:$R$1094,13,FALSE),"")</f>
        <v/>
      </c>
      <c r="BJ115" s="69" t="str">
        <f>IFERROR(VLOOKUP($AQ115,'(勿動)組件目錄表'!$D$15:$R$1094,14,FALSE),"")</f>
        <v/>
      </c>
      <c r="BK115" s="69" t="str">
        <f>IFERROR(VLOOKUP($AQ115,'(勿動)組件目錄表'!$D$15:$R$1094,15,FALSE),"")</f>
        <v/>
      </c>
      <c r="BL115" s="81">
        <f ca="1">IFERROR(__xludf.DUMMYFUNCTION("IFERROR(
  LET(
    rowData, FILTER('(勿動)組件目錄表'!J:Q, '(勿動)組件目錄表'!D:D=AQ115),
    IF(ROWS(rowData)=0, 0, 
      (
        IF(AND(BC115&lt;&gt;"""", INDEX(rowData,1,1)=BC115),1,0) +
        IF(AND(BD115&lt;&gt;"""", INDEX(rowData,1,2)=BD115),1,0) +
        IF(AND(BE115"&amp;"&lt;&gt;"""", INDEX(rowData,1,3)=BE115),1,0) +
        IF(AND(BF115&lt;&gt;"""", INDEX(rowData,1,4)=BF115),1,0) +
        IF(AND(BG115&lt;&gt;"""", INDEX(rowData,1,5)=BG115),1,0) +
        IF(AND(BH115&lt;&gt;"""", INDEX(rowData,1,6)=BH115),1,0) +
        IF(AND(BI115&lt;&gt;"""", IND"&amp;"EX(rowData,1,7)=BI115),1,0) +
        IF(AND(BJ115&lt;&gt;"""", INDEX(rowData,1,8)=BJ115),1,0)
      ) - COUNTIF(BC115:BJ115, ""-"")
        - COUNTIF(BC115:BJ115, ""固定格式，不需提供資訊"")
        - COUNTIF(BC115:BJ115, ""由MKT更新，此欄位固定格式，不需提供資訊
(Voucher CID：12917705872)"&amp;""")
        - COUNTIF(BC115:BJ115, ""text固定為以下：
※直播間僅支援手機版"")
        - COUNTIF(BC115:BJ115, ""text固定為以下：
※短影音僅支援手機版"")
    )
  ), 
  0
)
"),0)</f>
        <v>0</v>
      </c>
      <c r="BM115" s="77" t="b">
        <v>0</v>
      </c>
      <c r="BN115" s="85"/>
      <c r="BO115" s="85"/>
    </row>
    <row r="116" spans="1:67" ht="30" customHeight="1">
      <c r="A116" s="73" t="str">
        <f t="array" aca="1" ref="A116" ca="1">IFERROR(TRANSPOSE(INDIRECT('MS section版配(Old)'!$AO116)),"")</f>
        <v/>
      </c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  <c r="AA116" s="97"/>
      <c r="AB116" s="97"/>
      <c r="AC116" s="97"/>
      <c r="AD116" s="97"/>
      <c r="AE116" s="397" t="str">
        <f>IFERROR(VLOOKUP($AQ116,'(勿動)組件目錄表'!$D$15:$R$1094,4,FALSE),"")</f>
        <v/>
      </c>
      <c r="AF116" s="384"/>
      <c r="AG116" s="384"/>
      <c r="AH116" s="384"/>
      <c r="AI116" s="384"/>
      <c r="AJ116" s="385"/>
      <c r="AK116" s="54" t="b">
        <v>0</v>
      </c>
      <c r="AL116" s="54" t="b">
        <v>0</v>
      </c>
      <c r="AM116" s="54"/>
      <c r="AN116" s="7" t="str">
        <v>108</v>
      </c>
      <c r="AO116" s="7"/>
      <c r="AP116" s="62"/>
      <c r="AQ116" s="75" t="str">
        <v/>
      </c>
      <c r="AR116" s="75" t="str">
        <v>-</v>
      </c>
      <c r="AS116" s="11"/>
      <c r="AT116" s="77" t="str">
        <v>-</v>
      </c>
      <c r="AU116" s="11" t="str">
        <v>-</v>
      </c>
      <c r="AV116" s="84"/>
      <c r="AW116" s="86" t="str">
        <f ca="1"/>
        <v>-</v>
      </c>
      <c r="AX116" s="86" t="b">
        <v>0</v>
      </c>
      <c r="AY116" s="68" t="str">
        <f t="shared" si="0"/>
        <v/>
      </c>
      <c r="AZ116" s="69" t="str">
        <f t="shared" si="1"/>
        <v/>
      </c>
      <c r="BA116" s="70" t="str">
        <f t="shared" si="2"/>
        <v/>
      </c>
      <c r="BB116" s="68" t="str">
        <f t="shared" si="3"/>
        <v/>
      </c>
      <c r="BC116" s="69" t="str">
        <f>IFERROR(VLOOKUP($AQ116,'(勿動)組件目錄表'!$D$15:$R$1094,7,FALSE),"")</f>
        <v/>
      </c>
      <c r="BD116" s="69" t="str">
        <f>IFERROR(VLOOKUP($AQ116,'(勿動)組件目錄表'!$D$15:$R$1094,8,FALSE),"")</f>
        <v/>
      </c>
      <c r="BE116" s="69" t="str">
        <f>IFERROR(VLOOKUP($AQ116,'(勿動)組件目錄表'!$D$15:$R$1094,9,FALSE),"")</f>
        <v/>
      </c>
      <c r="BF116" s="69" t="str">
        <f>IFERROR(VLOOKUP($AQ116,'(勿動)組件目錄表'!$D$15:$R$1094,10,FALSE),"")</f>
        <v/>
      </c>
      <c r="BG116" s="69" t="str">
        <f>IFERROR(VLOOKUP($AQ116,'(勿動)組件目錄表'!$D$15:$R$1094,11,FALSE),"")</f>
        <v/>
      </c>
      <c r="BH116" s="69" t="str">
        <f>IFERROR(VLOOKUP($AQ116,'(勿動)組件目錄表'!$D$15:$R$1094,12,FALSE),"")</f>
        <v/>
      </c>
      <c r="BI116" s="69" t="str">
        <f>IFERROR(VLOOKUP($AQ116,'(勿動)組件目錄表'!$D$15:$R$1094,13,FALSE),"")</f>
        <v/>
      </c>
      <c r="BJ116" s="69" t="str">
        <f>IFERROR(VLOOKUP($AQ116,'(勿動)組件目錄表'!$D$15:$R$1094,14,FALSE),"")</f>
        <v/>
      </c>
      <c r="BK116" s="69" t="str">
        <f>IFERROR(VLOOKUP($AQ116,'(勿動)組件目錄表'!$D$15:$R$1094,15,FALSE),"")</f>
        <v/>
      </c>
      <c r="BL116" s="81">
        <f ca="1">IFERROR(__xludf.DUMMYFUNCTION("IFERROR(
  LET(
    rowData, FILTER('(勿動)組件目錄表'!J:Q, '(勿動)組件目錄表'!D:D=AQ116),
    IF(ROWS(rowData)=0, 0, 
      (
        IF(AND(BC116&lt;&gt;"""", INDEX(rowData,1,1)=BC116),1,0) +
        IF(AND(BD116&lt;&gt;"""", INDEX(rowData,1,2)=BD116),1,0) +
        IF(AND(BE116"&amp;"&lt;&gt;"""", INDEX(rowData,1,3)=BE116),1,0) +
        IF(AND(BF116&lt;&gt;"""", INDEX(rowData,1,4)=BF116),1,0) +
        IF(AND(BG116&lt;&gt;"""", INDEX(rowData,1,5)=BG116),1,0) +
        IF(AND(BH116&lt;&gt;"""", INDEX(rowData,1,6)=BH116),1,0) +
        IF(AND(BI116&lt;&gt;"""", IND"&amp;"EX(rowData,1,7)=BI116),1,0) +
        IF(AND(BJ116&lt;&gt;"""", INDEX(rowData,1,8)=BJ116),1,0)
      ) - COUNTIF(BC116:BJ116, ""-"")
        - COUNTIF(BC116:BJ116, ""固定格式，不需提供資訊"")
        - COUNTIF(BC116:BJ116, ""由MKT更新，此欄位固定格式，不需提供資訊
(Voucher CID：12917705872)"&amp;""")
        - COUNTIF(BC116:BJ116, ""text固定為以下：
※直播間僅支援手機版"")
        - COUNTIF(BC116:BJ116, ""text固定為以下：
※短影音僅支援手機版"")
    )
  ), 
  0
)
"),0)</f>
        <v>0</v>
      </c>
      <c r="BM116" s="77" t="b">
        <v>0</v>
      </c>
      <c r="BN116" s="85"/>
      <c r="BO116" s="85"/>
    </row>
    <row r="117" spans="1:67" ht="30" customHeight="1">
      <c r="A117" s="73" t="str">
        <f t="array" aca="1" ref="A117" ca="1">IFERROR(TRANSPOSE(INDIRECT('MS section版配(Old)'!$AO117)),"")</f>
        <v/>
      </c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  <c r="AA117" s="99"/>
      <c r="AB117" s="99"/>
      <c r="AC117" s="99"/>
      <c r="AD117" s="99"/>
      <c r="AE117" s="397" t="str">
        <f>IFERROR(VLOOKUP($AQ117,'(勿動)組件目錄表'!$D$15:$R$1094,4,FALSE),"")</f>
        <v/>
      </c>
      <c r="AF117" s="384"/>
      <c r="AG117" s="384"/>
      <c r="AH117" s="384"/>
      <c r="AI117" s="384"/>
      <c r="AJ117" s="385"/>
      <c r="AK117" s="54" t="b">
        <v>0</v>
      </c>
      <c r="AL117" s="54" t="b">
        <v>0</v>
      </c>
      <c r="AM117" s="54"/>
      <c r="AN117" s="7" t="str">
        <v>109</v>
      </c>
      <c r="AO117" s="7"/>
      <c r="AP117" s="62"/>
      <c r="AQ117" s="75" t="str">
        <v/>
      </c>
      <c r="AR117" s="75" t="str">
        <v>-</v>
      </c>
      <c r="AS117" s="11"/>
      <c r="AT117" s="77" t="str">
        <v>-</v>
      </c>
      <c r="AU117" s="11" t="str">
        <v>-</v>
      </c>
      <c r="AV117" s="84"/>
      <c r="AW117" s="86" t="str">
        <f ca="1"/>
        <v>-</v>
      </c>
      <c r="AX117" s="86" t="b">
        <v>0</v>
      </c>
      <c r="AY117" s="68" t="str">
        <f t="shared" si="0"/>
        <v/>
      </c>
      <c r="AZ117" s="69" t="str">
        <f t="shared" si="1"/>
        <v/>
      </c>
      <c r="BA117" s="70" t="str">
        <f t="shared" si="2"/>
        <v/>
      </c>
      <c r="BB117" s="68" t="str">
        <f t="shared" si="3"/>
        <v/>
      </c>
      <c r="BC117" s="69" t="str">
        <f>IFERROR(VLOOKUP($AQ117,'(勿動)組件目錄表'!$D$15:$R$1094,7,FALSE),"")</f>
        <v/>
      </c>
      <c r="BD117" s="69" t="str">
        <f>IFERROR(VLOOKUP($AQ117,'(勿動)組件目錄表'!$D$15:$R$1094,8,FALSE),"")</f>
        <v/>
      </c>
      <c r="BE117" s="69" t="str">
        <f>IFERROR(VLOOKUP($AQ117,'(勿動)組件目錄表'!$D$15:$R$1094,9,FALSE),"")</f>
        <v/>
      </c>
      <c r="BF117" s="69" t="str">
        <f>IFERROR(VLOOKUP($AQ117,'(勿動)組件目錄表'!$D$15:$R$1094,10,FALSE),"")</f>
        <v/>
      </c>
      <c r="BG117" s="69" t="str">
        <f>IFERROR(VLOOKUP($AQ117,'(勿動)組件目錄表'!$D$15:$R$1094,11,FALSE),"")</f>
        <v/>
      </c>
      <c r="BH117" s="69" t="str">
        <f>IFERROR(VLOOKUP($AQ117,'(勿動)組件目錄表'!$D$15:$R$1094,12,FALSE),"")</f>
        <v/>
      </c>
      <c r="BI117" s="69" t="str">
        <f>IFERROR(VLOOKUP($AQ117,'(勿動)組件目錄表'!$D$15:$R$1094,13,FALSE),"")</f>
        <v/>
      </c>
      <c r="BJ117" s="69" t="str">
        <f>IFERROR(VLOOKUP($AQ117,'(勿動)組件目錄表'!$D$15:$R$1094,14,FALSE),"")</f>
        <v/>
      </c>
      <c r="BK117" s="69" t="str">
        <f>IFERROR(VLOOKUP($AQ117,'(勿動)組件目錄表'!$D$15:$R$1094,15,FALSE),"")</f>
        <v/>
      </c>
      <c r="BL117" s="81">
        <f ca="1">IFERROR(__xludf.DUMMYFUNCTION("IFERROR(
  LET(
    rowData, FILTER('(勿動)組件目錄表'!J:Q, '(勿動)組件目錄表'!D:D=AQ117),
    IF(ROWS(rowData)=0, 0, 
      (
        IF(AND(BC117&lt;&gt;"""", INDEX(rowData,1,1)=BC117),1,0) +
        IF(AND(BD117&lt;&gt;"""", INDEX(rowData,1,2)=BD117),1,0) +
        IF(AND(BE117"&amp;"&lt;&gt;"""", INDEX(rowData,1,3)=BE117),1,0) +
        IF(AND(BF117&lt;&gt;"""", INDEX(rowData,1,4)=BF117),1,0) +
        IF(AND(BG117&lt;&gt;"""", INDEX(rowData,1,5)=BG117),1,0) +
        IF(AND(BH117&lt;&gt;"""", INDEX(rowData,1,6)=BH117),1,0) +
        IF(AND(BI117&lt;&gt;"""", IND"&amp;"EX(rowData,1,7)=BI117),1,0) +
        IF(AND(BJ117&lt;&gt;"""", INDEX(rowData,1,8)=BJ117),1,0)
      ) - COUNTIF(BC117:BJ117, ""-"")
        - COUNTIF(BC117:BJ117, ""固定格式，不需提供資訊"")
        - COUNTIF(BC117:BJ117, ""由MKT更新，此欄位固定格式，不需提供資訊
(Voucher CID：12917705872)"&amp;""")
        - COUNTIF(BC117:BJ117, ""text固定為以下：
※直播間僅支援手機版"")
        - COUNTIF(BC117:BJ117, ""text固定為以下：
※短影音僅支援手機版"")
    )
  ), 
  0
)
"),0)</f>
        <v>0</v>
      </c>
      <c r="BM117" s="77" t="b">
        <v>0</v>
      </c>
      <c r="BN117" s="85"/>
      <c r="BO117" s="85"/>
    </row>
    <row r="118" spans="1:67" ht="30" customHeight="1">
      <c r="A118" s="73" t="str">
        <f t="array" aca="1" ref="A118" ca="1">IFERROR(TRANSPOSE(INDIRECT('MS section版配(Old)'!$AO118)),"")</f>
        <v/>
      </c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  <c r="AA118" s="87"/>
      <c r="AB118" s="87"/>
      <c r="AC118" s="87"/>
      <c r="AD118" s="87"/>
      <c r="AE118" s="397" t="str">
        <f>IFERROR(VLOOKUP($AQ118,'(勿動)組件目錄表'!$D$15:$R$1094,4,FALSE),"")</f>
        <v/>
      </c>
      <c r="AF118" s="384"/>
      <c r="AG118" s="384"/>
      <c r="AH118" s="384"/>
      <c r="AI118" s="384"/>
      <c r="AJ118" s="385"/>
      <c r="AK118" s="54" t="b">
        <v>0</v>
      </c>
      <c r="AL118" s="54" t="b">
        <v>0</v>
      </c>
      <c r="AM118" s="54"/>
      <c r="AN118" s="7" t="str">
        <v>110</v>
      </c>
      <c r="AO118" s="7"/>
      <c r="AP118" s="62"/>
      <c r="AQ118" s="75" t="str">
        <v/>
      </c>
      <c r="AR118" s="75" t="str">
        <v>-</v>
      </c>
      <c r="AS118" s="11"/>
      <c r="AT118" s="77" t="str">
        <v>-</v>
      </c>
      <c r="AU118" s="11" t="str">
        <v>-</v>
      </c>
      <c r="AV118" s="84"/>
      <c r="AW118" s="86" t="str">
        <f ca="1"/>
        <v>-</v>
      </c>
      <c r="AX118" s="86" t="b">
        <v>0</v>
      </c>
      <c r="AY118" s="68" t="str">
        <f t="shared" si="0"/>
        <v/>
      </c>
      <c r="AZ118" s="69" t="str">
        <f t="shared" si="1"/>
        <v/>
      </c>
      <c r="BA118" s="70" t="str">
        <f t="shared" si="2"/>
        <v/>
      </c>
      <c r="BB118" s="68" t="str">
        <f t="shared" si="3"/>
        <v/>
      </c>
      <c r="BC118" s="69" t="str">
        <f>IFERROR(VLOOKUP($AQ118,'(勿動)組件目錄表'!$D$15:$R$1094,7,FALSE),"")</f>
        <v/>
      </c>
      <c r="BD118" s="69" t="str">
        <f>IFERROR(VLOOKUP($AQ118,'(勿動)組件目錄表'!$D$15:$R$1094,8,FALSE),"")</f>
        <v/>
      </c>
      <c r="BE118" s="69" t="str">
        <f>IFERROR(VLOOKUP($AQ118,'(勿動)組件目錄表'!$D$15:$R$1094,9,FALSE),"")</f>
        <v/>
      </c>
      <c r="BF118" s="69" t="str">
        <f>IFERROR(VLOOKUP($AQ118,'(勿動)組件目錄表'!$D$15:$R$1094,10,FALSE),"")</f>
        <v/>
      </c>
      <c r="BG118" s="69" t="str">
        <f>IFERROR(VLOOKUP($AQ118,'(勿動)組件目錄表'!$D$15:$R$1094,11,FALSE),"")</f>
        <v/>
      </c>
      <c r="BH118" s="69" t="str">
        <f>IFERROR(VLOOKUP($AQ118,'(勿動)組件目錄表'!$D$15:$R$1094,12,FALSE),"")</f>
        <v/>
      </c>
      <c r="BI118" s="69" t="str">
        <f>IFERROR(VLOOKUP($AQ118,'(勿動)組件目錄表'!$D$15:$R$1094,13,FALSE),"")</f>
        <v/>
      </c>
      <c r="BJ118" s="69" t="str">
        <f>IFERROR(VLOOKUP($AQ118,'(勿動)組件目錄表'!$D$15:$R$1094,14,FALSE),"")</f>
        <v/>
      </c>
      <c r="BK118" s="69" t="str">
        <f>IFERROR(VLOOKUP($AQ118,'(勿動)組件目錄表'!$D$15:$R$1094,15,FALSE),"")</f>
        <v/>
      </c>
      <c r="BL118" s="81">
        <f ca="1">IFERROR(__xludf.DUMMYFUNCTION("IFERROR(
  LET(
    rowData, FILTER('(勿動)組件目錄表'!J:Q, '(勿動)組件目錄表'!D:D=AQ118),
    IF(ROWS(rowData)=0, 0, 
      (
        IF(AND(BC118&lt;&gt;"""", INDEX(rowData,1,1)=BC118),1,0) +
        IF(AND(BD118&lt;&gt;"""", INDEX(rowData,1,2)=BD118),1,0) +
        IF(AND(BE118"&amp;"&lt;&gt;"""", INDEX(rowData,1,3)=BE118),1,0) +
        IF(AND(BF118&lt;&gt;"""", INDEX(rowData,1,4)=BF118),1,0) +
        IF(AND(BG118&lt;&gt;"""", INDEX(rowData,1,5)=BG118),1,0) +
        IF(AND(BH118&lt;&gt;"""", INDEX(rowData,1,6)=BH118),1,0) +
        IF(AND(BI118&lt;&gt;"""", IND"&amp;"EX(rowData,1,7)=BI118),1,0) +
        IF(AND(BJ118&lt;&gt;"""", INDEX(rowData,1,8)=BJ118),1,0)
      ) - COUNTIF(BC118:BJ118, ""-"")
        - COUNTIF(BC118:BJ118, ""固定格式，不需提供資訊"")
        - COUNTIF(BC118:BJ118, ""由MKT更新，此欄位固定格式，不需提供資訊
(Voucher CID：12917705872)"&amp;""")
        - COUNTIF(BC118:BJ118, ""text固定為以下：
※直播間僅支援手機版"")
        - COUNTIF(BC118:BJ118, ""text固定為以下：
※短影音僅支援手機版"")
    )
  ), 
  0
)
"),0)</f>
        <v>0</v>
      </c>
      <c r="BM118" s="77" t="b">
        <v>0</v>
      </c>
      <c r="BN118" s="85"/>
      <c r="BO118" s="85"/>
    </row>
    <row r="119" spans="1:67" ht="30" customHeight="1">
      <c r="A119" s="73" t="str">
        <f t="array" aca="1" ref="A119" ca="1">IFERROR(TRANSPOSE(INDIRECT('MS section版配(Old)'!$AO119)),"")</f>
        <v/>
      </c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  <c r="AA119" s="87"/>
      <c r="AB119" s="87"/>
      <c r="AC119" s="87"/>
      <c r="AD119" s="87"/>
      <c r="AE119" s="397" t="str">
        <f>IFERROR(VLOOKUP($AQ119,'(勿動)組件目錄表'!$D$15:$R$1094,4,FALSE),"")</f>
        <v/>
      </c>
      <c r="AF119" s="384"/>
      <c r="AG119" s="384"/>
      <c r="AH119" s="384"/>
      <c r="AI119" s="384"/>
      <c r="AJ119" s="385"/>
      <c r="AK119" s="54" t="b">
        <v>0</v>
      </c>
      <c r="AL119" s="54" t="b">
        <v>0</v>
      </c>
      <c r="AM119" s="54"/>
      <c r="AN119" s="7" t="str">
        <v>111</v>
      </c>
      <c r="AO119" s="7"/>
      <c r="AP119" s="62"/>
      <c r="AQ119" s="75" t="str">
        <v/>
      </c>
      <c r="AR119" s="75" t="str">
        <v>-</v>
      </c>
      <c r="AS119" s="11"/>
      <c r="AT119" s="77" t="str">
        <v>-</v>
      </c>
      <c r="AU119" s="11" t="str">
        <v>-</v>
      </c>
      <c r="AV119" s="84"/>
      <c r="AW119" s="86" t="str">
        <f ca="1"/>
        <v>-</v>
      </c>
      <c r="AX119" s="86" t="b">
        <v>0</v>
      </c>
      <c r="AY119" s="68" t="str">
        <f t="shared" si="0"/>
        <v/>
      </c>
      <c r="AZ119" s="69" t="str">
        <f t="shared" si="1"/>
        <v/>
      </c>
      <c r="BA119" s="70" t="str">
        <f t="shared" si="2"/>
        <v/>
      </c>
      <c r="BB119" s="68" t="str">
        <f t="shared" si="3"/>
        <v/>
      </c>
      <c r="BC119" s="69" t="str">
        <f>IFERROR(VLOOKUP($AQ119,'(勿動)組件目錄表'!$D$15:$R$1094,7,FALSE),"")</f>
        <v/>
      </c>
      <c r="BD119" s="69" t="str">
        <f>IFERROR(VLOOKUP($AQ119,'(勿動)組件目錄表'!$D$15:$R$1094,8,FALSE),"")</f>
        <v/>
      </c>
      <c r="BE119" s="69" t="str">
        <f>IFERROR(VLOOKUP($AQ119,'(勿動)組件目錄表'!$D$15:$R$1094,9,FALSE),"")</f>
        <v/>
      </c>
      <c r="BF119" s="69" t="str">
        <f>IFERROR(VLOOKUP($AQ119,'(勿動)組件目錄表'!$D$15:$R$1094,10,FALSE),"")</f>
        <v/>
      </c>
      <c r="BG119" s="69" t="str">
        <f>IFERROR(VLOOKUP($AQ119,'(勿動)組件目錄表'!$D$15:$R$1094,11,FALSE),"")</f>
        <v/>
      </c>
      <c r="BH119" s="69" t="str">
        <f>IFERROR(VLOOKUP($AQ119,'(勿動)組件目錄表'!$D$15:$R$1094,12,FALSE),"")</f>
        <v/>
      </c>
      <c r="BI119" s="69" t="str">
        <f>IFERROR(VLOOKUP($AQ119,'(勿動)組件目錄表'!$D$15:$R$1094,13,FALSE),"")</f>
        <v/>
      </c>
      <c r="BJ119" s="69" t="str">
        <f>IFERROR(VLOOKUP($AQ119,'(勿動)組件目錄表'!$D$15:$R$1094,14,FALSE),"")</f>
        <v/>
      </c>
      <c r="BK119" s="69" t="str">
        <f>IFERROR(VLOOKUP($AQ119,'(勿動)組件目錄表'!$D$15:$R$1094,15,FALSE),"")</f>
        <v/>
      </c>
      <c r="BL119" s="81">
        <f ca="1">IFERROR(__xludf.DUMMYFUNCTION("IFERROR(
  LET(
    rowData, FILTER('(勿動)組件目錄表'!J:Q, '(勿動)組件目錄表'!D:D=AQ119),
    IF(ROWS(rowData)=0, 0, 
      (
        IF(AND(BC119&lt;&gt;"""", INDEX(rowData,1,1)=BC119),1,0) +
        IF(AND(BD119&lt;&gt;"""", INDEX(rowData,1,2)=BD119),1,0) +
        IF(AND(BE119"&amp;"&lt;&gt;"""", INDEX(rowData,1,3)=BE119),1,0) +
        IF(AND(BF119&lt;&gt;"""", INDEX(rowData,1,4)=BF119),1,0) +
        IF(AND(BG119&lt;&gt;"""", INDEX(rowData,1,5)=BG119),1,0) +
        IF(AND(BH119&lt;&gt;"""", INDEX(rowData,1,6)=BH119),1,0) +
        IF(AND(BI119&lt;&gt;"""", IND"&amp;"EX(rowData,1,7)=BI119),1,0) +
        IF(AND(BJ119&lt;&gt;"""", INDEX(rowData,1,8)=BJ119),1,0)
      ) - COUNTIF(BC119:BJ119, ""-"")
        - COUNTIF(BC119:BJ119, ""固定格式，不需提供資訊"")
        - COUNTIF(BC119:BJ119, ""由MKT更新，此欄位固定格式，不需提供資訊
(Voucher CID：12917705872)"&amp;""")
        - COUNTIF(BC119:BJ119, ""text固定為以下：
※直播間僅支援手機版"")
        - COUNTIF(BC119:BJ119, ""text固定為以下：
※短影音僅支援手機版"")
    )
  ), 
  0
)
"),0)</f>
        <v>0</v>
      </c>
      <c r="BM119" s="77" t="b">
        <v>0</v>
      </c>
      <c r="BN119" s="85"/>
      <c r="BO119" s="85"/>
    </row>
    <row r="120" spans="1:67" ht="30" customHeight="1">
      <c r="A120" s="73" t="str">
        <f t="array" aca="1" ref="A120" ca="1">IFERROR(TRANSPOSE(INDIRECT('MS section版配(Old)'!$AO120)),"")</f>
        <v/>
      </c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  <c r="AA120" s="87"/>
      <c r="AB120" s="87"/>
      <c r="AC120" s="87"/>
      <c r="AD120" s="87"/>
      <c r="AE120" s="397" t="str">
        <f>IFERROR(VLOOKUP($AQ120,'(勿動)組件目錄表'!$D$15:$R$1094,4,FALSE),"")</f>
        <v/>
      </c>
      <c r="AF120" s="384"/>
      <c r="AG120" s="384"/>
      <c r="AH120" s="384"/>
      <c r="AI120" s="384"/>
      <c r="AJ120" s="385"/>
      <c r="AK120" s="54" t="b">
        <v>0</v>
      </c>
      <c r="AL120" s="54" t="b">
        <v>0</v>
      </c>
      <c r="AM120" s="54"/>
      <c r="AN120" s="7" t="str">
        <v>112</v>
      </c>
      <c r="AO120" s="7"/>
      <c r="AP120" s="62"/>
      <c r="AQ120" s="75" t="str">
        <v/>
      </c>
      <c r="AR120" s="75" t="str">
        <v>-</v>
      </c>
      <c r="AS120" s="11"/>
      <c r="AT120" s="77" t="str">
        <v>-</v>
      </c>
      <c r="AU120" s="11" t="str">
        <v>-</v>
      </c>
      <c r="AV120" s="100"/>
      <c r="AW120" s="80" t="str">
        <f ca="1"/>
        <v>-</v>
      </c>
      <c r="AX120" s="86" t="b">
        <v>0</v>
      </c>
      <c r="AY120" s="68" t="str">
        <f t="shared" si="0"/>
        <v/>
      </c>
      <c r="AZ120" s="69" t="str">
        <f t="shared" si="1"/>
        <v/>
      </c>
      <c r="BA120" s="70" t="str">
        <f t="shared" si="2"/>
        <v/>
      </c>
      <c r="BB120" s="68" t="str">
        <f t="shared" si="3"/>
        <v/>
      </c>
      <c r="BC120" s="69" t="str">
        <f>IFERROR(VLOOKUP($AQ120,'(勿動)組件目錄表'!$D$15:$R$1094,7,FALSE),"")</f>
        <v/>
      </c>
      <c r="BD120" s="69" t="str">
        <f>IFERROR(VLOOKUP($AQ120,'(勿動)組件目錄表'!$D$15:$R$1094,8,FALSE),"")</f>
        <v/>
      </c>
      <c r="BE120" s="69" t="str">
        <f>IFERROR(VLOOKUP($AQ120,'(勿動)組件目錄表'!$D$15:$R$1094,9,FALSE),"")</f>
        <v/>
      </c>
      <c r="BF120" s="69" t="str">
        <f>IFERROR(VLOOKUP($AQ120,'(勿動)組件目錄表'!$D$15:$R$1094,10,FALSE),"")</f>
        <v/>
      </c>
      <c r="BG120" s="69" t="str">
        <f>IFERROR(VLOOKUP($AQ120,'(勿動)組件目錄表'!$D$15:$R$1094,11,FALSE),"")</f>
        <v/>
      </c>
      <c r="BH120" s="69" t="str">
        <f>IFERROR(VLOOKUP($AQ120,'(勿動)組件目錄表'!$D$15:$R$1094,12,FALSE),"")</f>
        <v/>
      </c>
      <c r="BI120" s="69" t="str">
        <f>IFERROR(VLOOKUP($AQ120,'(勿動)組件目錄表'!$D$15:$R$1094,13,FALSE),"")</f>
        <v/>
      </c>
      <c r="BJ120" s="69" t="str">
        <f>IFERROR(VLOOKUP($AQ120,'(勿動)組件目錄表'!$D$15:$R$1094,14,FALSE),"")</f>
        <v/>
      </c>
      <c r="BK120" s="69" t="str">
        <f>IFERROR(VLOOKUP($AQ120,'(勿動)組件目錄表'!$D$15:$R$1094,15,FALSE),"")</f>
        <v/>
      </c>
      <c r="BL120" s="81">
        <f ca="1">IFERROR(__xludf.DUMMYFUNCTION("IFERROR(
  LET(
    rowData, FILTER('(勿動)組件目錄表'!J:Q, '(勿動)組件目錄表'!D:D=AQ120),
    IF(ROWS(rowData)=0, 0, 
      (
        IF(AND(BC120&lt;&gt;"""", INDEX(rowData,1,1)=BC120),1,0) +
        IF(AND(BD120&lt;&gt;"""", INDEX(rowData,1,2)=BD120),1,0) +
        IF(AND(BE120"&amp;"&lt;&gt;"""", INDEX(rowData,1,3)=BE120),1,0) +
        IF(AND(BF120&lt;&gt;"""", INDEX(rowData,1,4)=BF120),1,0) +
        IF(AND(BG120&lt;&gt;"""", INDEX(rowData,1,5)=BG120),1,0) +
        IF(AND(BH120&lt;&gt;"""", INDEX(rowData,1,6)=BH120),1,0) +
        IF(AND(BI120&lt;&gt;"""", IND"&amp;"EX(rowData,1,7)=BI120),1,0) +
        IF(AND(BJ120&lt;&gt;"""", INDEX(rowData,1,8)=BJ120),1,0)
      ) - COUNTIF(BC120:BJ120, ""-"")
        - COUNTIF(BC120:BJ120, ""固定格式，不需提供資訊"")
        - COUNTIF(BC120:BJ120, ""由MKT更新，此欄位固定格式，不需提供資訊
(Voucher CID：12917705872)"&amp;""")
        - COUNTIF(BC120:BJ120, ""text固定為以下：
※直播間僅支援手機版"")
        - COUNTIF(BC120:BJ120, ""text固定為以下：
※短影音僅支援手機版"")
    )
  ), 
  0
)
"),0)</f>
        <v>0</v>
      </c>
      <c r="BM120" s="77" t="b">
        <v>0</v>
      </c>
      <c r="BN120" s="85"/>
      <c r="BO120" s="85"/>
    </row>
    <row r="121" spans="1:67" ht="30" customHeight="1">
      <c r="A121" s="73" t="str">
        <f t="array" aca="1" ref="A121" ca="1">IFERROR(TRANSPOSE(INDIRECT('MS section版配(Old)'!$AO121)),"")</f>
        <v/>
      </c>
      <c r="B121" s="9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  <c r="S121" s="93"/>
      <c r="T121" s="93"/>
      <c r="U121" s="93"/>
      <c r="V121" s="93"/>
      <c r="W121" s="93"/>
      <c r="X121" s="93"/>
      <c r="Y121" s="93"/>
      <c r="Z121" s="93"/>
      <c r="AA121" s="93"/>
      <c r="AB121" s="93"/>
      <c r="AC121" s="93"/>
      <c r="AD121" s="93"/>
      <c r="AE121" s="397" t="str">
        <f>IFERROR(VLOOKUP($AQ121,'(勿動)組件目錄表'!$D$15:$R$1094,4,FALSE),"")</f>
        <v/>
      </c>
      <c r="AF121" s="384"/>
      <c r="AG121" s="384"/>
      <c r="AH121" s="384"/>
      <c r="AI121" s="384"/>
      <c r="AJ121" s="385"/>
      <c r="AK121" s="54" t="b">
        <v>0</v>
      </c>
      <c r="AL121" s="54" t="b">
        <v>0</v>
      </c>
      <c r="AM121" s="54"/>
      <c r="AN121" s="7" t="str">
        <v>113</v>
      </c>
      <c r="AO121" s="7"/>
      <c r="AP121" s="62"/>
      <c r="AQ121" s="75" t="str">
        <v/>
      </c>
      <c r="AR121" s="75" t="str">
        <v>-</v>
      </c>
      <c r="AS121" s="11"/>
      <c r="AT121" s="77" t="str">
        <v>-</v>
      </c>
      <c r="AU121" s="11" t="str">
        <v>-</v>
      </c>
      <c r="AV121" s="100"/>
      <c r="AW121" s="80" t="str">
        <f ca="1"/>
        <v>-</v>
      </c>
      <c r="AX121" s="86" t="b">
        <v>0</v>
      </c>
      <c r="AY121" s="68" t="str">
        <f t="shared" si="0"/>
        <v/>
      </c>
      <c r="AZ121" s="69" t="str">
        <f t="shared" si="1"/>
        <v/>
      </c>
      <c r="BA121" s="70" t="str">
        <f t="shared" si="2"/>
        <v/>
      </c>
      <c r="BB121" s="68" t="str">
        <f t="shared" si="3"/>
        <v/>
      </c>
      <c r="BC121" s="69" t="str">
        <f>IFERROR(VLOOKUP($AQ121,'(勿動)組件目錄表'!$D$15:$R$1094,7,FALSE),"")</f>
        <v/>
      </c>
      <c r="BD121" s="69" t="str">
        <f>IFERROR(VLOOKUP($AQ121,'(勿動)組件目錄表'!$D$15:$R$1094,8,FALSE),"")</f>
        <v/>
      </c>
      <c r="BE121" s="69" t="str">
        <f>IFERROR(VLOOKUP($AQ121,'(勿動)組件目錄表'!$D$15:$R$1094,9,FALSE),"")</f>
        <v/>
      </c>
      <c r="BF121" s="69" t="str">
        <f>IFERROR(VLOOKUP($AQ121,'(勿動)組件目錄表'!$D$15:$R$1094,10,FALSE),"")</f>
        <v/>
      </c>
      <c r="BG121" s="69" t="str">
        <f>IFERROR(VLOOKUP($AQ121,'(勿動)組件目錄表'!$D$15:$R$1094,11,FALSE),"")</f>
        <v/>
      </c>
      <c r="BH121" s="69" t="str">
        <f>IFERROR(VLOOKUP($AQ121,'(勿動)組件目錄表'!$D$15:$R$1094,12,FALSE),"")</f>
        <v/>
      </c>
      <c r="BI121" s="69" t="str">
        <f>IFERROR(VLOOKUP($AQ121,'(勿動)組件目錄表'!$D$15:$R$1094,13,FALSE),"")</f>
        <v/>
      </c>
      <c r="BJ121" s="69" t="str">
        <f>IFERROR(VLOOKUP($AQ121,'(勿動)組件目錄表'!$D$15:$R$1094,14,FALSE),"")</f>
        <v/>
      </c>
      <c r="BK121" s="69" t="str">
        <f>IFERROR(VLOOKUP($AQ121,'(勿動)組件目錄表'!$D$15:$R$1094,15,FALSE),"")</f>
        <v/>
      </c>
      <c r="BL121" s="81">
        <f ca="1">IFERROR(__xludf.DUMMYFUNCTION("IFERROR(
  LET(
    rowData, FILTER('(勿動)組件目錄表'!J:Q, '(勿動)組件目錄表'!D:D=AQ121),
    IF(ROWS(rowData)=0, 0, 
      (
        IF(AND(BC121&lt;&gt;"""", INDEX(rowData,1,1)=BC121),1,0) +
        IF(AND(BD121&lt;&gt;"""", INDEX(rowData,1,2)=BD121),1,0) +
        IF(AND(BE121"&amp;"&lt;&gt;"""", INDEX(rowData,1,3)=BE121),1,0) +
        IF(AND(BF121&lt;&gt;"""", INDEX(rowData,1,4)=BF121),1,0) +
        IF(AND(BG121&lt;&gt;"""", INDEX(rowData,1,5)=BG121),1,0) +
        IF(AND(BH121&lt;&gt;"""", INDEX(rowData,1,6)=BH121),1,0) +
        IF(AND(BI121&lt;&gt;"""", IND"&amp;"EX(rowData,1,7)=BI121),1,0) +
        IF(AND(BJ121&lt;&gt;"""", INDEX(rowData,1,8)=BJ121),1,0)
      ) - COUNTIF(BC121:BJ121, ""-"")
        - COUNTIF(BC121:BJ121, ""固定格式，不需提供資訊"")
        - COUNTIF(BC121:BJ121, ""由MKT更新，此欄位固定格式，不需提供資訊
(Voucher CID：12917705872)"&amp;""")
        - COUNTIF(BC121:BJ121, ""text固定為以下：
※直播間僅支援手機版"")
        - COUNTIF(BC121:BJ121, ""text固定為以下：
※短影音僅支援手機版"")
    )
  ), 
  0
)
"),0)</f>
        <v>0</v>
      </c>
      <c r="BM121" s="77" t="b">
        <v>0</v>
      </c>
      <c r="BN121" s="85"/>
      <c r="BO121" s="85"/>
    </row>
    <row r="122" spans="1:67" ht="30" customHeight="1">
      <c r="A122" s="73" t="str">
        <f t="array" aca="1" ref="A122" ca="1">IFERROR(TRANSPOSE(INDIRECT('MS section版配(Old)'!$AO122)),"")</f>
        <v/>
      </c>
      <c r="B122" s="9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397" t="str">
        <f>IFERROR(VLOOKUP($AQ122,'(勿動)組件目錄表'!$D$15:$R$1094,4,FALSE),"")</f>
        <v/>
      </c>
      <c r="AF122" s="384"/>
      <c r="AG122" s="384"/>
      <c r="AH122" s="384"/>
      <c r="AI122" s="384"/>
      <c r="AJ122" s="385"/>
      <c r="AK122" s="54" t="b">
        <v>0</v>
      </c>
      <c r="AL122" s="54" t="b">
        <v>0</v>
      </c>
      <c r="AM122" s="54"/>
      <c r="AN122" s="7" t="str">
        <v>114</v>
      </c>
      <c r="AO122" s="7"/>
      <c r="AP122" s="62"/>
      <c r="AQ122" s="75" t="str">
        <v/>
      </c>
      <c r="AR122" s="75" t="str">
        <v>-</v>
      </c>
      <c r="AS122" s="11"/>
      <c r="AT122" s="77" t="str">
        <v>-</v>
      </c>
      <c r="AU122" s="11" t="str">
        <v>-</v>
      </c>
      <c r="AV122" s="100"/>
      <c r="AW122" s="80" t="str">
        <f ca="1"/>
        <v>-</v>
      </c>
      <c r="AX122" s="86" t="b">
        <v>0</v>
      </c>
      <c r="AY122" s="68" t="str">
        <f t="shared" si="0"/>
        <v/>
      </c>
      <c r="AZ122" s="69" t="str">
        <f t="shared" si="1"/>
        <v/>
      </c>
      <c r="BA122" s="70" t="str">
        <f t="shared" si="2"/>
        <v/>
      </c>
      <c r="BB122" s="68" t="str">
        <f t="shared" si="3"/>
        <v/>
      </c>
      <c r="BC122" s="69" t="str">
        <f>IFERROR(VLOOKUP($AQ122,'(勿動)組件目錄表'!$D$15:$R$1094,7,FALSE),"")</f>
        <v/>
      </c>
      <c r="BD122" s="69" t="str">
        <f>IFERROR(VLOOKUP($AQ122,'(勿動)組件目錄表'!$D$15:$R$1094,8,FALSE),"")</f>
        <v/>
      </c>
      <c r="BE122" s="69" t="str">
        <f>IFERROR(VLOOKUP($AQ122,'(勿動)組件目錄表'!$D$15:$R$1094,9,FALSE),"")</f>
        <v/>
      </c>
      <c r="BF122" s="69" t="str">
        <f>IFERROR(VLOOKUP($AQ122,'(勿動)組件目錄表'!$D$15:$R$1094,10,FALSE),"")</f>
        <v/>
      </c>
      <c r="BG122" s="69" t="str">
        <f>IFERROR(VLOOKUP($AQ122,'(勿動)組件目錄表'!$D$15:$R$1094,11,FALSE),"")</f>
        <v/>
      </c>
      <c r="BH122" s="69" t="str">
        <f>IFERROR(VLOOKUP($AQ122,'(勿動)組件目錄表'!$D$15:$R$1094,12,FALSE),"")</f>
        <v/>
      </c>
      <c r="BI122" s="69" t="str">
        <f>IFERROR(VLOOKUP($AQ122,'(勿動)組件目錄表'!$D$15:$R$1094,13,FALSE),"")</f>
        <v/>
      </c>
      <c r="BJ122" s="69" t="str">
        <f>IFERROR(VLOOKUP($AQ122,'(勿動)組件目錄表'!$D$15:$R$1094,14,FALSE),"")</f>
        <v/>
      </c>
      <c r="BK122" s="69" t="str">
        <f>IFERROR(VLOOKUP($AQ122,'(勿動)組件目錄表'!$D$15:$R$1094,15,FALSE),"")</f>
        <v/>
      </c>
      <c r="BL122" s="81">
        <f ca="1">IFERROR(__xludf.DUMMYFUNCTION("IFERROR(
  LET(
    rowData, FILTER('(勿動)組件目錄表'!J:Q, '(勿動)組件目錄表'!D:D=AQ122),
    IF(ROWS(rowData)=0, 0, 
      (
        IF(AND(BC122&lt;&gt;"""", INDEX(rowData,1,1)=BC122),1,0) +
        IF(AND(BD122&lt;&gt;"""", INDEX(rowData,1,2)=BD122),1,0) +
        IF(AND(BE122"&amp;"&lt;&gt;"""", INDEX(rowData,1,3)=BE122),1,0) +
        IF(AND(BF122&lt;&gt;"""", INDEX(rowData,1,4)=BF122),1,0) +
        IF(AND(BG122&lt;&gt;"""", INDEX(rowData,1,5)=BG122),1,0) +
        IF(AND(BH122&lt;&gt;"""", INDEX(rowData,1,6)=BH122),1,0) +
        IF(AND(BI122&lt;&gt;"""", IND"&amp;"EX(rowData,1,7)=BI122),1,0) +
        IF(AND(BJ122&lt;&gt;"""", INDEX(rowData,1,8)=BJ122),1,0)
      ) - COUNTIF(BC122:BJ122, ""-"")
        - COUNTIF(BC122:BJ122, ""固定格式，不需提供資訊"")
        - COUNTIF(BC122:BJ122, ""由MKT更新，此欄位固定格式，不需提供資訊
(Voucher CID：12917705872)"&amp;""")
        - COUNTIF(BC122:BJ122, ""text固定為以下：
※直播間僅支援手機版"")
        - COUNTIF(BC122:BJ122, ""text固定為以下：
※短影音僅支援手機版"")
    )
  ), 
  0
)
"),0)</f>
        <v>0</v>
      </c>
      <c r="BM122" s="77" t="b">
        <v>0</v>
      </c>
      <c r="BN122" s="85"/>
      <c r="BO122" s="85"/>
    </row>
    <row r="123" spans="1:67" ht="30" customHeight="1">
      <c r="A123" s="73" t="str">
        <f t="array" aca="1" ref="A123" ca="1">IFERROR(TRANSPOSE(INDIRECT('MS section版配(Old)'!$AO123)),"")</f>
        <v/>
      </c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397" t="str">
        <f>IFERROR(VLOOKUP($AQ123,'(勿動)組件目錄表'!$D$15:$R$1094,4,FALSE),"")</f>
        <v/>
      </c>
      <c r="AF123" s="384"/>
      <c r="AG123" s="384"/>
      <c r="AH123" s="384"/>
      <c r="AI123" s="384"/>
      <c r="AJ123" s="385"/>
      <c r="AK123" s="54" t="b">
        <v>0</v>
      </c>
      <c r="AL123" s="54" t="b">
        <v>0</v>
      </c>
      <c r="AM123" s="54"/>
      <c r="AN123" s="7" t="str">
        <v>115</v>
      </c>
      <c r="AO123" s="7"/>
      <c r="AP123" s="62"/>
      <c r="AQ123" s="75" t="str">
        <v/>
      </c>
      <c r="AR123" s="75" t="str">
        <v>-</v>
      </c>
      <c r="AS123" s="11"/>
      <c r="AT123" s="77" t="str">
        <v>-</v>
      </c>
      <c r="AU123" s="11" t="str">
        <v>-</v>
      </c>
      <c r="AV123" s="100"/>
      <c r="AW123" s="80" t="str">
        <f ca="1"/>
        <v>-</v>
      </c>
      <c r="AX123" s="86" t="b">
        <v>0</v>
      </c>
      <c r="AY123" s="68" t="str">
        <f t="shared" si="0"/>
        <v/>
      </c>
      <c r="AZ123" s="69" t="str">
        <f t="shared" si="1"/>
        <v/>
      </c>
      <c r="BA123" s="70" t="str">
        <f t="shared" si="2"/>
        <v/>
      </c>
      <c r="BB123" s="68" t="str">
        <f t="shared" si="3"/>
        <v/>
      </c>
      <c r="BC123" s="69" t="str">
        <f>IFERROR(VLOOKUP($AQ123,'(勿動)組件目錄表'!$D$15:$R$1094,7,FALSE),"")</f>
        <v/>
      </c>
      <c r="BD123" s="69" t="str">
        <f>IFERROR(VLOOKUP($AQ123,'(勿動)組件目錄表'!$D$15:$R$1094,8,FALSE),"")</f>
        <v/>
      </c>
      <c r="BE123" s="69" t="str">
        <f>IFERROR(VLOOKUP($AQ123,'(勿動)組件目錄表'!$D$15:$R$1094,9,FALSE),"")</f>
        <v/>
      </c>
      <c r="BF123" s="69" t="str">
        <f>IFERROR(VLOOKUP($AQ123,'(勿動)組件目錄表'!$D$15:$R$1094,10,FALSE),"")</f>
        <v/>
      </c>
      <c r="BG123" s="69" t="str">
        <f>IFERROR(VLOOKUP($AQ123,'(勿動)組件目錄表'!$D$15:$R$1094,11,FALSE),"")</f>
        <v/>
      </c>
      <c r="BH123" s="69" t="str">
        <f>IFERROR(VLOOKUP($AQ123,'(勿動)組件目錄表'!$D$15:$R$1094,12,FALSE),"")</f>
        <v/>
      </c>
      <c r="BI123" s="69" t="str">
        <f>IFERROR(VLOOKUP($AQ123,'(勿動)組件目錄表'!$D$15:$R$1094,13,FALSE),"")</f>
        <v/>
      </c>
      <c r="BJ123" s="69" t="str">
        <f>IFERROR(VLOOKUP($AQ123,'(勿動)組件目錄表'!$D$15:$R$1094,14,FALSE),"")</f>
        <v/>
      </c>
      <c r="BK123" s="69" t="str">
        <f>IFERROR(VLOOKUP($AQ123,'(勿動)組件目錄表'!$D$15:$R$1094,15,FALSE),"")</f>
        <v/>
      </c>
      <c r="BL123" s="81">
        <f ca="1">IFERROR(__xludf.DUMMYFUNCTION("IFERROR(
  LET(
    rowData, FILTER('(勿動)組件目錄表'!J:Q, '(勿動)組件目錄表'!D:D=AQ123),
    IF(ROWS(rowData)=0, 0, 
      (
        IF(AND(BC123&lt;&gt;"""", INDEX(rowData,1,1)=BC123),1,0) +
        IF(AND(BD123&lt;&gt;"""", INDEX(rowData,1,2)=BD123),1,0) +
        IF(AND(BE123"&amp;"&lt;&gt;"""", INDEX(rowData,1,3)=BE123),1,0) +
        IF(AND(BF123&lt;&gt;"""", INDEX(rowData,1,4)=BF123),1,0) +
        IF(AND(BG123&lt;&gt;"""", INDEX(rowData,1,5)=BG123),1,0) +
        IF(AND(BH123&lt;&gt;"""", INDEX(rowData,1,6)=BH123),1,0) +
        IF(AND(BI123&lt;&gt;"""", IND"&amp;"EX(rowData,1,7)=BI123),1,0) +
        IF(AND(BJ123&lt;&gt;"""", INDEX(rowData,1,8)=BJ123),1,0)
      ) - COUNTIF(BC123:BJ123, ""-"")
        - COUNTIF(BC123:BJ123, ""固定格式，不需提供資訊"")
        - COUNTIF(BC123:BJ123, ""由MKT更新，此欄位固定格式，不需提供資訊
(Voucher CID：12917705872)"&amp;""")
        - COUNTIF(BC123:BJ123, ""text固定為以下：
※直播間僅支援手機版"")
        - COUNTIF(BC123:BJ123, ""text固定為以下：
※短影音僅支援手機版"")
    )
  ), 
  0
)
"),0)</f>
        <v>0</v>
      </c>
      <c r="BM123" s="77" t="b">
        <v>0</v>
      </c>
      <c r="BN123" s="85"/>
      <c r="BO123" s="85"/>
    </row>
    <row r="124" spans="1:67" ht="30" customHeight="1">
      <c r="A124" s="73" t="str">
        <f t="array" aca="1" ref="A124" ca="1">IFERROR(TRANSPOSE(INDIRECT('MS section版配(Old)'!$AO124)),"")</f>
        <v/>
      </c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  <c r="AA124" s="87"/>
      <c r="AB124" s="87"/>
      <c r="AC124" s="87"/>
      <c r="AD124" s="87"/>
      <c r="AE124" s="397" t="str">
        <f>IFERROR(VLOOKUP($AQ124,'(勿動)組件目錄表'!$D$15:$R$1094,4,FALSE),"")</f>
        <v/>
      </c>
      <c r="AF124" s="384"/>
      <c r="AG124" s="384"/>
      <c r="AH124" s="384"/>
      <c r="AI124" s="384"/>
      <c r="AJ124" s="385"/>
      <c r="AK124" s="54" t="b">
        <v>0</v>
      </c>
      <c r="AL124" s="54" t="b">
        <v>0</v>
      </c>
      <c r="AM124" s="54"/>
      <c r="AN124" s="7" t="str">
        <v>116</v>
      </c>
      <c r="AO124" s="7"/>
      <c r="AP124" s="62"/>
      <c r="AQ124" s="75" t="str">
        <v/>
      </c>
      <c r="AR124" s="75" t="str">
        <v>-</v>
      </c>
      <c r="AS124" s="11"/>
      <c r="AT124" s="77" t="str">
        <v>-</v>
      </c>
      <c r="AU124" s="11" t="str">
        <v>-</v>
      </c>
      <c r="AV124" s="100"/>
      <c r="AW124" s="80" t="str">
        <f ca="1"/>
        <v>-</v>
      </c>
      <c r="AX124" s="86" t="b">
        <v>0</v>
      </c>
      <c r="AY124" s="68" t="str">
        <f t="shared" si="0"/>
        <v/>
      </c>
      <c r="AZ124" s="69" t="str">
        <f t="shared" si="1"/>
        <v/>
      </c>
      <c r="BA124" s="70" t="str">
        <f t="shared" si="2"/>
        <v/>
      </c>
      <c r="BB124" s="68" t="str">
        <f t="shared" si="3"/>
        <v/>
      </c>
      <c r="BC124" s="69" t="str">
        <f>IFERROR(VLOOKUP($AQ124,'(勿動)組件目錄表'!$D$15:$R$1094,7,FALSE),"")</f>
        <v/>
      </c>
      <c r="BD124" s="69" t="str">
        <f>IFERROR(VLOOKUP($AQ124,'(勿動)組件目錄表'!$D$15:$R$1094,8,FALSE),"")</f>
        <v/>
      </c>
      <c r="BE124" s="69" t="str">
        <f>IFERROR(VLOOKUP($AQ124,'(勿動)組件目錄表'!$D$15:$R$1094,9,FALSE),"")</f>
        <v/>
      </c>
      <c r="BF124" s="69" t="str">
        <f>IFERROR(VLOOKUP($AQ124,'(勿動)組件目錄表'!$D$15:$R$1094,10,FALSE),"")</f>
        <v/>
      </c>
      <c r="BG124" s="69" t="str">
        <f>IFERROR(VLOOKUP($AQ124,'(勿動)組件目錄表'!$D$15:$R$1094,11,FALSE),"")</f>
        <v/>
      </c>
      <c r="BH124" s="69" t="str">
        <f>IFERROR(VLOOKUP($AQ124,'(勿動)組件目錄表'!$D$15:$R$1094,12,FALSE),"")</f>
        <v/>
      </c>
      <c r="BI124" s="69" t="str">
        <f>IFERROR(VLOOKUP($AQ124,'(勿動)組件目錄表'!$D$15:$R$1094,13,FALSE),"")</f>
        <v/>
      </c>
      <c r="BJ124" s="69" t="str">
        <f>IFERROR(VLOOKUP($AQ124,'(勿動)組件目錄表'!$D$15:$R$1094,14,FALSE),"")</f>
        <v/>
      </c>
      <c r="BK124" s="69" t="str">
        <f>IFERROR(VLOOKUP($AQ124,'(勿動)組件目錄表'!$D$15:$R$1094,15,FALSE),"")</f>
        <v/>
      </c>
      <c r="BL124" s="81">
        <f ca="1">IFERROR(__xludf.DUMMYFUNCTION("IFERROR(
  LET(
    rowData, FILTER('(勿動)組件目錄表'!J:Q, '(勿動)組件目錄表'!D:D=AQ124),
    IF(ROWS(rowData)=0, 0, 
      (
        IF(AND(BC124&lt;&gt;"""", INDEX(rowData,1,1)=BC124),1,0) +
        IF(AND(BD124&lt;&gt;"""", INDEX(rowData,1,2)=BD124),1,0) +
        IF(AND(BE124"&amp;"&lt;&gt;"""", INDEX(rowData,1,3)=BE124),1,0) +
        IF(AND(BF124&lt;&gt;"""", INDEX(rowData,1,4)=BF124),1,0) +
        IF(AND(BG124&lt;&gt;"""", INDEX(rowData,1,5)=BG124),1,0) +
        IF(AND(BH124&lt;&gt;"""", INDEX(rowData,1,6)=BH124),1,0) +
        IF(AND(BI124&lt;&gt;"""", IND"&amp;"EX(rowData,1,7)=BI124),1,0) +
        IF(AND(BJ124&lt;&gt;"""", INDEX(rowData,1,8)=BJ124),1,0)
      ) - COUNTIF(BC124:BJ124, ""-"")
        - COUNTIF(BC124:BJ124, ""固定格式，不需提供資訊"")
        - COUNTIF(BC124:BJ124, ""由MKT更新，此欄位固定格式，不需提供資訊
(Voucher CID：12917705872)"&amp;""")
        - COUNTIF(BC124:BJ124, ""text固定為以下：
※直播間僅支援手機版"")
        - COUNTIF(BC124:BJ124, ""text固定為以下：
※短影音僅支援手機版"")
    )
  ), 
  0
)
"),0)</f>
        <v>0</v>
      </c>
      <c r="BM124" s="77" t="b">
        <v>0</v>
      </c>
      <c r="BN124" s="85"/>
      <c r="BO124" s="85"/>
    </row>
    <row r="125" spans="1:67" ht="30" customHeight="1">
      <c r="A125" s="73" t="str">
        <f t="array" aca="1" ref="A125" ca="1">IFERROR(TRANSPOSE(INDIRECT('MS section版配(Old)'!$AO125)),"")</f>
        <v/>
      </c>
      <c r="B125" s="9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397" t="str">
        <f>IFERROR(VLOOKUP($AQ125,'(勿動)組件目錄表'!$D$15:$R$1094,4,FALSE),"")</f>
        <v/>
      </c>
      <c r="AF125" s="384"/>
      <c r="AG125" s="384"/>
      <c r="AH125" s="384"/>
      <c r="AI125" s="384"/>
      <c r="AJ125" s="385"/>
      <c r="AK125" s="54" t="b">
        <v>0</v>
      </c>
      <c r="AL125" s="54" t="b">
        <v>0</v>
      </c>
      <c r="AM125" s="54"/>
      <c r="AN125" s="7" t="str">
        <v>117</v>
      </c>
      <c r="AO125" s="7"/>
      <c r="AP125" s="62"/>
      <c r="AQ125" s="75" t="str">
        <v/>
      </c>
      <c r="AR125" s="75" t="str">
        <v>-</v>
      </c>
      <c r="AS125" s="11"/>
      <c r="AT125" s="77" t="str">
        <v>-</v>
      </c>
      <c r="AU125" s="11" t="str">
        <v>-</v>
      </c>
      <c r="AV125" s="100"/>
      <c r="AW125" s="80" t="str">
        <f ca="1"/>
        <v>-</v>
      </c>
      <c r="AX125" s="86" t="b">
        <v>0</v>
      </c>
      <c r="AY125" s="68" t="str">
        <f t="shared" si="0"/>
        <v/>
      </c>
      <c r="AZ125" s="69" t="str">
        <f t="shared" si="1"/>
        <v/>
      </c>
      <c r="BA125" s="70" t="str">
        <f t="shared" si="2"/>
        <v/>
      </c>
      <c r="BB125" s="68" t="str">
        <f t="shared" si="3"/>
        <v/>
      </c>
      <c r="BC125" s="69" t="str">
        <f>IFERROR(VLOOKUP($AQ125,'(勿動)組件目錄表'!$D$15:$R$1094,7,FALSE),"")</f>
        <v/>
      </c>
      <c r="BD125" s="69" t="str">
        <f>IFERROR(VLOOKUP($AQ125,'(勿動)組件目錄表'!$D$15:$R$1094,8,FALSE),"")</f>
        <v/>
      </c>
      <c r="BE125" s="69" t="str">
        <f>IFERROR(VLOOKUP($AQ125,'(勿動)組件目錄表'!$D$15:$R$1094,9,FALSE),"")</f>
        <v/>
      </c>
      <c r="BF125" s="69" t="str">
        <f>IFERROR(VLOOKUP($AQ125,'(勿動)組件目錄表'!$D$15:$R$1094,10,FALSE),"")</f>
        <v/>
      </c>
      <c r="BG125" s="69" t="str">
        <f>IFERROR(VLOOKUP($AQ125,'(勿動)組件目錄表'!$D$15:$R$1094,11,FALSE),"")</f>
        <v/>
      </c>
      <c r="BH125" s="69" t="str">
        <f>IFERROR(VLOOKUP($AQ125,'(勿動)組件目錄表'!$D$15:$R$1094,12,FALSE),"")</f>
        <v/>
      </c>
      <c r="BI125" s="69" t="str">
        <f>IFERROR(VLOOKUP($AQ125,'(勿動)組件目錄表'!$D$15:$R$1094,13,FALSE),"")</f>
        <v/>
      </c>
      <c r="BJ125" s="69" t="str">
        <f>IFERROR(VLOOKUP($AQ125,'(勿動)組件目錄表'!$D$15:$R$1094,14,FALSE),"")</f>
        <v/>
      </c>
      <c r="BK125" s="69" t="str">
        <f>IFERROR(VLOOKUP($AQ125,'(勿動)組件目錄表'!$D$15:$R$1094,15,FALSE),"")</f>
        <v/>
      </c>
      <c r="BL125" s="81">
        <f ca="1">IFERROR(__xludf.DUMMYFUNCTION("IFERROR(
  LET(
    rowData, FILTER('(勿動)組件目錄表'!J:Q, '(勿動)組件目錄表'!D:D=AQ125),
    IF(ROWS(rowData)=0, 0, 
      (
        IF(AND(BC125&lt;&gt;"""", INDEX(rowData,1,1)=BC125),1,0) +
        IF(AND(BD125&lt;&gt;"""", INDEX(rowData,1,2)=BD125),1,0) +
        IF(AND(BE125"&amp;"&lt;&gt;"""", INDEX(rowData,1,3)=BE125),1,0) +
        IF(AND(BF125&lt;&gt;"""", INDEX(rowData,1,4)=BF125),1,0) +
        IF(AND(BG125&lt;&gt;"""", INDEX(rowData,1,5)=BG125),1,0) +
        IF(AND(BH125&lt;&gt;"""", INDEX(rowData,1,6)=BH125),1,0) +
        IF(AND(BI125&lt;&gt;"""", IND"&amp;"EX(rowData,1,7)=BI125),1,0) +
        IF(AND(BJ125&lt;&gt;"""", INDEX(rowData,1,8)=BJ125),1,0)
      ) - COUNTIF(BC125:BJ125, ""-"")
        - COUNTIF(BC125:BJ125, ""固定格式，不需提供資訊"")
        - COUNTIF(BC125:BJ125, ""由MKT更新，此欄位固定格式，不需提供資訊
(Voucher CID：12917705872)"&amp;""")
        - COUNTIF(BC125:BJ125, ""text固定為以下：
※直播間僅支援手機版"")
        - COUNTIF(BC125:BJ125, ""text固定為以下：
※短影音僅支援手機版"")
    )
  ), 
  0
)
"),0)</f>
        <v>0</v>
      </c>
      <c r="BM125" s="77" t="b">
        <v>0</v>
      </c>
      <c r="BN125" s="85"/>
      <c r="BO125" s="85"/>
    </row>
    <row r="126" spans="1:67" ht="30" customHeight="1">
      <c r="A126" s="73" t="str">
        <f t="array" aca="1" ref="A126" ca="1">IFERROR(TRANSPOSE(INDIRECT('MS section版配(Old)'!$AO126)),"")</f>
        <v/>
      </c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  <c r="AA126" s="87"/>
      <c r="AB126" s="87"/>
      <c r="AC126" s="87"/>
      <c r="AD126" s="87"/>
      <c r="AE126" s="397" t="str">
        <f>IFERROR(VLOOKUP($AQ126,'(勿動)組件目錄表'!$D$15:$R$1094,4,FALSE),"")</f>
        <v/>
      </c>
      <c r="AF126" s="384"/>
      <c r="AG126" s="384"/>
      <c r="AH126" s="384"/>
      <c r="AI126" s="384"/>
      <c r="AJ126" s="385"/>
      <c r="AK126" s="54" t="b">
        <v>0</v>
      </c>
      <c r="AL126" s="54" t="b">
        <v>0</v>
      </c>
      <c r="AM126" s="54"/>
      <c r="AN126" s="7" t="str">
        <v>118</v>
      </c>
      <c r="AO126" s="7"/>
      <c r="AP126" s="62"/>
      <c r="AQ126" s="75" t="str">
        <v/>
      </c>
      <c r="AR126" s="75" t="str">
        <v>-</v>
      </c>
      <c r="AS126" s="11"/>
      <c r="AT126" s="77" t="str">
        <v>-</v>
      </c>
      <c r="AU126" s="11" t="str">
        <v>-</v>
      </c>
      <c r="AV126" s="100"/>
      <c r="AW126" s="80" t="str">
        <f ca="1"/>
        <v>-</v>
      </c>
      <c r="AX126" s="86" t="b">
        <v>0</v>
      </c>
      <c r="AY126" s="68" t="str">
        <f t="shared" si="0"/>
        <v/>
      </c>
      <c r="AZ126" s="69" t="str">
        <f t="shared" si="1"/>
        <v/>
      </c>
      <c r="BA126" s="70" t="str">
        <f t="shared" si="2"/>
        <v/>
      </c>
      <c r="BB126" s="68" t="str">
        <f t="shared" si="3"/>
        <v/>
      </c>
      <c r="BC126" s="69" t="str">
        <f>IFERROR(VLOOKUP($AQ126,'(勿動)組件目錄表'!$D$15:$R$1094,7,FALSE),"")</f>
        <v/>
      </c>
      <c r="BD126" s="69" t="str">
        <f>IFERROR(VLOOKUP($AQ126,'(勿動)組件目錄表'!$D$15:$R$1094,8,FALSE),"")</f>
        <v/>
      </c>
      <c r="BE126" s="69" t="str">
        <f>IFERROR(VLOOKUP($AQ126,'(勿動)組件目錄表'!$D$15:$R$1094,9,FALSE),"")</f>
        <v/>
      </c>
      <c r="BF126" s="69" t="str">
        <f>IFERROR(VLOOKUP($AQ126,'(勿動)組件目錄表'!$D$15:$R$1094,10,FALSE),"")</f>
        <v/>
      </c>
      <c r="BG126" s="69" t="str">
        <f>IFERROR(VLOOKUP($AQ126,'(勿動)組件目錄表'!$D$15:$R$1094,11,FALSE),"")</f>
        <v/>
      </c>
      <c r="BH126" s="69" t="str">
        <f>IFERROR(VLOOKUP($AQ126,'(勿動)組件目錄表'!$D$15:$R$1094,12,FALSE),"")</f>
        <v/>
      </c>
      <c r="BI126" s="69" t="str">
        <f>IFERROR(VLOOKUP($AQ126,'(勿動)組件目錄表'!$D$15:$R$1094,13,FALSE),"")</f>
        <v/>
      </c>
      <c r="BJ126" s="69" t="str">
        <f>IFERROR(VLOOKUP($AQ126,'(勿動)組件目錄表'!$D$15:$R$1094,14,FALSE),"")</f>
        <v/>
      </c>
      <c r="BK126" s="69" t="str">
        <f>IFERROR(VLOOKUP($AQ126,'(勿動)組件目錄表'!$D$15:$R$1094,15,FALSE),"")</f>
        <v/>
      </c>
      <c r="BL126" s="81">
        <f ca="1">IFERROR(__xludf.DUMMYFUNCTION("IFERROR(
  LET(
    rowData, FILTER('(勿動)組件目錄表'!J:Q, '(勿動)組件目錄表'!D:D=AQ126),
    IF(ROWS(rowData)=0, 0, 
      (
        IF(AND(BC126&lt;&gt;"""", INDEX(rowData,1,1)=BC126),1,0) +
        IF(AND(BD126&lt;&gt;"""", INDEX(rowData,1,2)=BD126),1,0) +
        IF(AND(BE126"&amp;"&lt;&gt;"""", INDEX(rowData,1,3)=BE126),1,0) +
        IF(AND(BF126&lt;&gt;"""", INDEX(rowData,1,4)=BF126),1,0) +
        IF(AND(BG126&lt;&gt;"""", INDEX(rowData,1,5)=BG126),1,0) +
        IF(AND(BH126&lt;&gt;"""", INDEX(rowData,1,6)=BH126),1,0) +
        IF(AND(BI126&lt;&gt;"""", IND"&amp;"EX(rowData,1,7)=BI126),1,0) +
        IF(AND(BJ126&lt;&gt;"""", INDEX(rowData,1,8)=BJ126),1,0)
      ) - COUNTIF(BC126:BJ126, ""-"")
        - COUNTIF(BC126:BJ126, ""固定格式，不需提供資訊"")
        - COUNTIF(BC126:BJ126, ""由MKT更新，此欄位固定格式，不需提供資訊
(Voucher CID：12917705872)"&amp;""")
        - COUNTIF(BC126:BJ126, ""text固定為以下：
※直播間僅支援手機版"")
        - COUNTIF(BC126:BJ126, ""text固定為以下：
※短影音僅支援手機版"")
    )
  ), 
  0
)
"),0)</f>
        <v>0</v>
      </c>
      <c r="BM126" s="77" t="b">
        <v>0</v>
      </c>
      <c r="BN126" s="85"/>
      <c r="BO126" s="85"/>
    </row>
    <row r="127" spans="1:67" ht="30" customHeight="1">
      <c r="A127" s="73" t="str">
        <f t="array" aca="1" ref="A127" ca="1">IFERROR(TRANSPOSE(INDIRECT('MS section版配(Old)'!$AO127)),"")</f>
        <v/>
      </c>
      <c r="B127" s="9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  <c r="AB127" s="93"/>
      <c r="AC127" s="93"/>
      <c r="AD127" s="93"/>
      <c r="AE127" s="397" t="str">
        <f>IFERROR(VLOOKUP($AQ127,'(勿動)組件目錄表'!$D$15:$R$1094,4,FALSE),"")</f>
        <v/>
      </c>
      <c r="AF127" s="384"/>
      <c r="AG127" s="384"/>
      <c r="AH127" s="384"/>
      <c r="AI127" s="384"/>
      <c r="AJ127" s="385"/>
      <c r="AK127" s="54" t="b">
        <v>0</v>
      </c>
      <c r="AL127" s="54" t="b">
        <v>0</v>
      </c>
      <c r="AM127" s="54"/>
      <c r="AN127" s="7" t="str">
        <v>119</v>
      </c>
      <c r="AO127" s="7"/>
      <c r="AP127" s="62"/>
      <c r="AQ127" s="75" t="str">
        <v/>
      </c>
      <c r="AR127" s="75" t="str">
        <v>-</v>
      </c>
      <c r="AS127" s="11"/>
      <c r="AT127" s="77" t="str">
        <v>-</v>
      </c>
      <c r="AU127" s="11" t="str">
        <v>-</v>
      </c>
      <c r="AV127" s="100"/>
      <c r="AW127" s="80" t="str">
        <f ca="1"/>
        <v>-</v>
      </c>
      <c r="AX127" s="86" t="b">
        <v>0</v>
      </c>
      <c r="AY127" s="68" t="str">
        <f t="shared" si="0"/>
        <v/>
      </c>
      <c r="AZ127" s="69" t="str">
        <f t="shared" si="1"/>
        <v/>
      </c>
      <c r="BA127" s="70" t="str">
        <f t="shared" si="2"/>
        <v/>
      </c>
      <c r="BB127" s="68" t="str">
        <f t="shared" si="3"/>
        <v/>
      </c>
      <c r="BC127" s="69" t="str">
        <f>IFERROR(VLOOKUP($AQ127,'(勿動)組件目錄表'!$D$15:$R$1094,7,FALSE),"")</f>
        <v/>
      </c>
      <c r="BD127" s="69" t="str">
        <f>IFERROR(VLOOKUP($AQ127,'(勿動)組件目錄表'!$D$15:$R$1094,8,FALSE),"")</f>
        <v/>
      </c>
      <c r="BE127" s="69" t="str">
        <f>IFERROR(VLOOKUP($AQ127,'(勿動)組件目錄表'!$D$15:$R$1094,9,FALSE),"")</f>
        <v/>
      </c>
      <c r="BF127" s="69" t="str">
        <f>IFERROR(VLOOKUP($AQ127,'(勿動)組件目錄表'!$D$15:$R$1094,10,FALSE),"")</f>
        <v/>
      </c>
      <c r="BG127" s="69" t="str">
        <f>IFERROR(VLOOKUP($AQ127,'(勿動)組件目錄表'!$D$15:$R$1094,11,FALSE),"")</f>
        <v/>
      </c>
      <c r="BH127" s="69" t="str">
        <f>IFERROR(VLOOKUP($AQ127,'(勿動)組件目錄表'!$D$15:$R$1094,12,FALSE),"")</f>
        <v/>
      </c>
      <c r="BI127" s="69" t="str">
        <f>IFERROR(VLOOKUP($AQ127,'(勿動)組件目錄表'!$D$15:$R$1094,13,FALSE),"")</f>
        <v/>
      </c>
      <c r="BJ127" s="69" t="str">
        <f>IFERROR(VLOOKUP($AQ127,'(勿動)組件目錄表'!$D$15:$R$1094,14,FALSE),"")</f>
        <v/>
      </c>
      <c r="BK127" s="69" t="str">
        <f>IFERROR(VLOOKUP($AQ127,'(勿動)組件目錄表'!$D$15:$R$1094,15,FALSE),"")</f>
        <v/>
      </c>
      <c r="BL127" s="81">
        <f ca="1">IFERROR(__xludf.DUMMYFUNCTION("IFERROR(
  LET(
    rowData, FILTER('(勿動)組件目錄表'!J:Q, '(勿動)組件目錄表'!D:D=AQ127),
    IF(ROWS(rowData)=0, 0, 
      (
        IF(AND(BC127&lt;&gt;"""", INDEX(rowData,1,1)=BC127),1,0) +
        IF(AND(BD127&lt;&gt;"""", INDEX(rowData,1,2)=BD127),1,0) +
        IF(AND(BE127"&amp;"&lt;&gt;"""", INDEX(rowData,1,3)=BE127),1,0) +
        IF(AND(BF127&lt;&gt;"""", INDEX(rowData,1,4)=BF127),1,0) +
        IF(AND(BG127&lt;&gt;"""", INDEX(rowData,1,5)=BG127),1,0) +
        IF(AND(BH127&lt;&gt;"""", INDEX(rowData,1,6)=BH127),1,0) +
        IF(AND(BI127&lt;&gt;"""", IND"&amp;"EX(rowData,1,7)=BI127),1,0) +
        IF(AND(BJ127&lt;&gt;"""", INDEX(rowData,1,8)=BJ127),1,0)
      ) - COUNTIF(BC127:BJ127, ""-"")
        - COUNTIF(BC127:BJ127, ""固定格式，不需提供資訊"")
        - COUNTIF(BC127:BJ127, ""由MKT更新，此欄位固定格式，不需提供資訊
(Voucher CID：12917705872)"&amp;""")
        - COUNTIF(BC127:BJ127, ""text固定為以下：
※直播間僅支援手機版"")
        - COUNTIF(BC127:BJ127, ""text固定為以下：
※短影音僅支援手機版"")
    )
  ), 
  0
)
"),0)</f>
        <v>0</v>
      </c>
      <c r="BM127" s="77" t="b">
        <v>0</v>
      </c>
      <c r="BN127" s="85"/>
      <c r="BO127" s="85"/>
    </row>
    <row r="128" spans="1:67" ht="30" customHeight="1">
      <c r="A128" s="73" t="str">
        <f t="array" aca="1" ref="A128" ca="1">IFERROR(TRANSPOSE(INDIRECT('MS section版配(Old)'!$AO128)),"")</f>
        <v/>
      </c>
      <c r="B128" s="9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  <c r="AA128" s="93"/>
      <c r="AB128" s="93"/>
      <c r="AC128" s="93"/>
      <c r="AD128" s="93"/>
      <c r="AE128" s="397" t="str">
        <f>IFERROR(VLOOKUP($AQ128,'(勿動)組件目錄表'!$D$15:$R$1094,4,FALSE),"")</f>
        <v/>
      </c>
      <c r="AF128" s="384"/>
      <c r="AG128" s="384"/>
      <c r="AH128" s="384"/>
      <c r="AI128" s="384"/>
      <c r="AJ128" s="385"/>
      <c r="AK128" s="54" t="b">
        <v>0</v>
      </c>
      <c r="AL128" s="54" t="b">
        <v>0</v>
      </c>
      <c r="AM128" s="54"/>
      <c r="AN128" s="7" t="str">
        <v>120</v>
      </c>
      <c r="AO128" s="7"/>
      <c r="AP128" s="62"/>
      <c r="AQ128" s="75" t="str">
        <v/>
      </c>
      <c r="AR128" s="75" t="str">
        <v>-</v>
      </c>
      <c r="AS128" s="11"/>
      <c r="AT128" s="77" t="str">
        <v>-</v>
      </c>
      <c r="AU128" s="11" t="str">
        <v>-</v>
      </c>
      <c r="AV128" s="100"/>
      <c r="AW128" s="80" t="str">
        <f ca="1"/>
        <v>-</v>
      </c>
      <c r="AX128" s="86" t="b">
        <v>0</v>
      </c>
      <c r="AY128" s="68" t="str">
        <f t="shared" si="0"/>
        <v/>
      </c>
      <c r="AZ128" s="69" t="str">
        <f t="shared" si="1"/>
        <v/>
      </c>
      <c r="BA128" s="70" t="str">
        <f t="shared" si="2"/>
        <v/>
      </c>
      <c r="BB128" s="68" t="str">
        <f t="shared" si="3"/>
        <v/>
      </c>
      <c r="BC128" s="69" t="str">
        <f>IFERROR(VLOOKUP($AQ128,'(勿動)組件目錄表'!$D$15:$R$1094,7,FALSE),"")</f>
        <v/>
      </c>
      <c r="BD128" s="69" t="str">
        <f>IFERROR(VLOOKUP($AQ128,'(勿動)組件目錄表'!$D$15:$R$1094,8,FALSE),"")</f>
        <v/>
      </c>
      <c r="BE128" s="69" t="str">
        <f>IFERROR(VLOOKUP($AQ128,'(勿動)組件目錄表'!$D$15:$R$1094,9,FALSE),"")</f>
        <v/>
      </c>
      <c r="BF128" s="69" t="str">
        <f>IFERROR(VLOOKUP($AQ128,'(勿動)組件目錄表'!$D$15:$R$1094,10,FALSE),"")</f>
        <v/>
      </c>
      <c r="BG128" s="69" t="str">
        <f>IFERROR(VLOOKUP($AQ128,'(勿動)組件目錄表'!$D$15:$R$1094,11,FALSE),"")</f>
        <v/>
      </c>
      <c r="BH128" s="69" t="str">
        <f>IFERROR(VLOOKUP($AQ128,'(勿動)組件目錄表'!$D$15:$R$1094,12,FALSE),"")</f>
        <v/>
      </c>
      <c r="BI128" s="69" t="str">
        <f>IFERROR(VLOOKUP($AQ128,'(勿動)組件目錄表'!$D$15:$R$1094,13,FALSE),"")</f>
        <v/>
      </c>
      <c r="BJ128" s="69" t="str">
        <f>IFERROR(VLOOKUP($AQ128,'(勿動)組件目錄表'!$D$15:$R$1094,14,FALSE),"")</f>
        <v/>
      </c>
      <c r="BK128" s="69" t="str">
        <f>IFERROR(VLOOKUP($AQ128,'(勿動)組件目錄表'!$D$15:$R$1094,15,FALSE),"")</f>
        <v/>
      </c>
      <c r="BL128" s="81">
        <f ca="1">IFERROR(__xludf.DUMMYFUNCTION("IFERROR(
  LET(
    rowData, FILTER('(勿動)組件目錄表'!J:Q, '(勿動)組件目錄表'!D:D=AQ128),
    IF(ROWS(rowData)=0, 0, 
      (
        IF(AND(BC128&lt;&gt;"""", INDEX(rowData,1,1)=BC128),1,0) +
        IF(AND(BD128&lt;&gt;"""", INDEX(rowData,1,2)=BD128),1,0) +
        IF(AND(BE128"&amp;"&lt;&gt;"""", INDEX(rowData,1,3)=BE128),1,0) +
        IF(AND(BF128&lt;&gt;"""", INDEX(rowData,1,4)=BF128),1,0) +
        IF(AND(BG128&lt;&gt;"""", INDEX(rowData,1,5)=BG128),1,0) +
        IF(AND(BH128&lt;&gt;"""", INDEX(rowData,1,6)=BH128),1,0) +
        IF(AND(BI128&lt;&gt;"""", IND"&amp;"EX(rowData,1,7)=BI128),1,0) +
        IF(AND(BJ128&lt;&gt;"""", INDEX(rowData,1,8)=BJ128),1,0)
      ) - COUNTIF(BC128:BJ128, ""-"")
        - COUNTIF(BC128:BJ128, ""固定格式，不需提供資訊"")
        - COUNTIF(BC128:BJ128, ""由MKT更新，此欄位固定格式，不需提供資訊
(Voucher CID：12917705872)"&amp;""")
        - COUNTIF(BC128:BJ128, ""text固定為以下：
※直播間僅支援手機版"")
        - COUNTIF(BC128:BJ128, ""text固定為以下：
※短影音僅支援手機版"")
    )
  ), 
  0
)
"),0)</f>
        <v>0</v>
      </c>
      <c r="BM128" s="77" t="b">
        <v>0</v>
      </c>
      <c r="BN128" s="85"/>
      <c r="BO128" s="85"/>
    </row>
    <row r="129" spans="1:67" ht="30" customHeight="1">
      <c r="A129" s="73" t="str">
        <f t="array" aca="1" ref="A129" ca="1">IFERROR(TRANSPOSE(INDIRECT('MS section版配(Old)'!$AO129)),"")</f>
        <v/>
      </c>
      <c r="B129" s="9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  <c r="S129" s="93"/>
      <c r="T129" s="93"/>
      <c r="U129" s="93"/>
      <c r="V129" s="93"/>
      <c r="W129" s="93"/>
      <c r="X129" s="93"/>
      <c r="Y129" s="93"/>
      <c r="Z129" s="93"/>
      <c r="AA129" s="93"/>
      <c r="AB129" s="93"/>
      <c r="AC129" s="93"/>
      <c r="AD129" s="93"/>
      <c r="AE129" s="397" t="str">
        <f>IFERROR(VLOOKUP($AQ129,'(勿動)組件目錄表'!$D$15:$R$1094,4,FALSE),"")</f>
        <v/>
      </c>
      <c r="AF129" s="384"/>
      <c r="AG129" s="384"/>
      <c r="AH129" s="384"/>
      <c r="AI129" s="384"/>
      <c r="AJ129" s="385"/>
      <c r="AK129" s="54" t="b">
        <v>0</v>
      </c>
      <c r="AL129" s="54" t="b">
        <v>0</v>
      </c>
      <c r="AM129" s="54"/>
      <c r="AN129" s="7" t="str">
        <v>121</v>
      </c>
      <c r="AO129" s="7"/>
      <c r="AP129" s="62"/>
      <c r="AQ129" s="75" t="str">
        <v/>
      </c>
      <c r="AR129" s="75" t="str">
        <v>-</v>
      </c>
      <c r="AS129" s="11"/>
      <c r="AT129" s="77" t="str">
        <v>-</v>
      </c>
      <c r="AU129" s="11" t="str">
        <v>-</v>
      </c>
      <c r="AV129" s="100"/>
      <c r="AW129" s="80" t="str">
        <f ca="1"/>
        <v>-</v>
      </c>
      <c r="AX129" s="86" t="b">
        <v>0</v>
      </c>
      <c r="AY129" s="68" t="str">
        <f t="shared" si="0"/>
        <v/>
      </c>
      <c r="AZ129" s="69" t="str">
        <f t="shared" si="1"/>
        <v/>
      </c>
      <c r="BA129" s="70" t="str">
        <f t="shared" si="2"/>
        <v/>
      </c>
      <c r="BB129" s="68" t="str">
        <f t="shared" si="3"/>
        <v/>
      </c>
      <c r="BC129" s="69" t="str">
        <f>IFERROR(VLOOKUP($AQ129,'(勿動)組件目錄表'!$D$15:$R$1094,7,FALSE),"")</f>
        <v/>
      </c>
      <c r="BD129" s="69" t="str">
        <f>IFERROR(VLOOKUP($AQ129,'(勿動)組件目錄表'!$D$15:$R$1094,8,FALSE),"")</f>
        <v/>
      </c>
      <c r="BE129" s="69" t="str">
        <f>IFERROR(VLOOKUP($AQ129,'(勿動)組件目錄表'!$D$15:$R$1094,9,FALSE),"")</f>
        <v/>
      </c>
      <c r="BF129" s="69" t="str">
        <f>IFERROR(VLOOKUP($AQ129,'(勿動)組件目錄表'!$D$15:$R$1094,10,FALSE),"")</f>
        <v/>
      </c>
      <c r="BG129" s="69" t="str">
        <f>IFERROR(VLOOKUP($AQ129,'(勿動)組件目錄表'!$D$15:$R$1094,11,FALSE),"")</f>
        <v/>
      </c>
      <c r="BH129" s="69" t="str">
        <f>IFERROR(VLOOKUP($AQ129,'(勿動)組件目錄表'!$D$15:$R$1094,12,FALSE),"")</f>
        <v/>
      </c>
      <c r="BI129" s="69" t="str">
        <f>IFERROR(VLOOKUP($AQ129,'(勿動)組件目錄表'!$D$15:$R$1094,13,FALSE),"")</f>
        <v/>
      </c>
      <c r="BJ129" s="69" t="str">
        <f>IFERROR(VLOOKUP($AQ129,'(勿動)組件目錄表'!$D$15:$R$1094,14,FALSE),"")</f>
        <v/>
      </c>
      <c r="BK129" s="69" t="str">
        <f>IFERROR(VLOOKUP($AQ129,'(勿動)組件目錄表'!$D$15:$R$1094,15,FALSE),"")</f>
        <v/>
      </c>
      <c r="BL129" s="81">
        <f ca="1">IFERROR(__xludf.DUMMYFUNCTION("IFERROR(
  LET(
    rowData, FILTER('(勿動)組件目錄表'!J:Q, '(勿動)組件目錄表'!D:D=AQ129),
    IF(ROWS(rowData)=0, 0, 
      (
        IF(AND(BC129&lt;&gt;"""", INDEX(rowData,1,1)=BC129),1,0) +
        IF(AND(BD129&lt;&gt;"""", INDEX(rowData,1,2)=BD129),1,0) +
        IF(AND(BE129"&amp;"&lt;&gt;"""", INDEX(rowData,1,3)=BE129),1,0) +
        IF(AND(BF129&lt;&gt;"""", INDEX(rowData,1,4)=BF129),1,0) +
        IF(AND(BG129&lt;&gt;"""", INDEX(rowData,1,5)=BG129),1,0) +
        IF(AND(BH129&lt;&gt;"""", INDEX(rowData,1,6)=BH129),1,0) +
        IF(AND(BI129&lt;&gt;"""", IND"&amp;"EX(rowData,1,7)=BI129),1,0) +
        IF(AND(BJ129&lt;&gt;"""", INDEX(rowData,1,8)=BJ129),1,0)
      ) - COUNTIF(BC129:BJ129, ""-"")
        - COUNTIF(BC129:BJ129, ""固定格式，不需提供資訊"")
        - COUNTIF(BC129:BJ129, ""由MKT更新，此欄位固定格式，不需提供資訊
(Voucher CID：12917705872)"&amp;""")
        - COUNTIF(BC129:BJ129, ""text固定為以下：
※直播間僅支援手機版"")
        - COUNTIF(BC129:BJ129, ""text固定為以下：
※短影音僅支援手機版"")
    )
  ), 
  0
)
"),0)</f>
        <v>0</v>
      </c>
      <c r="BM129" s="77" t="b">
        <v>0</v>
      </c>
      <c r="BN129" s="85"/>
      <c r="BO129" s="85"/>
    </row>
    <row r="130" spans="1:67" ht="30" customHeight="1">
      <c r="A130" s="73" t="str">
        <f t="array" aca="1" ref="A130" ca="1">IFERROR(TRANSPOSE(INDIRECT('MS section版配(Old)'!$AO130)),"")</f>
        <v/>
      </c>
      <c r="B130" s="88"/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88"/>
      <c r="AC130" s="88"/>
      <c r="AD130" s="88"/>
      <c r="AE130" s="397" t="str">
        <f>IFERROR(VLOOKUP($AQ130,'(勿動)組件目錄表'!$D$15:$R$1094,4,FALSE),"")</f>
        <v/>
      </c>
      <c r="AF130" s="384"/>
      <c r="AG130" s="384"/>
      <c r="AH130" s="384"/>
      <c r="AI130" s="384"/>
      <c r="AJ130" s="385"/>
      <c r="AK130" s="54" t="b">
        <v>0</v>
      </c>
      <c r="AL130" s="54" t="b">
        <v>0</v>
      </c>
      <c r="AM130" s="54"/>
      <c r="AN130" s="7" t="str">
        <v>122</v>
      </c>
      <c r="AO130" s="7"/>
      <c r="AP130" s="62"/>
      <c r="AQ130" s="75" t="str">
        <v/>
      </c>
      <c r="AR130" s="75" t="str">
        <v>-</v>
      </c>
      <c r="AS130" s="11"/>
      <c r="AT130" s="77" t="str">
        <v>-</v>
      </c>
      <c r="AU130" s="11" t="str">
        <v>-</v>
      </c>
      <c r="AV130" s="100"/>
      <c r="AW130" s="80" t="str">
        <f ca="1"/>
        <v>-</v>
      </c>
      <c r="AX130" s="86" t="b">
        <v>0</v>
      </c>
      <c r="AY130" s="68" t="str">
        <f t="shared" si="0"/>
        <v/>
      </c>
      <c r="AZ130" s="69" t="str">
        <f t="shared" si="1"/>
        <v/>
      </c>
      <c r="BA130" s="70" t="str">
        <f t="shared" si="2"/>
        <v/>
      </c>
      <c r="BB130" s="68" t="str">
        <f t="shared" si="3"/>
        <v/>
      </c>
      <c r="BC130" s="69" t="str">
        <f>IFERROR(VLOOKUP($AQ130,'(勿動)組件目錄表'!$D$15:$R$1094,7,FALSE),"")</f>
        <v/>
      </c>
      <c r="BD130" s="69" t="str">
        <f>IFERROR(VLOOKUP($AQ130,'(勿動)組件目錄表'!$D$15:$R$1094,8,FALSE),"")</f>
        <v/>
      </c>
      <c r="BE130" s="69" t="str">
        <f>IFERROR(VLOOKUP($AQ130,'(勿動)組件目錄表'!$D$15:$R$1094,9,FALSE),"")</f>
        <v/>
      </c>
      <c r="BF130" s="69" t="str">
        <f>IFERROR(VLOOKUP($AQ130,'(勿動)組件目錄表'!$D$15:$R$1094,10,FALSE),"")</f>
        <v/>
      </c>
      <c r="BG130" s="69" t="str">
        <f>IFERROR(VLOOKUP($AQ130,'(勿動)組件目錄表'!$D$15:$R$1094,11,FALSE),"")</f>
        <v/>
      </c>
      <c r="BH130" s="69" t="str">
        <f>IFERROR(VLOOKUP($AQ130,'(勿動)組件目錄表'!$D$15:$R$1094,12,FALSE),"")</f>
        <v/>
      </c>
      <c r="BI130" s="69" t="str">
        <f>IFERROR(VLOOKUP($AQ130,'(勿動)組件目錄表'!$D$15:$R$1094,13,FALSE),"")</f>
        <v/>
      </c>
      <c r="BJ130" s="69" t="str">
        <f>IFERROR(VLOOKUP($AQ130,'(勿動)組件目錄表'!$D$15:$R$1094,14,FALSE),"")</f>
        <v/>
      </c>
      <c r="BK130" s="69" t="str">
        <f>IFERROR(VLOOKUP($AQ130,'(勿動)組件目錄表'!$D$15:$R$1094,15,FALSE),"")</f>
        <v/>
      </c>
      <c r="BL130" s="81">
        <f ca="1">IFERROR(__xludf.DUMMYFUNCTION("IFERROR(
  LET(
    rowData, FILTER('(勿動)組件目錄表'!J:Q, '(勿動)組件目錄表'!D:D=AQ130),
    IF(ROWS(rowData)=0, 0, 
      (
        IF(AND(BC130&lt;&gt;"""", INDEX(rowData,1,1)=BC130),1,0) +
        IF(AND(BD130&lt;&gt;"""", INDEX(rowData,1,2)=BD130),1,0) +
        IF(AND(BE130"&amp;"&lt;&gt;"""", INDEX(rowData,1,3)=BE130),1,0) +
        IF(AND(BF130&lt;&gt;"""", INDEX(rowData,1,4)=BF130),1,0) +
        IF(AND(BG130&lt;&gt;"""", INDEX(rowData,1,5)=BG130),1,0) +
        IF(AND(BH130&lt;&gt;"""", INDEX(rowData,1,6)=BH130),1,0) +
        IF(AND(BI130&lt;&gt;"""", IND"&amp;"EX(rowData,1,7)=BI130),1,0) +
        IF(AND(BJ130&lt;&gt;"""", INDEX(rowData,1,8)=BJ130),1,0)
      ) - COUNTIF(BC130:BJ130, ""-"")
        - COUNTIF(BC130:BJ130, ""固定格式，不需提供資訊"")
        - COUNTIF(BC130:BJ130, ""由MKT更新，此欄位固定格式，不需提供資訊
(Voucher CID：12917705872)"&amp;""")
        - COUNTIF(BC130:BJ130, ""text固定為以下：
※直播間僅支援手機版"")
        - COUNTIF(BC130:BJ130, ""text固定為以下：
※短影音僅支援手機版"")
    )
  ), 
  0
)
"),0)</f>
        <v>0</v>
      </c>
      <c r="BM130" s="77" t="b">
        <v>0</v>
      </c>
      <c r="BN130" s="85"/>
      <c r="BO130" s="85"/>
    </row>
    <row r="131" spans="1:67" ht="30" customHeight="1">
      <c r="A131" s="73" t="str">
        <f t="array" aca="1" ref="A131" ca="1">IFERROR(TRANSPOSE(INDIRECT('MS section版配(Old)'!$AO131)),"")</f>
        <v/>
      </c>
      <c r="B131" s="88"/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88"/>
      <c r="AC131" s="88"/>
      <c r="AD131" s="88"/>
      <c r="AE131" s="397" t="str">
        <f>IFERROR(VLOOKUP($AQ131,'(勿動)組件目錄表'!$D$15:$R$1094,4,FALSE),"")</f>
        <v/>
      </c>
      <c r="AF131" s="384"/>
      <c r="AG131" s="384"/>
      <c r="AH131" s="384"/>
      <c r="AI131" s="384"/>
      <c r="AJ131" s="385"/>
      <c r="AK131" s="54" t="b">
        <v>0</v>
      </c>
      <c r="AL131" s="54" t="b">
        <v>0</v>
      </c>
      <c r="AM131" s="54"/>
      <c r="AN131" s="7" t="str">
        <v>123</v>
      </c>
      <c r="AO131" s="7"/>
      <c r="AP131" s="62"/>
      <c r="AQ131" s="75" t="str">
        <v/>
      </c>
      <c r="AR131" s="75" t="str">
        <v>-</v>
      </c>
      <c r="AS131" s="11"/>
      <c r="AT131" s="77" t="str">
        <v>-</v>
      </c>
      <c r="AU131" s="11" t="str">
        <v>-</v>
      </c>
      <c r="AV131" s="100"/>
      <c r="AW131" s="80" t="str">
        <f ca="1"/>
        <v>-</v>
      </c>
      <c r="AX131" s="86" t="b">
        <v>0</v>
      </c>
      <c r="AY131" s="68" t="str">
        <f t="shared" si="0"/>
        <v/>
      </c>
      <c r="AZ131" s="69" t="str">
        <f t="shared" si="1"/>
        <v/>
      </c>
      <c r="BA131" s="70" t="str">
        <f t="shared" si="2"/>
        <v/>
      </c>
      <c r="BB131" s="68" t="str">
        <f t="shared" si="3"/>
        <v/>
      </c>
      <c r="BC131" s="69" t="str">
        <f>IFERROR(VLOOKUP($AQ131,'(勿動)組件目錄表'!$D$15:$R$1094,7,FALSE),"")</f>
        <v/>
      </c>
      <c r="BD131" s="69" t="str">
        <f>IFERROR(VLOOKUP($AQ131,'(勿動)組件目錄表'!$D$15:$R$1094,8,FALSE),"")</f>
        <v/>
      </c>
      <c r="BE131" s="69" t="str">
        <f>IFERROR(VLOOKUP($AQ131,'(勿動)組件目錄表'!$D$15:$R$1094,9,FALSE),"")</f>
        <v/>
      </c>
      <c r="BF131" s="69" t="str">
        <f>IFERROR(VLOOKUP($AQ131,'(勿動)組件目錄表'!$D$15:$R$1094,10,FALSE),"")</f>
        <v/>
      </c>
      <c r="BG131" s="69" t="str">
        <f>IFERROR(VLOOKUP($AQ131,'(勿動)組件目錄表'!$D$15:$R$1094,11,FALSE),"")</f>
        <v/>
      </c>
      <c r="BH131" s="69" t="str">
        <f>IFERROR(VLOOKUP($AQ131,'(勿動)組件目錄表'!$D$15:$R$1094,12,FALSE),"")</f>
        <v/>
      </c>
      <c r="BI131" s="69" t="str">
        <f>IFERROR(VLOOKUP($AQ131,'(勿動)組件目錄表'!$D$15:$R$1094,13,FALSE),"")</f>
        <v/>
      </c>
      <c r="BJ131" s="69" t="str">
        <f>IFERROR(VLOOKUP($AQ131,'(勿動)組件目錄表'!$D$15:$R$1094,14,FALSE),"")</f>
        <v/>
      </c>
      <c r="BK131" s="69" t="str">
        <f>IFERROR(VLOOKUP($AQ131,'(勿動)組件目錄表'!$D$15:$R$1094,15,FALSE),"")</f>
        <v/>
      </c>
      <c r="BL131" s="81">
        <f ca="1">IFERROR(__xludf.DUMMYFUNCTION("IFERROR(
  LET(
    rowData, FILTER('(勿動)組件目錄表'!J:Q, '(勿動)組件目錄表'!D:D=AQ131),
    IF(ROWS(rowData)=0, 0, 
      (
        IF(AND(BC131&lt;&gt;"""", INDEX(rowData,1,1)=BC131),1,0) +
        IF(AND(BD131&lt;&gt;"""", INDEX(rowData,1,2)=BD131),1,0) +
        IF(AND(BE131"&amp;"&lt;&gt;"""", INDEX(rowData,1,3)=BE131),1,0) +
        IF(AND(BF131&lt;&gt;"""", INDEX(rowData,1,4)=BF131),1,0) +
        IF(AND(BG131&lt;&gt;"""", INDEX(rowData,1,5)=BG131),1,0) +
        IF(AND(BH131&lt;&gt;"""", INDEX(rowData,1,6)=BH131),1,0) +
        IF(AND(BI131&lt;&gt;"""", IND"&amp;"EX(rowData,1,7)=BI131),1,0) +
        IF(AND(BJ131&lt;&gt;"""", INDEX(rowData,1,8)=BJ131),1,0)
      ) - COUNTIF(BC131:BJ131, ""-"")
        - COUNTIF(BC131:BJ131, ""固定格式，不需提供資訊"")
        - COUNTIF(BC131:BJ131, ""由MKT更新，此欄位固定格式，不需提供資訊
(Voucher CID：12917705872)"&amp;""")
        - COUNTIF(BC131:BJ131, ""text固定為以下：
※直播間僅支援手機版"")
        - COUNTIF(BC131:BJ131, ""text固定為以下：
※短影音僅支援手機版"")
    )
  ), 
  0
)
"),0)</f>
        <v>0</v>
      </c>
      <c r="BM131" s="77" t="b">
        <v>0</v>
      </c>
      <c r="BN131" s="85"/>
      <c r="BO131" s="85"/>
    </row>
    <row r="132" spans="1:67" ht="30" customHeight="1">
      <c r="A132" s="73" t="str">
        <f t="array" aca="1" ref="A132" ca="1">IFERROR(TRANSPOSE(INDIRECT('MS section版配(Old)'!$AO132)),"")</f>
        <v/>
      </c>
      <c r="B132" s="88"/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88"/>
      <c r="AC132" s="88"/>
      <c r="AD132" s="88"/>
      <c r="AE132" s="397" t="str">
        <f>IFERROR(VLOOKUP($AQ132,'(勿動)組件目錄表'!$D$15:$R$1094,4,FALSE),"")</f>
        <v/>
      </c>
      <c r="AF132" s="384"/>
      <c r="AG132" s="384"/>
      <c r="AH132" s="384"/>
      <c r="AI132" s="384"/>
      <c r="AJ132" s="385"/>
      <c r="AK132" s="54" t="b">
        <v>0</v>
      </c>
      <c r="AL132" s="54" t="b">
        <v>0</v>
      </c>
      <c r="AM132" s="54"/>
      <c r="AN132" s="7" t="str">
        <v>124</v>
      </c>
      <c r="AO132" s="7"/>
      <c r="AP132" s="62"/>
      <c r="AQ132" s="75" t="str">
        <v/>
      </c>
      <c r="AR132" s="75" t="str">
        <v>-</v>
      </c>
      <c r="AS132" s="11"/>
      <c r="AT132" s="77" t="str">
        <v>-</v>
      </c>
      <c r="AU132" s="11" t="str">
        <v>-</v>
      </c>
      <c r="AV132" s="100"/>
      <c r="AW132" s="80" t="str">
        <f ca="1"/>
        <v>-</v>
      </c>
      <c r="AX132" s="86" t="b">
        <v>0</v>
      </c>
      <c r="AY132" s="68" t="str">
        <f t="shared" si="0"/>
        <v/>
      </c>
      <c r="AZ132" s="69" t="str">
        <f t="shared" si="1"/>
        <v/>
      </c>
      <c r="BA132" s="70" t="str">
        <f t="shared" si="2"/>
        <v/>
      </c>
      <c r="BB132" s="68" t="str">
        <f t="shared" si="3"/>
        <v/>
      </c>
      <c r="BC132" s="69" t="str">
        <f>IFERROR(VLOOKUP($AQ132,'(勿動)組件目錄表'!$D$15:$R$1094,7,FALSE),"")</f>
        <v/>
      </c>
      <c r="BD132" s="69" t="str">
        <f>IFERROR(VLOOKUP($AQ132,'(勿動)組件目錄表'!$D$15:$R$1094,8,FALSE),"")</f>
        <v/>
      </c>
      <c r="BE132" s="69" t="str">
        <f>IFERROR(VLOOKUP($AQ132,'(勿動)組件目錄表'!$D$15:$R$1094,9,FALSE),"")</f>
        <v/>
      </c>
      <c r="BF132" s="69" t="str">
        <f>IFERROR(VLOOKUP($AQ132,'(勿動)組件目錄表'!$D$15:$R$1094,10,FALSE),"")</f>
        <v/>
      </c>
      <c r="BG132" s="69" t="str">
        <f>IFERROR(VLOOKUP($AQ132,'(勿動)組件目錄表'!$D$15:$R$1094,11,FALSE),"")</f>
        <v/>
      </c>
      <c r="BH132" s="69" t="str">
        <f>IFERROR(VLOOKUP($AQ132,'(勿動)組件目錄表'!$D$15:$R$1094,12,FALSE),"")</f>
        <v/>
      </c>
      <c r="BI132" s="69" t="str">
        <f>IFERROR(VLOOKUP($AQ132,'(勿動)組件目錄表'!$D$15:$R$1094,13,FALSE),"")</f>
        <v/>
      </c>
      <c r="BJ132" s="69" t="str">
        <f>IFERROR(VLOOKUP($AQ132,'(勿動)組件目錄表'!$D$15:$R$1094,14,FALSE),"")</f>
        <v/>
      </c>
      <c r="BK132" s="69" t="str">
        <f>IFERROR(VLOOKUP($AQ132,'(勿動)組件目錄表'!$D$15:$R$1094,15,FALSE),"")</f>
        <v/>
      </c>
      <c r="BL132" s="81">
        <f ca="1">IFERROR(__xludf.DUMMYFUNCTION("IFERROR(
  LET(
    rowData, FILTER('(勿動)組件目錄表'!J:Q, '(勿動)組件目錄表'!D:D=AQ132),
    IF(ROWS(rowData)=0, 0, 
      (
        IF(AND(BC132&lt;&gt;"""", INDEX(rowData,1,1)=BC132),1,0) +
        IF(AND(BD132&lt;&gt;"""", INDEX(rowData,1,2)=BD132),1,0) +
        IF(AND(BE132"&amp;"&lt;&gt;"""", INDEX(rowData,1,3)=BE132),1,0) +
        IF(AND(BF132&lt;&gt;"""", INDEX(rowData,1,4)=BF132),1,0) +
        IF(AND(BG132&lt;&gt;"""", INDEX(rowData,1,5)=BG132),1,0) +
        IF(AND(BH132&lt;&gt;"""", INDEX(rowData,1,6)=BH132),1,0) +
        IF(AND(BI132&lt;&gt;"""", IND"&amp;"EX(rowData,1,7)=BI132),1,0) +
        IF(AND(BJ132&lt;&gt;"""", INDEX(rowData,1,8)=BJ132),1,0)
      ) - COUNTIF(BC132:BJ132, ""-"")
        - COUNTIF(BC132:BJ132, ""固定格式，不需提供資訊"")
        - COUNTIF(BC132:BJ132, ""由MKT更新，此欄位固定格式，不需提供資訊
(Voucher CID：12917705872)"&amp;""")
        - COUNTIF(BC132:BJ132, ""text固定為以下：
※直播間僅支援手機版"")
        - COUNTIF(BC132:BJ132, ""text固定為以下：
※短影音僅支援手機版"")
    )
  ), 
  0
)
"),0)</f>
        <v>0</v>
      </c>
      <c r="BM132" s="77" t="b">
        <v>0</v>
      </c>
      <c r="BN132" s="85"/>
      <c r="BO132" s="85"/>
    </row>
    <row r="133" spans="1:67" ht="30" customHeight="1">
      <c r="A133" s="73" t="str">
        <f t="array" aca="1" ref="A133" ca="1">IFERROR(TRANSPOSE(INDIRECT('MS section版配(Old)'!$AO133)),"")</f>
        <v/>
      </c>
      <c r="B133" s="88"/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88"/>
      <c r="AC133" s="88"/>
      <c r="AD133" s="88"/>
      <c r="AE133" s="397" t="str">
        <f>IFERROR(VLOOKUP($AQ133,'(勿動)組件目錄表'!$D$15:$R$1094,4,FALSE),"")</f>
        <v/>
      </c>
      <c r="AF133" s="384"/>
      <c r="AG133" s="384"/>
      <c r="AH133" s="384"/>
      <c r="AI133" s="384"/>
      <c r="AJ133" s="385"/>
      <c r="AK133" s="54" t="b">
        <v>0</v>
      </c>
      <c r="AL133" s="54" t="b">
        <v>0</v>
      </c>
      <c r="AM133" s="54"/>
      <c r="AN133" s="7" t="str">
        <v>125</v>
      </c>
      <c r="AO133" s="7"/>
      <c r="AP133" s="62"/>
      <c r="AQ133" s="75" t="str">
        <v/>
      </c>
      <c r="AR133" s="75" t="str">
        <v>-</v>
      </c>
      <c r="AS133" s="11"/>
      <c r="AT133" s="77" t="str">
        <v>-</v>
      </c>
      <c r="AU133" s="11" t="str">
        <v>-</v>
      </c>
      <c r="AV133" s="100"/>
      <c r="AW133" s="80" t="str">
        <f ca="1"/>
        <v>-</v>
      </c>
      <c r="AX133" s="86" t="b">
        <v>0</v>
      </c>
      <c r="AY133" s="68" t="str">
        <f t="shared" si="0"/>
        <v/>
      </c>
      <c r="AZ133" s="69" t="str">
        <f t="shared" si="1"/>
        <v/>
      </c>
      <c r="BA133" s="70" t="str">
        <f t="shared" si="2"/>
        <v/>
      </c>
      <c r="BB133" s="68" t="str">
        <f t="shared" si="3"/>
        <v/>
      </c>
      <c r="BC133" s="69" t="str">
        <f>IFERROR(VLOOKUP($AQ133,'(勿動)組件目錄表'!$D$15:$R$1094,7,FALSE),"")</f>
        <v/>
      </c>
      <c r="BD133" s="69" t="str">
        <f>IFERROR(VLOOKUP($AQ133,'(勿動)組件目錄表'!$D$15:$R$1094,8,FALSE),"")</f>
        <v/>
      </c>
      <c r="BE133" s="69" t="str">
        <f>IFERROR(VLOOKUP($AQ133,'(勿動)組件目錄表'!$D$15:$R$1094,9,FALSE),"")</f>
        <v/>
      </c>
      <c r="BF133" s="69" t="str">
        <f>IFERROR(VLOOKUP($AQ133,'(勿動)組件目錄表'!$D$15:$R$1094,10,FALSE),"")</f>
        <v/>
      </c>
      <c r="BG133" s="69" t="str">
        <f>IFERROR(VLOOKUP($AQ133,'(勿動)組件目錄表'!$D$15:$R$1094,11,FALSE),"")</f>
        <v/>
      </c>
      <c r="BH133" s="69" t="str">
        <f>IFERROR(VLOOKUP($AQ133,'(勿動)組件目錄表'!$D$15:$R$1094,12,FALSE),"")</f>
        <v/>
      </c>
      <c r="BI133" s="69" t="str">
        <f>IFERROR(VLOOKUP($AQ133,'(勿動)組件目錄表'!$D$15:$R$1094,13,FALSE),"")</f>
        <v/>
      </c>
      <c r="BJ133" s="69" t="str">
        <f>IFERROR(VLOOKUP($AQ133,'(勿動)組件目錄表'!$D$15:$R$1094,14,FALSE),"")</f>
        <v/>
      </c>
      <c r="BK133" s="69" t="str">
        <f>IFERROR(VLOOKUP($AQ133,'(勿動)組件目錄表'!$D$15:$R$1094,15,FALSE),"")</f>
        <v/>
      </c>
      <c r="BL133" s="81">
        <f ca="1">IFERROR(__xludf.DUMMYFUNCTION("IFERROR(
  LET(
    rowData, FILTER('(勿動)組件目錄表'!J:Q, '(勿動)組件目錄表'!D:D=AQ133),
    IF(ROWS(rowData)=0, 0, 
      (
        IF(AND(BC133&lt;&gt;"""", INDEX(rowData,1,1)=BC133),1,0) +
        IF(AND(BD133&lt;&gt;"""", INDEX(rowData,1,2)=BD133),1,0) +
        IF(AND(BE133"&amp;"&lt;&gt;"""", INDEX(rowData,1,3)=BE133),1,0) +
        IF(AND(BF133&lt;&gt;"""", INDEX(rowData,1,4)=BF133),1,0) +
        IF(AND(BG133&lt;&gt;"""", INDEX(rowData,1,5)=BG133),1,0) +
        IF(AND(BH133&lt;&gt;"""", INDEX(rowData,1,6)=BH133),1,0) +
        IF(AND(BI133&lt;&gt;"""", IND"&amp;"EX(rowData,1,7)=BI133),1,0) +
        IF(AND(BJ133&lt;&gt;"""", INDEX(rowData,1,8)=BJ133),1,0)
      ) - COUNTIF(BC133:BJ133, ""-"")
        - COUNTIF(BC133:BJ133, ""固定格式，不需提供資訊"")
        - COUNTIF(BC133:BJ133, ""由MKT更新，此欄位固定格式，不需提供資訊
(Voucher CID：12917705872)"&amp;""")
        - COUNTIF(BC133:BJ133, ""text固定為以下：
※直播間僅支援手機版"")
        - COUNTIF(BC133:BJ133, ""text固定為以下：
※短影音僅支援手機版"")
    )
  ), 
  0
)
"),0)</f>
        <v>0</v>
      </c>
      <c r="BM133" s="77" t="b">
        <v>0</v>
      </c>
      <c r="BN133" s="85"/>
      <c r="BO133" s="85"/>
    </row>
    <row r="134" spans="1:67" ht="30" customHeight="1">
      <c r="A134" s="73" t="str">
        <f t="array" aca="1" ref="A134" ca="1">IFERROR(TRANSPOSE(INDIRECT('MS section版配(Old)'!$AO134)),"")</f>
        <v/>
      </c>
      <c r="B134" s="88"/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397" t="str">
        <f>IFERROR(VLOOKUP($AQ134,'(勿動)組件目錄表'!$D$15:$R$1094,4,FALSE),"")</f>
        <v/>
      </c>
      <c r="AF134" s="384"/>
      <c r="AG134" s="384"/>
      <c r="AH134" s="384"/>
      <c r="AI134" s="384"/>
      <c r="AJ134" s="385"/>
      <c r="AK134" s="54" t="b">
        <v>0</v>
      </c>
      <c r="AL134" s="54" t="b">
        <v>0</v>
      </c>
      <c r="AM134" s="54"/>
      <c r="AN134" s="7" t="str">
        <v>126</v>
      </c>
      <c r="AO134" s="7"/>
      <c r="AP134" s="62"/>
      <c r="AQ134" s="75" t="str">
        <v/>
      </c>
      <c r="AR134" s="75" t="str">
        <v>-</v>
      </c>
      <c r="AS134" s="11"/>
      <c r="AT134" s="77" t="str">
        <v>-</v>
      </c>
      <c r="AU134" s="11" t="str">
        <v>-</v>
      </c>
      <c r="AV134" s="100"/>
      <c r="AW134" s="80" t="str">
        <f ca="1"/>
        <v>-</v>
      </c>
      <c r="AX134" s="86" t="b">
        <v>0</v>
      </c>
      <c r="AY134" s="68" t="str">
        <f t="shared" si="0"/>
        <v/>
      </c>
      <c r="AZ134" s="69" t="str">
        <f t="shared" si="1"/>
        <v/>
      </c>
      <c r="BA134" s="70" t="str">
        <f t="shared" si="2"/>
        <v/>
      </c>
      <c r="BB134" s="68" t="str">
        <f t="shared" si="3"/>
        <v/>
      </c>
      <c r="BC134" s="69" t="str">
        <f>IFERROR(VLOOKUP($AQ134,'(勿動)組件目錄表'!$D$15:$R$1094,7,FALSE),"")</f>
        <v/>
      </c>
      <c r="BD134" s="69" t="str">
        <f>IFERROR(VLOOKUP($AQ134,'(勿動)組件目錄表'!$D$15:$R$1094,8,FALSE),"")</f>
        <v/>
      </c>
      <c r="BE134" s="69" t="str">
        <f>IFERROR(VLOOKUP($AQ134,'(勿動)組件目錄表'!$D$15:$R$1094,9,FALSE),"")</f>
        <v/>
      </c>
      <c r="BF134" s="69" t="str">
        <f>IFERROR(VLOOKUP($AQ134,'(勿動)組件目錄表'!$D$15:$R$1094,10,FALSE),"")</f>
        <v/>
      </c>
      <c r="BG134" s="69" t="str">
        <f>IFERROR(VLOOKUP($AQ134,'(勿動)組件目錄表'!$D$15:$R$1094,11,FALSE),"")</f>
        <v/>
      </c>
      <c r="BH134" s="69" t="str">
        <f>IFERROR(VLOOKUP($AQ134,'(勿動)組件目錄表'!$D$15:$R$1094,12,FALSE),"")</f>
        <v/>
      </c>
      <c r="BI134" s="69" t="str">
        <f>IFERROR(VLOOKUP($AQ134,'(勿動)組件目錄表'!$D$15:$R$1094,13,FALSE),"")</f>
        <v/>
      </c>
      <c r="BJ134" s="69" t="str">
        <f>IFERROR(VLOOKUP($AQ134,'(勿動)組件目錄表'!$D$15:$R$1094,14,FALSE),"")</f>
        <v/>
      </c>
      <c r="BK134" s="69" t="str">
        <f>IFERROR(VLOOKUP($AQ134,'(勿動)組件目錄表'!$D$15:$R$1094,15,FALSE),"")</f>
        <v/>
      </c>
      <c r="BL134" s="81">
        <f ca="1">IFERROR(__xludf.DUMMYFUNCTION("IFERROR(
  LET(
    rowData, FILTER('(勿動)組件目錄表'!J:Q, '(勿動)組件目錄表'!D:D=AQ134),
    IF(ROWS(rowData)=0, 0, 
      (
        IF(AND(BC134&lt;&gt;"""", INDEX(rowData,1,1)=BC134),1,0) +
        IF(AND(BD134&lt;&gt;"""", INDEX(rowData,1,2)=BD134),1,0) +
        IF(AND(BE134"&amp;"&lt;&gt;"""", INDEX(rowData,1,3)=BE134),1,0) +
        IF(AND(BF134&lt;&gt;"""", INDEX(rowData,1,4)=BF134),1,0) +
        IF(AND(BG134&lt;&gt;"""", INDEX(rowData,1,5)=BG134),1,0) +
        IF(AND(BH134&lt;&gt;"""", INDEX(rowData,1,6)=BH134),1,0) +
        IF(AND(BI134&lt;&gt;"""", IND"&amp;"EX(rowData,1,7)=BI134),1,0) +
        IF(AND(BJ134&lt;&gt;"""", INDEX(rowData,1,8)=BJ134),1,0)
      ) - COUNTIF(BC134:BJ134, ""-"")
        - COUNTIF(BC134:BJ134, ""固定格式，不需提供資訊"")
        - COUNTIF(BC134:BJ134, ""由MKT更新，此欄位固定格式，不需提供資訊
(Voucher CID：12917705872)"&amp;""")
        - COUNTIF(BC134:BJ134, ""text固定為以下：
※直播間僅支援手機版"")
        - COUNTIF(BC134:BJ134, ""text固定為以下：
※短影音僅支援手機版"")
    )
  ), 
  0
)
"),0)</f>
        <v>0</v>
      </c>
      <c r="BM134" s="77" t="b">
        <v>0</v>
      </c>
      <c r="BN134" s="85"/>
      <c r="BO134" s="85"/>
    </row>
    <row r="135" spans="1:67" ht="30" customHeight="1">
      <c r="A135" s="73" t="str">
        <f t="array" aca="1" ref="A135" ca="1">IFERROR(TRANSPOSE(INDIRECT('MS section版配(Old)'!$AO135)),"")</f>
        <v/>
      </c>
      <c r="B135" s="88"/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88"/>
      <c r="AC135" s="88"/>
      <c r="AD135" s="88"/>
      <c r="AE135" s="397" t="str">
        <f>IFERROR(VLOOKUP($AQ135,'(勿動)組件目錄表'!$D$15:$R$1094,4,FALSE),"")</f>
        <v/>
      </c>
      <c r="AF135" s="384"/>
      <c r="AG135" s="384"/>
      <c r="AH135" s="384"/>
      <c r="AI135" s="384"/>
      <c r="AJ135" s="385"/>
      <c r="AK135" s="54" t="b">
        <v>0</v>
      </c>
      <c r="AL135" s="54" t="b">
        <v>0</v>
      </c>
      <c r="AM135" s="54"/>
      <c r="AN135" s="7" t="str">
        <v>127</v>
      </c>
      <c r="AO135" s="7"/>
      <c r="AP135" s="62"/>
      <c r="AQ135" s="75" t="str">
        <v/>
      </c>
      <c r="AR135" s="75" t="str">
        <v>-</v>
      </c>
      <c r="AS135" s="11"/>
      <c r="AT135" s="77" t="str">
        <v>-</v>
      </c>
      <c r="AU135" s="11" t="str">
        <v>-</v>
      </c>
      <c r="AV135" s="100"/>
      <c r="AW135" s="80" t="str">
        <f ca="1"/>
        <v>-</v>
      </c>
      <c r="AX135" s="86" t="b">
        <v>0</v>
      </c>
      <c r="AY135" s="68" t="str">
        <f t="shared" si="0"/>
        <v/>
      </c>
      <c r="AZ135" s="69" t="str">
        <f t="shared" si="1"/>
        <v/>
      </c>
      <c r="BA135" s="70" t="str">
        <f t="shared" si="2"/>
        <v/>
      </c>
      <c r="BB135" s="68" t="str">
        <f t="shared" si="3"/>
        <v/>
      </c>
      <c r="BC135" s="69" t="str">
        <f>IFERROR(VLOOKUP($AQ135,'(勿動)組件目錄表'!$D$15:$R$1094,7,FALSE),"")</f>
        <v/>
      </c>
      <c r="BD135" s="69" t="str">
        <f>IFERROR(VLOOKUP($AQ135,'(勿動)組件目錄表'!$D$15:$R$1094,8,FALSE),"")</f>
        <v/>
      </c>
      <c r="BE135" s="69" t="str">
        <f>IFERROR(VLOOKUP($AQ135,'(勿動)組件目錄表'!$D$15:$R$1094,9,FALSE),"")</f>
        <v/>
      </c>
      <c r="BF135" s="69" t="str">
        <f>IFERROR(VLOOKUP($AQ135,'(勿動)組件目錄表'!$D$15:$R$1094,10,FALSE),"")</f>
        <v/>
      </c>
      <c r="BG135" s="69" t="str">
        <f>IFERROR(VLOOKUP($AQ135,'(勿動)組件目錄表'!$D$15:$R$1094,11,FALSE),"")</f>
        <v/>
      </c>
      <c r="BH135" s="69" t="str">
        <f>IFERROR(VLOOKUP($AQ135,'(勿動)組件目錄表'!$D$15:$R$1094,12,FALSE),"")</f>
        <v/>
      </c>
      <c r="BI135" s="69" t="str">
        <f>IFERROR(VLOOKUP($AQ135,'(勿動)組件目錄表'!$D$15:$R$1094,13,FALSE),"")</f>
        <v/>
      </c>
      <c r="BJ135" s="69" t="str">
        <f>IFERROR(VLOOKUP($AQ135,'(勿動)組件目錄表'!$D$15:$R$1094,14,FALSE),"")</f>
        <v/>
      </c>
      <c r="BK135" s="69" t="str">
        <f>IFERROR(VLOOKUP($AQ135,'(勿動)組件目錄表'!$D$15:$R$1094,15,FALSE),"")</f>
        <v/>
      </c>
      <c r="BL135" s="81">
        <f ca="1">IFERROR(__xludf.DUMMYFUNCTION("IFERROR(
  LET(
    rowData, FILTER('(勿動)組件目錄表'!J:Q, '(勿動)組件目錄表'!D:D=AQ135),
    IF(ROWS(rowData)=0, 0, 
      (
        IF(AND(BC135&lt;&gt;"""", INDEX(rowData,1,1)=BC135),1,0) +
        IF(AND(BD135&lt;&gt;"""", INDEX(rowData,1,2)=BD135),1,0) +
        IF(AND(BE135"&amp;"&lt;&gt;"""", INDEX(rowData,1,3)=BE135),1,0) +
        IF(AND(BF135&lt;&gt;"""", INDEX(rowData,1,4)=BF135),1,0) +
        IF(AND(BG135&lt;&gt;"""", INDEX(rowData,1,5)=BG135),1,0) +
        IF(AND(BH135&lt;&gt;"""", INDEX(rowData,1,6)=BH135),1,0) +
        IF(AND(BI135&lt;&gt;"""", IND"&amp;"EX(rowData,1,7)=BI135),1,0) +
        IF(AND(BJ135&lt;&gt;"""", INDEX(rowData,1,8)=BJ135),1,0)
      ) - COUNTIF(BC135:BJ135, ""-"")
        - COUNTIF(BC135:BJ135, ""固定格式，不需提供資訊"")
        - COUNTIF(BC135:BJ135, ""由MKT更新，此欄位固定格式，不需提供資訊
(Voucher CID：12917705872)"&amp;""")
        - COUNTIF(BC135:BJ135, ""text固定為以下：
※直播間僅支援手機版"")
        - COUNTIF(BC135:BJ135, ""text固定為以下：
※短影音僅支援手機版"")
    )
  ), 
  0
)
"),0)</f>
        <v>0</v>
      </c>
      <c r="BM135" s="77" t="b">
        <v>0</v>
      </c>
      <c r="BN135" s="85"/>
      <c r="BO135" s="85"/>
    </row>
    <row r="136" spans="1:67" ht="30" customHeight="1">
      <c r="A136" s="73" t="str">
        <f t="array" aca="1" ref="A136" ca="1">IFERROR(TRANSPOSE(INDIRECT('MS section版配(Old)'!$AO136)),"")</f>
        <v/>
      </c>
      <c r="B136" s="88"/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88"/>
      <c r="AC136" s="88"/>
      <c r="AD136" s="88"/>
      <c r="AE136" s="397" t="str">
        <f>IFERROR(VLOOKUP($AQ136,'(勿動)組件目錄表'!$D$15:$R$1094,4,FALSE),"")</f>
        <v/>
      </c>
      <c r="AF136" s="384"/>
      <c r="AG136" s="384"/>
      <c r="AH136" s="384"/>
      <c r="AI136" s="384"/>
      <c r="AJ136" s="385"/>
      <c r="AK136" s="54" t="b">
        <v>0</v>
      </c>
      <c r="AL136" s="54" t="b">
        <v>0</v>
      </c>
      <c r="AM136" s="54"/>
      <c r="AN136" s="7" t="str">
        <v>128</v>
      </c>
      <c r="AO136" s="7"/>
      <c r="AP136" s="62"/>
      <c r="AQ136" s="75" t="str">
        <v/>
      </c>
      <c r="AR136" s="75" t="str">
        <v>-</v>
      </c>
      <c r="AS136" s="11"/>
      <c r="AT136" s="77" t="str">
        <v>-</v>
      </c>
      <c r="AU136" s="11" t="str">
        <v>-</v>
      </c>
      <c r="AV136" s="100"/>
      <c r="AW136" s="80" t="str">
        <f ca="1"/>
        <v>-</v>
      </c>
      <c r="AX136" s="86" t="b">
        <v>0</v>
      </c>
      <c r="AY136" s="68" t="str">
        <f t="shared" si="0"/>
        <v/>
      </c>
      <c r="AZ136" s="69" t="str">
        <f t="shared" si="1"/>
        <v/>
      </c>
      <c r="BA136" s="70" t="str">
        <f t="shared" si="2"/>
        <v/>
      </c>
      <c r="BB136" s="68" t="str">
        <f t="shared" si="3"/>
        <v/>
      </c>
      <c r="BC136" s="69" t="str">
        <f>IFERROR(VLOOKUP($AQ136,'(勿動)組件目錄表'!$D$15:$R$1094,7,FALSE),"")</f>
        <v/>
      </c>
      <c r="BD136" s="69" t="str">
        <f>IFERROR(VLOOKUP($AQ136,'(勿動)組件目錄表'!$D$15:$R$1094,8,FALSE),"")</f>
        <v/>
      </c>
      <c r="BE136" s="69" t="str">
        <f>IFERROR(VLOOKUP($AQ136,'(勿動)組件目錄表'!$D$15:$R$1094,9,FALSE),"")</f>
        <v/>
      </c>
      <c r="BF136" s="69" t="str">
        <f>IFERROR(VLOOKUP($AQ136,'(勿動)組件目錄表'!$D$15:$R$1094,10,FALSE),"")</f>
        <v/>
      </c>
      <c r="BG136" s="69" t="str">
        <f>IFERROR(VLOOKUP($AQ136,'(勿動)組件目錄表'!$D$15:$R$1094,11,FALSE),"")</f>
        <v/>
      </c>
      <c r="BH136" s="69" t="str">
        <f>IFERROR(VLOOKUP($AQ136,'(勿動)組件目錄表'!$D$15:$R$1094,12,FALSE),"")</f>
        <v/>
      </c>
      <c r="BI136" s="69" t="str">
        <f>IFERROR(VLOOKUP($AQ136,'(勿動)組件目錄表'!$D$15:$R$1094,13,FALSE),"")</f>
        <v/>
      </c>
      <c r="BJ136" s="69" t="str">
        <f>IFERROR(VLOOKUP($AQ136,'(勿動)組件目錄表'!$D$15:$R$1094,14,FALSE),"")</f>
        <v/>
      </c>
      <c r="BK136" s="69" t="str">
        <f>IFERROR(VLOOKUP($AQ136,'(勿動)組件目錄表'!$D$15:$R$1094,15,FALSE),"")</f>
        <v/>
      </c>
      <c r="BL136" s="81">
        <f ca="1">IFERROR(__xludf.DUMMYFUNCTION("IFERROR(
  LET(
    rowData, FILTER('(勿動)組件目錄表'!J:Q, '(勿動)組件目錄表'!D:D=AQ136),
    IF(ROWS(rowData)=0, 0, 
      (
        IF(AND(BC136&lt;&gt;"""", INDEX(rowData,1,1)=BC136),1,0) +
        IF(AND(BD136&lt;&gt;"""", INDEX(rowData,1,2)=BD136),1,0) +
        IF(AND(BE136"&amp;"&lt;&gt;"""", INDEX(rowData,1,3)=BE136),1,0) +
        IF(AND(BF136&lt;&gt;"""", INDEX(rowData,1,4)=BF136),1,0) +
        IF(AND(BG136&lt;&gt;"""", INDEX(rowData,1,5)=BG136),1,0) +
        IF(AND(BH136&lt;&gt;"""", INDEX(rowData,1,6)=BH136),1,0) +
        IF(AND(BI136&lt;&gt;"""", IND"&amp;"EX(rowData,1,7)=BI136),1,0) +
        IF(AND(BJ136&lt;&gt;"""", INDEX(rowData,1,8)=BJ136),1,0)
      ) - COUNTIF(BC136:BJ136, ""-"")
        - COUNTIF(BC136:BJ136, ""固定格式，不需提供資訊"")
        - COUNTIF(BC136:BJ136, ""由MKT更新，此欄位固定格式，不需提供資訊
(Voucher CID：12917705872)"&amp;""")
        - COUNTIF(BC136:BJ136, ""text固定為以下：
※直播間僅支援手機版"")
        - COUNTIF(BC136:BJ136, ""text固定為以下：
※短影音僅支援手機版"")
    )
  ), 
  0
)
"),0)</f>
        <v>0</v>
      </c>
      <c r="BM136" s="77" t="b">
        <v>0</v>
      </c>
      <c r="BN136" s="85"/>
      <c r="BO136" s="85"/>
    </row>
    <row r="137" spans="1:67" ht="30" customHeight="1">
      <c r="A137" s="73" t="str">
        <f t="array" aca="1" ref="A137" ca="1">IFERROR(TRANSPOSE(INDIRECT('MS section版配(Old)'!$AO137)),"")</f>
        <v/>
      </c>
      <c r="B137" s="88"/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  <c r="AE137" s="397" t="str">
        <f>IFERROR(VLOOKUP($AQ137,'(勿動)組件目錄表'!$D$15:$R$1094,4,FALSE),"")</f>
        <v/>
      </c>
      <c r="AF137" s="384"/>
      <c r="AG137" s="384"/>
      <c r="AH137" s="384"/>
      <c r="AI137" s="384"/>
      <c r="AJ137" s="385"/>
      <c r="AK137" s="54" t="b">
        <v>0</v>
      </c>
      <c r="AL137" s="54" t="b">
        <v>0</v>
      </c>
      <c r="AM137" s="54"/>
      <c r="AN137" s="7" t="str">
        <v>129</v>
      </c>
      <c r="AO137" s="7"/>
      <c r="AP137" s="62"/>
      <c r="AQ137" s="75" t="str">
        <v/>
      </c>
      <c r="AR137" s="75" t="str">
        <v>-</v>
      </c>
      <c r="AS137" s="11"/>
      <c r="AT137" s="77" t="str">
        <v>-</v>
      </c>
      <c r="AU137" s="11" t="str">
        <v>-</v>
      </c>
      <c r="AV137" s="100"/>
      <c r="AW137" s="80" t="str">
        <f ca="1"/>
        <v>-</v>
      </c>
      <c r="AX137" s="86" t="b">
        <v>0</v>
      </c>
      <c r="AY137" s="68" t="str">
        <f t="shared" si="0"/>
        <v/>
      </c>
      <c r="AZ137" s="69" t="str">
        <f t="shared" si="1"/>
        <v/>
      </c>
      <c r="BA137" s="70" t="str">
        <f t="shared" si="2"/>
        <v/>
      </c>
      <c r="BB137" s="68" t="str">
        <f t="shared" si="3"/>
        <v/>
      </c>
      <c r="BC137" s="69" t="str">
        <f>IFERROR(VLOOKUP($AQ137,'(勿動)組件目錄表'!$D$15:$R$1094,7,FALSE),"")</f>
        <v/>
      </c>
      <c r="BD137" s="69" t="str">
        <f>IFERROR(VLOOKUP($AQ137,'(勿動)組件目錄表'!$D$15:$R$1094,8,FALSE),"")</f>
        <v/>
      </c>
      <c r="BE137" s="69" t="str">
        <f>IFERROR(VLOOKUP($AQ137,'(勿動)組件目錄表'!$D$15:$R$1094,9,FALSE),"")</f>
        <v/>
      </c>
      <c r="BF137" s="69" t="str">
        <f>IFERROR(VLOOKUP($AQ137,'(勿動)組件目錄表'!$D$15:$R$1094,10,FALSE),"")</f>
        <v/>
      </c>
      <c r="BG137" s="69" t="str">
        <f>IFERROR(VLOOKUP($AQ137,'(勿動)組件目錄表'!$D$15:$R$1094,11,FALSE),"")</f>
        <v/>
      </c>
      <c r="BH137" s="69" t="str">
        <f>IFERROR(VLOOKUP($AQ137,'(勿動)組件目錄表'!$D$15:$R$1094,12,FALSE),"")</f>
        <v/>
      </c>
      <c r="BI137" s="69" t="str">
        <f>IFERROR(VLOOKUP($AQ137,'(勿動)組件目錄表'!$D$15:$R$1094,13,FALSE),"")</f>
        <v/>
      </c>
      <c r="BJ137" s="69" t="str">
        <f>IFERROR(VLOOKUP($AQ137,'(勿動)組件目錄表'!$D$15:$R$1094,14,FALSE),"")</f>
        <v/>
      </c>
      <c r="BK137" s="69" t="str">
        <f>IFERROR(VLOOKUP($AQ137,'(勿動)組件目錄表'!$D$15:$R$1094,15,FALSE),"")</f>
        <v/>
      </c>
      <c r="BL137" s="81">
        <f ca="1">IFERROR(__xludf.DUMMYFUNCTION("IFERROR(
  LET(
    rowData, FILTER('(勿動)組件目錄表'!J:Q, '(勿動)組件目錄表'!D:D=AQ137),
    IF(ROWS(rowData)=0, 0, 
      (
        IF(AND(BC137&lt;&gt;"""", INDEX(rowData,1,1)=BC137),1,0) +
        IF(AND(BD137&lt;&gt;"""", INDEX(rowData,1,2)=BD137),1,0) +
        IF(AND(BE137"&amp;"&lt;&gt;"""", INDEX(rowData,1,3)=BE137),1,0) +
        IF(AND(BF137&lt;&gt;"""", INDEX(rowData,1,4)=BF137),1,0) +
        IF(AND(BG137&lt;&gt;"""", INDEX(rowData,1,5)=BG137),1,0) +
        IF(AND(BH137&lt;&gt;"""", INDEX(rowData,1,6)=BH137),1,0) +
        IF(AND(BI137&lt;&gt;"""", IND"&amp;"EX(rowData,1,7)=BI137),1,0) +
        IF(AND(BJ137&lt;&gt;"""", INDEX(rowData,1,8)=BJ137),1,0)
      ) - COUNTIF(BC137:BJ137, ""-"")
        - COUNTIF(BC137:BJ137, ""固定格式，不需提供資訊"")
        - COUNTIF(BC137:BJ137, ""由MKT更新，此欄位固定格式，不需提供資訊
(Voucher CID：12917705872)"&amp;""")
        - COUNTIF(BC137:BJ137, ""text固定為以下：
※直播間僅支援手機版"")
        - COUNTIF(BC137:BJ137, ""text固定為以下：
※短影音僅支援手機版"")
    )
  ), 
  0
)
"),0)</f>
        <v>0</v>
      </c>
      <c r="BM137" s="77" t="b">
        <v>0</v>
      </c>
      <c r="BN137" s="85"/>
      <c r="BO137" s="85"/>
    </row>
    <row r="138" spans="1:67" ht="30" customHeight="1">
      <c r="A138" s="73" t="str">
        <f t="array" aca="1" ref="A138" ca="1">IFERROR(TRANSPOSE(INDIRECT('MS section版配(Old)'!$AO138)),"")</f>
        <v/>
      </c>
      <c r="B138" s="88"/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88"/>
      <c r="AC138" s="88"/>
      <c r="AD138" s="88"/>
      <c r="AE138" s="397" t="str">
        <f>IFERROR(VLOOKUP($AQ138,'(勿動)組件目錄表'!$D$15:$R$1094,4,FALSE),"")</f>
        <v/>
      </c>
      <c r="AF138" s="384"/>
      <c r="AG138" s="384"/>
      <c r="AH138" s="384"/>
      <c r="AI138" s="384"/>
      <c r="AJ138" s="385"/>
      <c r="AK138" s="54" t="b">
        <v>0</v>
      </c>
      <c r="AL138" s="54" t="b">
        <v>0</v>
      </c>
      <c r="AM138" s="54"/>
      <c r="AN138" s="7" t="str">
        <v>130</v>
      </c>
      <c r="AO138" s="7"/>
      <c r="AP138" s="62"/>
      <c r="AQ138" s="75" t="str">
        <v/>
      </c>
      <c r="AR138" s="75" t="str">
        <v>-</v>
      </c>
      <c r="AS138" s="11"/>
      <c r="AT138" s="77" t="str">
        <v>-</v>
      </c>
      <c r="AU138" s="11" t="str">
        <v>-</v>
      </c>
      <c r="AV138" s="100"/>
      <c r="AW138" s="80" t="str">
        <f ca="1"/>
        <v>-</v>
      </c>
      <c r="AX138" s="86" t="b">
        <v>0</v>
      </c>
      <c r="AY138" s="68" t="str">
        <f t="shared" si="0"/>
        <v/>
      </c>
      <c r="AZ138" s="69" t="str">
        <f t="shared" si="1"/>
        <v/>
      </c>
      <c r="BA138" s="70" t="str">
        <f t="shared" si="2"/>
        <v/>
      </c>
      <c r="BB138" s="68" t="str">
        <f t="shared" si="3"/>
        <v/>
      </c>
      <c r="BC138" s="69" t="str">
        <f>IFERROR(VLOOKUP($AQ138,'(勿動)組件目錄表'!$D$15:$R$1094,7,FALSE),"")</f>
        <v/>
      </c>
      <c r="BD138" s="69" t="str">
        <f>IFERROR(VLOOKUP($AQ138,'(勿動)組件目錄表'!$D$15:$R$1094,8,FALSE),"")</f>
        <v/>
      </c>
      <c r="BE138" s="69" t="str">
        <f>IFERROR(VLOOKUP($AQ138,'(勿動)組件目錄表'!$D$15:$R$1094,9,FALSE),"")</f>
        <v/>
      </c>
      <c r="BF138" s="69" t="str">
        <f>IFERROR(VLOOKUP($AQ138,'(勿動)組件目錄表'!$D$15:$R$1094,10,FALSE),"")</f>
        <v/>
      </c>
      <c r="BG138" s="69" t="str">
        <f>IFERROR(VLOOKUP($AQ138,'(勿動)組件目錄表'!$D$15:$R$1094,11,FALSE),"")</f>
        <v/>
      </c>
      <c r="BH138" s="69" t="str">
        <f>IFERROR(VLOOKUP($AQ138,'(勿動)組件目錄表'!$D$15:$R$1094,12,FALSE),"")</f>
        <v/>
      </c>
      <c r="BI138" s="69" t="str">
        <f>IFERROR(VLOOKUP($AQ138,'(勿動)組件目錄表'!$D$15:$R$1094,13,FALSE),"")</f>
        <v/>
      </c>
      <c r="BJ138" s="69" t="str">
        <f>IFERROR(VLOOKUP($AQ138,'(勿動)組件目錄表'!$D$15:$R$1094,14,FALSE),"")</f>
        <v/>
      </c>
      <c r="BK138" s="69" t="str">
        <f>IFERROR(VLOOKUP($AQ138,'(勿動)組件目錄表'!$D$15:$R$1094,15,FALSE),"")</f>
        <v/>
      </c>
      <c r="BL138" s="81">
        <f ca="1">IFERROR(__xludf.DUMMYFUNCTION("IFERROR(
  LET(
    rowData, FILTER('(勿動)組件目錄表'!J:Q, '(勿動)組件目錄表'!D:D=AQ138),
    IF(ROWS(rowData)=0, 0, 
      (
        IF(AND(BC138&lt;&gt;"""", INDEX(rowData,1,1)=BC138),1,0) +
        IF(AND(BD138&lt;&gt;"""", INDEX(rowData,1,2)=BD138),1,0) +
        IF(AND(BE138"&amp;"&lt;&gt;"""", INDEX(rowData,1,3)=BE138),1,0) +
        IF(AND(BF138&lt;&gt;"""", INDEX(rowData,1,4)=BF138),1,0) +
        IF(AND(BG138&lt;&gt;"""", INDEX(rowData,1,5)=BG138),1,0) +
        IF(AND(BH138&lt;&gt;"""", INDEX(rowData,1,6)=BH138),1,0) +
        IF(AND(BI138&lt;&gt;"""", IND"&amp;"EX(rowData,1,7)=BI138),1,0) +
        IF(AND(BJ138&lt;&gt;"""", INDEX(rowData,1,8)=BJ138),1,0)
      ) - COUNTIF(BC138:BJ138, ""-"")
        - COUNTIF(BC138:BJ138, ""固定格式，不需提供資訊"")
        - COUNTIF(BC138:BJ138, ""由MKT更新，此欄位固定格式，不需提供資訊
(Voucher CID：12917705872)"&amp;""")
        - COUNTIF(BC138:BJ138, ""text固定為以下：
※直播間僅支援手機版"")
        - COUNTIF(BC138:BJ138, ""text固定為以下：
※短影音僅支援手機版"")
    )
  ), 
  0
)
"),0)</f>
        <v>0</v>
      </c>
      <c r="BM138" s="77" t="b">
        <v>0</v>
      </c>
      <c r="BN138" s="85"/>
      <c r="BO138" s="85"/>
    </row>
    <row r="139" spans="1:67" ht="30" customHeight="1">
      <c r="A139" s="73" t="str">
        <f t="array" aca="1" ref="A139" ca="1">IFERROR(TRANSPOSE(INDIRECT('MS section版配(Old)'!$AO139)),"")</f>
        <v/>
      </c>
      <c r="B139" s="88"/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88"/>
      <c r="AC139" s="88"/>
      <c r="AD139" s="88"/>
      <c r="AE139" s="397" t="str">
        <f>IFERROR(VLOOKUP($AQ139,'(勿動)組件目錄表'!$D$15:$R$1094,4,FALSE),"")</f>
        <v/>
      </c>
      <c r="AF139" s="384"/>
      <c r="AG139" s="384"/>
      <c r="AH139" s="384"/>
      <c r="AI139" s="384"/>
      <c r="AJ139" s="385"/>
      <c r="AK139" s="54" t="b">
        <v>0</v>
      </c>
      <c r="AL139" s="54" t="b">
        <v>0</v>
      </c>
      <c r="AM139" s="54"/>
      <c r="AN139" s="7" t="str">
        <v>131</v>
      </c>
      <c r="AO139" s="7"/>
      <c r="AP139" s="62"/>
      <c r="AQ139" s="75" t="str">
        <v/>
      </c>
      <c r="AR139" s="75" t="str">
        <v>-</v>
      </c>
      <c r="AS139" s="11"/>
      <c r="AT139" s="77" t="str">
        <v>-</v>
      </c>
      <c r="AU139" s="11" t="str">
        <v>-</v>
      </c>
      <c r="AV139" s="100"/>
      <c r="AW139" s="80" t="str">
        <f ca="1"/>
        <v>-</v>
      </c>
      <c r="AX139" s="86" t="b">
        <v>0</v>
      </c>
      <c r="AY139" s="68" t="str">
        <f t="shared" si="0"/>
        <v/>
      </c>
      <c r="AZ139" s="69" t="str">
        <f t="shared" si="1"/>
        <v/>
      </c>
      <c r="BA139" s="70" t="str">
        <f t="shared" si="2"/>
        <v/>
      </c>
      <c r="BB139" s="68" t="str">
        <f t="shared" si="3"/>
        <v/>
      </c>
      <c r="BC139" s="69" t="str">
        <f>IFERROR(VLOOKUP($AQ139,'(勿動)組件目錄表'!$D$15:$R$1094,7,FALSE),"")</f>
        <v/>
      </c>
      <c r="BD139" s="69" t="str">
        <f>IFERROR(VLOOKUP($AQ139,'(勿動)組件目錄表'!$D$15:$R$1094,8,FALSE),"")</f>
        <v/>
      </c>
      <c r="BE139" s="69" t="str">
        <f>IFERROR(VLOOKUP($AQ139,'(勿動)組件目錄表'!$D$15:$R$1094,9,FALSE),"")</f>
        <v/>
      </c>
      <c r="BF139" s="69" t="str">
        <f>IFERROR(VLOOKUP($AQ139,'(勿動)組件目錄表'!$D$15:$R$1094,10,FALSE),"")</f>
        <v/>
      </c>
      <c r="BG139" s="69" t="str">
        <f>IFERROR(VLOOKUP($AQ139,'(勿動)組件目錄表'!$D$15:$R$1094,11,FALSE),"")</f>
        <v/>
      </c>
      <c r="BH139" s="69" t="str">
        <f>IFERROR(VLOOKUP($AQ139,'(勿動)組件目錄表'!$D$15:$R$1094,12,FALSE),"")</f>
        <v/>
      </c>
      <c r="BI139" s="69" t="str">
        <f>IFERROR(VLOOKUP($AQ139,'(勿動)組件目錄表'!$D$15:$R$1094,13,FALSE),"")</f>
        <v/>
      </c>
      <c r="BJ139" s="69" t="str">
        <f>IFERROR(VLOOKUP($AQ139,'(勿動)組件目錄表'!$D$15:$R$1094,14,FALSE),"")</f>
        <v/>
      </c>
      <c r="BK139" s="69" t="str">
        <f>IFERROR(VLOOKUP($AQ139,'(勿動)組件目錄表'!$D$15:$R$1094,15,FALSE),"")</f>
        <v/>
      </c>
      <c r="BL139" s="81">
        <f ca="1">IFERROR(__xludf.DUMMYFUNCTION("IFERROR(
  LET(
    rowData, FILTER('(勿動)組件目錄表'!J:Q, '(勿動)組件目錄表'!D:D=AQ139),
    IF(ROWS(rowData)=0, 0, 
      (
        IF(AND(BC139&lt;&gt;"""", INDEX(rowData,1,1)=BC139),1,0) +
        IF(AND(BD139&lt;&gt;"""", INDEX(rowData,1,2)=BD139),1,0) +
        IF(AND(BE139"&amp;"&lt;&gt;"""", INDEX(rowData,1,3)=BE139),1,0) +
        IF(AND(BF139&lt;&gt;"""", INDEX(rowData,1,4)=BF139),1,0) +
        IF(AND(BG139&lt;&gt;"""", INDEX(rowData,1,5)=BG139),1,0) +
        IF(AND(BH139&lt;&gt;"""", INDEX(rowData,1,6)=BH139),1,0) +
        IF(AND(BI139&lt;&gt;"""", IND"&amp;"EX(rowData,1,7)=BI139),1,0) +
        IF(AND(BJ139&lt;&gt;"""", INDEX(rowData,1,8)=BJ139),1,0)
      ) - COUNTIF(BC139:BJ139, ""-"")
        - COUNTIF(BC139:BJ139, ""固定格式，不需提供資訊"")
        - COUNTIF(BC139:BJ139, ""由MKT更新，此欄位固定格式，不需提供資訊
(Voucher CID：12917705872)"&amp;""")
        - COUNTIF(BC139:BJ139, ""text固定為以下：
※直播間僅支援手機版"")
        - COUNTIF(BC139:BJ139, ""text固定為以下：
※短影音僅支援手機版"")
    )
  ), 
  0
)
"),0)</f>
        <v>0</v>
      </c>
      <c r="BM139" s="77" t="b">
        <v>0</v>
      </c>
      <c r="BN139" s="85"/>
      <c r="BO139" s="85"/>
    </row>
    <row r="140" spans="1:67" ht="30" customHeight="1">
      <c r="A140" s="73" t="str">
        <f t="array" aca="1" ref="A140" ca="1">IFERROR(TRANSPOSE(INDIRECT('MS section版配(Old)'!$AO140)),"")</f>
        <v/>
      </c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88"/>
      <c r="AC140" s="88"/>
      <c r="AD140" s="88"/>
      <c r="AE140" s="397" t="str">
        <f>IFERROR(VLOOKUP($AQ140,'(勿動)組件目錄表'!$D$15:$R$1094,4,FALSE),"")</f>
        <v/>
      </c>
      <c r="AF140" s="384"/>
      <c r="AG140" s="384"/>
      <c r="AH140" s="384"/>
      <c r="AI140" s="384"/>
      <c r="AJ140" s="385"/>
      <c r="AK140" s="54" t="b">
        <v>0</v>
      </c>
      <c r="AL140" s="54" t="b">
        <v>0</v>
      </c>
      <c r="AM140" s="54"/>
      <c r="AN140" s="7" t="str">
        <v>132</v>
      </c>
      <c r="AO140" s="7"/>
      <c r="AP140" s="62"/>
      <c r="AQ140" s="75" t="str">
        <v/>
      </c>
      <c r="AR140" s="75" t="str">
        <v>-</v>
      </c>
      <c r="AS140" s="11"/>
      <c r="AT140" s="77" t="str">
        <v>-</v>
      </c>
      <c r="AU140" s="11" t="str">
        <v>-</v>
      </c>
      <c r="AV140" s="100"/>
      <c r="AW140" s="80" t="str">
        <f ca="1"/>
        <v>-</v>
      </c>
      <c r="AX140" s="86" t="b">
        <v>0</v>
      </c>
      <c r="AY140" s="68" t="str">
        <f t="shared" si="0"/>
        <v/>
      </c>
      <c r="AZ140" s="69" t="str">
        <f t="shared" si="1"/>
        <v/>
      </c>
      <c r="BA140" s="70" t="str">
        <f t="shared" si="2"/>
        <v/>
      </c>
      <c r="BB140" s="68" t="str">
        <f t="shared" si="3"/>
        <v/>
      </c>
      <c r="BC140" s="69" t="str">
        <f>IFERROR(VLOOKUP($AQ140,'(勿動)組件目錄表'!$D$15:$R$1094,7,FALSE),"")</f>
        <v/>
      </c>
      <c r="BD140" s="69" t="str">
        <f>IFERROR(VLOOKUP($AQ140,'(勿動)組件目錄表'!$D$15:$R$1094,8,FALSE),"")</f>
        <v/>
      </c>
      <c r="BE140" s="69" t="str">
        <f>IFERROR(VLOOKUP($AQ140,'(勿動)組件目錄表'!$D$15:$R$1094,9,FALSE),"")</f>
        <v/>
      </c>
      <c r="BF140" s="69" t="str">
        <f>IFERROR(VLOOKUP($AQ140,'(勿動)組件目錄表'!$D$15:$R$1094,10,FALSE),"")</f>
        <v/>
      </c>
      <c r="BG140" s="69" t="str">
        <f>IFERROR(VLOOKUP($AQ140,'(勿動)組件目錄表'!$D$15:$R$1094,11,FALSE),"")</f>
        <v/>
      </c>
      <c r="BH140" s="69" t="str">
        <f>IFERROR(VLOOKUP($AQ140,'(勿動)組件目錄表'!$D$15:$R$1094,12,FALSE),"")</f>
        <v/>
      </c>
      <c r="BI140" s="69" t="str">
        <f>IFERROR(VLOOKUP($AQ140,'(勿動)組件目錄表'!$D$15:$R$1094,13,FALSE),"")</f>
        <v/>
      </c>
      <c r="BJ140" s="69" t="str">
        <f>IFERROR(VLOOKUP($AQ140,'(勿動)組件目錄表'!$D$15:$R$1094,14,FALSE),"")</f>
        <v/>
      </c>
      <c r="BK140" s="69" t="str">
        <f>IFERROR(VLOOKUP($AQ140,'(勿動)組件目錄表'!$D$15:$R$1094,15,FALSE),"")</f>
        <v/>
      </c>
      <c r="BL140" s="81">
        <f ca="1">IFERROR(__xludf.DUMMYFUNCTION("IFERROR(
  LET(
    rowData, FILTER('(勿動)組件目錄表'!J:Q, '(勿動)組件目錄表'!D:D=AQ140),
    IF(ROWS(rowData)=0, 0, 
      (
        IF(AND(BC140&lt;&gt;"""", INDEX(rowData,1,1)=BC140),1,0) +
        IF(AND(BD140&lt;&gt;"""", INDEX(rowData,1,2)=BD140),1,0) +
        IF(AND(BE140"&amp;"&lt;&gt;"""", INDEX(rowData,1,3)=BE140),1,0) +
        IF(AND(BF140&lt;&gt;"""", INDEX(rowData,1,4)=BF140),1,0) +
        IF(AND(BG140&lt;&gt;"""", INDEX(rowData,1,5)=BG140),1,0) +
        IF(AND(BH140&lt;&gt;"""", INDEX(rowData,1,6)=BH140),1,0) +
        IF(AND(BI140&lt;&gt;"""", IND"&amp;"EX(rowData,1,7)=BI140),1,0) +
        IF(AND(BJ140&lt;&gt;"""", INDEX(rowData,1,8)=BJ140),1,0)
      ) - COUNTIF(BC140:BJ140, ""-"")
        - COUNTIF(BC140:BJ140, ""固定格式，不需提供資訊"")
        - COUNTIF(BC140:BJ140, ""由MKT更新，此欄位固定格式，不需提供資訊
(Voucher CID：12917705872)"&amp;""")
        - COUNTIF(BC140:BJ140, ""text固定為以下：
※直播間僅支援手機版"")
        - COUNTIF(BC140:BJ140, ""text固定為以下：
※短影音僅支援手機版"")
    )
  ), 
  0
)
"),0)</f>
        <v>0</v>
      </c>
      <c r="BM140" s="77" t="b">
        <v>0</v>
      </c>
      <c r="BN140" s="85"/>
      <c r="BO140" s="85"/>
    </row>
    <row r="141" spans="1:67" ht="30" customHeight="1">
      <c r="A141" s="73" t="str">
        <f t="array" aca="1" ref="A141" ca="1">IFERROR(TRANSPOSE(INDIRECT('MS section版配(Old)'!$AO141)),"")</f>
        <v/>
      </c>
      <c r="B141" s="88"/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88"/>
      <c r="AC141" s="88"/>
      <c r="AD141" s="88"/>
      <c r="AE141" s="397" t="str">
        <f>IFERROR(VLOOKUP($AQ141,'(勿動)組件目錄表'!$D$15:$R$1094,4,FALSE),"")</f>
        <v/>
      </c>
      <c r="AF141" s="384"/>
      <c r="AG141" s="384"/>
      <c r="AH141" s="384"/>
      <c r="AI141" s="384"/>
      <c r="AJ141" s="385"/>
      <c r="AK141" s="54" t="b">
        <v>0</v>
      </c>
      <c r="AL141" s="54" t="b">
        <v>0</v>
      </c>
      <c r="AM141" s="54"/>
      <c r="AN141" s="7" t="str">
        <v>133</v>
      </c>
      <c r="AO141" s="7"/>
      <c r="AP141" s="62"/>
      <c r="AQ141" s="75" t="str">
        <v/>
      </c>
      <c r="AR141" s="75" t="str">
        <v>-</v>
      </c>
      <c r="AS141" s="11"/>
      <c r="AT141" s="77" t="str">
        <v>-</v>
      </c>
      <c r="AU141" s="11" t="str">
        <v>-</v>
      </c>
      <c r="AV141" s="100"/>
      <c r="AW141" s="80" t="str">
        <f ca="1"/>
        <v>-</v>
      </c>
      <c r="AX141" s="86" t="b">
        <v>0</v>
      </c>
      <c r="AY141" s="68" t="str">
        <f t="shared" si="0"/>
        <v/>
      </c>
      <c r="AZ141" s="69" t="str">
        <f t="shared" si="1"/>
        <v/>
      </c>
      <c r="BA141" s="70" t="str">
        <f t="shared" si="2"/>
        <v/>
      </c>
      <c r="BB141" s="68" t="str">
        <f t="shared" si="3"/>
        <v/>
      </c>
      <c r="BC141" s="69" t="str">
        <f>IFERROR(VLOOKUP($AQ141,'(勿動)組件目錄表'!$D$15:$R$1094,7,FALSE),"")</f>
        <v/>
      </c>
      <c r="BD141" s="69" t="str">
        <f>IFERROR(VLOOKUP($AQ141,'(勿動)組件目錄表'!$D$15:$R$1094,8,FALSE),"")</f>
        <v/>
      </c>
      <c r="BE141" s="69" t="str">
        <f>IFERROR(VLOOKUP($AQ141,'(勿動)組件目錄表'!$D$15:$R$1094,9,FALSE),"")</f>
        <v/>
      </c>
      <c r="BF141" s="69" t="str">
        <f>IFERROR(VLOOKUP($AQ141,'(勿動)組件目錄表'!$D$15:$R$1094,10,FALSE),"")</f>
        <v/>
      </c>
      <c r="BG141" s="69" t="str">
        <f>IFERROR(VLOOKUP($AQ141,'(勿動)組件目錄表'!$D$15:$R$1094,11,FALSE),"")</f>
        <v/>
      </c>
      <c r="BH141" s="69" t="str">
        <f>IFERROR(VLOOKUP($AQ141,'(勿動)組件目錄表'!$D$15:$R$1094,12,FALSE),"")</f>
        <v/>
      </c>
      <c r="BI141" s="69" t="str">
        <f>IFERROR(VLOOKUP($AQ141,'(勿動)組件目錄表'!$D$15:$R$1094,13,FALSE),"")</f>
        <v/>
      </c>
      <c r="BJ141" s="69" t="str">
        <f>IFERROR(VLOOKUP($AQ141,'(勿動)組件目錄表'!$D$15:$R$1094,14,FALSE),"")</f>
        <v/>
      </c>
      <c r="BK141" s="69" t="str">
        <f>IFERROR(VLOOKUP($AQ141,'(勿動)組件目錄表'!$D$15:$R$1094,15,FALSE),"")</f>
        <v/>
      </c>
      <c r="BL141" s="81">
        <f ca="1">IFERROR(__xludf.DUMMYFUNCTION("IFERROR(
  LET(
    rowData, FILTER('(勿動)組件目錄表'!J:Q, '(勿動)組件目錄表'!D:D=AQ141),
    IF(ROWS(rowData)=0, 0, 
      (
        IF(AND(BC141&lt;&gt;"""", INDEX(rowData,1,1)=BC141),1,0) +
        IF(AND(BD141&lt;&gt;"""", INDEX(rowData,1,2)=BD141),1,0) +
        IF(AND(BE141"&amp;"&lt;&gt;"""", INDEX(rowData,1,3)=BE141),1,0) +
        IF(AND(BF141&lt;&gt;"""", INDEX(rowData,1,4)=BF141),1,0) +
        IF(AND(BG141&lt;&gt;"""", INDEX(rowData,1,5)=BG141),1,0) +
        IF(AND(BH141&lt;&gt;"""", INDEX(rowData,1,6)=BH141),1,0) +
        IF(AND(BI141&lt;&gt;"""", IND"&amp;"EX(rowData,1,7)=BI141),1,0) +
        IF(AND(BJ141&lt;&gt;"""", INDEX(rowData,1,8)=BJ141),1,0)
      ) - COUNTIF(BC141:BJ141, ""-"")
        - COUNTIF(BC141:BJ141, ""固定格式，不需提供資訊"")
        - COUNTIF(BC141:BJ141, ""由MKT更新，此欄位固定格式，不需提供資訊
(Voucher CID：12917705872)"&amp;""")
        - COUNTIF(BC141:BJ141, ""text固定為以下：
※直播間僅支援手機版"")
        - COUNTIF(BC141:BJ141, ""text固定為以下：
※短影音僅支援手機版"")
    )
  ), 
  0
)
"),0)</f>
        <v>0</v>
      </c>
      <c r="BM141" s="77" t="b">
        <v>0</v>
      </c>
      <c r="BN141" s="85"/>
      <c r="BO141" s="85"/>
    </row>
    <row r="142" spans="1:67" ht="30" customHeight="1">
      <c r="A142" s="73" t="str">
        <f t="array" aca="1" ref="A142" ca="1">IFERROR(TRANSPOSE(INDIRECT('MS section版配(Old)'!$AO142)),"")</f>
        <v/>
      </c>
      <c r="B142" s="88"/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  <c r="AD142" s="88"/>
      <c r="AE142" s="397" t="str">
        <f>IFERROR(VLOOKUP($AQ142,'(勿動)組件目錄表'!$D$15:$R$1094,4,FALSE),"")</f>
        <v/>
      </c>
      <c r="AF142" s="384"/>
      <c r="AG142" s="384"/>
      <c r="AH142" s="384"/>
      <c r="AI142" s="384"/>
      <c r="AJ142" s="385"/>
      <c r="AK142" s="54" t="b">
        <v>0</v>
      </c>
      <c r="AL142" s="54" t="b">
        <v>0</v>
      </c>
      <c r="AM142" s="54"/>
      <c r="AN142" s="7" t="str">
        <v>134</v>
      </c>
      <c r="AO142" s="7"/>
      <c r="AP142" s="62"/>
      <c r="AQ142" s="75" t="str">
        <v/>
      </c>
      <c r="AR142" s="75" t="str">
        <v>-</v>
      </c>
      <c r="AS142" s="11"/>
      <c r="AT142" s="77" t="str">
        <v>-</v>
      </c>
      <c r="AU142" s="11" t="str">
        <v>-</v>
      </c>
      <c r="AV142" s="100"/>
      <c r="AW142" s="80" t="str">
        <f ca="1"/>
        <v>-</v>
      </c>
      <c r="AX142" s="86" t="b">
        <v>0</v>
      </c>
      <c r="AY142" s="68" t="str">
        <f t="shared" si="0"/>
        <v/>
      </c>
      <c r="AZ142" s="69" t="str">
        <f t="shared" si="1"/>
        <v/>
      </c>
      <c r="BA142" s="70" t="str">
        <f t="shared" si="2"/>
        <v/>
      </c>
      <c r="BB142" s="68" t="str">
        <f t="shared" si="3"/>
        <v/>
      </c>
      <c r="BC142" s="69" t="str">
        <f>IFERROR(VLOOKUP($AQ142,'(勿動)組件目錄表'!$D$15:$R$1094,7,FALSE),"")</f>
        <v/>
      </c>
      <c r="BD142" s="69" t="str">
        <f>IFERROR(VLOOKUP($AQ142,'(勿動)組件目錄表'!$D$15:$R$1094,8,FALSE),"")</f>
        <v/>
      </c>
      <c r="BE142" s="69" t="str">
        <f>IFERROR(VLOOKUP($AQ142,'(勿動)組件目錄表'!$D$15:$R$1094,9,FALSE),"")</f>
        <v/>
      </c>
      <c r="BF142" s="69" t="str">
        <f>IFERROR(VLOOKUP($AQ142,'(勿動)組件目錄表'!$D$15:$R$1094,10,FALSE),"")</f>
        <v/>
      </c>
      <c r="BG142" s="69" t="str">
        <f>IFERROR(VLOOKUP($AQ142,'(勿動)組件目錄表'!$D$15:$R$1094,11,FALSE),"")</f>
        <v/>
      </c>
      <c r="BH142" s="69" t="str">
        <f>IFERROR(VLOOKUP($AQ142,'(勿動)組件目錄表'!$D$15:$R$1094,12,FALSE),"")</f>
        <v/>
      </c>
      <c r="BI142" s="69" t="str">
        <f>IFERROR(VLOOKUP($AQ142,'(勿動)組件目錄表'!$D$15:$R$1094,13,FALSE),"")</f>
        <v/>
      </c>
      <c r="BJ142" s="69" t="str">
        <f>IFERROR(VLOOKUP($AQ142,'(勿動)組件目錄表'!$D$15:$R$1094,14,FALSE),"")</f>
        <v/>
      </c>
      <c r="BK142" s="69" t="str">
        <f>IFERROR(VLOOKUP($AQ142,'(勿動)組件目錄表'!$D$15:$R$1094,15,FALSE),"")</f>
        <v/>
      </c>
      <c r="BL142" s="81">
        <f ca="1">IFERROR(__xludf.DUMMYFUNCTION("IFERROR(
  LET(
    rowData, FILTER('(勿動)組件目錄表'!J:Q, '(勿動)組件目錄表'!D:D=AQ142),
    IF(ROWS(rowData)=0, 0, 
      (
        IF(AND(BC142&lt;&gt;"""", INDEX(rowData,1,1)=BC142),1,0) +
        IF(AND(BD142&lt;&gt;"""", INDEX(rowData,1,2)=BD142),1,0) +
        IF(AND(BE142"&amp;"&lt;&gt;"""", INDEX(rowData,1,3)=BE142),1,0) +
        IF(AND(BF142&lt;&gt;"""", INDEX(rowData,1,4)=BF142),1,0) +
        IF(AND(BG142&lt;&gt;"""", INDEX(rowData,1,5)=BG142),1,0) +
        IF(AND(BH142&lt;&gt;"""", INDEX(rowData,1,6)=BH142),1,0) +
        IF(AND(BI142&lt;&gt;"""", IND"&amp;"EX(rowData,1,7)=BI142),1,0) +
        IF(AND(BJ142&lt;&gt;"""", INDEX(rowData,1,8)=BJ142),1,0)
      ) - COUNTIF(BC142:BJ142, ""-"")
        - COUNTIF(BC142:BJ142, ""固定格式，不需提供資訊"")
        - COUNTIF(BC142:BJ142, ""由MKT更新，此欄位固定格式，不需提供資訊
(Voucher CID：12917705872)"&amp;""")
        - COUNTIF(BC142:BJ142, ""text固定為以下：
※直播間僅支援手機版"")
        - COUNTIF(BC142:BJ142, ""text固定為以下：
※短影音僅支援手機版"")
    )
  ), 
  0
)
"),0)</f>
        <v>0</v>
      </c>
      <c r="BM142" s="77" t="b">
        <v>0</v>
      </c>
      <c r="BN142" s="85"/>
      <c r="BO142" s="85"/>
    </row>
    <row r="143" spans="1:67" ht="30" customHeight="1">
      <c r="A143" s="73" t="str">
        <f t="array" aca="1" ref="A143" ca="1">IFERROR(TRANSPOSE(INDIRECT('MS section版配(Old)'!$AO143)),"")</f>
        <v/>
      </c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88"/>
      <c r="AC143" s="88"/>
      <c r="AD143" s="88"/>
      <c r="AE143" s="397" t="str">
        <f>IFERROR(VLOOKUP($AQ143,'(勿動)組件目錄表'!$D$15:$R$1094,4,FALSE),"")</f>
        <v/>
      </c>
      <c r="AF143" s="384"/>
      <c r="AG143" s="384"/>
      <c r="AH143" s="384"/>
      <c r="AI143" s="384"/>
      <c r="AJ143" s="385"/>
      <c r="AK143" s="54" t="b">
        <v>0</v>
      </c>
      <c r="AL143" s="54" t="b">
        <v>0</v>
      </c>
      <c r="AM143" s="54"/>
      <c r="AN143" s="7" t="str">
        <v>135</v>
      </c>
      <c r="AO143" s="7"/>
      <c r="AP143" s="62"/>
      <c r="AQ143" s="75" t="str">
        <v/>
      </c>
      <c r="AR143" s="75" t="str">
        <v>-</v>
      </c>
      <c r="AS143" s="11"/>
      <c r="AT143" s="77" t="str">
        <v>-</v>
      </c>
      <c r="AU143" s="11" t="str">
        <v>-</v>
      </c>
      <c r="AV143" s="100"/>
      <c r="AW143" s="80" t="str">
        <f ca="1"/>
        <v>-</v>
      </c>
      <c r="AX143" s="86" t="b">
        <v>0</v>
      </c>
      <c r="AY143" s="68" t="str">
        <f t="shared" si="0"/>
        <v/>
      </c>
      <c r="AZ143" s="69" t="str">
        <f t="shared" si="1"/>
        <v/>
      </c>
      <c r="BA143" s="70" t="str">
        <f t="shared" si="2"/>
        <v/>
      </c>
      <c r="BB143" s="68" t="str">
        <f t="shared" si="3"/>
        <v/>
      </c>
      <c r="BC143" s="69" t="str">
        <f>IFERROR(VLOOKUP($AQ143,'(勿動)組件目錄表'!$D$15:$R$1094,7,FALSE),"")</f>
        <v/>
      </c>
      <c r="BD143" s="69" t="str">
        <f>IFERROR(VLOOKUP($AQ143,'(勿動)組件目錄表'!$D$15:$R$1094,8,FALSE),"")</f>
        <v/>
      </c>
      <c r="BE143" s="69" t="str">
        <f>IFERROR(VLOOKUP($AQ143,'(勿動)組件目錄表'!$D$15:$R$1094,9,FALSE),"")</f>
        <v/>
      </c>
      <c r="BF143" s="69" t="str">
        <f>IFERROR(VLOOKUP($AQ143,'(勿動)組件目錄表'!$D$15:$R$1094,10,FALSE),"")</f>
        <v/>
      </c>
      <c r="BG143" s="69" t="str">
        <f>IFERROR(VLOOKUP($AQ143,'(勿動)組件目錄表'!$D$15:$R$1094,11,FALSE),"")</f>
        <v/>
      </c>
      <c r="BH143" s="69" t="str">
        <f>IFERROR(VLOOKUP($AQ143,'(勿動)組件目錄表'!$D$15:$R$1094,12,FALSE),"")</f>
        <v/>
      </c>
      <c r="BI143" s="69" t="str">
        <f>IFERROR(VLOOKUP($AQ143,'(勿動)組件目錄表'!$D$15:$R$1094,13,FALSE),"")</f>
        <v/>
      </c>
      <c r="BJ143" s="69" t="str">
        <f>IFERROR(VLOOKUP($AQ143,'(勿動)組件目錄表'!$D$15:$R$1094,14,FALSE),"")</f>
        <v/>
      </c>
      <c r="BK143" s="69" t="str">
        <f>IFERROR(VLOOKUP($AQ143,'(勿動)組件目錄表'!$D$15:$R$1094,15,FALSE),"")</f>
        <v/>
      </c>
      <c r="BL143" s="81">
        <f ca="1">IFERROR(__xludf.DUMMYFUNCTION("IFERROR(
  LET(
    rowData, FILTER('(勿動)組件目錄表'!J:Q, '(勿動)組件目錄表'!D:D=AQ143),
    IF(ROWS(rowData)=0, 0, 
      (
        IF(AND(BC143&lt;&gt;"""", INDEX(rowData,1,1)=BC143),1,0) +
        IF(AND(BD143&lt;&gt;"""", INDEX(rowData,1,2)=BD143),1,0) +
        IF(AND(BE143"&amp;"&lt;&gt;"""", INDEX(rowData,1,3)=BE143),1,0) +
        IF(AND(BF143&lt;&gt;"""", INDEX(rowData,1,4)=BF143),1,0) +
        IF(AND(BG143&lt;&gt;"""", INDEX(rowData,1,5)=BG143),1,0) +
        IF(AND(BH143&lt;&gt;"""", INDEX(rowData,1,6)=BH143),1,0) +
        IF(AND(BI143&lt;&gt;"""", IND"&amp;"EX(rowData,1,7)=BI143),1,0) +
        IF(AND(BJ143&lt;&gt;"""", INDEX(rowData,1,8)=BJ143),1,0)
      ) - COUNTIF(BC143:BJ143, ""-"")
        - COUNTIF(BC143:BJ143, ""固定格式，不需提供資訊"")
        - COUNTIF(BC143:BJ143, ""由MKT更新，此欄位固定格式，不需提供資訊
(Voucher CID：12917705872)"&amp;""")
        - COUNTIF(BC143:BJ143, ""text固定為以下：
※直播間僅支援手機版"")
        - COUNTIF(BC143:BJ143, ""text固定為以下：
※短影音僅支援手機版"")
    )
  ), 
  0
)
"),0)</f>
        <v>0</v>
      </c>
      <c r="BM143" s="77" t="b">
        <v>0</v>
      </c>
      <c r="BN143" s="85"/>
      <c r="BO143" s="85"/>
    </row>
    <row r="144" spans="1:67" ht="30" customHeight="1">
      <c r="A144" s="73" t="str">
        <f t="array" aca="1" ref="A144" ca="1">IFERROR(TRANSPOSE(INDIRECT('MS section版配(Old)'!$AO144)),"")</f>
        <v/>
      </c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88"/>
      <c r="AC144" s="88"/>
      <c r="AD144" s="88"/>
      <c r="AE144" s="397" t="str">
        <f>IFERROR(VLOOKUP($AQ144,'(勿動)組件目錄表'!$D$15:$R$1094,4,FALSE),"")</f>
        <v/>
      </c>
      <c r="AF144" s="384"/>
      <c r="AG144" s="384"/>
      <c r="AH144" s="384"/>
      <c r="AI144" s="384"/>
      <c r="AJ144" s="385"/>
      <c r="AK144" s="54" t="b">
        <v>0</v>
      </c>
      <c r="AL144" s="54" t="b">
        <v>0</v>
      </c>
      <c r="AM144" s="54"/>
      <c r="AN144" s="7" t="str">
        <v>136</v>
      </c>
      <c r="AO144" s="7"/>
      <c r="AP144" s="62"/>
      <c r="AQ144" s="75" t="str">
        <v/>
      </c>
      <c r="AR144" s="75" t="str">
        <v>-</v>
      </c>
      <c r="AS144" s="11"/>
      <c r="AT144" s="77" t="str">
        <v>-</v>
      </c>
      <c r="AU144" s="11" t="str">
        <v>-</v>
      </c>
      <c r="AV144" s="100"/>
      <c r="AW144" s="80" t="str">
        <f ca="1"/>
        <v>-</v>
      </c>
      <c r="AX144" s="86" t="b">
        <v>0</v>
      </c>
      <c r="AY144" s="68" t="str">
        <f t="shared" si="0"/>
        <v/>
      </c>
      <c r="AZ144" s="69" t="str">
        <f t="shared" si="1"/>
        <v/>
      </c>
      <c r="BA144" s="70" t="str">
        <f t="shared" si="2"/>
        <v/>
      </c>
      <c r="BB144" s="68" t="str">
        <f t="shared" si="3"/>
        <v/>
      </c>
      <c r="BC144" s="69" t="str">
        <f>IFERROR(VLOOKUP($AQ144,'(勿動)組件目錄表'!$D$15:$R$1094,7,FALSE),"")</f>
        <v/>
      </c>
      <c r="BD144" s="69" t="str">
        <f>IFERROR(VLOOKUP($AQ144,'(勿動)組件目錄表'!$D$15:$R$1094,8,FALSE),"")</f>
        <v/>
      </c>
      <c r="BE144" s="69" t="str">
        <f>IFERROR(VLOOKUP($AQ144,'(勿動)組件目錄表'!$D$15:$R$1094,9,FALSE),"")</f>
        <v/>
      </c>
      <c r="BF144" s="69" t="str">
        <f>IFERROR(VLOOKUP($AQ144,'(勿動)組件目錄表'!$D$15:$R$1094,10,FALSE),"")</f>
        <v/>
      </c>
      <c r="BG144" s="69" t="str">
        <f>IFERROR(VLOOKUP($AQ144,'(勿動)組件目錄表'!$D$15:$R$1094,11,FALSE),"")</f>
        <v/>
      </c>
      <c r="BH144" s="69" t="str">
        <f>IFERROR(VLOOKUP($AQ144,'(勿動)組件目錄表'!$D$15:$R$1094,12,FALSE),"")</f>
        <v/>
      </c>
      <c r="BI144" s="69" t="str">
        <f>IFERROR(VLOOKUP($AQ144,'(勿動)組件目錄表'!$D$15:$R$1094,13,FALSE),"")</f>
        <v/>
      </c>
      <c r="BJ144" s="69" t="str">
        <f>IFERROR(VLOOKUP($AQ144,'(勿動)組件目錄表'!$D$15:$R$1094,14,FALSE),"")</f>
        <v/>
      </c>
      <c r="BK144" s="69" t="str">
        <f>IFERROR(VLOOKUP($AQ144,'(勿動)組件目錄表'!$D$15:$R$1094,15,FALSE),"")</f>
        <v/>
      </c>
      <c r="BL144" s="81">
        <f ca="1">IFERROR(__xludf.DUMMYFUNCTION("IFERROR(
  LET(
    rowData, FILTER('(勿動)組件目錄表'!J:Q, '(勿動)組件目錄表'!D:D=AQ144),
    IF(ROWS(rowData)=0, 0, 
      (
        IF(AND(BC144&lt;&gt;"""", INDEX(rowData,1,1)=BC144),1,0) +
        IF(AND(BD144&lt;&gt;"""", INDEX(rowData,1,2)=BD144),1,0) +
        IF(AND(BE144"&amp;"&lt;&gt;"""", INDEX(rowData,1,3)=BE144),1,0) +
        IF(AND(BF144&lt;&gt;"""", INDEX(rowData,1,4)=BF144),1,0) +
        IF(AND(BG144&lt;&gt;"""", INDEX(rowData,1,5)=BG144),1,0) +
        IF(AND(BH144&lt;&gt;"""", INDEX(rowData,1,6)=BH144),1,0) +
        IF(AND(BI144&lt;&gt;"""", IND"&amp;"EX(rowData,1,7)=BI144),1,0) +
        IF(AND(BJ144&lt;&gt;"""", INDEX(rowData,1,8)=BJ144),1,0)
      ) - COUNTIF(BC144:BJ144, ""-"")
        - COUNTIF(BC144:BJ144, ""固定格式，不需提供資訊"")
        - COUNTIF(BC144:BJ144, ""由MKT更新，此欄位固定格式，不需提供資訊
(Voucher CID：12917705872)"&amp;""")
        - COUNTIF(BC144:BJ144, ""text固定為以下：
※直播間僅支援手機版"")
        - COUNTIF(BC144:BJ144, ""text固定為以下：
※短影音僅支援手機版"")
    )
  ), 
  0
)
"),0)</f>
        <v>0</v>
      </c>
      <c r="BM144" s="77" t="b">
        <v>0</v>
      </c>
      <c r="BN144" s="85"/>
      <c r="BO144" s="85"/>
    </row>
    <row r="145" spans="1:67" ht="30" customHeight="1">
      <c r="A145" s="73" t="str">
        <f t="array" aca="1" ref="A145" ca="1">IFERROR(TRANSPOSE(INDIRECT('MS section版配(Old)'!$AO145)),"")</f>
        <v/>
      </c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88"/>
      <c r="AC145" s="88"/>
      <c r="AD145" s="88"/>
      <c r="AE145" s="397" t="str">
        <f>IFERROR(VLOOKUP($AQ145,'(勿動)組件目錄表'!$D$15:$R$1094,4,FALSE),"")</f>
        <v/>
      </c>
      <c r="AF145" s="384"/>
      <c r="AG145" s="384"/>
      <c r="AH145" s="384"/>
      <c r="AI145" s="384"/>
      <c r="AJ145" s="385"/>
      <c r="AK145" s="54" t="b">
        <v>0</v>
      </c>
      <c r="AL145" s="54" t="b">
        <v>0</v>
      </c>
      <c r="AM145" s="54"/>
      <c r="AN145" s="7" t="str">
        <v>137</v>
      </c>
      <c r="AO145" s="7"/>
      <c r="AP145" s="62"/>
      <c r="AQ145" s="75" t="str">
        <v/>
      </c>
      <c r="AR145" s="75" t="str">
        <v>-</v>
      </c>
      <c r="AS145" s="11"/>
      <c r="AT145" s="77" t="str">
        <v>-</v>
      </c>
      <c r="AU145" s="11" t="str">
        <v>-</v>
      </c>
      <c r="AV145" s="100"/>
      <c r="AW145" s="80" t="str">
        <f ca="1"/>
        <v>-</v>
      </c>
      <c r="AX145" s="86" t="b">
        <v>0</v>
      </c>
      <c r="AY145" s="68" t="str">
        <f t="shared" si="0"/>
        <v/>
      </c>
      <c r="AZ145" s="69" t="str">
        <f t="shared" si="1"/>
        <v/>
      </c>
      <c r="BA145" s="70" t="str">
        <f t="shared" si="2"/>
        <v/>
      </c>
      <c r="BB145" s="68" t="str">
        <f t="shared" si="3"/>
        <v/>
      </c>
      <c r="BC145" s="69" t="str">
        <f>IFERROR(VLOOKUP($AQ145,'(勿動)組件目錄表'!$D$15:$R$1094,7,FALSE),"")</f>
        <v/>
      </c>
      <c r="BD145" s="69" t="str">
        <f>IFERROR(VLOOKUP($AQ145,'(勿動)組件目錄表'!$D$15:$R$1094,8,FALSE),"")</f>
        <v/>
      </c>
      <c r="BE145" s="69" t="str">
        <f>IFERROR(VLOOKUP($AQ145,'(勿動)組件目錄表'!$D$15:$R$1094,9,FALSE),"")</f>
        <v/>
      </c>
      <c r="BF145" s="69" t="str">
        <f>IFERROR(VLOOKUP($AQ145,'(勿動)組件目錄表'!$D$15:$R$1094,10,FALSE),"")</f>
        <v/>
      </c>
      <c r="BG145" s="69" t="str">
        <f>IFERROR(VLOOKUP($AQ145,'(勿動)組件目錄表'!$D$15:$R$1094,11,FALSE),"")</f>
        <v/>
      </c>
      <c r="BH145" s="69" t="str">
        <f>IFERROR(VLOOKUP($AQ145,'(勿動)組件目錄表'!$D$15:$R$1094,12,FALSE),"")</f>
        <v/>
      </c>
      <c r="BI145" s="69" t="str">
        <f>IFERROR(VLOOKUP($AQ145,'(勿動)組件目錄表'!$D$15:$R$1094,13,FALSE),"")</f>
        <v/>
      </c>
      <c r="BJ145" s="69" t="str">
        <f>IFERROR(VLOOKUP($AQ145,'(勿動)組件目錄表'!$D$15:$R$1094,14,FALSE),"")</f>
        <v/>
      </c>
      <c r="BK145" s="69" t="str">
        <f>IFERROR(VLOOKUP($AQ145,'(勿動)組件目錄表'!$D$15:$R$1094,15,FALSE),"")</f>
        <v/>
      </c>
      <c r="BL145" s="81">
        <f ca="1">IFERROR(__xludf.DUMMYFUNCTION("IFERROR(
  LET(
    rowData, FILTER('(勿動)組件目錄表'!J:Q, '(勿動)組件目錄表'!D:D=AQ145),
    IF(ROWS(rowData)=0, 0, 
      (
        IF(AND(BC145&lt;&gt;"""", INDEX(rowData,1,1)=BC145),1,0) +
        IF(AND(BD145&lt;&gt;"""", INDEX(rowData,1,2)=BD145),1,0) +
        IF(AND(BE145"&amp;"&lt;&gt;"""", INDEX(rowData,1,3)=BE145),1,0) +
        IF(AND(BF145&lt;&gt;"""", INDEX(rowData,1,4)=BF145),1,0) +
        IF(AND(BG145&lt;&gt;"""", INDEX(rowData,1,5)=BG145),1,0) +
        IF(AND(BH145&lt;&gt;"""", INDEX(rowData,1,6)=BH145),1,0) +
        IF(AND(BI145&lt;&gt;"""", IND"&amp;"EX(rowData,1,7)=BI145),1,0) +
        IF(AND(BJ145&lt;&gt;"""", INDEX(rowData,1,8)=BJ145),1,0)
      ) - COUNTIF(BC145:BJ145, ""-"")
        - COUNTIF(BC145:BJ145, ""固定格式，不需提供資訊"")
        - COUNTIF(BC145:BJ145, ""由MKT更新，此欄位固定格式，不需提供資訊
(Voucher CID：12917705872)"&amp;""")
        - COUNTIF(BC145:BJ145, ""text固定為以下：
※直播間僅支援手機版"")
        - COUNTIF(BC145:BJ145, ""text固定為以下：
※短影音僅支援手機版"")
    )
  ), 
  0
)
"),0)</f>
        <v>0</v>
      </c>
      <c r="BM145" s="77" t="b">
        <v>0</v>
      </c>
      <c r="BN145" s="85"/>
      <c r="BO145" s="85"/>
    </row>
    <row r="146" spans="1:67" ht="30" customHeight="1">
      <c r="A146" s="73" t="str">
        <f t="array" aca="1" ref="A146" ca="1">IFERROR(TRANSPOSE(INDIRECT('MS section版配(Old)'!$AO146)),"")</f>
        <v/>
      </c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88"/>
      <c r="AC146" s="88"/>
      <c r="AD146" s="88"/>
      <c r="AE146" s="397" t="str">
        <f>IFERROR(VLOOKUP($AQ146,'(勿動)組件目錄表'!$D$15:$R$1094,4,FALSE),"")</f>
        <v/>
      </c>
      <c r="AF146" s="384"/>
      <c r="AG146" s="384"/>
      <c r="AH146" s="384"/>
      <c r="AI146" s="384"/>
      <c r="AJ146" s="385"/>
      <c r="AK146" s="54" t="b">
        <v>0</v>
      </c>
      <c r="AL146" s="54" t="b">
        <v>0</v>
      </c>
      <c r="AM146" s="54"/>
      <c r="AN146" s="7" t="str">
        <v>138</v>
      </c>
      <c r="AO146" s="7"/>
      <c r="AP146" s="62"/>
      <c r="AQ146" s="75" t="str">
        <v/>
      </c>
      <c r="AR146" s="75" t="str">
        <v>-</v>
      </c>
      <c r="AS146" s="11"/>
      <c r="AT146" s="77" t="str">
        <v>-</v>
      </c>
      <c r="AU146" s="11" t="str">
        <v>-</v>
      </c>
      <c r="AV146" s="100"/>
      <c r="AW146" s="80" t="str">
        <f ca="1"/>
        <v>-</v>
      </c>
      <c r="AX146" s="86" t="b">
        <v>0</v>
      </c>
      <c r="AY146" s="68" t="str">
        <f t="shared" si="0"/>
        <v/>
      </c>
      <c r="AZ146" s="69" t="str">
        <f t="shared" si="1"/>
        <v/>
      </c>
      <c r="BA146" s="70" t="str">
        <f t="shared" si="2"/>
        <v/>
      </c>
      <c r="BB146" s="68" t="str">
        <f t="shared" si="3"/>
        <v/>
      </c>
      <c r="BC146" s="69" t="str">
        <f>IFERROR(VLOOKUP($AQ146,'(勿動)組件目錄表'!$D$15:$R$1094,7,FALSE),"")</f>
        <v/>
      </c>
      <c r="BD146" s="69" t="str">
        <f>IFERROR(VLOOKUP($AQ146,'(勿動)組件目錄表'!$D$15:$R$1094,8,FALSE),"")</f>
        <v/>
      </c>
      <c r="BE146" s="69" t="str">
        <f>IFERROR(VLOOKUP($AQ146,'(勿動)組件目錄表'!$D$15:$R$1094,9,FALSE),"")</f>
        <v/>
      </c>
      <c r="BF146" s="69" t="str">
        <f>IFERROR(VLOOKUP($AQ146,'(勿動)組件目錄表'!$D$15:$R$1094,10,FALSE),"")</f>
        <v/>
      </c>
      <c r="BG146" s="69" t="str">
        <f>IFERROR(VLOOKUP($AQ146,'(勿動)組件目錄表'!$D$15:$R$1094,11,FALSE),"")</f>
        <v/>
      </c>
      <c r="BH146" s="69" t="str">
        <f>IFERROR(VLOOKUP($AQ146,'(勿動)組件目錄表'!$D$15:$R$1094,12,FALSE),"")</f>
        <v/>
      </c>
      <c r="BI146" s="69" t="str">
        <f>IFERROR(VLOOKUP($AQ146,'(勿動)組件目錄表'!$D$15:$R$1094,13,FALSE),"")</f>
        <v/>
      </c>
      <c r="BJ146" s="69" t="str">
        <f>IFERROR(VLOOKUP($AQ146,'(勿動)組件目錄表'!$D$15:$R$1094,14,FALSE),"")</f>
        <v/>
      </c>
      <c r="BK146" s="69" t="str">
        <f>IFERROR(VLOOKUP($AQ146,'(勿動)組件目錄表'!$D$15:$R$1094,15,FALSE),"")</f>
        <v/>
      </c>
      <c r="BL146" s="81">
        <f ca="1">IFERROR(__xludf.DUMMYFUNCTION("IFERROR(
  LET(
    rowData, FILTER('(勿動)組件目錄表'!J:Q, '(勿動)組件目錄表'!D:D=AQ146),
    IF(ROWS(rowData)=0, 0, 
      (
        IF(AND(BC146&lt;&gt;"""", INDEX(rowData,1,1)=BC146),1,0) +
        IF(AND(BD146&lt;&gt;"""", INDEX(rowData,1,2)=BD146),1,0) +
        IF(AND(BE146"&amp;"&lt;&gt;"""", INDEX(rowData,1,3)=BE146),1,0) +
        IF(AND(BF146&lt;&gt;"""", INDEX(rowData,1,4)=BF146),1,0) +
        IF(AND(BG146&lt;&gt;"""", INDEX(rowData,1,5)=BG146),1,0) +
        IF(AND(BH146&lt;&gt;"""", INDEX(rowData,1,6)=BH146),1,0) +
        IF(AND(BI146&lt;&gt;"""", IND"&amp;"EX(rowData,1,7)=BI146),1,0) +
        IF(AND(BJ146&lt;&gt;"""", INDEX(rowData,1,8)=BJ146),1,0)
      ) - COUNTIF(BC146:BJ146, ""-"")
        - COUNTIF(BC146:BJ146, ""固定格式，不需提供資訊"")
        - COUNTIF(BC146:BJ146, ""由MKT更新，此欄位固定格式，不需提供資訊
(Voucher CID：12917705872)"&amp;""")
        - COUNTIF(BC146:BJ146, ""text固定為以下：
※直播間僅支援手機版"")
        - COUNTIF(BC146:BJ146, ""text固定為以下：
※短影音僅支援手機版"")
    )
  ), 
  0
)
"),0)</f>
        <v>0</v>
      </c>
      <c r="BM146" s="77" t="b">
        <v>0</v>
      </c>
      <c r="BN146" s="85"/>
      <c r="BO146" s="85"/>
    </row>
    <row r="147" spans="1:67" ht="30" customHeight="1">
      <c r="A147" s="73" t="str">
        <f t="array" aca="1" ref="A147" ca="1">IFERROR(TRANSPOSE(INDIRECT('MS section版配(Old)'!$AO147)),"")</f>
        <v/>
      </c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88"/>
      <c r="AC147" s="88"/>
      <c r="AD147" s="88"/>
      <c r="AE147" s="397" t="str">
        <f>IFERROR(VLOOKUP($AQ147,'(勿動)組件目錄表'!$D$15:$R$1094,4,FALSE),"")</f>
        <v/>
      </c>
      <c r="AF147" s="384"/>
      <c r="AG147" s="384"/>
      <c r="AH147" s="384"/>
      <c r="AI147" s="384"/>
      <c r="AJ147" s="385"/>
      <c r="AK147" s="54" t="b">
        <v>0</v>
      </c>
      <c r="AL147" s="54" t="b">
        <v>0</v>
      </c>
      <c r="AM147" s="54"/>
      <c r="AN147" s="7" t="str">
        <v>139</v>
      </c>
      <c r="AO147" s="7"/>
      <c r="AP147" s="62"/>
      <c r="AQ147" s="75" t="str">
        <v/>
      </c>
      <c r="AR147" s="75" t="str">
        <v>-</v>
      </c>
      <c r="AS147" s="11"/>
      <c r="AT147" s="77" t="str">
        <v>-</v>
      </c>
      <c r="AU147" s="11" t="str">
        <v>-</v>
      </c>
      <c r="AV147" s="100"/>
      <c r="AW147" s="80" t="str">
        <f ca="1"/>
        <v>-</v>
      </c>
      <c r="AX147" s="86" t="b">
        <v>0</v>
      </c>
      <c r="AY147" s="68" t="str">
        <f t="shared" si="0"/>
        <v/>
      </c>
      <c r="AZ147" s="69" t="str">
        <f t="shared" si="1"/>
        <v/>
      </c>
      <c r="BA147" s="70" t="str">
        <f t="shared" si="2"/>
        <v/>
      </c>
      <c r="BB147" s="68" t="str">
        <f t="shared" si="3"/>
        <v/>
      </c>
      <c r="BC147" s="69" t="str">
        <f>IFERROR(VLOOKUP($AQ147,'(勿動)組件目錄表'!$D$15:$R$1094,7,FALSE),"")</f>
        <v/>
      </c>
      <c r="BD147" s="69" t="str">
        <f>IFERROR(VLOOKUP($AQ147,'(勿動)組件目錄表'!$D$15:$R$1094,8,FALSE),"")</f>
        <v/>
      </c>
      <c r="BE147" s="69" t="str">
        <f>IFERROR(VLOOKUP($AQ147,'(勿動)組件目錄表'!$D$15:$R$1094,9,FALSE),"")</f>
        <v/>
      </c>
      <c r="BF147" s="69" t="str">
        <f>IFERROR(VLOOKUP($AQ147,'(勿動)組件目錄表'!$D$15:$R$1094,10,FALSE),"")</f>
        <v/>
      </c>
      <c r="BG147" s="69" t="str">
        <f>IFERROR(VLOOKUP($AQ147,'(勿動)組件目錄表'!$D$15:$R$1094,11,FALSE),"")</f>
        <v/>
      </c>
      <c r="BH147" s="69" t="str">
        <f>IFERROR(VLOOKUP($AQ147,'(勿動)組件目錄表'!$D$15:$R$1094,12,FALSE),"")</f>
        <v/>
      </c>
      <c r="BI147" s="69" t="str">
        <f>IFERROR(VLOOKUP($AQ147,'(勿動)組件目錄表'!$D$15:$R$1094,13,FALSE),"")</f>
        <v/>
      </c>
      <c r="BJ147" s="69" t="str">
        <f>IFERROR(VLOOKUP($AQ147,'(勿動)組件目錄表'!$D$15:$R$1094,14,FALSE),"")</f>
        <v/>
      </c>
      <c r="BK147" s="69" t="str">
        <f>IFERROR(VLOOKUP($AQ147,'(勿動)組件目錄表'!$D$15:$R$1094,15,FALSE),"")</f>
        <v/>
      </c>
      <c r="BL147" s="81">
        <f ca="1">IFERROR(__xludf.DUMMYFUNCTION("IFERROR(
  LET(
    rowData, FILTER('(勿動)組件目錄表'!J:Q, '(勿動)組件目錄表'!D:D=AQ147),
    IF(ROWS(rowData)=0, 0, 
      (
        IF(AND(BC147&lt;&gt;"""", INDEX(rowData,1,1)=BC147),1,0) +
        IF(AND(BD147&lt;&gt;"""", INDEX(rowData,1,2)=BD147),1,0) +
        IF(AND(BE147"&amp;"&lt;&gt;"""", INDEX(rowData,1,3)=BE147),1,0) +
        IF(AND(BF147&lt;&gt;"""", INDEX(rowData,1,4)=BF147),1,0) +
        IF(AND(BG147&lt;&gt;"""", INDEX(rowData,1,5)=BG147),1,0) +
        IF(AND(BH147&lt;&gt;"""", INDEX(rowData,1,6)=BH147),1,0) +
        IF(AND(BI147&lt;&gt;"""", IND"&amp;"EX(rowData,1,7)=BI147),1,0) +
        IF(AND(BJ147&lt;&gt;"""", INDEX(rowData,1,8)=BJ147),1,0)
      ) - COUNTIF(BC147:BJ147, ""-"")
        - COUNTIF(BC147:BJ147, ""固定格式，不需提供資訊"")
        - COUNTIF(BC147:BJ147, ""由MKT更新，此欄位固定格式，不需提供資訊
(Voucher CID：12917705872)"&amp;""")
        - COUNTIF(BC147:BJ147, ""text固定為以下：
※直播間僅支援手機版"")
        - COUNTIF(BC147:BJ147, ""text固定為以下：
※短影音僅支援手機版"")
    )
  ), 
  0
)
"),0)</f>
        <v>0</v>
      </c>
      <c r="BM147" s="77" t="b">
        <v>0</v>
      </c>
      <c r="BN147" s="85"/>
      <c r="BO147" s="85"/>
    </row>
    <row r="148" spans="1:67" ht="30" customHeight="1">
      <c r="A148" s="73" t="str">
        <f t="array" aca="1" ref="A148" ca="1">IFERROR(TRANSPOSE(INDIRECT('MS section版配(Old)'!$AO148)),"")</f>
        <v/>
      </c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  <c r="AD148" s="88"/>
      <c r="AE148" s="397" t="str">
        <f>IFERROR(VLOOKUP($AQ148,'(勿動)組件目錄表'!$D$15:$R$1094,4,FALSE),"")</f>
        <v/>
      </c>
      <c r="AF148" s="384"/>
      <c r="AG148" s="384"/>
      <c r="AH148" s="384"/>
      <c r="AI148" s="384"/>
      <c r="AJ148" s="385"/>
      <c r="AK148" s="54" t="b">
        <v>0</v>
      </c>
      <c r="AL148" s="54" t="b">
        <v>0</v>
      </c>
      <c r="AM148" s="54"/>
      <c r="AN148" s="7" t="str">
        <v>140</v>
      </c>
      <c r="AO148" s="7"/>
      <c r="AP148" s="62"/>
      <c r="AQ148" s="75" t="str">
        <v/>
      </c>
      <c r="AR148" s="75" t="str">
        <v>-</v>
      </c>
      <c r="AS148" s="11"/>
      <c r="AT148" s="77" t="str">
        <v>-</v>
      </c>
      <c r="AU148" s="11" t="str">
        <v>-</v>
      </c>
      <c r="AV148" s="100"/>
      <c r="AW148" s="80" t="str">
        <f ca="1"/>
        <v>-</v>
      </c>
      <c r="AX148" s="86" t="b">
        <v>0</v>
      </c>
      <c r="AY148" s="68" t="str">
        <f t="shared" si="0"/>
        <v/>
      </c>
      <c r="AZ148" s="69" t="str">
        <f t="shared" si="1"/>
        <v/>
      </c>
      <c r="BA148" s="70" t="str">
        <f t="shared" si="2"/>
        <v/>
      </c>
      <c r="BB148" s="68" t="str">
        <f t="shared" si="3"/>
        <v/>
      </c>
      <c r="BC148" s="69" t="str">
        <f>IFERROR(VLOOKUP($AQ148,'(勿動)組件目錄表'!$D$15:$R$1094,7,FALSE),"")</f>
        <v/>
      </c>
      <c r="BD148" s="69" t="str">
        <f>IFERROR(VLOOKUP($AQ148,'(勿動)組件目錄表'!$D$15:$R$1094,8,FALSE),"")</f>
        <v/>
      </c>
      <c r="BE148" s="69" t="str">
        <f>IFERROR(VLOOKUP($AQ148,'(勿動)組件目錄表'!$D$15:$R$1094,9,FALSE),"")</f>
        <v/>
      </c>
      <c r="BF148" s="69" t="str">
        <f>IFERROR(VLOOKUP($AQ148,'(勿動)組件目錄表'!$D$15:$R$1094,10,FALSE),"")</f>
        <v/>
      </c>
      <c r="BG148" s="69" t="str">
        <f>IFERROR(VLOOKUP($AQ148,'(勿動)組件目錄表'!$D$15:$R$1094,11,FALSE),"")</f>
        <v/>
      </c>
      <c r="BH148" s="69" t="str">
        <f>IFERROR(VLOOKUP($AQ148,'(勿動)組件目錄表'!$D$15:$R$1094,12,FALSE),"")</f>
        <v/>
      </c>
      <c r="BI148" s="69" t="str">
        <f>IFERROR(VLOOKUP($AQ148,'(勿動)組件目錄表'!$D$15:$R$1094,13,FALSE),"")</f>
        <v/>
      </c>
      <c r="BJ148" s="69" t="str">
        <f>IFERROR(VLOOKUP($AQ148,'(勿動)組件目錄表'!$D$15:$R$1094,14,FALSE),"")</f>
        <v/>
      </c>
      <c r="BK148" s="69" t="str">
        <f>IFERROR(VLOOKUP($AQ148,'(勿動)組件目錄表'!$D$15:$R$1094,15,FALSE),"")</f>
        <v/>
      </c>
      <c r="BL148" s="81">
        <f ca="1">IFERROR(__xludf.DUMMYFUNCTION("IFERROR(
  LET(
    rowData, FILTER('(勿動)組件目錄表'!J:Q, '(勿動)組件目錄表'!D:D=AQ148),
    IF(ROWS(rowData)=0, 0, 
      (
        IF(AND(BC148&lt;&gt;"""", INDEX(rowData,1,1)=BC148),1,0) +
        IF(AND(BD148&lt;&gt;"""", INDEX(rowData,1,2)=BD148),1,0) +
        IF(AND(BE148"&amp;"&lt;&gt;"""", INDEX(rowData,1,3)=BE148),1,0) +
        IF(AND(BF148&lt;&gt;"""", INDEX(rowData,1,4)=BF148),1,0) +
        IF(AND(BG148&lt;&gt;"""", INDEX(rowData,1,5)=BG148),1,0) +
        IF(AND(BH148&lt;&gt;"""", INDEX(rowData,1,6)=BH148),1,0) +
        IF(AND(BI148&lt;&gt;"""", IND"&amp;"EX(rowData,1,7)=BI148),1,0) +
        IF(AND(BJ148&lt;&gt;"""", INDEX(rowData,1,8)=BJ148),1,0)
      ) - COUNTIF(BC148:BJ148, ""-"")
        - COUNTIF(BC148:BJ148, ""固定格式，不需提供資訊"")
        - COUNTIF(BC148:BJ148, ""由MKT更新，此欄位固定格式，不需提供資訊
(Voucher CID：12917705872)"&amp;""")
        - COUNTIF(BC148:BJ148, ""text固定為以下：
※直播間僅支援手機版"")
        - COUNTIF(BC148:BJ148, ""text固定為以下：
※短影音僅支援手機版"")
    )
  ), 
  0
)
"),0)</f>
        <v>0</v>
      </c>
      <c r="BM148" s="77" t="b">
        <v>0</v>
      </c>
      <c r="BN148" s="85"/>
      <c r="BO148" s="85"/>
    </row>
    <row r="149" spans="1:67" ht="30" customHeight="1">
      <c r="A149" s="73" t="str">
        <f t="array" aca="1" ref="A149" ca="1">IFERROR(TRANSPOSE(INDIRECT('MS section版配(Old)'!$AO149)),"")</f>
        <v/>
      </c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  <c r="AD149" s="88"/>
      <c r="AE149" s="397" t="str">
        <f>IFERROR(VLOOKUP($AQ149,'(勿動)組件目錄表'!$D$15:$R$1094,4,FALSE),"")</f>
        <v/>
      </c>
      <c r="AF149" s="384"/>
      <c r="AG149" s="384"/>
      <c r="AH149" s="384"/>
      <c r="AI149" s="384"/>
      <c r="AJ149" s="385"/>
      <c r="AK149" s="54" t="b">
        <v>0</v>
      </c>
      <c r="AL149" s="54" t="b">
        <v>0</v>
      </c>
      <c r="AM149" s="54"/>
      <c r="AN149" s="7" t="str">
        <v>141</v>
      </c>
      <c r="AO149" s="7"/>
      <c r="AP149" s="62"/>
      <c r="AQ149" s="75" t="str">
        <v/>
      </c>
      <c r="AR149" s="75" t="str">
        <v>-</v>
      </c>
      <c r="AS149" s="11"/>
      <c r="AT149" s="77" t="str">
        <v>-</v>
      </c>
      <c r="AU149" s="11" t="str">
        <v>-</v>
      </c>
      <c r="AV149" s="100"/>
      <c r="AW149" s="80" t="str">
        <f ca="1"/>
        <v>-</v>
      </c>
      <c r="AX149" s="86" t="b">
        <v>0</v>
      </c>
      <c r="AY149" s="68" t="str">
        <f t="shared" si="0"/>
        <v/>
      </c>
      <c r="AZ149" s="69" t="str">
        <f t="shared" si="1"/>
        <v/>
      </c>
      <c r="BA149" s="70" t="str">
        <f t="shared" si="2"/>
        <v/>
      </c>
      <c r="BB149" s="68" t="str">
        <f t="shared" si="3"/>
        <v/>
      </c>
      <c r="BC149" s="69" t="str">
        <f>IFERROR(VLOOKUP($AQ149,'(勿動)組件目錄表'!$D$15:$R$1094,7,FALSE),"")</f>
        <v/>
      </c>
      <c r="BD149" s="69" t="str">
        <f>IFERROR(VLOOKUP($AQ149,'(勿動)組件目錄表'!$D$15:$R$1094,8,FALSE),"")</f>
        <v/>
      </c>
      <c r="BE149" s="69" t="str">
        <f>IFERROR(VLOOKUP($AQ149,'(勿動)組件目錄表'!$D$15:$R$1094,9,FALSE),"")</f>
        <v/>
      </c>
      <c r="BF149" s="69" t="str">
        <f>IFERROR(VLOOKUP($AQ149,'(勿動)組件目錄表'!$D$15:$R$1094,10,FALSE),"")</f>
        <v/>
      </c>
      <c r="BG149" s="69" t="str">
        <f>IFERROR(VLOOKUP($AQ149,'(勿動)組件目錄表'!$D$15:$R$1094,11,FALSE),"")</f>
        <v/>
      </c>
      <c r="BH149" s="69" t="str">
        <f>IFERROR(VLOOKUP($AQ149,'(勿動)組件目錄表'!$D$15:$R$1094,12,FALSE),"")</f>
        <v/>
      </c>
      <c r="BI149" s="69" t="str">
        <f>IFERROR(VLOOKUP($AQ149,'(勿動)組件目錄表'!$D$15:$R$1094,13,FALSE),"")</f>
        <v/>
      </c>
      <c r="BJ149" s="69" t="str">
        <f>IFERROR(VLOOKUP($AQ149,'(勿動)組件目錄表'!$D$15:$R$1094,14,FALSE),"")</f>
        <v/>
      </c>
      <c r="BK149" s="69" t="str">
        <f>IFERROR(VLOOKUP($AQ149,'(勿動)組件目錄表'!$D$15:$R$1094,15,FALSE),"")</f>
        <v/>
      </c>
      <c r="BL149" s="81">
        <f ca="1">IFERROR(__xludf.DUMMYFUNCTION("IFERROR(
  LET(
    rowData, FILTER('(勿動)組件目錄表'!J:Q, '(勿動)組件目錄表'!D:D=AQ149),
    IF(ROWS(rowData)=0, 0, 
      (
        IF(AND(BC149&lt;&gt;"""", INDEX(rowData,1,1)=BC149),1,0) +
        IF(AND(BD149&lt;&gt;"""", INDEX(rowData,1,2)=BD149),1,0) +
        IF(AND(BE149"&amp;"&lt;&gt;"""", INDEX(rowData,1,3)=BE149),1,0) +
        IF(AND(BF149&lt;&gt;"""", INDEX(rowData,1,4)=BF149),1,0) +
        IF(AND(BG149&lt;&gt;"""", INDEX(rowData,1,5)=BG149),1,0) +
        IF(AND(BH149&lt;&gt;"""", INDEX(rowData,1,6)=BH149),1,0) +
        IF(AND(BI149&lt;&gt;"""", IND"&amp;"EX(rowData,1,7)=BI149),1,0) +
        IF(AND(BJ149&lt;&gt;"""", INDEX(rowData,1,8)=BJ149),1,0)
      ) - COUNTIF(BC149:BJ149, ""-"")
        - COUNTIF(BC149:BJ149, ""固定格式，不需提供資訊"")
        - COUNTIF(BC149:BJ149, ""由MKT更新，此欄位固定格式，不需提供資訊
(Voucher CID：12917705872)"&amp;""")
        - COUNTIF(BC149:BJ149, ""text固定為以下：
※直播間僅支援手機版"")
        - COUNTIF(BC149:BJ149, ""text固定為以下：
※短影音僅支援手機版"")
    )
  ), 
  0
)
"),0)</f>
        <v>0</v>
      </c>
      <c r="BM149" s="77" t="b">
        <v>0</v>
      </c>
      <c r="BN149" s="85"/>
      <c r="BO149" s="85"/>
    </row>
    <row r="150" spans="1:67" ht="30" customHeight="1">
      <c r="A150" s="73" t="str">
        <f t="array" aca="1" ref="A150" ca="1">IFERROR(TRANSPOSE(INDIRECT('MS section版配(Old)'!$AO150)),"")</f>
        <v/>
      </c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397" t="str">
        <f>IFERROR(VLOOKUP($AQ150,'(勿動)組件目錄表'!$D$15:$R$1094,4,FALSE),"")</f>
        <v/>
      </c>
      <c r="AF150" s="384"/>
      <c r="AG150" s="384"/>
      <c r="AH150" s="384"/>
      <c r="AI150" s="384"/>
      <c r="AJ150" s="385"/>
      <c r="AK150" s="54" t="b">
        <v>0</v>
      </c>
      <c r="AL150" s="54" t="b">
        <v>0</v>
      </c>
      <c r="AM150" s="54"/>
      <c r="AN150" s="7" t="str">
        <v>142</v>
      </c>
      <c r="AO150" s="7"/>
      <c r="AP150" s="62"/>
      <c r="AQ150" s="75" t="str">
        <v/>
      </c>
      <c r="AR150" s="75" t="str">
        <v>-</v>
      </c>
      <c r="AS150" s="11"/>
      <c r="AT150" s="77" t="str">
        <v>-</v>
      </c>
      <c r="AU150" s="11" t="str">
        <v>-</v>
      </c>
      <c r="AV150" s="100"/>
      <c r="AW150" s="80" t="str">
        <f ca="1"/>
        <v>-</v>
      </c>
      <c r="AX150" s="86" t="b">
        <v>0</v>
      </c>
      <c r="AY150" s="68" t="str">
        <f t="shared" si="0"/>
        <v/>
      </c>
      <c r="AZ150" s="69" t="str">
        <f t="shared" si="1"/>
        <v/>
      </c>
      <c r="BA150" s="70" t="str">
        <f t="shared" si="2"/>
        <v/>
      </c>
      <c r="BB150" s="68" t="str">
        <f t="shared" si="3"/>
        <v/>
      </c>
      <c r="BC150" s="69" t="str">
        <f>IFERROR(VLOOKUP($AQ150,'(勿動)組件目錄表'!$D$15:$R$1094,7,FALSE),"")</f>
        <v/>
      </c>
      <c r="BD150" s="69" t="str">
        <f>IFERROR(VLOOKUP($AQ150,'(勿動)組件目錄表'!$D$15:$R$1094,8,FALSE),"")</f>
        <v/>
      </c>
      <c r="BE150" s="69" t="str">
        <f>IFERROR(VLOOKUP($AQ150,'(勿動)組件目錄表'!$D$15:$R$1094,9,FALSE),"")</f>
        <v/>
      </c>
      <c r="BF150" s="69" t="str">
        <f>IFERROR(VLOOKUP($AQ150,'(勿動)組件目錄表'!$D$15:$R$1094,10,FALSE),"")</f>
        <v/>
      </c>
      <c r="BG150" s="69" t="str">
        <f>IFERROR(VLOOKUP($AQ150,'(勿動)組件目錄表'!$D$15:$R$1094,11,FALSE),"")</f>
        <v/>
      </c>
      <c r="BH150" s="69" t="str">
        <f>IFERROR(VLOOKUP($AQ150,'(勿動)組件目錄表'!$D$15:$R$1094,12,FALSE),"")</f>
        <v/>
      </c>
      <c r="BI150" s="69" t="str">
        <f>IFERROR(VLOOKUP($AQ150,'(勿動)組件目錄表'!$D$15:$R$1094,13,FALSE),"")</f>
        <v/>
      </c>
      <c r="BJ150" s="69" t="str">
        <f>IFERROR(VLOOKUP($AQ150,'(勿動)組件目錄表'!$D$15:$R$1094,14,FALSE),"")</f>
        <v/>
      </c>
      <c r="BK150" s="69" t="str">
        <f>IFERROR(VLOOKUP($AQ150,'(勿動)組件目錄表'!$D$15:$R$1094,15,FALSE),"")</f>
        <v/>
      </c>
      <c r="BL150" s="81">
        <f ca="1">IFERROR(__xludf.DUMMYFUNCTION("IFERROR(
  LET(
    rowData, FILTER('(勿動)組件目錄表'!J:Q, '(勿動)組件目錄表'!D:D=AQ150),
    IF(ROWS(rowData)=0, 0, 
      (
        IF(AND(BC150&lt;&gt;"""", INDEX(rowData,1,1)=BC150),1,0) +
        IF(AND(BD150&lt;&gt;"""", INDEX(rowData,1,2)=BD150),1,0) +
        IF(AND(BE150"&amp;"&lt;&gt;"""", INDEX(rowData,1,3)=BE150),1,0) +
        IF(AND(BF150&lt;&gt;"""", INDEX(rowData,1,4)=BF150),1,0) +
        IF(AND(BG150&lt;&gt;"""", INDEX(rowData,1,5)=BG150),1,0) +
        IF(AND(BH150&lt;&gt;"""", INDEX(rowData,1,6)=BH150),1,0) +
        IF(AND(BI150&lt;&gt;"""", IND"&amp;"EX(rowData,1,7)=BI150),1,0) +
        IF(AND(BJ150&lt;&gt;"""", INDEX(rowData,1,8)=BJ150),1,0)
      ) - COUNTIF(BC150:BJ150, ""-"")
        - COUNTIF(BC150:BJ150, ""固定格式，不需提供資訊"")
        - COUNTIF(BC150:BJ150, ""由MKT更新，此欄位固定格式，不需提供資訊
(Voucher CID：12917705872)"&amp;""")
        - COUNTIF(BC150:BJ150, ""text固定為以下：
※直播間僅支援手機版"")
        - COUNTIF(BC150:BJ150, ""text固定為以下：
※短影音僅支援手機版"")
    )
  ), 
  0
)
"),0)</f>
        <v>0</v>
      </c>
      <c r="BM150" s="77" t="b">
        <v>0</v>
      </c>
      <c r="BN150" s="85"/>
      <c r="BO150" s="85"/>
    </row>
    <row r="151" spans="1:67" ht="30" customHeight="1">
      <c r="A151" s="73" t="str">
        <f t="array" aca="1" ref="A151" ca="1">IFERROR(TRANSPOSE(INDIRECT('MS section版配(Old)'!$AO151)),"")</f>
        <v/>
      </c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88"/>
      <c r="AC151" s="88"/>
      <c r="AD151" s="88"/>
      <c r="AE151" s="397" t="str">
        <f>IFERROR(VLOOKUP($AQ151,'(勿動)組件目錄表'!$D$15:$R$1094,4,FALSE),"")</f>
        <v/>
      </c>
      <c r="AF151" s="384"/>
      <c r="AG151" s="384"/>
      <c r="AH151" s="384"/>
      <c r="AI151" s="384"/>
      <c r="AJ151" s="385"/>
      <c r="AK151" s="54" t="b">
        <v>0</v>
      </c>
      <c r="AL151" s="54" t="b">
        <v>0</v>
      </c>
      <c r="AM151" s="54"/>
      <c r="AN151" s="7" t="str">
        <v>143</v>
      </c>
      <c r="AO151" s="7"/>
      <c r="AP151" s="62"/>
      <c r="AQ151" s="75" t="str">
        <v/>
      </c>
      <c r="AR151" s="75" t="str">
        <v>-</v>
      </c>
      <c r="AS151" s="11"/>
      <c r="AT151" s="77" t="str">
        <v>-</v>
      </c>
      <c r="AU151" s="11" t="str">
        <v>-</v>
      </c>
      <c r="AV151" s="100"/>
      <c r="AW151" s="80" t="str">
        <f ca="1"/>
        <v>-</v>
      </c>
      <c r="AX151" s="86" t="b">
        <v>0</v>
      </c>
      <c r="AY151" s="68" t="str">
        <f t="shared" si="0"/>
        <v/>
      </c>
      <c r="AZ151" s="69" t="str">
        <f t="shared" si="1"/>
        <v/>
      </c>
      <c r="BA151" s="70" t="str">
        <f t="shared" si="2"/>
        <v/>
      </c>
      <c r="BB151" s="68" t="str">
        <f t="shared" si="3"/>
        <v/>
      </c>
      <c r="BC151" s="69" t="str">
        <f>IFERROR(VLOOKUP($AQ151,'(勿動)組件目錄表'!$D$15:$R$1094,7,FALSE),"")</f>
        <v/>
      </c>
      <c r="BD151" s="69" t="str">
        <f>IFERROR(VLOOKUP($AQ151,'(勿動)組件目錄表'!$D$15:$R$1094,8,FALSE),"")</f>
        <v/>
      </c>
      <c r="BE151" s="69" t="str">
        <f>IFERROR(VLOOKUP($AQ151,'(勿動)組件目錄表'!$D$15:$R$1094,9,FALSE),"")</f>
        <v/>
      </c>
      <c r="BF151" s="69" t="str">
        <f>IFERROR(VLOOKUP($AQ151,'(勿動)組件目錄表'!$D$15:$R$1094,10,FALSE),"")</f>
        <v/>
      </c>
      <c r="BG151" s="69" t="str">
        <f>IFERROR(VLOOKUP($AQ151,'(勿動)組件目錄表'!$D$15:$R$1094,11,FALSE),"")</f>
        <v/>
      </c>
      <c r="BH151" s="69" t="str">
        <f>IFERROR(VLOOKUP($AQ151,'(勿動)組件目錄表'!$D$15:$R$1094,12,FALSE),"")</f>
        <v/>
      </c>
      <c r="BI151" s="69" t="str">
        <f>IFERROR(VLOOKUP($AQ151,'(勿動)組件目錄表'!$D$15:$R$1094,13,FALSE),"")</f>
        <v/>
      </c>
      <c r="BJ151" s="69" t="str">
        <f>IFERROR(VLOOKUP($AQ151,'(勿動)組件目錄表'!$D$15:$R$1094,14,FALSE),"")</f>
        <v/>
      </c>
      <c r="BK151" s="69" t="str">
        <f>IFERROR(VLOOKUP($AQ151,'(勿動)組件目錄表'!$D$15:$R$1094,15,FALSE),"")</f>
        <v/>
      </c>
      <c r="BL151" s="81">
        <f ca="1">IFERROR(__xludf.DUMMYFUNCTION("IFERROR(
  LET(
    rowData, FILTER('(勿動)組件目錄表'!J:Q, '(勿動)組件目錄表'!D:D=AQ151),
    IF(ROWS(rowData)=0, 0, 
      (
        IF(AND(BC151&lt;&gt;"""", INDEX(rowData,1,1)=BC151),1,0) +
        IF(AND(BD151&lt;&gt;"""", INDEX(rowData,1,2)=BD151),1,0) +
        IF(AND(BE151"&amp;"&lt;&gt;"""", INDEX(rowData,1,3)=BE151),1,0) +
        IF(AND(BF151&lt;&gt;"""", INDEX(rowData,1,4)=BF151),1,0) +
        IF(AND(BG151&lt;&gt;"""", INDEX(rowData,1,5)=BG151),1,0) +
        IF(AND(BH151&lt;&gt;"""", INDEX(rowData,1,6)=BH151),1,0) +
        IF(AND(BI151&lt;&gt;"""", IND"&amp;"EX(rowData,1,7)=BI151),1,0) +
        IF(AND(BJ151&lt;&gt;"""", INDEX(rowData,1,8)=BJ151),1,0)
      ) - COUNTIF(BC151:BJ151, ""-"")
        - COUNTIF(BC151:BJ151, ""固定格式，不需提供資訊"")
        - COUNTIF(BC151:BJ151, ""由MKT更新，此欄位固定格式，不需提供資訊
(Voucher CID：12917705872)"&amp;""")
        - COUNTIF(BC151:BJ151, ""text固定為以下：
※直播間僅支援手機版"")
        - COUNTIF(BC151:BJ151, ""text固定為以下：
※短影音僅支援手機版"")
    )
  ), 
  0
)
"),0)</f>
        <v>0</v>
      </c>
      <c r="BM151" s="77" t="b">
        <v>0</v>
      </c>
      <c r="BN151" s="85"/>
      <c r="BO151" s="85"/>
    </row>
    <row r="152" spans="1:67" ht="30" customHeight="1">
      <c r="A152" s="73" t="str">
        <f t="array" aca="1" ref="A152" ca="1">IFERROR(TRANSPOSE(INDIRECT('MS section版配(Old)'!$AO152)),"")</f>
        <v/>
      </c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  <c r="AD152" s="88"/>
      <c r="AE152" s="397" t="str">
        <f>IFERROR(VLOOKUP($AQ152,'(勿動)組件目錄表'!$D$15:$R$1094,4,FALSE),"")</f>
        <v/>
      </c>
      <c r="AF152" s="384"/>
      <c r="AG152" s="384"/>
      <c r="AH152" s="384"/>
      <c r="AI152" s="384"/>
      <c r="AJ152" s="385"/>
      <c r="AK152" s="54" t="b">
        <v>0</v>
      </c>
      <c r="AL152" s="54" t="b">
        <v>0</v>
      </c>
      <c r="AM152" s="54"/>
      <c r="AN152" s="7" t="str">
        <v>144</v>
      </c>
      <c r="AO152" s="7"/>
      <c r="AP152" s="62"/>
      <c r="AQ152" s="75" t="str">
        <v/>
      </c>
      <c r="AR152" s="75" t="str">
        <v>-</v>
      </c>
      <c r="AS152" s="11"/>
      <c r="AT152" s="77" t="str">
        <v>-</v>
      </c>
      <c r="AU152" s="11" t="str">
        <v>-</v>
      </c>
      <c r="AV152" s="100"/>
      <c r="AW152" s="80" t="str">
        <f ca="1"/>
        <v>-</v>
      </c>
      <c r="AX152" s="86" t="b">
        <v>0</v>
      </c>
      <c r="AY152" s="68" t="str">
        <f t="shared" si="0"/>
        <v/>
      </c>
      <c r="AZ152" s="69" t="str">
        <f t="shared" si="1"/>
        <v/>
      </c>
      <c r="BA152" s="70" t="str">
        <f t="shared" si="2"/>
        <v/>
      </c>
      <c r="BB152" s="68" t="str">
        <f t="shared" si="3"/>
        <v/>
      </c>
      <c r="BC152" s="69" t="str">
        <f>IFERROR(VLOOKUP($AQ152,'(勿動)組件目錄表'!$D$15:$R$1094,7,FALSE),"")</f>
        <v/>
      </c>
      <c r="BD152" s="69" t="str">
        <f>IFERROR(VLOOKUP($AQ152,'(勿動)組件目錄表'!$D$15:$R$1094,8,FALSE),"")</f>
        <v/>
      </c>
      <c r="BE152" s="69" t="str">
        <f>IFERROR(VLOOKUP($AQ152,'(勿動)組件目錄表'!$D$15:$R$1094,9,FALSE),"")</f>
        <v/>
      </c>
      <c r="BF152" s="69" t="str">
        <f>IFERROR(VLOOKUP($AQ152,'(勿動)組件目錄表'!$D$15:$R$1094,10,FALSE),"")</f>
        <v/>
      </c>
      <c r="BG152" s="69" t="str">
        <f>IFERROR(VLOOKUP($AQ152,'(勿動)組件目錄表'!$D$15:$R$1094,11,FALSE),"")</f>
        <v/>
      </c>
      <c r="BH152" s="69" t="str">
        <f>IFERROR(VLOOKUP($AQ152,'(勿動)組件目錄表'!$D$15:$R$1094,12,FALSE),"")</f>
        <v/>
      </c>
      <c r="BI152" s="69" t="str">
        <f>IFERROR(VLOOKUP($AQ152,'(勿動)組件目錄表'!$D$15:$R$1094,13,FALSE),"")</f>
        <v/>
      </c>
      <c r="BJ152" s="69" t="str">
        <f>IFERROR(VLOOKUP($AQ152,'(勿動)組件目錄表'!$D$15:$R$1094,14,FALSE),"")</f>
        <v/>
      </c>
      <c r="BK152" s="69" t="str">
        <f>IFERROR(VLOOKUP($AQ152,'(勿動)組件目錄表'!$D$15:$R$1094,15,FALSE),"")</f>
        <v/>
      </c>
      <c r="BL152" s="81">
        <f ca="1">IFERROR(__xludf.DUMMYFUNCTION("IFERROR(
  LET(
    rowData, FILTER('(勿動)組件目錄表'!J:Q, '(勿動)組件目錄表'!D:D=AQ152),
    IF(ROWS(rowData)=0, 0, 
      (
        IF(AND(BC152&lt;&gt;"""", INDEX(rowData,1,1)=BC152),1,0) +
        IF(AND(BD152&lt;&gt;"""", INDEX(rowData,1,2)=BD152),1,0) +
        IF(AND(BE152"&amp;"&lt;&gt;"""", INDEX(rowData,1,3)=BE152),1,0) +
        IF(AND(BF152&lt;&gt;"""", INDEX(rowData,1,4)=BF152),1,0) +
        IF(AND(BG152&lt;&gt;"""", INDEX(rowData,1,5)=BG152),1,0) +
        IF(AND(BH152&lt;&gt;"""", INDEX(rowData,1,6)=BH152),1,0) +
        IF(AND(BI152&lt;&gt;"""", IND"&amp;"EX(rowData,1,7)=BI152),1,0) +
        IF(AND(BJ152&lt;&gt;"""", INDEX(rowData,1,8)=BJ152),1,0)
      ) - COUNTIF(BC152:BJ152, ""-"")
        - COUNTIF(BC152:BJ152, ""固定格式，不需提供資訊"")
        - COUNTIF(BC152:BJ152, ""由MKT更新，此欄位固定格式，不需提供資訊
(Voucher CID：12917705872)"&amp;""")
        - COUNTIF(BC152:BJ152, ""text固定為以下：
※直播間僅支援手機版"")
        - COUNTIF(BC152:BJ152, ""text固定為以下：
※短影音僅支援手機版"")
    )
  ), 
  0
)
"),0)</f>
        <v>0</v>
      </c>
      <c r="BM152" s="77" t="b">
        <v>0</v>
      </c>
      <c r="BN152" s="85"/>
      <c r="BO152" s="85"/>
    </row>
    <row r="153" spans="1:67" ht="30" customHeight="1">
      <c r="A153" s="73" t="str">
        <f t="array" aca="1" ref="A153" ca="1">IFERROR(TRANSPOSE(INDIRECT('MS section版配(Old)'!$AO153)),"")</f>
        <v/>
      </c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88"/>
      <c r="AC153" s="88"/>
      <c r="AD153" s="88"/>
      <c r="AE153" s="397" t="str">
        <f>IFERROR(VLOOKUP($AQ153,'(勿動)組件目錄表'!$D$15:$R$1094,4,FALSE),"")</f>
        <v/>
      </c>
      <c r="AF153" s="384"/>
      <c r="AG153" s="384"/>
      <c r="AH153" s="384"/>
      <c r="AI153" s="384"/>
      <c r="AJ153" s="385"/>
      <c r="AK153" s="54" t="b">
        <v>0</v>
      </c>
      <c r="AL153" s="54" t="b">
        <v>0</v>
      </c>
      <c r="AM153" s="54"/>
      <c r="AN153" s="7" t="str">
        <v>145</v>
      </c>
      <c r="AO153" s="7"/>
      <c r="AP153" s="62"/>
      <c r="AQ153" s="75" t="str">
        <v/>
      </c>
      <c r="AR153" s="75" t="str">
        <v>-</v>
      </c>
      <c r="AS153" s="11"/>
      <c r="AT153" s="77" t="str">
        <v>-</v>
      </c>
      <c r="AU153" s="11" t="str">
        <v>-</v>
      </c>
      <c r="AV153" s="100"/>
      <c r="AW153" s="80" t="str">
        <f ca="1"/>
        <v>-</v>
      </c>
      <c r="AX153" s="86" t="b">
        <v>0</v>
      </c>
      <c r="AY153" s="68" t="str">
        <f t="shared" si="0"/>
        <v/>
      </c>
      <c r="AZ153" s="69" t="str">
        <f t="shared" si="1"/>
        <v/>
      </c>
      <c r="BA153" s="70" t="str">
        <f t="shared" si="2"/>
        <v/>
      </c>
      <c r="BB153" s="68" t="str">
        <f t="shared" si="3"/>
        <v/>
      </c>
      <c r="BC153" s="69" t="str">
        <f>IFERROR(VLOOKUP($AQ153,'(勿動)組件目錄表'!$D$15:$R$1094,7,FALSE),"")</f>
        <v/>
      </c>
      <c r="BD153" s="69" t="str">
        <f>IFERROR(VLOOKUP($AQ153,'(勿動)組件目錄表'!$D$15:$R$1094,8,FALSE),"")</f>
        <v/>
      </c>
      <c r="BE153" s="69" t="str">
        <f>IFERROR(VLOOKUP($AQ153,'(勿動)組件目錄表'!$D$15:$R$1094,9,FALSE),"")</f>
        <v/>
      </c>
      <c r="BF153" s="69" t="str">
        <f>IFERROR(VLOOKUP($AQ153,'(勿動)組件目錄表'!$D$15:$R$1094,10,FALSE),"")</f>
        <v/>
      </c>
      <c r="BG153" s="69" t="str">
        <f>IFERROR(VLOOKUP($AQ153,'(勿動)組件目錄表'!$D$15:$R$1094,11,FALSE),"")</f>
        <v/>
      </c>
      <c r="BH153" s="69" t="str">
        <f>IFERROR(VLOOKUP($AQ153,'(勿動)組件目錄表'!$D$15:$R$1094,12,FALSE),"")</f>
        <v/>
      </c>
      <c r="BI153" s="69" t="str">
        <f>IFERROR(VLOOKUP($AQ153,'(勿動)組件目錄表'!$D$15:$R$1094,13,FALSE),"")</f>
        <v/>
      </c>
      <c r="BJ153" s="69" t="str">
        <f>IFERROR(VLOOKUP($AQ153,'(勿動)組件目錄表'!$D$15:$R$1094,14,FALSE),"")</f>
        <v/>
      </c>
      <c r="BK153" s="69" t="str">
        <f>IFERROR(VLOOKUP($AQ153,'(勿動)組件目錄表'!$D$15:$R$1094,15,FALSE),"")</f>
        <v/>
      </c>
      <c r="BL153" s="81">
        <f ca="1">IFERROR(__xludf.DUMMYFUNCTION("IFERROR(
  LET(
    rowData, FILTER('(勿動)組件目錄表'!J:Q, '(勿動)組件目錄表'!D:D=AQ153),
    IF(ROWS(rowData)=0, 0, 
      (
        IF(AND(BC153&lt;&gt;"""", INDEX(rowData,1,1)=BC153),1,0) +
        IF(AND(BD153&lt;&gt;"""", INDEX(rowData,1,2)=BD153),1,0) +
        IF(AND(BE153"&amp;"&lt;&gt;"""", INDEX(rowData,1,3)=BE153),1,0) +
        IF(AND(BF153&lt;&gt;"""", INDEX(rowData,1,4)=BF153),1,0) +
        IF(AND(BG153&lt;&gt;"""", INDEX(rowData,1,5)=BG153),1,0) +
        IF(AND(BH153&lt;&gt;"""", INDEX(rowData,1,6)=BH153),1,0) +
        IF(AND(BI153&lt;&gt;"""", IND"&amp;"EX(rowData,1,7)=BI153),1,0) +
        IF(AND(BJ153&lt;&gt;"""", INDEX(rowData,1,8)=BJ153),1,0)
      ) - COUNTIF(BC153:BJ153, ""-"")
        - COUNTIF(BC153:BJ153, ""固定格式，不需提供資訊"")
        - COUNTIF(BC153:BJ153, ""由MKT更新，此欄位固定格式，不需提供資訊
(Voucher CID：12917705872)"&amp;""")
        - COUNTIF(BC153:BJ153, ""text固定為以下：
※直播間僅支援手機版"")
        - COUNTIF(BC153:BJ153, ""text固定為以下：
※短影音僅支援手機版"")
    )
  ), 
  0
)
"),0)</f>
        <v>0</v>
      </c>
      <c r="BM153" s="77" t="b">
        <v>0</v>
      </c>
      <c r="BN153" s="85"/>
      <c r="BO153" s="85"/>
    </row>
    <row r="154" spans="1:67" ht="30" customHeight="1">
      <c r="A154" s="73" t="str">
        <f t="array" aca="1" ref="A154" ca="1">IFERROR(TRANSPOSE(INDIRECT('MS section版配(Old)'!$AO154)),"")</f>
        <v/>
      </c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88"/>
      <c r="AC154" s="88"/>
      <c r="AD154" s="88"/>
      <c r="AE154" s="397" t="str">
        <f>IFERROR(VLOOKUP($AQ154,'(勿動)組件目錄表'!$D$15:$R$1094,4,FALSE),"")</f>
        <v/>
      </c>
      <c r="AF154" s="384"/>
      <c r="AG154" s="384"/>
      <c r="AH154" s="384"/>
      <c r="AI154" s="384"/>
      <c r="AJ154" s="385"/>
      <c r="AK154" s="54" t="b">
        <v>0</v>
      </c>
      <c r="AL154" s="54" t="b">
        <v>0</v>
      </c>
      <c r="AM154" s="54"/>
      <c r="AN154" s="7" t="str">
        <v>146</v>
      </c>
      <c r="AO154" s="7"/>
      <c r="AP154" s="62"/>
      <c r="AQ154" s="75" t="str">
        <v/>
      </c>
      <c r="AR154" s="75" t="str">
        <v>-</v>
      </c>
      <c r="AS154" s="11"/>
      <c r="AT154" s="77" t="str">
        <v>-</v>
      </c>
      <c r="AU154" s="11" t="str">
        <v>-</v>
      </c>
      <c r="AV154" s="100"/>
      <c r="AW154" s="80" t="str">
        <f ca="1"/>
        <v>-</v>
      </c>
      <c r="AX154" s="86" t="b">
        <v>0</v>
      </c>
      <c r="AY154" s="68" t="str">
        <f t="shared" si="0"/>
        <v/>
      </c>
      <c r="AZ154" s="69" t="str">
        <f t="shared" si="1"/>
        <v/>
      </c>
      <c r="BA154" s="70" t="str">
        <f t="shared" si="2"/>
        <v/>
      </c>
      <c r="BB154" s="68" t="str">
        <f t="shared" si="3"/>
        <v/>
      </c>
      <c r="BC154" s="69" t="str">
        <f>IFERROR(VLOOKUP($AQ154,'(勿動)組件目錄表'!$D$15:$R$1094,7,FALSE),"")</f>
        <v/>
      </c>
      <c r="BD154" s="69" t="str">
        <f>IFERROR(VLOOKUP($AQ154,'(勿動)組件目錄表'!$D$15:$R$1094,8,FALSE),"")</f>
        <v/>
      </c>
      <c r="BE154" s="69" t="str">
        <f>IFERROR(VLOOKUP($AQ154,'(勿動)組件目錄表'!$D$15:$R$1094,9,FALSE),"")</f>
        <v/>
      </c>
      <c r="BF154" s="69" t="str">
        <f>IFERROR(VLOOKUP($AQ154,'(勿動)組件目錄表'!$D$15:$R$1094,10,FALSE),"")</f>
        <v/>
      </c>
      <c r="BG154" s="69" t="str">
        <f>IFERROR(VLOOKUP($AQ154,'(勿動)組件目錄表'!$D$15:$R$1094,11,FALSE),"")</f>
        <v/>
      </c>
      <c r="BH154" s="69" t="str">
        <f>IFERROR(VLOOKUP($AQ154,'(勿動)組件目錄表'!$D$15:$R$1094,12,FALSE),"")</f>
        <v/>
      </c>
      <c r="BI154" s="69" t="str">
        <f>IFERROR(VLOOKUP($AQ154,'(勿動)組件目錄表'!$D$15:$R$1094,13,FALSE),"")</f>
        <v/>
      </c>
      <c r="BJ154" s="69" t="str">
        <f>IFERROR(VLOOKUP($AQ154,'(勿動)組件目錄表'!$D$15:$R$1094,14,FALSE),"")</f>
        <v/>
      </c>
      <c r="BK154" s="69" t="str">
        <f>IFERROR(VLOOKUP($AQ154,'(勿動)組件目錄表'!$D$15:$R$1094,15,FALSE),"")</f>
        <v/>
      </c>
      <c r="BL154" s="81">
        <f ca="1">IFERROR(__xludf.DUMMYFUNCTION("IFERROR(
  LET(
    rowData, FILTER('(勿動)組件目錄表'!J:Q, '(勿動)組件目錄表'!D:D=AQ154),
    IF(ROWS(rowData)=0, 0, 
      (
        IF(AND(BC154&lt;&gt;"""", INDEX(rowData,1,1)=BC154),1,0) +
        IF(AND(BD154&lt;&gt;"""", INDEX(rowData,1,2)=BD154),1,0) +
        IF(AND(BE154"&amp;"&lt;&gt;"""", INDEX(rowData,1,3)=BE154),1,0) +
        IF(AND(BF154&lt;&gt;"""", INDEX(rowData,1,4)=BF154),1,0) +
        IF(AND(BG154&lt;&gt;"""", INDEX(rowData,1,5)=BG154),1,0) +
        IF(AND(BH154&lt;&gt;"""", INDEX(rowData,1,6)=BH154),1,0) +
        IF(AND(BI154&lt;&gt;"""", IND"&amp;"EX(rowData,1,7)=BI154),1,0) +
        IF(AND(BJ154&lt;&gt;"""", INDEX(rowData,1,8)=BJ154),1,0)
      ) - COUNTIF(BC154:BJ154, ""-"")
        - COUNTIF(BC154:BJ154, ""固定格式，不需提供資訊"")
        - COUNTIF(BC154:BJ154, ""由MKT更新，此欄位固定格式，不需提供資訊
(Voucher CID：12917705872)"&amp;""")
        - COUNTIF(BC154:BJ154, ""text固定為以下：
※直播間僅支援手機版"")
        - COUNTIF(BC154:BJ154, ""text固定為以下：
※短影音僅支援手機版"")
    )
  ), 
  0
)
"),0)</f>
        <v>0</v>
      </c>
      <c r="BM154" s="77" t="b">
        <v>0</v>
      </c>
      <c r="BN154" s="85"/>
      <c r="BO154" s="85"/>
    </row>
    <row r="155" spans="1:67" ht="30" customHeight="1">
      <c r="A155" s="73" t="str">
        <f t="array" aca="1" ref="A155" ca="1">IFERROR(TRANSPOSE(INDIRECT('MS section版配(Old)'!$AO155)),"")</f>
        <v/>
      </c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88"/>
      <c r="AC155" s="88"/>
      <c r="AD155" s="88"/>
      <c r="AE155" s="397" t="str">
        <f>IFERROR(VLOOKUP($AQ155,'(勿動)組件目錄表'!$D$15:$R$1094,4,FALSE),"")</f>
        <v/>
      </c>
      <c r="AF155" s="384"/>
      <c r="AG155" s="384"/>
      <c r="AH155" s="384"/>
      <c r="AI155" s="384"/>
      <c r="AJ155" s="385"/>
      <c r="AK155" s="54" t="b">
        <v>0</v>
      </c>
      <c r="AL155" s="54" t="b">
        <v>0</v>
      </c>
      <c r="AM155" s="54"/>
      <c r="AN155" s="7" t="str">
        <v>147</v>
      </c>
      <c r="AO155" s="7"/>
      <c r="AP155" s="62"/>
      <c r="AQ155" s="75" t="str">
        <v/>
      </c>
      <c r="AR155" s="75" t="str">
        <v>-</v>
      </c>
      <c r="AS155" s="11"/>
      <c r="AT155" s="77" t="str">
        <v>-</v>
      </c>
      <c r="AU155" s="11" t="str">
        <v>-</v>
      </c>
      <c r="AV155" s="100"/>
      <c r="AW155" s="80" t="str">
        <f ca="1"/>
        <v>-</v>
      </c>
      <c r="AX155" s="86" t="b">
        <v>0</v>
      </c>
      <c r="AY155" s="68" t="str">
        <f t="shared" si="0"/>
        <v/>
      </c>
      <c r="AZ155" s="69" t="str">
        <f t="shared" si="1"/>
        <v/>
      </c>
      <c r="BA155" s="70" t="str">
        <f t="shared" si="2"/>
        <v/>
      </c>
      <c r="BB155" s="68" t="str">
        <f t="shared" si="3"/>
        <v/>
      </c>
      <c r="BC155" s="69" t="str">
        <f>IFERROR(VLOOKUP($AQ155,'(勿動)組件目錄表'!$D$15:$R$1094,7,FALSE),"")</f>
        <v/>
      </c>
      <c r="BD155" s="69" t="str">
        <f>IFERROR(VLOOKUP($AQ155,'(勿動)組件目錄表'!$D$15:$R$1094,8,FALSE),"")</f>
        <v/>
      </c>
      <c r="BE155" s="69" t="str">
        <f>IFERROR(VLOOKUP($AQ155,'(勿動)組件目錄表'!$D$15:$R$1094,9,FALSE),"")</f>
        <v/>
      </c>
      <c r="BF155" s="69" t="str">
        <f>IFERROR(VLOOKUP($AQ155,'(勿動)組件目錄表'!$D$15:$R$1094,10,FALSE),"")</f>
        <v/>
      </c>
      <c r="BG155" s="69" t="str">
        <f>IFERROR(VLOOKUP($AQ155,'(勿動)組件目錄表'!$D$15:$R$1094,11,FALSE),"")</f>
        <v/>
      </c>
      <c r="BH155" s="69" t="str">
        <f>IFERROR(VLOOKUP($AQ155,'(勿動)組件目錄表'!$D$15:$R$1094,12,FALSE),"")</f>
        <v/>
      </c>
      <c r="BI155" s="69" t="str">
        <f>IFERROR(VLOOKUP($AQ155,'(勿動)組件目錄表'!$D$15:$R$1094,13,FALSE),"")</f>
        <v/>
      </c>
      <c r="BJ155" s="69" t="str">
        <f>IFERROR(VLOOKUP($AQ155,'(勿動)組件目錄表'!$D$15:$R$1094,14,FALSE),"")</f>
        <v/>
      </c>
      <c r="BK155" s="69" t="str">
        <f>IFERROR(VLOOKUP($AQ155,'(勿動)組件目錄表'!$D$15:$R$1094,15,FALSE),"")</f>
        <v/>
      </c>
      <c r="BL155" s="81">
        <f ca="1">IFERROR(__xludf.DUMMYFUNCTION("IFERROR(
  LET(
    rowData, FILTER('(勿動)組件目錄表'!J:Q, '(勿動)組件目錄表'!D:D=AQ155),
    IF(ROWS(rowData)=0, 0, 
      (
        IF(AND(BC155&lt;&gt;"""", INDEX(rowData,1,1)=BC155),1,0) +
        IF(AND(BD155&lt;&gt;"""", INDEX(rowData,1,2)=BD155),1,0) +
        IF(AND(BE155"&amp;"&lt;&gt;"""", INDEX(rowData,1,3)=BE155),1,0) +
        IF(AND(BF155&lt;&gt;"""", INDEX(rowData,1,4)=BF155),1,0) +
        IF(AND(BG155&lt;&gt;"""", INDEX(rowData,1,5)=BG155),1,0) +
        IF(AND(BH155&lt;&gt;"""", INDEX(rowData,1,6)=BH155),1,0) +
        IF(AND(BI155&lt;&gt;"""", IND"&amp;"EX(rowData,1,7)=BI155),1,0) +
        IF(AND(BJ155&lt;&gt;"""", INDEX(rowData,1,8)=BJ155),1,0)
      ) - COUNTIF(BC155:BJ155, ""-"")
        - COUNTIF(BC155:BJ155, ""固定格式，不需提供資訊"")
        - COUNTIF(BC155:BJ155, ""由MKT更新，此欄位固定格式，不需提供資訊
(Voucher CID：12917705872)"&amp;""")
        - COUNTIF(BC155:BJ155, ""text固定為以下：
※直播間僅支援手機版"")
        - COUNTIF(BC155:BJ155, ""text固定為以下：
※短影音僅支援手機版"")
    )
  ), 
  0
)
"),0)</f>
        <v>0</v>
      </c>
      <c r="BM155" s="77" t="b">
        <v>0</v>
      </c>
      <c r="BN155" s="85"/>
      <c r="BO155" s="85"/>
    </row>
    <row r="156" spans="1:67" ht="30" customHeight="1">
      <c r="A156" s="73" t="str">
        <f t="array" aca="1" ref="A156" ca="1">IFERROR(TRANSPOSE(INDIRECT('MS section版配(Old)'!$AO156)),"")</f>
        <v/>
      </c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397" t="str">
        <f>IFERROR(VLOOKUP($AQ156,'(勿動)組件目錄表'!$D$15:$R$1094,4,FALSE),"")</f>
        <v/>
      </c>
      <c r="AF156" s="384"/>
      <c r="AG156" s="384"/>
      <c r="AH156" s="384"/>
      <c r="AI156" s="384"/>
      <c r="AJ156" s="385"/>
      <c r="AK156" s="54" t="b">
        <v>0</v>
      </c>
      <c r="AL156" s="54" t="b">
        <v>0</v>
      </c>
      <c r="AM156" s="54"/>
      <c r="AN156" s="7" t="str">
        <v>148</v>
      </c>
      <c r="AO156" s="7"/>
      <c r="AP156" s="62"/>
      <c r="AQ156" s="75" t="str">
        <v/>
      </c>
      <c r="AR156" s="75" t="str">
        <v>-</v>
      </c>
      <c r="AS156" s="11"/>
      <c r="AT156" s="77" t="str">
        <v>-</v>
      </c>
      <c r="AU156" s="11" t="str">
        <v>-</v>
      </c>
      <c r="AV156" s="100"/>
      <c r="AW156" s="80" t="str">
        <f ca="1"/>
        <v>-</v>
      </c>
      <c r="AX156" s="86" t="b">
        <v>0</v>
      </c>
      <c r="AY156" s="68" t="str">
        <f t="shared" si="0"/>
        <v/>
      </c>
      <c r="AZ156" s="69" t="str">
        <f t="shared" si="1"/>
        <v/>
      </c>
      <c r="BA156" s="70" t="str">
        <f t="shared" si="2"/>
        <v/>
      </c>
      <c r="BB156" s="68" t="str">
        <f t="shared" si="3"/>
        <v/>
      </c>
      <c r="BC156" s="69" t="str">
        <f>IFERROR(VLOOKUP($AQ156,'(勿動)組件目錄表'!$D$15:$R$1094,7,FALSE),"")</f>
        <v/>
      </c>
      <c r="BD156" s="69" t="str">
        <f>IFERROR(VLOOKUP($AQ156,'(勿動)組件目錄表'!$D$15:$R$1094,8,FALSE),"")</f>
        <v/>
      </c>
      <c r="BE156" s="69" t="str">
        <f>IFERROR(VLOOKUP($AQ156,'(勿動)組件目錄表'!$D$15:$R$1094,9,FALSE),"")</f>
        <v/>
      </c>
      <c r="BF156" s="69" t="str">
        <f>IFERROR(VLOOKUP($AQ156,'(勿動)組件目錄表'!$D$15:$R$1094,10,FALSE),"")</f>
        <v/>
      </c>
      <c r="BG156" s="69" t="str">
        <f>IFERROR(VLOOKUP($AQ156,'(勿動)組件目錄表'!$D$15:$R$1094,11,FALSE),"")</f>
        <v/>
      </c>
      <c r="BH156" s="69" t="str">
        <f>IFERROR(VLOOKUP($AQ156,'(勿動)組件目錄表'!$D$15:$R$1094,12,FALSE),"")</f>
        <v/>
      </c>
      <c r="BI156" s="69" t="str">
        <f>IFERROR(VLOOKUP($AQ156,'(勿動)組件目錄表'!$D$15:$R$1094,13,FALSE),"")</f>
        <v/>
      </c>
      <c r="BJ156" s="69" t="str">
        <f>IFERROR(VLOOKUP($AQ156,'(勿動)組件目錄表'!$D$15:$R$1094,14,FALSE),"")</f>
        <v/>
      </c>
      <c r="BK156" s="69" t="str">
        <f>IFERROR(VLOOKUP($AQ156,'(勿動)組件目錄表'!$D$15:$R$1094,15,FALSE),"")</f>
        <v/>
      </c>
      <c r="BL156" s="81">
        <f ca="1">IFERROR(__xludf.DUMMYFUNCTION("IFERROR(
  LET(
    rowData, FILTER('(勿動)組件目錄表'!J:Q, '(勿動)組件目錄表'!D:D=AQ156),
    IF(ROWS(rowData)=0, 0, 
      (
        IF(AND(BC156&lt;&gt;"""", INDEX(rowData,1,1)=BC156),1,0) +
        IF(AND(BD156&lt;&gt;"""", INDEX(rowData,1,2)=BD156),1,0) +
        IF(AND(BE156"&amp;"&lt;&gt;"""", INDEX(rowData,1,3)=BE156),1,0) +
        IF(AND(BF156&lt;&gt;"""", INDEX(rowData,1,4)=BF156),1,0) +
        IF(AND(BG156&lt;&gt;"""", INDEX(rowData,1,5)=BG156),1,0) +
        IF(AND(BH156&lt;&gt;"""", INDEX(rowData,1,6)=BH156),1,0) +
        IF(AND(BI156&lt;&gt;"""", IND"&amp;"EX(rowData,1,7)=BI156),1,0) +
        IF(AND(BJ156&lt;&gt;"""", INDEX(rowData,1,8)=BJ156),1,0)
      ) - COUNTIF(BC156:BJ156, ""-"")
        - COUNTIF(BC156:BJ156, ""固定格式，不需提供資訊"")
        - COUNTIF(BC156:BJ156, ""由MKT更新，此欄位固定格式，不需提供資訊
(Voucher CID：12917705872)"&amp;""")
        - COUNTIF(BC156:BJ156, ""text固定為以下：
※直播間僅支援手機版"")
        - COUNTIF(BC156:BJ156, ""text固定為以下：
※短影音僅支援手機版"")
    )
  ), 
  0
)
"),0)</f>
        <v>0</v>
      </c>
      <c r="BM156" s="77" t="b">
        <v>0</v>
      </c>
      <c r="BN156" s="85"/>
      <c r="BO156" s="85"/>
    </row>
    <row r="157" spans="1:67" ht="30" customHeight="1">
      <c r="A157" s="73" t="str">
        <f t="array" aca="1" ref="A157" ca="1">IFERROR(TRANSPOSE(INDIRECT('MS section版配(Old)'!$AO157)),"")</f>
        <v/>
      </c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397" t="str">
        <f>IFERROR(VLOOKUP($AQ157,'(勿動)組件目錄表'!$D$15:$R$1094,4,FALSE),"")</f>
        <v/>
      </c>
      <c r="AF157" s="384"/>
      <c r="AG157" s="384"/>
      <c r="AH157" s="384"/>
      <c r="AI157" s="384"/>
      <c r="AJ157" s="385"/>
      <c r="AK157" s="54" t="b">
        <v>0</v>
      </c>
      <c r="AL157" s="54" t="b">
        <v>0</v>
      </c>
      <c r="AM157" s="54"/>
      <c r="AN157" s="7" t="str">
        <v>149</v>
      </c>
      <c r="AO157" s="7"/>
      <c r="AP157" s="62"/>
      <c r="AQ157" s="75" t="str">
        <v/>
      </c>
      <c r="AR157" s="75" t="str">
        <v>-</v>
      </c>
      <c r="AS157" s="11"/>
      <c r="AT157" s="77" t="str">
        <v>-</v>
      </c>
      <c r="AU157" s="11" t="str">
        <v>-</v>
      </c>
      <c r="AV157" s="100"/>
      <c r="AW157" s="80" t="str">
        <f ca="1"/>
        <v>-</v>
      </c>
      <c r="AX157" s="86" t="b">
        <v>0</v>
      </c>
      <c r="AY157" s="68" t="str">
        <f t="shared" si="0"/>
        <v/>
      </c>
      <c r="AZ157" s="69" t="str">
        <f t="shared" si="1"/>
        <v/>
      </c>
      <c r="BA157" s="70" t="str">
        <f t="shared" si="2"/>
        <v/>
      </c>
      <c r="BB157" s="68" t="str">
        <f t="shared" si="3"/>
        <v/>
      </c>
      <c r="BC157" s="69" t="str">
        <f>IFERROR(VLOOKUP($AQ157,'(勿動)組件目錄表'!$D$15:$R$1094,7,FALSE),"")</f>
        <v/>
      </c>
      <c r="BD157" s="69" t="str">
        <f>IFERROR(VLOOKUP($AQ157,'(勿動)組件目錄表'!$D$15:$R$1094,8,FALSE),"")</f>
        <v/>
      </c>
      <c r="BE157" s="69" t="str">
        <f>IFERROR(VLOOKUP($AQ157,'(勿動)組件目錄表'!$D$15:$R$1094,9,FALSE),"")</f>
        <v/>
      </c>
      <c r="BF157" s="69" t="str">
        <f>IFERROR(VLOOKUP($AQ157,'(勿動)組件目錄表'!$D$15:$R$1094,10,FALSE),"")</f>
        <v/>
      </c>
      <c r="BG157" s="69" t="str">
        <f>IFERROR(VLOOKUP($AQ157,'(勿動)組件目錄表'!$D$15:$R$1094,11,FALSE),"")</f>
        <v/>
      </c>
      <c r="BH157" s="69" t="str">
        <f>IFERROR(VLOOKUP($AQ157,'(勿動)組件目錄表'!$D$15:$R$1094,12,FALSE),"")</f>
        <v/>
      </c>
      <c r="BI157" s="69" t="str">
        <f>IFERROR(VLOOKUP($AQ157,'(勿動)組件目錄表'!$D$15:$R$1094,13,FALSE),"")</f>
        <v/>
      </c>
      <c r="BJ157" s="69" t="str">
        <f>IFERROR(VLOOKUP($AQ157,'(勿動)組件目錄表'!$D$15:$R$1094,14,FALSE),"")</f>
        <v/>
      </c>
      <c r="BK157" s="69" t="str">
        <f>IFERROR(VLOOKUP($AQ157,'(勿動)組件目錄表'!$D$15:$R$1094,15,FALSE),"")</f>
        <v/>
      </c>
      <c r="BL157" s="81">
        <f ca="1">IFERROR(__xludf.DUMMYFUNCTION("IFERROR(
  LET(
    rowData, FILTER('(勿動)組件目錄表'!J:Q, '(勿動)組件目錄表'!D:D=AQ157),
    IF(ROWS(rowData)=0, 0, 
      (
        IF(AND(BC157&lt;&gt;"""", INDEX(rowData,1,1)=BC157),1,0) +
        IF(AND(BD157&lt;&gt;"""", INDEX(rowData,1,2)=BD157),1,0) +
        IF(AND(BE157"&amp;"&lt;&gt;"""", INDEX(rowData,1,3)=BE157),1,0) +
        IF(AND(BF157&lt;&gt;"""", INDEX(rowData,1,4)=BF157),1,0) +
        IF(AND(BG157&lt;&gt;"""", INDEX(rowData,1,5)=BG157),1,0) +
        IF(AND(BH157&lt;&gt;"""", INDEX(rowData,1,6)=BH157),1,0) +
        IF(AND(BI157&lt;&gt;"""", IND"&amp;"EX(rowData,1,7)=BI157),1,0) +
        IF(AND(BJ157&lt;&gt;"""", INDEX(rowData,1,8)=BJ157),1,0)
      ) - COUNTIF(BC157:BJ157, ""-"")
        - COUNTIF(BC157:BJ157, ""固定格式，不需提供資訊"")
        - COUNTIF(BC157:BJ157, ""由MKT更新，此欄位固定格式，不需提供資訊
(Voucher CID：12917705872)"&amp;""")
        - COUNTIF(BC157:BJ157, ""text固定為以下：
※直播間僅支援手機版"")
        - COUNTIF(BC157:BJ157, ""text固定為以下：
※短影音僅支援手機版"")
    )
  ), 
  0
)
"),0)</f>
        <v>0</v>
      </c>
      <c r="BM157" s="77" t="b">
        <v>0</v>
      </c>
      <c r="BN157" s="85"/>
      <c r="BO157" s="85"/>
    </row>
    <row r="158" spans="1:67" ht="30" customHeight="1">
      <c r="A158" s="73" t="str">
        <f t="array" aca="1" ref="A158" ca="1">IFERROR(TRANSPOSE(INDIRECT('MS section版配(Old)'!$AO158)),"")</f>
        <v/>
      </c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397" t="str">
        <f>IFERROR(VLOOKUP($AQ158,'(勿動)組件目錄表'!$D$15:$R$1094,4,FALSE),"")</f>
        <v/>
      </c>
      <c r="AF158" s="384"/>
      <c r="AG158" s="384"/>
      <c r="AH158" s="384"/>
      <c r="AI158" s="384"/>
      <c r="AJ158" s="385"/>
      <c r="AK158" s="54" t="b">
        <v>0</v>
      </c>
      <c r="AL158" s="54" t="b">
        <v>0</v>
      </c>
      <c r="AM158" s="54"/>
      <c r="AN158" s="7" t="str">
        <v>150</v>
      </c>
      <c r="AO158" s="7"/>
      <c r="AP158" s="62"/>
      <c r="AQ158" s="75" t="str">
        <v/>
      </c>
      <c r="AR158" s="75" t="str">
        <v>-</v>
      </c>
      <c r="AS158" s="11"/>
      <c r="AT158" s="77" t="str">
        <v>-</v>
      </c>
      <c r="AU158" s="11" t="str">
        <v>-</v>
      </c>
      <c r="AV158" s="100"/>
      <c r="AW158" s="80" t="str">
        <f ca="1"/>
        <v>-</v>
      </c>
      <c r="AX158" s="86" t="b">
        <v>0</v>
      </c>
      <c r="AY158" s="68" t="str">
        <f t="shared" si="0"/>
        <v/>
      </c>
      <c r="AZ158" s="69" t="str">
        <f t="shared" si="1"/>
        <v/>
      </c>
      <c r="BA158" s="70" t="str">
        <f t="shared" si="2"/>
        <v/>
      </c>
      <c r="BB158" s="68" t="str">
        <f t="shared" si="3"/>
        <v/>
      </c>
      <c r="BC158" s="69" t="str">
        <f>IFERROR(VLOOKUP($AQ158,'(勿動)組件目錄表'!$D$15:$R$1094,7,FALSE),"")</f>
        <v/>
      </c>
      <c r="BD158" s="69" t="str">
        <f>IFERROR(VLOOKUP($AQ158,'(勿動)組件目錄表'!$D$15:$R$1094,8,FALSE),"")</f>
        <v/>
      </c>
      <c r="BE158" s="69" t="str">
        <f>IFERROR(VLOOKUP($AQ158,'(勿動)組件目錄表'!$D$15:$R$1094,9,FALSE),"")</f>
        <v/>
      </c>
      <c r="BF158" s="69" t="str">
        <f>IFERROR(VLOOKUP($AQ158,'(勿動)組件目錄表'!$D$15:$R$1094,10,FALSE),"")</f>
        <v/>
      </c>
      <c r="BG158" s="69" t="str">
        <f>IFERROR(VLOOKUP($AQ158,'(勿動)組件目錄表'!$D$15:$R$1094,11,FALSE),"")</f>
        <v/>
      </c>
      <c r="BH158" s="69" t="str">
        <f>IFERROR(VLOOKUP($AQ158,'(勿動)組件目錄表'!$D$15:$R$1094,12,FALSE),"")</f>
        <v/>
      </c>
      <c r="BI158" s="69" t="str">
        <f>IFERROR(VLOOKUP($AQ158,'(勿動)組件目錄表'!$D$15:$R$1094,13,FALSE),"")</f>
        <v/>
      </c>
      <c r="BJ158" s="69" t="str">
        <f>IFERROR(VLOOKUP($AQ158,'(勿動)組件目錄表'!$D$15:$R$1094,14,FALSE),"")</f>
        <v/>
      </c>
      <c r="BK158" s="69" t="str">
        <f>IFERROR(VLOOKUP($AQ158,'(勿動)組件目錄表'!$D$15:$R$1094,15,FALSE),"")</f>
        <v/>
      </c>
      <c r="BL158" s="81">
        <f ca="1">IFERROR(__xludf.DUMMYFUNCTION("IFERROR(
  LET(
    rowData, FILTER('(勿動)組件目錄表'!J:Q, '(勿動)組件目錄表'!D:D=AQ158),
    IF(ROWS(rowData)=0, 0, 
      (
        IF(AND(BC158&lt;&gt;"""", INDEX(rowData,1,1)=BC158),1,0) +
        IF(AND(BD158&lt;&gt;"""", INDEX(rowData,1,2)=BD158),1,0) +
        IF(AND(BE158"&amp;"&lt;&gt;"""", INDEX(rowData,1,3)=BE158),1,0) +
        IF(AND(BF158&lt;&gt;"""", INDEX(rowData,1,4)=BF158),1,0) +
        IF(AND(BG158&lt;&gt;"""", INDEX(rowData,1,5)=BG158),1,0) +
        IF(AND(BH158&lt;&gt;"""", INDEX(rowData,1,6)=BH158),1,0) +
        IF(AND(BI158&lt;&gt;"""", IND"&amp;"EX(rowData,1,7)=BI158),1,0) +
        IF(AND(BJ158&lt;&gt;"""", INDEX(rowData,1,8)=BJ158),1,0)
      ) - COUNTIF(BC158:BJ158, ""-"")
        - COUNTIF(BC158:BJ158, ""固定格式，不需提供資訊"")
        - COUNTIF(BC158:BJ158, ""由MKT更新，此欄位固定格式，不需提供資訊
(Voucher CID：12917705872)"&amp;""")
        - COUNTIF(BC158:BJ158, ""text固定為以下：
※直播間僅支援手機版"")
        - COUNTIF(BC158:BJ158, ""text固定為以下：
※短影音僅支援手機版"")
    )
  ), 
  0
)
"),0)</f>
        <v>0</v>
      </c>
      <c r="BM158" s="77" t="b">
        <v>0</v>
      </c>
      <c r="BN158" s="85"/>
      <c r="BO158" s="85"/>
    </row>
    <row r="159" spans="1:67" ht="30" customHeight="1">
      <c r="A159" s="73" t="str">
        <f t="array" aca="1" ref="A159" ca="1">IFERROR(TRANSPOSE(INDIRECT('MS section版配(Old)'!$AO159)),"")</f>
        <v/>
      </c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397" t="str">
        <f>IFERROR(VLOOKUP($AQ159,'(勿動)組件目錄表'!$D$15:$R$1094,4,FALSE),"")</f>
        <v/>
      </c>
      <c r="AF159" s="384"/>
      <c r="AG159" s="384"/>
      <c r="AH159" s="384"/>
      <c r="AI159" s="384"/>
      <c r="AJ159" s="385"/>
      <c r="AK159" s="54" t="b">
        <v>0</v>
      </c>
      <c r="AL159" s="54" t="b">
        <v>0</v>
      </c>
      <c r="AM159" s="54"/>
      <c r="AN159" s="7" t="str">
        <v>151</v>
      </c>
      <c r="AO159" s="7"/>
      <c r="AP159" s="62"/>
      <c r="AQ159" s="75" t="str">
        <v/>
      </c>
      <c r="AR159" s="75" t="str">
        <v>-</v>
      </c>
      <c r="AS159" s="11"/>
      <c r="AT159" s="77" t="str">
        <v>-</v>
      </c>
      <c r="AU159" s="11" t="str">
        <v>-</v>
      </c>
      <c r="AV159" s="100"/>
      <c r="AW159" s="80" t="str">
        <f ca="1"/>
        <v>-</v>
      </c>
      <c r="AX159" s="86" t="b">
        <v>0</v>
      </c>
      <c r="AY159" s="68" t="str">
        <f t="shared" si="0"/>
        <v/>
      </c>
      <c r="AZ159" s="69" t="str">
        <f t="shared" si="1"/>
        <v/>
      </c>
      <c r="BA159" s="70" t="str">
        <f t="shared" si="2"/>
        <v/>
      </c>
      <c r="BB159" s="68" t="str">
        <f t="shared" si="3"/>
        <v/>
      </c>
      <c r="BC159" s="69" t="str">
        <f>IFERROR(VLOOKUP($AQ159,'(勿動)組件目錄表'!$D$15:$R$1094,7,FALSE),"")</f>
        <v/>
      </c>
      <c r="BD159" s="69" t="str">
        <f>IFERROR(VLOOKUP($AQ159,'(勿動)組件目錄表'!$D$15:$R$1094,8,FALSE),"")</f>
        <v/>
      </c>
      <c r="BE159" s="69" t="str">
        <f>IFERROR(VLOOKUP($AQ159,'(勿動)組件目錄表'!$D$15:$R$1094,9,FALSE),"")</f>
        <v/>
      </c>
      <c r="BF159" s="69" t="str">
        <f>IFERROR(VLOOKUP($AQ159,'(勿動)組件目錄表'!$D$15:$R$1094,10,FALSE),"")</f>
        <v/>
      </c>
      <c r="BG159" s="69" t="str">
        <f>IFERROR(VLOOKUP($AQ159,'(勿動)組件目錄表'!$D$15:$R$1094,11,FALSE),"")</f>
        <v/>
      </c>
      <c r="BH159" s="69" t="str">
        <f>IFERROR(VLOOKUP($AQ159,'(勿動)組件目錄表'!$D$15:$R$1094,12,FALSE),"")</f>
        <v/>
      </c>
      <c r="BI159" s="69" t="str">
        <f>IFERROR(VLOOKUP($AQ159,'(勿動)組件目錄表'!$D$15:$R$1094,13,FALSE),"")</f>
        <v/>
      </c>
      <c r="BJ159" s="69" t="str">
        <f>IFERROR(VLOOKUP($AQ159,'(勿動)組件目錄表'!$D$15:$R$1094,14,FALSE),"")</f>
        <v/>
      </c>
      <c r="BK159" s="69" t="str">
        <f>IFERROR(VLOOKUP($AQ159,'(勿動)組件目錄表'!$D$15:$R$1094,15,FALSE),"")</f>
        <v/>
      </c>
      <c r="BL159" s="81">
        <f ca="1">IFERROR(__xludf.DUMMYFUNCTION("IFERROR(
  LET(
    rowData, FILTER('(勿動)組件目錄表'!J:Q, '(勿動)組件目錄表'!D:D=AQ159),
    IF(ROWS(rowData)=0, 0, 
      (
        IF(AND(BC159&lt;&gt;"""", INDEX(rowData,1,1)=BC159),1,0) +
        IF(AND(BD159&lt;&gt;"""", INDEX(rowData,1,2)=BD159),1,0) +
        IF(AND(BE159"&amp;"&lt;&gt;"""", INDEX(rowData,1,3)=BE159),1,0) +
        IF(AND(BF159&lt;&gt;"""", INDEX(rowData,1,4)=BF159),1,0) +
        IF(AND(BG159&lt;&gt;"""", INDEX(rowData,1,5)=BG159),1,0) +
        IF(AND(BH159&lt;&gt;"""", INDEX(rowData,1,6)=BH159),1,0) +
        IF(AND(BI159&lt;&gt;"""", IND"&amp;"EX(rowData,1,7)=BI159),1,0) +
        IF(AND(BJ159&lt;&gt;"""", INDEX(rowData,1,8)=BJ159),1,0)
      ) - COUNTIF(BC159:BJ159, ""-"")
        - COUNTIF(BC159:BJ159, ""固定格式，不需提供資訊"")
        - COUNTIF(BC159:BJ159, ""由MKT更新，此欄位固定格式，不需提供資訊
(Voucher CID：12917705872)"&amp;""")
        - COUNTIF(BC159:BJ159, ""text固定為以下：
※直播間僅支援手機版"")
        - COUNTIF(BC159:BJ159, ""text固定為以下：
※短影音僅支援手機版"")
    )
  ), 
  0
)
"),0)</f>
        <v>0</v>
      </c>
      <c r="BM159" s="77" t="b">
        <v>0</v>
      </c>
      <c r="BN159" s="85"/>
      <c r="BO159" s="85"/>
    </row>
    <row r="160" spans="1:67" ht="30" customHeight="1">
      <c r="A160" s="73" t="str">
        <f t="array" aca="1" ref="A160" ca="1">IFERROR(TRANSPOSE(INDIRECT('MS section版配(Old)'!$AO160)),"")</f>
        <v/>
      </c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397" t="str">
        <f>IFERROR(VLOOKUP($AQ160,'(勿動)組件目錄表'!$D$15:$R$1094,4,FALSE),"")</f>
        <v/>
      </c>
      <c r="AF160" s="384"/>
      <c r="AG160" s="384"/>
      <c r="AH160" s="384"/>
      <c r="AI160" s="384"/>
      <c r="AJ160" s="385"/>
      <c r="AK160" s="54" t="b">
        <v>0</v>
      </c>
      <c r="AL160" s="54" t="b">
        <v>0</v>
      </c>
      <c r="AM160" s="54"/>
      <c r="AN160" s="7" t="str">
        <v>152</v>
      </c>
      <c r="AO160" s="7"/>
      <c r="AP160" s="62"/>
      <c r="AQ160" s="75" t="str">
        <v/>
      </c>
      <c r="AR160" s="75" t="str">
        <v>-</v>
      </c>
      <c r="AS160" s="11"/>
      <c r="AT160" s="77" t="str">
        <v>-</v>
      </c>
      <c r="AU160" s="11" t="str">
        <v>-</v>
      </c>
      <c r="AV160" s="100"/>
      <c r="AW160" s="80" t="str">
        <f ca="1"/>
        <v>-</v>
      </c>
      <c r="AX160" s="86" t="b">
        <v>0</v>
      </c>
      <c r="AY160" s="68" t="str">
        <f t="shared" si="0"/>
        <v/>
      </c>
      <c r="AZ160" s="69" t="str">
        <f t="shared" si="1"/>
        <v/>
      </c>
      <c r="BA160" s="70" t="str">
        <f t="shared" si="2"/>
        <v/>
      </c>
      <c r="BB160" s="68" t="str">
        <f t="shared" si="3"/>
        <v/>
      </c>
      <c r="BC160" s="69" t="str">
        <f>IFERROR(VLOOKUP($AQ160,'(勿動)組件目錄表'!$D$15:$R$1094,7,FALSE),"")</f>
        <v/>
      </c>
      <c r="BD160" s="69" t="str">
        <f>IFERROR(VLOOKUP($AQ160,'(勿動)組件目錄表'!$D$15:$R$1094,8,FALSE),"")</f>
        <v/>
      </c>
      <c r="BE160" s="69" t="str">
        <f>IFERROR(VLOOKUP($AQ160,'(勿動)組件目錄表'!$D$15:$R$1094,9,FALSE),"")</f>
        <v/>
      </c>
      <c r="BF160" s="69" t="str">
        <f>IFERROR(VLOOKUP($AQ160,'(勿動)組件目錄表'!$D$15:$R$1094,10,FALSE),"")</f>
        <v/>
      </c>
      <c r="BG160" s="69" t="str">
        <f>IFERROR(VLOOKUP($AQ160,'(勿動)組件目錄表'!$D$15:$R$1094,11,FALSE),"")</f>
        <v/>
      </c>
      <c r="BH160" s="69" t="str">
        <f>IFERROR(VLOOKUP($AQ160,'(勿動)組件目錄表'!$D$15:$R$1094,12,FALSE),"")</f>
        <v/>
      </c>
      <c r="BI160" s="69" t="str">
        <f>IFERROR(VLOOKUP($AQ160,'(勿動)組件目錄表'!$D$15:$R$1094,13,FALSE),"")</f>
        <v/>
      </c>
      <c r="BJ160" s="69" t="str">
        <f>IFERROR(VLOOKUP($AQ160,'(勿動)組件目錄表'!$D$15:$R$1094,14,FALSE),"")</f>
        <v/>
      </c>
      <c r="BK160" s="69" t="str">
        <f>IFERROR(VLOOKUP($AQ160,'(勿動)組件目錄表'!$D$15:$R$1094,15,FALSE),"")</f>
        <v/>
      </c>
      <c r="BL160" s="81">
        <f ca="1">IFERROR(__xludf.DUMMYFUNCTION("IFERROR(
  LET(
    rowData, FILTER('(勿動)組件目錄表'!J:Q, '(勿動)組件目錄表'!D:D=AQ160),
    IF(ROWS(rowData)=0, 0, 
      (
        IF(AND(BC160&lt;&gt;"""", INDEX(rowData,1,1)=BC160),1,0) +
        IF(AND(BD160&lt;&gt;"""", INDEX(rowData,1,2)=BD160),1,0) +
        IF(AND(BE160"&amp;"&lt;&gt;"""", INDEX(rowData,1,3)=BE160),1,0) +
        IF(AND(BF160&lt;&gt;"""", INDEX(rowData,1,4)=BF160),1,0) +
        IF(AND(BG160&lt;&gt;"""", INDEX(rowData,1,5)=BG160),1,0) +
        IF(AND(BH160&lt;&gt;"""", INDEX(rowData,1,6)=BH160),1,0) +
        IF(AND(BI160&lt;&gt;"""", IND"&amp;"EX(rowData,1,7)=BI160),1,0) +
        IF(AND(BJ160&lt;&gt;"""", INDEX(rowData,1,8)=BJ160),1,0)
      ) - COUNTIF(BC160:BJ160, ""-"")
        - COUNTIF(BC160:BJ160, ""固定格式，不需提供資訊"")
        - COUNTIF(BC160:BJ160, ""由MKT更新，此欄位固定格式，不需提供資訊
(Voucher CID：12917705872)"&amp;""")
        - COUNTIF(BC160:BJ160, ""text固定為以下：
※直播間僅支援手機版"")
        - COUNTIF(BC160:BJ160, ""text固定為以下：
※短影音僅支援手機版"")
    )
  ), 
  0
)
"),0)</f>
        <v>0</v>
      </c>
      <c r="BM160" s="77" t="b">
        <v>0</v>
      </c>
      <c r="BN160" s="85"/>
      <c r="BO160" s="85"/>
    </row>
    <row r="161" spans="1:67" ht="30" customHeight="1">
      <c r="A161" s="73" t="str">
        <f t="array" aca="1" ref="A161" ca="1">IFERROR(TRANSPOSE(INDIRECT('MS section版配(Old)'!$AO161)),"")</f>
        <v/>
      </c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397" t="str">
        <f>IFERROR(VLOOKUP($AQ161,'(勿動)組件目錄表'!$D$15:$R$1094,4,FALSE),"")</f>
        <v/>
      </c>
      <c r="AF161" s="384"/>
      <c r="AG161" s="384"/>
      <c r="AH161" s="384"/>
      <c r="AI161" s="384"/>
      <c r="AJ161" s="385"/>
      <c r="AK161" s="54" t="b">
        <v>0</v>
      </c>
      <c r="AL161" s="54" t="b">
        <v>0</v>
      </c>
      <c r="AM161" s="54"/>
      <c r="AN161" s="7" t="str">
        <v>153</v>
      </c>
      <c r="AO161" s="7"/>
      <c r="AP161" s="62"/>
      <c r="AQ161" s="75" t="str">
        <v/>
      </c>
      <c r="AR161" s="75" t="str">
        <v>-</v>
      </c>
      <c r="AS161" s="11"/>
      <c r="AT161" s="77" t="str">
        <v>-</v>
      </c>
      <c r="AU161" s="11" t="str">
        <v>-</v>
      </c>
      <c r="AV161" s="100"/>
      <c r="AW161" s="80" t="str">
        <f ca="1"/>
        <v>-</v>
      </c>
      <c r="AX161" s="86" t="b">
        <v>0</v>
      </c>
      <c r="AY161" s="68" t="str">
        <f t="shared" si="0"/>
        <v/>
      </c>
      <c r="AZ161" s="69" t="str">
        <f t="shared" si="1"/>
        <v/>
      </c>
      <c r="BA161" s="70" t="str">
        <f t="shared" si="2"/>
        <v/>
      </c>
      <c r="BB161" s="68" t="str">
        <f t="shared" si="3"/>
        <v/>
      </c>
      <c r="BC161" s="69" t="str">
        <f>IFERROR(VLOOKUP($AQ161,'(勿動)組件目錄表'!$D$15:$R$1094,7,FALSE),"")</f>
        <v/>
      </c>
      <c r="BD161" s="69" t="str">
        <f>IFERROR(VLOOKUP($AQ161,'(勿動)組件目錄表'!$D$15:$R$1094,8,FALSE),"")</f>
        <v/>
      </c>
      <c r="BE161" s="69" t="str">
        <f>IFERROR(VLOOKUP($AQ161,'(勿動)組件目錄表'!$D$15:$R$1094,9,FALSE),"")</f>
        <v/>
      </c>
      <c r="BF161" s="69" t="str">
        <f>IFERROR(VLOOKUP($AQ161,'(勿動)組件目錄表'!$D$15:$R$1094,10,FALSE),"")</f>
        <v/>
      </c>
      <c r="BG161" s="69" t="str">
        <f>IFERROR(VLOOKUP($AQ161,'(勿動)組件目錄表'!$D$15:$R$1094,11,FALSE),"")</f>
        <v/>
      </c>
      <c r="BH161" s="69" t="str">
        <f>IFERROR(VLOOKUP($AQ161,'(勿動)組件目錄表'!$D$15:$R$1094,12,FALSE),"")</f>
        <v/>
      </c>
      <c r="BI161" s="69" t="str">
        <f>IFERROR(VLOOKUP($AQ161,'(勿動)組件目錄表'!$D$15:$R$1094,13,FALSE),"")</f>
        <v/>
      </c>
      <c r="BJ161" s="69" t="str">
        <f>IFERROR(VLOOKUP($AQ161,'(勿動)組件目錄表'!$D$15:$R$1094,14,FALSE),"")</f>
        <v/>
      </c>
      <c r="BK161" s="69" t="str">
        <f>IFERROR(VLOOKUP($AQ161,'(勿動)組件目錄表'!$D$15:$R$1094,15,FALSE),"")</f>
        <v/>
      </c>
      <c r="BL161" s="81">
        <f ca="1">IFERROR(__xludf.DUMMYFUNCTION("IFERROR(
  LET(
    rowData, FILTER('(勿動)組件目錄表'!J:Q, '(勿動)組件目錄表'!D:D=AQ161),
    IF(ROWS(rowData)=0, 0, 
      (
        IF(AND(BC161&lt;&gt;"""", INDEX(rowData,1,1)=BC161),1,0) +
        IF(AND(BD161&lt;&gt;"""", INDEX(rowData,1,2)=BD161),1,0) +
        IF(AND(BE161"&amp;"&lt;&gt;"""", INDEX(rowData,1,3)=BE161),1,0) +
        IF(AND(BF161&lt;&gt;"""", INDEX(rowData,1,4)=BF161),1,0) +
        IF(AND(BG161&lt;&gt;"""", INDEX(rowData,1,5)=BG161),1,0) +
        IF(AND(BH161&lt;&gt;"""", INDEX(rowData,1,6)=BH161),1,0) +
        IF(AND(BI161&lt;&gt;"""", IND"&amp;"EX(rowData,1,7)=BI161),1,0) +
        IF(AND(BJ161&lt;&gt;"""", INDEX(rowData,1,8)=BJ161),1,0)
      ) - COUNTIF(BC161:BJ161, ""-"")
        - COUNTIF(BC161:BJ161, ""固定格式，不需提供資訊"")
        - COUNTIF(BC161:BJ161, ""由MKT更新，此欄位固定格式，不需提供資訊
(Voucher CID：12917705872)"&amp;""")
        - COUNTIF(BC161:BJ161, ""text固定為以下：
※直播間僅支援手機版"")
        - COUNTIF(BC161:BJ161, ""text固定為以下：
※短影音僅支援手機版"")
    )
  ), 
  0
)
"),0)</f>
        <v>0</v>
      </c>
      <c r="BM161" s="77" t="b">
        <v>0</v>
      </c>
      <c r="BN161" s="85"/>
      <c r="BO161" s="85"/>
    </row>
    <row r="162" spans="1:67" ht="30" customHeight="1">
      <c r="A162" s="73" t="str">
        <f t="array" aca="1" ref="A162" ca="1">IFERROR(TRANSPOSE(INDIRECT('MS section版配(Old)'!$AO162)),"")</f>
        <v/>
      </c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397" t="str">
        <f>IFERROR(VLOOKUP($AQ162,'(勿動)組件目錄表'!$D$15:$R$1094,4,FALSE),"")</f>
        <v/>
      </c>
      <c r="AF162" s="384"/>
      <c r="AG162" s="384"/>
      <c r="AH162" s="384"/>
      <c r="AI162" s="384"/>
      <c r="AJ162" s="385"/>
      <c r="AK162" s="54" t="b">
        <v>0</v>
      </c>
      <c r="AL162" s="54" t="b">
        <v>0</v>
      </c>
      <c r="AM162" s="54"/>
      <c r="AN162" s="7" t="str">
        <v>154</v>
      </c>
      <c r="AO162" s="7"/>
      <c r="AP162" s="62"/>
      <c r="AQ162" s="75" t="str">
        <v/>
      </c>
      <c r="AR162" s="75" t="str">
        <v>-</v>
      </c>
      <c r="AS162" s="11"/>
      <c r="AT162" s="77" t="str">
        <v>-</v>
      </c>
      <c r="AU162" s="11" t="str">
        <v>-</v>
      </c>
      <c r="AV162" s="100"/>
      <c r="AW162" s="80" t="str">
        <f ca="1"/>
        <v>-</v>
      </c>
      <c r="AX162" s="86" t="b">
        <v>0</v>
      </c>
      <c r="AY162" s="68" t="str">
        <f t="shared" si="0"/>
        <v/>
      </c>
      <c r="AZ162" s="69" t="str">
        <f t="shared" si="1"/>
        <v/>
      </c>
      <c r="BA162" s="70" t="str">
        <f t="shared" si="2"/>
        <v/>
      </c>
      <c r="BB162" s="68" t="str">
        <f t="shared" si="3"/>
        <v/>
      </c>
      <c r="BC162" s="69" t="str">
        <f>IFERROR(VLOOKUP($AQ162,'(勿動)組件目錄表'!$D$15:$R$1094,7,FALSE),"")</f>
        <v/>
      </c>
      <c r="BD162" s="69" t="str">
        <f>IFERROR(VLOOKUP($AQ162,'(勿動)組件目錄表'!$D$15:$R$1094,8,FALSE),"")</f>
        <v/>
      </c>
      <c r="BE162" s="69" t="str">
        <f>IFERROR(VLOOKUP($AQ162,'(勿動)組件目錄表'!$D$15:$R$1094,9,FALSE),"")</f>
        <v/>
      </c>
      <c r="BF162" s="69" t="str">
        <f>IFERROR(VLOOKUP($AQ162,'(勿動)組件目錄表'!$D$15:$R$1094,10,FALSE),"")</f>
        <v/>
      </c>
      <c r="BG162" s="69" t="str">
        <f>IFERROR(VLOOKUP($AQ162,'(勿動)組件目錄表'!$D$15:$R$1094,11,FALSE),"")</f>
        <v/>
      </c>
      <c r="BH162" s="69" t="str">
        <f>IFERROR(VLOOKUP($AQ162,'(勿動)組件目錄表'!$D$15:$R$1094,12,FALSE),"")</f>
        <v/>
      </c>
      <c r="BI162" s="69" t="str">
        <f>IFERROR(VLOOKUP($AQ162,'(勿動)組件目錄表'!$D$15:$R$1094,13,FALSE),"")</f>
        <v/>
      </c>
      <c r="BJ162" s="69" t="str">
        <f>IFERROR(VLOOKUP($AQ162,'(勿動)組件目錄表'!$D$15:$R$1094,14,FALSE),"")</f>
        <v/>
      </c>
      <c r="BK162" s="69" t="str">
        <f>IFERROR(VLOOKUP($AQ162,'(勿動)組件目錄表'!$D$15:$R$1094,15,FALSE),"")</f>
        <v/>
      </c>
      <c r="BL162" s="81">
        <f ca="1">IFERROR(__xludf.DUMMYFUNCTION("IFERROR(
  LET(
    rowData, FILTER('(勿動)組件目錄表'!J:Q, '(勿動)組件目錄表'!D:D=AQ162),
    IF(ROWS(rowData)=0, 0, 
      (
        IF(AND(BC162&lt;&gt;"""", INDEX(rowData,1,1)=BC162),1,0) +
        IF(AND(BD162&lt;&gt;"""", INDEX(rowData,1,2)=BD162),1,0) +
        IF(AND(BE162"&amp;"&lt;&gt;"""", INDEX(rowData,1,3)=BE162),1,0) +
        IF(AND(BF162&lt;&gt;"""", INDEX(rowData,1,4)=BF162),1,0) +
        IF(AND(BG162&lt;&gt;"""", INDEX(rowData,1,5)=BG162),1,0) +
        IF(AND(BH162&lt;&gt;"""", INDEX(rowData,1,6)=BH162),1,0) +
        IF(AND(BI162&lt;&gt;"""", IND"&amp;"EX(rowData,1,7)=BI162),1,0) +
        IF(AND(BJ162&lt;&gt;"""", INDEX(rowData,1,8)=BJ162),1,0)
      ) - COUNTIF(BC162:BJ162, ""-"")
        - COUNTIF(BC162:BJ162, ""固定格式，不需提供資訊"")
        - COUNTIF(BC162:BJ162, ""由MKT更新，此欄位固定格式，不需提供資訊
(Voucher CID：12917705872)"&amp;""")
        - COUNTIF(BC162:BJ162, ""text固定為以下：
※直播間僅支援手機版"")
        - COUNTIF(BC162:BJ162, ""text固定為以下：
※短影音僅支援手機版"")
    )
  ), 
  0
)
"),0)</f>
        <v>0</v>
      </c>
      <c r="BM162" s="77" t="b">
        <v>0</v>
      </c>
      <c r="BN162" s="85"/>
      <c r="BO162" s="85"/>
    </row>
    <row r="163" spans="1:67" ht="30" customHeight="1">
      <c r="A163" s="73" t="str">
        <f t="array" aca="1" ref="A163" ca="1">IFERROR(TRANSPOSE(INDIRECT('MS section版配(Old)'!$AO163)),"")</f>
        <v/>
      </c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397" t="str">
        <f>IFERROR(VLOOKUP($AQ163,'(勿動)組件目錄表'!$D$15:$R$1094,4,FALSE),"")</f>
        <v/>
      </c>
      <c r="AF163" s="384"/>
      <c r="AG163" s="384"/>
      <c r="AH163" s="384"/>
      <c r="AI163" s="384"/>
      <c r="AJ163" s="385"/>
      <c r="AK163" s="54" t="b">
        <v>0</v>
      </c>
      <c r="AL163" s="54" t="b">
        <v>0</v>
      </c>
      <c r="AM163" s="54"/>
      <c r="AN163" s="7" t="str">
        <v>155</v>
      </c>
      <c r="AO163" s="7"/>
      <c r="AP163" s="62"/>
      <c r="AQ163" s="75" t="str">
        <v/>
      </c>
      <c r="AR163" s="75" t="str">
        <v>-</v>
      </c>
      <c r="AS163" s="11"/>
      <c r="AT163" s="77" t="str">
        <v>-</v>
      </c>
      <c r="AU163" s="11" t="str">
        <v>-</v>
      </c>
      <c r="AV163" s="100"/>
      <c r="AW163" s="80" t="str">
        <f ca="1"/>
        <v>-</v>
      </c>
      <c r="AX163" s="86" t="b">
        <v>0</v>
      </c>
      <c r="AY163" s="68" t="str">
        <f t="shared" si="0"/>
        <v/>
      </c>
      <c r="AZ163" s="69" t="str">
        <f t="shared" si="1"/>
        <v/>
      </c>
      <c r="BA163" s="70" t="str">
        <f t="shared" si="2"/>
        <v/>
      </c>
      <c r="BB163" s="68" t="str">
        <f t="shared" si="3"/>
        <v/>
      </c>
      <c r="BC163" s="69" t="str">
        <f>IFERROR(VLOOKUP($AQ163,'(勿動)組件目錄表'!$D$15:$R$1094,7,FALSE),"")</f>
        <v/>
      </c>
      <c r="BD163" s="69" t="str">
        <f>IFERROR(VLOOKUP($AQ163,'(勿動)組件目錄表'!$D$15:$R$1094,8,FALSE),"")</f>
        <v/>
      </c>
      <c r="BE163" s="69" t="str">
        <f>IFERROR(VLOOKUP($AQ163,'(勿動)組件目錄表'!$D$15:$R$1094,9,FALSE),"")</f>
        <v/>
      </c>
      <c r="BF163" s="69" t="str">
        <f>IFERROR(VLOOKUP($AQ163,'(勿動)組件目錄表'!$D$15:$R$1094,10,FALSE),"")</f>
        <v/>
      </c>
      <c r="BG163" s="69" t="str">
        <f>IFERROR(VLOOKUP($AQ163,'(勿動)組件目錄表'!$D$15:$R$1094,11,FALSE),"")</f>
        <v/>
      </c>
      <c r="BH163" s="69" t="str">
        <f>IFERROR(VLOOKUP($AQ163,'(勿動)組件目錄表'!$D$15:$R$1094,12,FALSE),"")</f>
        <v/>
      </c>
      <c r="BI163" s="69" t="str">
        <f>IFERROR(VLOOKUP($AQ163,'(勿動)組件目錄表'!$D$15:$R$1094,13,FALSE),"")</f>
        <v/>
      </c>
      <c r="BJ163" s="69" t="str">
        <f>IFERROR(VLOOKUP($AQ163,'(勿動)組件目錄表'!$D$15:$R$1094,14,FALSE),"")</f>
        <v/>
      </c>
      <c r="BK163" s="69" t="str">
        <f>IFERROR(VLOOKUP($AQ163,'(勿動)組件目錄表'!$D$15:$R$1094,15,FALSE),"")</f>
        <v/>
      </c>
      <c r="BL163" s="81">
        <f ca="1">IFERROR(__xludf.DUMMYFUNCTION("IFERROR(
  LET(
    rowData, FILTER('(勿動)組件目錄表'!J:Q, '(勿動)組件目錄表'!D:D=AQ163),
    IF(ROWS(rowData)=0, 0, 
      (
        IF(AND(BC163&lt;&gt;"""", INDEX(rowData,1,1)=BC163),1,0) +
        IF(AND(BD163&lt;&gt;"""", INDEX(rowData,1,2)=BD163),1,0) +
        IF(AND(BE163"&amp;"&lt;&gt;"""", INDEX(rowData,1,3)=BE163),1,0) +
        IF(AND(BF163&lt;&gt;"""", INDEX(rowData,1,4)=BF163),1,0) +
        IF(AND(BG163&lt;&gt;"""", INDEX(rowData,1,5)=BG163),1,0) +
        IF(AND(BH163&lt;&gt;"""", INDEX(rowData,1,6)=BH163),1,0) +
        IF(AND(BI163&lt;&gt;"""", IND"&amp;"EX(rowData,1,7)=BI163),1,0) +
        IF(AND(BJ163&lt;&gt;"""", INDEX(rowData,1,8)=BJ163),1,0)
      ) - COUNTIF(BC163:BJ163, ""-"")
        - COUNTIF(BC163:BJ163, ""固定格式，不需提供資訊"")
        - COUNTIF(BC163:BJ163, ""由MKT更新，此欄位固定格式，不需提供資訊
(Voucher CID：12917705872)"&amp;""")
        - COUNTIF(BC163:BJ163, ""text固定為以下：
※直播間僅支援手機版"")
        - COUNTIF(BC163:BJ163, ""text固定為以下：
※短影音僅支援手機版"")
    )
  ), 
  0
)
"),0)</f>
        <v>0</v>
      </c>
      <c r="BM163" s="77" t="b">
        <v>0</v>
      </c>
      <c r="BN163" s="85"/>
      <c r="BO163" s="85"/>
    </row>
    <row r="164" spans="1:67" ht="30" customHeight="1">
      <c r="A164" s="73" t="str">
        <f t="array" aca="1" ref="A164" ca="1">IFERROR(TRANSPOSE(INDIRECT('MS section版配(Old)'!$AO164)),"")</f>
        <v/>
      </c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397" t="str">
        <f>IFERROR(VLOOKUP($AQ164,'(勿動)組件目錄表'!$D$15:$R$1094,4,FALSE),"")</f>
        <v/>
      </c>
      <c r="AF164" s="384"/>
      <c r="AG164" s="384"/>
      <c r="AH164" s="384"/>
      <c r="AI164" s="384"/>
      <c r="AJ164" s="385"/>
      <c r="AK164" s="54" t="b">
        <v>0</v>
      </c>
      <c r="AL164" s="54" t="b">
        <v>0</v>
      </c>
      <c r="AM164" s="54"/>
      <c r="AN164" s="7" t="str">
        <v>156</v>
      </c>
      <c r="AO164" s="7"/>
      <c r="AP164" s="62"/>
      <c r="AQ164" s="75" t="str">
        <v/>
      </c>
      <c r="AR164" s="75" t="str">
        <v>-</v>
      </c>
      <c r="AS164" s="11"/>
      <c r="AT164" s="77" t="str">
        <v>-</v>
      </c>
      <c r="AU164" s="11" t="str">
        <v>-</v>
      </c>
      <c r="AV164" s="100"/>
      <c r="AW164" s="80" t="str">
        <f ca="1"/>
        <v>-</v>
      </c>
      <c r="AX164" s="86" t="b">
        <v>0</v>
      </c>
      <c r="AY164" s="68" t="str">
        <f t="shared" si="0"/>
        <v/>
      </c>
      <c r="AZ164" s="69" t="str">
        <f t="shared" si="1"/>
        <v/>
      </c>
      <c r="BA164" s="70" t="str">
        <f t="shared" si="2"/>
        <v/>
      </c>
      <c r="BB164" s="68" t="str">
        <f t="shared" si="3"/>
        <v/>
      </c>
      <c r="BC164" s="69" t="str">
        <f>IFERROR(VLOOKUP($AQ164,'(勿動)組件目錄表'!$D$15:$R$1094,7,FALSE),"")</f>
        <v/>
      </c>
      <c r="BD164" s="69" t="str">
        <f>IFERROR(VLOOKUP($AQ164,'(勿動)組件目錄表'!$D$15:$R$1094,8,FALSE),"")</f>
        <v/>
      </c>
      <c r="BE164" s="69" t="str">
        <f>IFERROR(VLOOKUP($AQ164,'(勿動)組件目錄表'!$D$15:$R$1094,9,FALSE),"")</f>
        <v/>
      </c>
      <c r="BF164" s="69" t="str">
        <f>IFERROR(VLOOKUP($AQ164,'(勿動)組件目錄表'!$D$15:$R$1094,10,FALSE),"")</f>
        <v/>
      </c>
      <c r="BG164" s="69" t="str">
        <f>IFERROR(VLOOKUP($AQ164,'(勿動)組件目錄表'!$D$15:$R$1094,11,FALSE),"")</f>
        <v/>
      </c>
      <c r="BH164" s="69" t="str">
        <f>IFERROR(VLOOKUP($AQ164,'(勿動)組件目錄表'!$D$15:$R$1094,12,FALSE),"")</f>
        <v/>
      </c>
      <c r="BI164" s="69" t="str">
        <f>IFERROR(VLOOKUP($AQ164,'(勿動)組件目錄表'!$D$15:$R$1094,13,FALSE),"")</f>
        <v/>
      </c>
      <c r="BJ164" s="69" t="str">
        <f>IFERROR(VLOOKUP($AQ164,'(勿動)組件目錄表'!$D$15:$R$1094,14,FALSE),"")</f>
        <v/>
      </c>
      <c r="BK164" s="69" t="str">
        <f>IFERROR(VLOOKUP($AQ164,'(勿動)組件目錄表'!$D$15:$R$1094,15,FALSE),"")</f>
        <v/>
      </c>
      <c r="BL164" s="81">
        <f ca="1">IFERROR(__xludf.DUMMYFUNCTION("IFERROR(
  LET(
    rowData, FILTER('(勿動)組件目錄表'!J:Q, '(勿動)組件目錄表'!D:D=AQ164),
    IF(ROWS(rowData)=0, 0, 
      (
        IF(AND(BC164&lt;&gt;"""", INDEX(rowData,1,1)=BC164),1,0) +
        IF(AND(BD164&lt;&gt;"""", INDEX(rowData,1,2)=BD164),1,0) +
        IF(AND(BE164"&amp;"&lt;&gt;"""", INDEX(rowData,1,3)=BE164),1,0) +
        IF(AND(BF164&lt;&gt;"""", INDEX(rowData,1,4)=BF164),1,0) +
        IF(AND(BG164&lt;&gt;"""", INDEX(rowData,1,5)=BG164),1,0) +
        IF(AND(BH164&lt;&gt;"""", INDEX(rowData,1,6)=BH164),1,0) +
        IF(AND(BI164&lt;&gt;"""", IND"&amp;"EX(rowData,1,7)=BI164),1,0) +
        IF(AND(BJ164&lt;&gt;"""", INDEX(rowData,1,8)=BJ164),1,0)
      ) - COUNTIF(BC164:BJ164, ""-"")
        - COUNTIF(BC164:BJ164, ""固定格式，不需提供資訊"")
        - COUNTIF(BC164:BJ164, ""由MKT更新，此欄位固定格式，不需提供資訊
(Voucher CID：12917705872)"&amp;""")
        - COUNTIF(BC164:BJ164, ""text固定為以下：
※直播間僅支援手機版"")
        - COUNTIF(BC164:BJ164, ""text固定為以下：
※短影音僅支援手機版"")
    )
  ), 
  0
)
"),0)</f>
        <v>0</v>
      </c>
      <c r="BM164" s="77" t="b">
        <v>0</v>
      </c>
      <c r="BN164" s="85"/>
      <c r="BO164" s="85"/>
    </row>
    <row r="165" spans="1:67" ht="30" customHeight="1">
      <c r="A165" s="73" t="str">
        <f t="array" aca="1" ref="A165" ca="1">IFERROR(TRANSPOSE(INDIRECT('MS section版配(Old)'!$AO165)),"")</f>
        <v/>
      </c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397" t="str">
        <f>IFERROR(VLOOKUP($AQ165,'(勿動)組件目錄表'!$D$15:$R$1094,4,FALSE),"")</f>
        <v/>
      </c>
      <c r="AF165" s="384"/>
      <c r="AG165" s="384"/>
      <c r="AH165" s="384"/>
      <c r="AI165" s="384"/>
      <c r="AJ165" s="385"/>
      <c r="AK165" s="54" t="b">
        <v>0</v>
      </c>
      <c r="AL165" s="54" t="b">
        <v>0</v>
      </c>
      <c r="AM165" s="54"/>
      <c r="AN165" s="7" t="str">
        <v>157</v>
      </c>
      <c r="AO165" s="7"/>
      <c r="AP165" s="62"/>
      <c r="AQ165" s="75" t="str">
        <v/>
      </c>
      <c r="AR165" s="75" t="str">
        <v>-</v>
      </c>
      <c r="AS165" s="11"/>
      <c r="AT165" s="77" t="str">
        <v>-</v>
      </c>
      <c r="AU165" s="11" t="str">
        <v>-</v>
      </c>
      <c r="AV165" s="100"/>
      <c r="AW165" s="80" t="str">
        <f ca="1"/>
        <v>-</v>
      </c>
      <c r="AX165" s="86" t="b">
        <v>0</v>
      </c>
      <c r="AY165" s="68" t="str">
        <f t="shared" si="0"/>
        <v/>
      </c>
      <c r="AZ165" s="69" t="str">
        <f t="shared" si="1"/>
        <v/>
      </c>
      <c r="BA165" s="70" t="str">
        <f t="shared" si="2"/>
        <v/>
      </c>
      <c r="BB165" s="68" t="str">
        <f t="shared" si="3"/>
        <v/>
      </c>
      <c r="BC165" s="69" t="str">
        <f>IFERROR(VLOOKUP($AQ165,'(勿動)組件目錄表'!$D$15:$R$1094,7,FALSE),"")</f>
        <v/>
      </c>
      <c r="BD165" s="69" t="str">
        <f>IFERROR(VLOOKUP($AQ165,'(勿動)組件目錄表'!$D$15:$R$1094,8,FALSE),"")</f>
        <v/>
      </c>
      <c r="BE165" s="69" t="str">
        <f>IFERROR(VLOOKUP($AQ165,'(勿動)組件目錄表'!$D$15:$R$1094,9,FALSE),"")</f>
        <v/>
      </c>
      <c r="BF165" s="69" t="str">
        <f>IFERROR(VLOOKUP($AQ165,'(勿動)組件目錄表'!$D$15:$R$1094,10,FALSE),"")</f>
        <v/>
      </c>
      <c r="BG165" s="69" t="str">
        <f>IFERROR(VLOOKUP($AQ165,'(勿動)組件目錄表'!$D$15:$R$1094,11,FALSE),"")</f>
        <v/>
      </c>
      <c r="BH165" s="69" t="str">
        <f>IFERROR(VLOOKUP($AQ165,'(勿動)組件目錄表'!$D$15:$R$1094,12,FALSE),"")</f>
        <v/>
      </c>
      <c r="BI165" s="69" t="str">
        <f>IFERROR(VLOOKUP($AQ165,'(勿動)組件目錄表'!$D$15:$R$1094,13,FALSE),"")</f>
        <v/>
      </c>
      <c r="BJ165" s="69" t="str">
        <f>IFERROR(VLOOKUP($AQ165,'(勿動)組件目錄表'!$D$15:$R$1094,14,FALSE),"")</f>
        <v/>
      </c>
      <c r="BK165" s="69" t="str">
        <f>IFERROR(VLOOKUP($AQ165,'(勿動)組件目錄表'!$D$15:$R$1094,15,FALSE),"")</f>
        <v/>
      </c>
      <c r="BL165" s="81">
        <f ca="1">IFERROR(__xludf.DUMMYFUNCTION("IFERROR(
  LET(
    rowData, FILTER('(勿動)組件目錄表'!J:Q, '(勿動)組件目錄表'!D:D=AQ165),
    IF(ROWS(rowData)=0, 0, 
      (
        IF(AND(BC165&lt;&gt;"""", INDEX(rowData,1,1)=BC165),1,0) +
        IF(AND(BD165&lt;&gt;"""", INDEX(rowData,1,2)=BD165),1,0) +
        IF(AND(BE165"&amp;"&lt;&gt;"""", INDEX(rowData,1,3)=BE165),1,0) +
        IF(AND(BF165&lt;&gt;"""", INDEX(rowData,1,4)=BF165),1,0) +
        IF(AND(BG165&lt;&gt;"""", INDEX(rowData,1,5)=BG165),1,0) +
        IF(AND(BH165&lt;&gt;"""", INDEX(rowData,1,6)=BH165),1,0) +
        IF(AND(BI165&lt;&gt;"""", IND"&amp;"EX(rowData,1,7)=BI165),1,0) +
        IF(AND(BJ165&lt;&gt;"""", INDEX(rowData,1,8)=BJ165),1,0)
      ) - COUNTIF(BC165:BJ165, ""-"")
        - COUNTIF(BC165:BJ165, ""固定格式，不需提供資訊"")
        - COUNTIF(BC165:BJ165, ""由MKT更新，此欄位固定格式，不需提供資訊
(Voucher CID：12917705872)"&amp;""")
        - COUNTIF(BC165:BJ165, ""text固定為以下：
※直播間僅支援手機版"")
        - COUNTIF(BC165:BJ165, ""text固定為以下：
※短影音僅支援手機版"")
    )
  ), 
  0
)
"),0)</f>
        <v>0</v>
      </c>
      <c r="BM165" s="77" t="b">
        <v>0</v>
      </c>
      <c r="BN165" s="85"/>
      <c r="BO165" s="85"/>
    </row>
    <row r="166" spans="1:67" ht="30" customHeight="1">
      <c r="A166" s="73" t="str">
        <f t="array" aca="1" ref="A166" ca="1">IFERROR(TRANSPOSE(INDIRECT('MS section版配(Old)'!$AO166)),"")</f>
        <v/>
      </c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397" t="str">
        <f>IFERROR(VLOOKUP($AQ166,'(勿動)組件目錄表'!$D$15:$R$1094,4,FALSE),"")</f>
        <v/>
      </c>
      <c r="AF166" s="384"/>
      <c r="AG166" s="384"/>
      <c r="AH166" s="384"/>
      <c r="AI166" s="384"/>
      <c r="AJ166" s="385"/>
      <c r="AK166" s="54" t="b">
        <v>0</v>
      </c>
      <c r="AL166" s="54" t="b">
        <v>0</v>
      </c>
      <c r="AM166" s="54"/>
      <c r="AN166" s="7" t="str">
        <v>158</v>
      </c>
      <c r="AO166" s="7"/>
      <c r="AP166" s="62"/>
      <c r="AQ166" s="75" t="str">
        <v/>
      </c>
      <c r="AR166" s="75" t="str">
        <v>-</v>
      </c>
      <c r="AS166" s="11"/>
      <c r="AT166" s="77" t="str">
        <v>-</v>
      </c>
      <c r="AU166" s="11" t="str">
        <v>-</v>
      </c>
      <c r="AV166" s="100"/>
      <c r="AW166" s="80" t="str">
        <f ca="1"/>
        <v>-</v>
      </c>
      <c r="AX166" s="86" t="b">
        <v>0</v>
      </c>
      <c r="AY166" s="68" t="str">
        <f t="shared" si="0"/>
        <v/>
      </c>
      <c r="AZ166" s="69" t="str">
        <f t="shared" si="1"/>
        <v/>
      </c>
      <c r="BA166" s="70" t="str">
        <f t="shared" si="2"/>
        <v/>
      </c>
      <c r="BB166" s="68" t="str">
        <f t="shared" si="3"/>
        <v/>
      </c>
      <c r="BC166" s="69" t="str">
        <f>IFERROR(VLOOKUP($AQ166,'(勿動)組件目錄表'!$D$15:$R$1094,7,FALSE),"")</f>
        <v/>
      </c>
      <c r="BD166" s="69" t="str">
        <f>IFERROR(VLOOKUP($AQ166,'(勿動)組件目錄表'!$D$15:$R$1094,8,FALSE),"")</f>
        <v/>
      </c>
      <c r="BE166" s="69" t="str">
        <f>IFERROR(VLOOKUP($AQ166,'(勿動)組件目錄表'!$D$15:$R$1094,9,FALSE),"")</f>
        <v/>
      </c>
      <c r="BF166" s="69" t="str">
        <f>IFERROR(VLOOKUP($AQ166,'(勿動)組件目錄表'!$D$15:$R$1094,10,FALSE),"")</f>
        <v/>
      </c>
      <c r="BG166" s="69" t="str">
        <f>IFERROR(VLOOKUP($AQ166,'(勿動)組件目錄表'!$D$15:$R$1094,11,FALSE),"")</f>
        <v/>
      </c>
      <c r="BH166" s="69" t="str">
        <f>IFERROR(VLOOKUP($AQ166,'(勿動)組件目錄表'!$D$15:$R$1094,12,FALSE),"")</f>
        <v/>
      </c>
      <c r="BI166" s="69" t="str">
        <f>IFERROR(VLOOKUP($AQ166,'(勿動)組件目錄表'!$D$15:$R$1094,13,FALSE),"")</f>
        <v/>
      </c>
      <c r="BJ166" s="69" t="str">
        <f>IFERROR(VLOOKUP($AQ166,'(勿動)組件目錄表'!$D$15:$R$1094,14,FALSE),"")</f>
        <v/>
      </c>
      <c r="BK166" s="69" t="str">
        <f>IFERROR(VLOOKUP($AQ166,'(勿動)組件目錄表'!$D$15:$R$1094,15,FALSE),"")</f>
        <v/>
      </c>
      <c r="BL166" s="81">
        <f ca="1">IFERROR(__xludf.DUMMYFUNCTION("IFERROR(
  LET(
    rowData, FILTER('(勿動)組件目錄表'!J:Q, '(勿動)組件目錄表'!D:D=AQ166),
    IF(ROWS(rowData)=0, 0, 
      (
        IF(AND(BC166&lt;&gt;"""", INDEX(rowData,1,1)=BC166),1,0) +
        IF(AND(BD166&lt;&gt;"""", INDEX(rowData,1,2)=BD166),1,0) +
        IF(AND(BE166"&amp;"&lt;&gt;"""", INDEX(rowData,1,3)=BE166),1,0) +
        IF(AND(BF166&lt;&gt;"""", INDEX(rowData,1,4)=BF166),1,0) +
        IF(AND(BG166&lt;&gt;"""", INDEX(rowData,1,5)=BG166),1,0) +
        IF(AND(BH166&lt;&gt;"""", INDEX(rowData,1,6)=BH166),1,0) +
        IF(AND(BI166&lt;&gt;"""", IND"&amp;"EX(rowData,1,7)=BI166),1,0) +
        IF(AND(BJ166&lt;&gt;"""", INDEX(rowData,1,8)=BJ166),1,0)
      ) - COUNTIF(BC166:BJ166, ""-"")
        - COUNTIF(BC166:BJ166, ""固定格式，不需提供資訊"")
        - COUNTIF(BC166:BJ166, ""由MKT更新，此欄位固定格式，不需提供資訊
(Voucher CID：12917705872)"&amp;""")
        - COUNTIF(BC166:BJ166, ""text固定為以下：
※直播間僅支援手機版"")
        - COUNTIF(BC166:BJ166, ""text固定為以下：
※短影音僅支援手機版"")
    )
  ), 
  0
)
"),0)</f>
        <v>0</v>
      </c>
      <c r="BM166" s="77" t="b">
        <v>0</v>
      </c>
      <c r="BN166" s="85"/>
      <c r="BO166" s="85"/>
    </row>
    <row r="167" spans="1:67" ht="30" customHeight="1">
      <c r="A167" s="73" t="str">
        <f t="array" aca="1" ref="A167" ca="1">IFERROR(TRANSPOSE(INDIRECT('MS section版配(Old)'!$AO167)),"")</f>
        <v/>
      </c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397" t="str">
        <f>IFERROR(VLOOKUP($AQ167,'(勿動)組件目錄表'!$D$15:$R$1094,4,FALSE),"")</f>
        <v/>
      </c>
      <c r="AF167" s="384"/>
      <c r="AG167" s="384"/>
      <c r="AH167" s="384"/>
      <c r="AI167" s="384"/>
      <c r="AJ167" s="385"/>
      <c r="AK167" s="54" t="b">
        <v>0</v>
      </c>
      <c r="AL167" s="54" t="b">
        <v>0</v>
      </c>
      <c r="AM167" s="54"/>
      <c r="AN167" s="7" t="str">
        <v>159</v>
      </c>
      <c r="AO167" s="7"/>
      <c r="AP167" s="62"/>
      <c r="AQ167" s="75" t="str">
        <v/>
      </c>
      <c r="AR167" s="75" t="str">
        <v>-</v>
      </c>
      <c r="AS167" s="11"/>
      <c r="AT167" s="77" t="str">
        <v>-</v>
      </c>
      <c r="AU167" s="11" t="str">
        <v>-</v>
      </c>
      <c r="AV167" s="100"/>
      <c r="AW167" s="80" t="str">
        <f ca="1"/>
        <v>-</v>
      </c>
      <c r="AX167" s="86" t="b">
        <v>0</v>
      </c>
      <c r="AY167" s="68" t="str">
        <f t="shared" si="0"/>
        <v/>
      </c>
      <c r="AZ167" s="69" t="str">
        <f t="shared" si="1"/>
        <v/>
      </c>
      <c r="BA167" s="70" t="str">
        <f t="shared" si="2"/>
        <v/>
      </c>
      <c r="BB167" s="68" t="str">
        <f t="shared" si="3"/>
        <v/>
      </c>
      <c r="BC167" s="69" t="str">
        <f>IFERROR(VLOOKUP($AQ167,'(勿動)組件目錄表'!$D$15:$R$1094,7,FALSE),"")</f>
        <v/>
      </c>
      <c r="BD167" s="69" t="str">
        <f>IFERROR(VLOOKUP($AQ167,'(勿動)組件目錄表'!$D$15:$R$1094,8,FALSE),"")</f>
        <v/>
      </c>
      <c r="BE167" s="69" t="str">
        <f>IFERROR(VLOOKUP($AQ167,'(勿動)組件目錄表'!$D$15:$R$1094,9,FALSE),"")</f>
        <v/>
      </c>
      <c r="BF167" s="69" t="str">
        <f>IFERROR(VLOOKUP($AQ167,'(勿動)組件目錄表'!$D$15:$R$1094,10,FALSE),"")</f>
        <v/>
      </c>
      <c r="BG167" s="69" t="str">
        <f>IFERROR(VLOOKUP($AQ167,'(勿動)組件目錄表'!$D$15:$R$1094,11,FALSE),"")</f>
        <v/>
      </c>
      <c r="BH167" s="69" t="str">
        <f>IFERROR(VLOOKUP($AQ167,'(勿動)組件目錄表'!$D$15:$R$1094,12,FALSE),"")</f>
        <v/>
      </c>
      <c r="BI167" s="69" t="str">
        <f>IFERROR(VLOOKUP($AQ167,'(勿動)組件目錄表'!$D$15:$R$1094,13,FALSE),"")</f>
        <v/>
      </c>
      <c r="BJ167" s="69" t="str">
        <f>IFERROR(VLOOKUP($AQ167,'(勿動)組件目錄表'!$D$15:$R$1094,14,FALSE),"")</f>
        <v/>
      </c>
      <c r="BK167" s="69" t="str">
        <f>IFERROR(VLOOKUP($AQ167,'(勿動)組件目錄表'!$D$15:$R$1094,15,FALSE),"")</f>
        <v/>
      </c>
      <c r="BL167" s="81">
        <f ca="1">IFERROR(__xludf.DUMMYFUNCTION("IFERROR(
  LET(
    rowData, FILTER('(勿動)組件目錄表'!J:Q, '(勿動)組件目錄表'!D:D=AQ167),
    IF(ROWS(rowData)=0, 0, 
      (
        IF(AND(BC167&lt;&gt;"""", INDEX(rowData,1,1)=BC167),1,0) +
        IF(AND(BD167&lt;&gt;"""", INDEX(rowData,1,2)=BD167),1,0) +
        IF(AND(BE167"&amp;"&lt;&gt;"""", INDEX(rowData,1,3)=BE167),1,0) +
        IF(AND(BF167&lt;&gt;"""", INDEX(rowData,1,4)=BF167),1,0) +
        IF(AND(BG167&lt;&gt;"""", INDEX(rowData,1,5)=BG167),1,0) +
        IF(AND(BH167&lt;&gt;"""", INDEX(rowData,1,6)=BH167),1,0) +
        IF(AND(BI167&lt;&gt;"""", IND"&amp;"EX(rowData,1,7)=BI167),1,0) +
        IF(AND(BJ167&lt;&gt;"""", INDEX(rowData,1,8)=BJ167),1,0)
      ) - COUNTIF(BC167:BJ167, ""-"")
        - COUNTIF(BC167:BJ167, ""固定格式，不需提供資訊"")
        - COUNTIF(BC167:BJ167, ""由MKT更新，此欄位固定格式，不需提供資訊
(Voucher CID：12917705872)"&amp;""")
        - COUNTIF(BC167:BJ167, ""text固定為以下：
※直播間僅支援手機版"")
        - COUNTIF(BC167:BJ167, ""text固定為以下：
※短影音僅支援手機版"")
    )
  ), 
  0
)
"),0)</f>
        <v>0</v>
      </c>
      <c r="BM167" s="77" t="b">
        <v>0</v>
      </c>
      <c r="BN167" s="85"/>
      <c r="BO167" s="85"/>
    </row>
    <row r="168" spans="1:67" ht="30" customHeight="1">
      <c r="A168" s="73" t="str">
        <f t="array" aca="1" ref="A168" ca="1">IFERROR(TRANSPOSE(INDIRECT('MS section版配(Old)'!$AO168)),"")</f>
        <v/>
      </c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397" t="str">
        <f>IFERROR(VLOOKUP($AQ168,'(勿動)組件目錄表'!$D$15:$R$1094,4,FALSE),"")</f>
        <v/>
      </c>
      <c r="AF168" s="384"/>
      <c r="AG168" s="384"/>
      <c r="AH168" s="384"/>
      <c r="AI168" s="384"/>
      <c r="AJ168" s="385"/>
      <c r="AK168" s="54" t="b">
        <v>0</v>
      </c>
      <c r="AL168" s="54" t="b">
        <v>0</v>
      </c>
      <c r="AM168" s="54"/>
      <c r="AN168" s="7" t="str">
        <v>160</v>
      </c>
      <c r="AO168" s="7"/>
      <c r="AP168" s="62"/>
      <c r="AQ168" s="75" t="str">
        <v/>
      </c>
      <c r="AR168" s="75" t="str">
        <v>-</v>
      </c>
      <c r="AS168" s="11"/>
      <c r="AT168" s="77" t="str">
        <v>-</v>
      </c>
      <c r="AU168" s="11" t="str">
        <v>-</v>
      </c>
      <c r="AV168" s="100"/>
      <c r="AW168" s="80" t="str">
        <f ca="1"/>
        <v>-</v>
      </c>
      <c r="AX168" s="86" t="b">
        <v>0</v>
      </c>
      <c r="AY168" s="68" t="str">
        <f t="shared" si="0"/>
        <v/>
      </c>
      <c r="AZ168" s="69" t="str">
        <f t="shared" si="1"/>
        <v/>
      </c>
      <c r="BA168" s="70" t="str">
        <f t="shared" si="2"/>
        <v/>
      </c>
      <c r="BB168" s="68" t="str">
        <f t="shared" si="3"/>
        <v/>
      </c>
      <c r="BC168" s="69" t="str">
        <f>IFERROR(VLOOKUP($AQ168,'(勿動)組件目錄表'!$D$15:$R$1094,7,FALSE),"")</f>
        <v/>
      </c>
      <c r="BD168" s="69" t="str">
        <f>IFERROR(VLOOKUP($AQ168,'(勿動)組件目錄表'!$D$15:$R$1094,8,FALSE),"")</f>
        <v/>
      </c>
      <c r="BE168" s="69" t="str">
        <f>IFERROR(VLOOKUP($AQ168,'(勿動)組件目錄表'!$D$15:$R$1094,9,FALSE),"")</f>
        <v/>
      </c>
      <c r="BF168" s="69" t="str">
        <f>IFERROR(VLOOKUP($AQ168,'(勿動)組件目錄表'!$D$15:$R$1094,10,FALSE),"")</f>
        <v/>
      </c>
      <c r="BG168" s="69" t="str">
        <f>IFERROR(VLOOKUP($AQ168,'(勿動)組件目錄表'!$D$15:$R$1094,11,FALSE),"")</f>
        <v/>
      </c>
      <c r="BH168" s="69" t="str">
        <f>IFERROR(VLOOKUP($AQ168,'(勿動)組件目錄表'!$D$15:$R$1094,12,FALSE),"")</f>
        <v/>
      </c>
      <c r="BI168" s="69" t="str">
        <f>IFERROR(VLOOKUP($AQ168,'(勿動)組件目錄表'!$D$15:$R$1094,13,FALSE),"")</f>
        <v/>
      </c>
      <c r="BJ168" s="69" t="str">
        <f>IFERROR(VLOOKUP($AQ168,'(勿動)組件目錄表'!$D$15:$R$1094,14,FALSE),"")</f>
        <v/>
      </c>
      <c r="BK168" s="69" t="str">
        <f>IFERROR(VLOOKUP($AQ168,'(勿動)組件目錄表'!$D$15:$R$1094,15,FALSE),"")</f>
        <v/>
      </c>
      <c r="BL168" s="81">
        <f ca="1">IFERROR(__xludf.DUMMYFUNCTION("IFERROR(
  LET(
    rowData, FILTER('(勿動)組件目錄表'!J:Q, '(勿動)組件目錄表'!D:D=AQ168),
    IF(ROWS(rowData)=0, 0, 
      (
        IF(AND(BC168&lt;&gt;"""", INDEX(rowData,1,1)=BC168),1,0) +
        IF(AND(BD168&lt;&gt;"""", INDEX(rowData,1,2)=BD168),1,0) +
        IF(AND(BE168"&amp;"&lt;&gt;"""", INDEX(rowData,1,3)=BE168),1,0) +
        IF(AND(BF168&lt;&gt;"""", INDEX(rowData,1,4)=BF168),1,0) +
        IF(AND(BG168&lt;&gt;"""", INDEX(rowData,1,5)=BG168),1,0) +
        IF(AND(BH168&lt;&gt;"""", INDEX(rowData,1,6)=BH168),1,0) +
        IF(AND(BI168&lt;&gt;"""", IND"&amp;"EX(rowData,1,7)=BI168),1,0) +
        IF(AND(BJ168&lt;&gt;"""", INDEX(rowData,1,8)=BJ168),1,0)
      ) - COUNTIF(BC168:BJ168, ""-"")
        - COUNTIF(BC168:BJ168, ""固定格式，不需提供資訊"")
        - COUNTIF(BC168:BJ168, ""由MKT更新，此欄位固定格式，不需提供資訊
(Voucher CID：12917705872)"&amp;""")
        - COUNTIF(BC168:BJ168, ""text固定為以下：
※直播間僅支援手機版"")
        - COUNTIF(BC168:BJ168, ""text固定為以下：
※短影音僅支援手機版"")
    )
  ), 
  0
)
"),0)</f>
        <v>0</v>
      </c>
      <c r="BM168" s="77" t="b">
        <v>0</v>
      </c>
      <c r="BN168" s="85"/>
      <c r="BO168" s="85"/>
    </row>
    <row r="169" spans="1:67" ht="30" customHeight="1">
      <c r="A169" s="73" t="str">
        <f t="array" aca="1" ref="A169" ca="1">IFERROR(TRANSPOSE(INDIRECT('MS section版配(Old)'!$AO169)),"")</f>
        <v/>
      </c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397" t="str">
        <f>IFERROR(VLOOKUP($AQ169,'(勿動)組件目錄表'!$D$15:$R$1094,4,FALSE),"")</f>
        <v/>
      </c>
      <c r="AF169" s="384"/>
      <c r="AG169" s="384"/>
      <c r="AH169" s="384"/>
      <c r="AI169" s="384"/>
      <c r="AJ169" s="385"/>
      <c r="AK169" s="54" t="b">
        <v>0</v>
      </c>
      <c r="AL169" s="54" t="b">
        <v>0</v>
      </c>
      <c r="AM169" s="54"/>
      <c r="AN169" s="7" t="str">
        <v>161</v>
      </c>
      <c r="AO169" s="7"/>
      <c r="AP169" s="62"/>
      <c r="AQ169" s="75" t="str">
        <v/>
      </c>
      <c r="AR169" s="75" t="str">
        <v>-</v>
      </c>
      <c r="AS169" s="11"/>
      <c r="AT169" s="77" t="str">
        <v>-</v>
      </c>
      <c r="AU169" s="11" t="str">
        <v>-</v>
      </c>
      <c r="AV169" s="100"/>
      <c r="AW169" s="80" t="str">
        <f ca="1"/>
        <v>-</v>
      </c>
      <c r="AX169" s="86" t="b">
        <v>0</v>
      </c>
      <c r="AY169" s="68" t="str">
        <f t="shared" si="0"/>
        <v/>
      </c>
      <c r="AZ169" s="69" t="str">
        <f t="shared" si="1"/>
        <v/>
      </c>
      <c r="BA169" s="70" t="str">
        <f t="shared" si="2"/>
        <v/>
      </c>
      <c r="BB169" s="68" t="str">
        <f t="shared" si="3"/>
        <v/>
      </c>
      <c r="BC169" s="69" t="str">
        <f>IFERROR(VLOOKUP($AQ169,'(勿動)組件目錄表'!$D$15:$R$1094,7,FALSE),"")</f>
        <v/>
      </c>
      <c r="BD169" s="69" t="str">
        <f>IFERROR(VLOOKUP($AQ169,'(勿動)組件目錄表'!$D$15:$R$1094,8,FALSE),"")</f>
        <v/>
      </c>
      <c r="BE169" s="69" t="str">
        <f>IFERROR(VLOOKUP($AQ169,'(勿動)組件目錄表'!$D$15:$R$1094,9,FALSE),"")</f>
        <v/>
      </c>
      <c r="BF169" s="69" t="str">
        <f>IFERROR(VLOOKUP($AQ169,'(勿動)組件目錄表'!$D$15:$R$1094,10,FALSE),"")</f>
        <v/>
      </c>
      <c r="BG169" s="69" t="str">
        <f>IFERROR(VLOOKUP($AQ169,'(勿動)組件目錄表'!$D$15:$R$1094,11,FALSE),"")</f>
        <v/>
      </c>
      <c r="BH169" s="69" t="str">
        <f>IFERROR(VLOOKUP($AQ169,'(勿動)組件目錄表'!$D$15:$R$1094,12,FALSE),"")</f>
        <v/>
      </c>
      <c r="BI169" s="69" t="str">
        <f>IFERROR(VLOOKUP($AQ169,'(勿動)組件目錄表'!$D$15:$R$1094,13,FALSE),"")</f>
        <v/>
      </c>
      <c r="BJ169" s="69" t="str">
        <f>IFERROR(VLOOKUP($AQ169,'(勿動)組件目錄表'!$D$15:$R$1094,14,FALSE),"")</f>
        <v/>
      </c>
      <c r="BK169" s="69" t="str">
        <f>IFERROR(VLOOKUP($AQ169,'(勿動)組件目錄表'!$D$15:$R$1094,15,FALSE),"")</f>
        <v/>
      </c>
      <c r="BL169" s="81">
        <f ca="1">IFERROR(__xludf.DUMMYFUNCTION("IFERROR(
  LET(
    rowData, FILTER('(勿動)組件目錄表'!J:Q, '(勿動)組件目錄表'!D:D=AQ169),
    IF(ROWS(rowData)=0, 0, 
      (
        IF(AND(BC169&lt;&gt;"""", INDEX(rowData,1,1)=BC169),1,0) +
        IF(AND(BD169&lt;&gt;"""", INDEX(rowData,1,2)=BD169),1,0) +
        IF(AND(BE169"&amp;"&lt;&gt;"""", INDEX(rowData,1,3)=BE169),1,0) +
        IF(AND(BF169&lt;&gt;"""", INDEX(rowData,1,4)=BF169),1,0) +
        IF(AND(BG169&lt;&gt;"""", INDEX(rowData,1,5)=BG169),1,0) +
        IF(AND(BH169&lt;&gt;"""", INDEX(rowData,1,6)=BH169),1,0) +
        IF(AND(BI169&lt;&gt;"""", IND"&amp;"EX(rowData,1,7)=BI169),1,0) +
        IF(AND(BJ169&lt;&gt;"""", INDEX(rowData,1,8)=BJ169),1,0)
      ) - COUNTIF(BC169:BJ169, ""-"")
        - COUNTIF(BC169:BJ169, ""固定格式，不需提供資訊"")
        - COUNTIF(BC169:BJ169, ""由MKT更新，此欄位固定格式，不需提供資訊
(Voucher CID：12917705872)"&amp;""")
        - COUNTIF(BC169:BJ169, ""text固定為以下：
※直播間僅支援手機版"")
        - COUNTIF(BC169:BJ169, ""text固定為以下：
※短影音僅支援手機版"")
    )
  ), 
  0
)
"),0)</f>
        <v>0</v>
      </c>
      <c r="BM169" s="77" t="b">
        <v>0</v>
      </c>
      <c r="BN169" s="85"/>
      <c r="BO169" s="85"/>
    </row>
    <row r="170" spans="1:67" ht="30" customHeight="1">
      <c r="A170" s="73" t="str">
        <f t="array" aca="1" ref="A170" ca="1">IFERROR(TRANSPOSE(INDIRECT('MS section版配(Old)'!$AO170)),"")</f>
        <v/>
      </c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397" t="str">
        <f>IFERROR(VLOOKUP($AQ170,'(勿動)組件目錄表'!$D$15:$R$1094,4,FALSE),"")</f>
        <v/>
      </c>
      <c r="AF170" s="384"/>
      <c r="AG170" s="384"/>
      <c r="AH170" s="384"/>
      <c r="AI170" s="384"/>
      <c r="AJ170" s="385"/>
      <c r="AK170" s="54" t="b">
        <v>0</v>
      </c>
      <c r="AL170" s="54" t="b">
        <v>0</v>
      </c>
      <c r="AM170" s="54"/>
      <c r="AN170" s="7" t="str">
        <v>162</v>
      </c>
      <c r="AO170" s="7"/>
      <c r="AP170" s="62"/>
      <c r="AQ170" s="75" t="str">
        <v/>
      </c>
      <c r="AR170" s="75" t="str">
        <v>-</v>
      </c>
      <c r="AS170" s="11"/>
      <c r="AT170" s="77" t="str">
        <v>-</v>
      </c>
      <c r="AU170" s="11" t="str">
        <v>-</v>
      </c>
      <c r="AV170" s="100"/>
      <c r="AW170" s="80" t="str">
        <f ca="1"/>
        <v>-</v>
      </c>
      <c r="AX170" s="86" t="b">
        <v>0</v>
      </c>
      <c r="AY170" s="68" t="str">
        <f t="shared" si="0"/>
        <v/>
      </c>
      <c r="AZ170" s="69" t="str">
        <f t="shared" si="1"/>
        <v/>
      </c>
      <c r="BA170" s="70" t="str">
        <f t="shared" si="2"/>
        <v/>
      </c>
      <c r="BB170" s="68" t="str">
        <f t="shared" si="3"/>
        <v/>
      </c>
      <c r="BC170" s="69" t="str">
        <f>IFERROR(VLOOKUP($AQ170,'(勿動)組件目錄表'!$D$15:$R$1094,7,FALSE),"")</f>
        <v/>
      </c>
      <c r="BD170" s="69" t="str">
        <f>IFERROR(VLOOKUP($AQ170,'(勿動)組件目錄表'!$D$15:$R$1094,8,FALSE),"")</f>
        <v/>
      </c>
      <c r="BE170" s="69" t="str">
        <f>IFERROR(VLOOKUP($AQ170,'(勿動)組件目錄表'!$D$15:$R$1094,9,FALSE),"")</f>
        <v/>
      </c>
      <c r="BF170" s="69" t="str">
        <f>IFERROR(VLOOKUP($AQ170,'(勿動)組件目錄表'!$D$15:$R$1094,10,FALSE),"")</f>
        <v/>
      </c>
      <c r="BG170" s="69" t="str">
        <f>IFERROR(VLOOKUP($AQ170,'(勿動)組件目錄表'!$D$15:$R$1094,11,FALSE),"")</f>
        <v/>
      </c>
      <c r="BH170" s="69" t="str">
        <f>IFERROR(VLOOKUP($AQ170,'(勿動)組件目錄表'!$D$15:$R$1094,12,FALSE),"")</f>
        <v/>
      </c>
      <c r="BI170" s="69" t="str">
        <f>IFERROR(VLOOKUP($AQ170,'(勿動)組件目錄表'!$D$15:$R$1094,13,FALSE),"")</f>
        <v/>
      </c>
      <c r="BJ170" s="69" t="str">
        <f>IFERROR(VLOOKUP($AQ170,'(勿動)組件目錄表'!$D$15:$R$1094,14,FALSE),"")</f>
        <v/>
      </c>
      <c r="BK170" s="69" t="str">
        <f>IFERROR(VLOOKUP($AQ170,'(勿動)組件目錄表'!$D$15:$R$1094,15,FALSE),"")</f>
        <v/>
      </c>
      <c r="BL170" s="81">
        <f ca="1">IFERROR(__xludf.DUMMYFUNCTION("IFERROR(
  LET(
    rowData, FILTER('(勿動)組件目錄表'!J:Q, '(勿動)組件目錄表'!D:D=AQ170),
    IF(ROWS(rowData)=0, 0, 
      (
        IF(AND(BC170&lt;&gt;"""", INDEX(rowData,1,1)=BC170),1,0) +
        IF(AND(BD170&lt;&gt;"""", INDEX(rowData,1,2)=BD170),1,0) +
        IF(AND(BE170"&amp;"&lt;&gt;"""", INDEX(rowData,1,3)=BE170),1,0) +
        IF(AND(BF170&lt;&gt;"""", INDEX(rowData,1,4)=BF170),1,0) +
        IF(AND(BG170&lt;&gt;"""", INDEX(rowData,1,5)=BG170),1,0) +
        IF(AND(BH170&lt;&gt;"""", INDEX(rowData,1,6)=BH170),1,0) +
        IF(AND(BI170&lt;&gt;"""", IND"&amp;"EX(rowData,1,7)=BI170),1,0) +
        IF(AND(BJ170&lt;&gt;"""", INDEX(rowData,1,8)=BJ170),1,0)
      ) - COUNTIF(BC170:BJ170, ""-"")
        - COUNTIF(BC170:BJ170, ""固定格式，不需提供資訊"")
        - COUNTIF(BC170:BJ170, ""由MKT更新，此欄位固定格式，不需提供資訊
(Voucher CID：12917705872)"&amp;""")
        - COUNTIF(BC170:BJ170, ""text固定為以下：
※直播間僅支援手機版"")
        - COUNTIF(BC170:BJ170, ""text固定為以下：
※短影音僅支援手機版"")
    )
  ), 
  0
)
"),0)</f>
        <v>0</v>
      </c>
      <c r="BM170" s="77" t="b">
        <v>0</v>
      </c>
      <c r="BN170" s="85"/>
      <c r="BO170" s="85"/>
    </row>
    <row r="171" spans="1:67" ht="30" customHeight="1">
      <c r="A171" s="73" t="str">
        <f t="array" aca="1" ref="A171" ca="1">IFERROR(TRANSPOSE(INDIRECT('MS section版配(Old)'!$AO171)),"")</f>
        <v/>
      </c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397" t="str">
        <f>IFERROR(VLOOKUP($AQ171,'(勿動)組件目錄表'!$D$15:$R$1094,4,FALSE),"")</f>
        <v/>
      </c>
      <c r="AF171" s="384"/>
      <c r="AG171" s="384"/>
      <c r="AH171" s="384"/>
      <c r="AI171" s="384"/>
      <c r="AJ171" s="385"/>
      <c r="AK171" s="54" t="b">
        <v>0</v>
      </c>
      <c r="AL171" s="54" t="b">
        <v>0</v>
      </c>
      <c r="AM171" s="54"/>
      <c r="AN171" s="7" t="str">
        <v>163</v>
      </c>
      <c r="AO171" s="7"/>
      <c r="AP171" s="62"/>
      <c r="AQ171" s="75" t="str">
        <v/>
      </c>
      <c r="AR171" s="75" t="str">
        <v>-</v>
      </c>
      <c r="AS171" s="11"/>
      <c r="AT171" s="77" t="str">
        <v>-</v>
      </c>
      <c r="AU171" s="11" t="str">
        <v>-</v>
      </c>
      <c r="AV171" s="100"/>
      <c r="AW171" s="80" t="str">
        <f ca="1"/>
        <v>-</v>
      </c>
      <c r="AX171" s="86" t="b">
        <v>0</v>
      </c>
      <c r="AY171" s="68" t="str">
        <f t="shared" si="0"/>
        <v/>
      </c>
      <c r="AZ171" s="69" t="str">
        <f t="shared" si="1"/>
        <v/>
      </c>
      <c r="BA171" s="70" t="str">
        <f t="shared" si="2"/>
        <v/>
      </c>
      <c r="BB171" s="68" t="str">
        <f t="shared" si="3"/>
        <v/>
      </c>
      <c r="BC171" s="69" t="str">
        <f>IFERROR(VLOOKUP($AQ171,'(勿動)組件目錄表'!$D$15:$R$1094,7,FALSE),"")</f>
        <v/>
      </c>
      <c r="BD171" s="69" t="str">
        <f>IFERROR(VLOOKUP($AQ171,'(勿動)組件目錄表'!$D$15:$R$1094,8,FALSE),"")</f>
        <v/>
      </c>
      <c r="BE171" s="69" t="str">
        <f>IFERROR(VLOOKUP($AQ171,'(勿動)組件目錄表'!$D$15:$R$1094,9,FALSE),"")</f>
        <v/>
      </c>
      <c r="BF171" s="69" t="str">
        <f>IFERROR(VLOOKUP($AQ171,'(勿動)組件目錄表'!$D$15:$R$1094,10,FALSE),"")</f>
        <v/>
      </c>
      <c r="BG171" s="69" t="str">
        <f>IFERROR(VLOOKUP($AQ171,'(勿動)組件目錄表'!$D$15:$R$1094,11,FALSE),"")</f>
        <v/>
      </c>
      <c r="BH171" s="69" t="str">
        <f>IFERROR(VLOOKUP($AQ171,'(勿動)組件目錄表'!$D$15:$R$1094,12,FALSE),"")</f>
        <v/>
      </c>
      <c r="BI171" s="69" t="str">
        <f>IFERROR(VLOOKUP($AQ171,'(勿動)組件目錄表'!$D$15:$R$1094,13,FALSE),"")</f>
        <v/>
      </c>
      <c r="BJ171" s="69" t="str">
        <f>IFERROR(VLOOKUP($AQ171,'(勿動)組件目錄表'!$D$15:$R$1094,14,FALSE),"")</f>
        <v/>
      </c>
      <c r="BK171" s="69" t="str">
        <f>IFERROR(VLOOKUP($AQ171,'(勿動)組件目錄表'!$D$15:$R$1094,15,FALSE),"")</f>
        <v/>
      </c>
      <c r="BL171" s="81">
        <f ca="1">IFERROR(__xludf.DUMMYFUNCTION("IFERROR(
  LET(
    rowData, FILTER('(勿動)組件目錄表'!J:Q, '(勿動)組件目錄表'!D:D=AQ171),
    IF(ROWS(rowData)=0, 0, 
      (
        IF(AND(BC171&lt;&gt;"""", INDEX(rowData,1,1)=BC171),1,0) +
        IF(AND(BD171&lt;&gt;"""", INDEX(rowData,1,2)=BD171),1,0) +
        IF(AND(BE171"&amp;"&lt;&gt;"""", INDEX(rowData,1,3)=BE171),1,0) +
        IF(AND(BF171&lt;&gt;"""", INDEX(rowData,1,4)=BF171),1,0) +
        IF(AND(BG171&lt;&gt;"""", INDEX(rowData,1,5)=BG171),1,0) +
        IF(AND(BH171&lt;&gt;"""", INDEX(rowData,1,6)=BH171),1,0) +
        IF(AND(BI171&lt;&gt;"""", IND"&amp;"EX(rowData,1,7)=BI171),1,0) +
        IF(AND(BJ171&lt;&gt;"""", INDEX(rowData,1,8)=BJ171),1,0)
      ) - COUNTIF(BC171:BJ171, ""-"")
        - COUNTIF(BC171:BJ171, ""固定格式，不需提供資訊"")
        - COUNTIF(BC171:BJ171, ""由MKT更新，此欄位固定格式，不需提供資訊
(Voucher CID：12917705872)"&amp;""")
        - COUNTIF(BC171:BJ171, ""text固定為以下：
※直播間僅支援手機版"")
        - COUNTIF(BC171:BJ171, ""text固定為以下：
※短影音僅支援手機版"")
    )
  ), 
  0
)
"),0)</f>
        <v>0</v>
      </c>
      <c r="BM171" s="77" t="b">
        <v>0</v>
      </c>
      <c r="BN171" s="85"/>
      <c r="BO171" s="85"/>
    </row>
    <row r="172" spans="1:67" ht="30" customHeight="1">
      <c r="A172" s="73" t="str">
        <f t="array" aca="1" ref="A172" ca="1">IFERROR(TRANSPOSE(INDIRECT('MS section版配(Old)'!$AO172)),"")</f>
        <v/>
      </c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397" t="str">
        <f>IFERROR(VLOOKUP($AQ172,'(勿動)組件目錄表'!$D$15:$R$1094,4,FALSE),"")</f>
        <v/>
      </c>
      <c r="AF172" s="384"/>
      <c r="AG172" s="384"/>
      <c r="AH172" s="384"/>
      <c r="AI172" s="384"/>
      <c r="AJ172" s="385"/>
      <c r="AK172" s="54" t="b">
        <v>0</v>
      </c>
      <c r="AL172" s="54" t="b">
        <v>0</v>
      </c>
      <c r="AM172" s="54"/>
      <c r="AN172" s="7" t="str">
        <v>164</v>
      </c>
      <c r="AO172" s="7"/>
      <c r="AP172" s="62"/>
      <c r="AQ172" s="75" t="str">
        <v/>
      </c>
      <c r="AR172" s="75" t="str">
        <v>-</v>
      </c>
      <c r="AS172" s="11"/>
      <c r="AT172" s="77" t="str">
        <v>-</v>
      </c>
      <c r="AU172" s="11" t="str">
        <v>-</v>
      </c>
      <c r="AV172" s="100"/>
      <c r="AW172" s="80" t="str">
        <f ca="1"/>
        <v>-</v>
      </c>
      <c r="AX172" s="86" t="b">
        <v>0</v>
      </c>
      <c r="AY172" s="68" t="str">
        <f t="shared" si="0"/>
        <v/>
      </c>
      <c r="AZ172" s="69" t="str">
        <f t="shared" si="1"/>
        <v/>
      </c>
      <c r="BA172" s="70" t="str">
        <f t="shared" si="2"/>
        <v/>
      </c>
      <c r="BB172" s="68" t="str">
        <f t="shared" si="3"/>
        <v/>
      </c>
      <c r="BC172" s="69" t="str">
        <f>IFERROR(VLOOKUP($AQ172,'(勿動)組件目錄表'!$D$15:$R$1094,7,FALSE),"")</f>
        <v/>
      </c>
      <c r="BD172" s="69" t="str">
        <f>IFERROR(VLOOKUP($AQ172,'(勿動)組件目錄表'!$D$15:$R$1094,8,FALSE),"")</f>
        <v/>
      </c>
      <c r="BE172" s="69" t="str">
        <f>IFERROR(VLOOKUP($AQ172,'(勿動)組件目錄表'!$D$15:$R$1094,9,FALSE),"")</f>
        <v/>
      </c>
      <c r="BF172" s="69" t="str">
        <f>IFERROR(VLOOKUP($AQ172,'(勿動)組件目錄表'!$D$15:$R$1094,10,FALSE),"")</f>
        <v/>
      </c>
      <c r="BG172" s="69" t="str">
        <f>IFERROR(VLOOKUP($AQ172,'(勿動)組件目錄表'!$D$15:$R$1094,11,FALSE),"")</f>
        <v/>
      </c>
      <c r="BH172" s="69" t="str">
        <f>IFERROR(VLOOKUP($AQ172,'(勿動)組件目錄表'!$D$15:$R$1094,12,FALSE),"")</f>
        <v/>
      </c>
      <c r="BI172" s="69" t="str">
        <f>IFERROR(VLOOKUP($AQ172,'(勿動)組件目錄表'!$D$15:$R$1094,13,FALSE),"")</f>
        <v/>
      </c>
      <c r="BJ172" s="69" t="str">
        <f>IFERROR(VLOOKUP($AQ172,'(勿動)組件目錄表'!$D$15:$R$1094,14,FALSE),"")</f>
        <v/>
      </c>
      <c r="BK172" s="69" t="str">
        <f>IFERROR(VLOOKUP($AQ172,'(勿動)組件目錄表'!$D$15:$R$1094,15,FALSE),"")</f>
        <v/>
      </c>
      <c r="BL172" s="81">
        <f ca="1">IFERROR(__xludf.DUMMYFUNCTION("IFERROR(
  LET(
    rowData, FILTER('(勿動)組件目錄表'!J:Q, '(勿動)組件目錄表'!D:D=AQ172),
    IF(ROWS(rowData)=0, 0, 
      (
        IF(AND(BC172&lt;&gt;"""", INDEX(rowData,1,1)=BC172),1,0) +
        IF(AND(BD172&lt;&gt;"""", INDEX(rowData,1,2)=BD172),1,0) +
        IF(AND(BE172"&amp;"&lt;&gt;"""", INDEX(rowData,1,3)=BE172),1,0) +
        IF(AND(BF172&lt;&gt;"""", INDEX(rowData,1,4)=BF172),1,0) +
        IF(AND(BG172&lt;&gt;"""", INDEX(rowData,1,5)=BG172),1,0) +
        IF(AND(BH172&lt;&gt;"""", INDEX(rowData,1,6)=BH172),1,0) +
        IF(AND(BI172&lt;&gt;"""", IND"&amp;"EX(rowData,1,7)=BI172),1,0) +
        IF(AND(BJ172&lt;&gt;"""", INDEX(rowData,1,8)=BJ172),1,0)
      ) - COUNTIF(BC172:BJ172, ""-"")
        - COUNTIF(BC172:BJ172, ""固定格式，不需提供資訊"")
        - COUNTIF(BC172:BJ172, ""由MKT更新，此欄位固定格式，不需提供資訊
(Voucher CID：12917705872)"&amp;""")
        - COUNTIF(BC172:BJ172, ""text固定為以下：
※直播間僅支援手機版"")
        - COUNTIF(BC172:BJ172, ""text固定為以下：
※短影音僅支援手機版"")
    )
  ), 
  0
)
"),0)</f>
        <v>0</v>
      </c>
      <c r="BM172" s="77" t="b">
        <v>0</v>
      </c>
      <c r="BN172" s="85"/>
      <c r="BO172" s="85"/>
    </row>
    <row r="173" spans="1:67" ht="30" customHeight="1">
      <c r="A173" s="73" t="str">
        <f t="array" aca="1" ref="A173" ca="1">IFERROR(TRANSPOSE(INDIRECT('MS section版配(Old)'!$AO173)),"")</f>
        <v/>
      </c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397" t="str">
        <f>IFERROR(VLOOKUP($AQ173,'(勿動)組件目錄表'!$D$15:$R$1094,4,FALSE),"")</f>
        <v/>
      </c>
      <c r="AF173" s="384"/>
      <c r="AG173" s="384"/>
      <c r="AH173" s="384"/>
      <c r="AI173" s="384"/>
      <c r="AJ173" s="385"/>
      <c r="AK173" s="54" t="b">
        <v>0</v>
      </c>
      <c r="AL173" s="54" t="b">
        <v>0</v>
      </c>
      <c r="AM173" s="54"/>
      <c r="AN173" s="7" t="str">
        <v>165</v>
      </c>
      <c r="AO173" s="7"/>
      <c r="AP173" s="62"/>
      <c r="AQ173" s="75" t="str">
        <v/>
      </c>
      <c r="AR173" s="75" t="str">
        <v>-</v>
      </c>
      <c r="AS173" s="11"/>
      <c r="AT173" s="77" t="str">
        <v>-</v>
      </c>
      <c r="AU173" s="11" t="str">
        <v>-</v>
      </c>
      <c r="AV173" s="100"/>
      <c r="AW173" s="80" t="str">
        <f ca="1"/>
        <v>-</v>
      </c>
      <c r="AX173" s="86" t="b">
        <v>0</v>
      </c>
      <c r="AY173" s="68" t="str">
        <f t="shared" si="0"/>
        <v/>
      </c>
      <c r="AZ173" s="69" t="str">
        <f t="shared" si="1"/>
        <v/>
      </c>
      <c r="BA173" s="70" t="str">
        <f t="shared" si="2"/>
        <v/>
      </c>
      <c r="BB173" s="68" t="str">
        <f t="shared" si="3"/>
        <v/>
      </c>
      <c r="BC173" s="69" t="str">
        <f>IFERROR(VLOOKUP($AQ173,'(勿動)組件目錄表'!$D$15:$R$1094,7,FALSE),"")</f>
        <v/>
      </c>
      <c r="BD173" s="69" t="str">
        <f>IFERROR(VLOOKUP($AQ173,'(勿動)組件目錄表'!$D$15:$R$1094,8,FALSE),"")</f>
        <v/>
      </c>
      <c r="BE173" s="69" t="str">
        <f>IFERROR(VLOOKUP($AQ173,'(勿動)組件目錄表'!$D$15:$R$1094,9,FALSE),"")</f>
        <v/>
      </c>
      <c r="BF173" s="69" t="str">
        <f>IFERROR(VLOOKUP($AQ173,'(勿動)組件目錄表'!$D$15:$R$1094,10,FALSE),"")</f>
        <v/>
      </c>
      <c r="BG173" s="69" t="str">
        <f>IFERROR(VLOOKUP($AQ173,'(勿動)組件目錄表'!$D$15:$R$1094,11,FALSE),"")</f>
        <v/>
      </c>
      <c r="BH173" s="69" t="str">
        <f>IFERROR(VLOOKUP($AQ173,'(勿動)組件目錄表'!$D$15:$R$1094,12,FALSE),"")</f>
        <v/>
      </c>
      <c r="BI173" s="69" t="str">
        <f>IFERROR(VLOOKUP($AQ173,'(勿動)組件目錄表'!$D$15:$R$1094,13,FALSE),"")</f>
        <v/>
      </c>
      <c r="BJ173" s="69" t="str">
        <f>IFERROR(VLOOKUP($AQ173,'(勿動)組件目錄表'!$D$15:$R$1094,14,FALSE),"")</f>
        <v/>
      </c>
      <c r="BK173" s="69" t="str">
        <f>IFERROR(VLOOKUP($AQ173,'(勿動)組件目錄表'!$D$15:$R$1094,15,FALSE),"")</f>
        <v/>
      </c>
      <c r="BL173" s="81">
        <f ca="1">IFERROR(__xludf.DUMMYFUNCTION("IFERROR(
  LET(
    rowData, FILTER('(勿動)組件目錄表'!J:Q, '(勿動)組件目錄表'!D:D=AQ173),
    IF(ROWS(rowData)=0, 0, 
      (
        IF(AND(BC173&lt;&gt;"""", INDEX(rowData,1,1)=BC173),1,0) +
        IF(AND(BD173&lt;&gt;"""", INDEX(rowData,1,2)=BD173),1,0) +
        IF(AND(BE173"&amp;"&lt;&gt;"""", INDEX(rowData,1,3)=BE173),1,0) +
        IF(AND(BF173&lt;&gt;"""", INDEX(rowData,1,4)=BF173),1,0) +
        IF(AND(BG173&lt;&gt;"""", INDEX(rowData,1,5)=BG173),1,0) +
        IF(AND(BH173&lt;&gt;"""", INDEX(rowData,1,6)=BH173),1,0) +
        IF(AND(BI173&lt;&gt;"""", IND"&amp;"EX(rowData,1,7)=BI173),1,0) +
        IF(AND(BJ173&lt;&gt;"""", INDEX(rowData,1,8)=BJ173),1,0)
      ) - COUNTIF(BC173:BJ173, ""-"")
        - COUNTIF(BC173:BJ173, ""固定格式，不需提供資訊"")
        - COUNTIF(BC173:BJ173, ""由MKT更新，此欄位固定格式，不需提供資訊
(Voucher CID：12917705872)"&amp;""")
        - COUNTIF(BC173:BJ173, ""text固定為以下：
※直播間僅支援手機版"")
        - COUNTIF(BC173:BJ173, ""text固定為以下：
※短影音僅支援手機版"")
    )
  ), 
  0
)
"),0)</f>
        <v>0</v>
      </c>
      <c r="BM173" s="77" t="b">
        <v>0</v>
      </c>
      <c r="BN173" s="85"/>
      <c r="BO173" s="85"/>
    </row>
    <row r="174" spans="1:67" ht="30" customHeight="1">
      <c r="A174" s="73" t="str">
        <f t="array" aca="1" ref="A174" ca="1">IFERROR(TRANSPOSE(INDIRECT('MS section版配(Old)'!$AO174)),"")</f>
        <v/>
      </c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397" t="str">
        <f>IFERROR(VLOOKUP($AQ174,'(勿動)組件目錄表'!$D$15:$R$1094,4,FALSE),"")</f>
        <v/>
      </c>
      <c r="AF174" s="384"/>
      <c r="AG174" s="384"/>
      <c r="AH174" s="384"/>
      <c r="AI174" s="384"/>
      <c r="AJ174" s="385"/>
      <c r="AK174" s="54" t="b">
        <v>0</v>
      </c>
      <c r="AL174" s="54" t="b">
        <v>0</v>
      </c>
      <c r="AM174" s="54"/>
      <c r="AN174" s="7" t="str">
        <v>166</v>
      </c>
      <c r="AO174" s="7"/>
      <c r="AP174" s="62"/>
      <c r="AQ174" s="75" t="str">
        <v/>
      </c>
      <c r="AR174" s="75" t="str">
        <v>-</v>
      </c>
      <c r="AS174" s="11"/>
      <c r="AT174" s="77" t="str">
        <v>-</v>
      </c>
      <c r="AU174" s="11" t="str">
        <v>-</v>
      </c>
      <c r="AV174" s="100"/>
      <c r="AW174" s="80" t="str">
        <f ca="1"/>
        <v>-</v>
      </c>
      <c r="AX174" s="86" t="b">
        <v>0</v>
      </c>
      <c r="AY174" s="68" t="str">
        <f t="shared" si="0"/>
        <v/>
      </c>
      <c r="AZ174" s="69" t="str">
        <f t="shared" si="1"/>
        <v/>
      </c>
      <c r="BA174" s="70" t="str">
        <f t="shared" si="2"/>
        <v/>
      </c>
      <c r="BB174" s="68" t="str">
        <f t="shared" si="3"/>
        <v/>
      </c>
      <c r="BC174" s="69" t="str">
        <f>IFERROR(VLOOKUP($AQ174,'(勿動)組件目錄表'!$D$15:$R$1094,7,FALSE),"")</f>
        <v/>
      </c>
      <c r="BD174" s="69" t="str">
        <f>IFERROR(VLOOKUP($AQ174,'(勿動)組件目錄表'!$D$15:$R$1094,8,FALSE),"")</f>
        <v/>
      </c>
      <c r="BE174" s="69" t="str">
        <f>IFERROR(VLOOKUP($AQ174,'(勿動)組件目錄表'!$D$15:$R$1094,9,FALSE),"")</f>
        <v/>
      </c>
      <c r="BF174" s="69" t="str">
        <f>IFERROR(VLOOKUP($AQ174,'(勿動)組件目錄表'!$D$15:$R$1094,10,FALSE),"")</f>
        <v/>
      </c>
      <c r="BG174" s="69" t="str">
        <f>IFERROR(VLOOKUP($AQ174,'(勿動)組件目錄表'!$D$15:$R$1094,11,FALSE),"")</f>
        <v/>
      </c>
      <c r="BH174" s="69" t="str">
        <f>IFERROR(VLOOKUP($AQ174,'(勿動)組件目錄表'!$D$15:$R$1094,12,FALSE),"")</f>
        <v/>
      </c>
      <c r="BI174" s="69" t="str">
        <f>IFERROR(VLOOKUP($AQ174,'(勿動)組件目錄表'!$D$15:$R$1094,13,FALSE),"")</f>
        <v/>
      </c>
      <c r="BJ174" s="69" t="str">
        <f>IFERROR(VLOOKUP($AQ174,'(勿動)組件目錄表'!$D$15:$R$1094,14,FALSE),"")</f>
        <v/>
      </c>
      <c r="BK174" s="69" t="str">
        <f>IFERROR(VLOOKUP($AQ174,'(勿動)組件目錄表'!$D$15:$R$1094,15,FALSE),"")</f>
        <v/>
      </c>
      <c r="BL174" s="81">
        <f ca="1">IFERROR(__xludf.DUMMYFUNCTION("IFERROR(
  LET(
    rowData, FILTER('(勿動)組件目錄表'!J:Q, '(勿動)組件目錄表'!D:D=AQ174),
    IF(ROWS(rowData)=0, 0, 
      (
        IF(AND(BC174&lt;&gt;"""", INDEX(rowData,1,1)=BC174),1,0) +
        IF(AND(BD174&lt;&gt;"""", INDEX(rowData,1,2)=BD174),1,0) +
        IF(AND(BE174"&amp;"&lt;&gt;"""", INDEX(rowData,1,3)=BE174),1,0) +
        IF(AND(BF174&lt;&gt;"""", INDEX(rowData,1,4)=BF174),1,0) +
        IF(AND(BG174&lt;&gt;"""", INDEX(rowData,1,5)=BG174),1,0) +
        IF(AND(BH174&lt;&gt;"""", INDEX(rowData,1,6)=BH174),1,0) +
        IF(AND(BI174&lt;&gt;"""", IND"&amp;"EX(rowData,1,7)=BI174),1,0) +
        IF(AND(BJ174&lt;&gt;"""", INDEX(rowData,1,8)=BJ174),1,0)
      ) - COUNTIF(BC174:BJ174, ""-"")
        - COUNTIF(BC174:BJ174, ""固定格式，不需提供資訊"")
        - COUNTIF(BC174:BJ174, ""由MKT更新，此欄位固定格式，不需提供資訊
(Voucher CID：12917705872)"&amp;""")
        - COUNTIF(BC174:BJ174, ""text固定為以下：
※直播間僅支援手機版"")
        - COUNTIF(BC174:BJ174, ""text固定為以下：
※短影音僅支援手機版"")
    )
  ), 
  0
)
"),0)</f>
        <v>0</v>
      </c>
      <c r="BM174" s="77" t="b">
        <v>0</v>
      </c>
      <c r="BN174" s="85"/>
      <c r="BO174" s="85"/>
    </row>
    <row r="175" spans="1:67" ht="30" customHeight="1">
      <c r="A175" s="73" t="str">
        <f t="array" aca="1" ref="A175" ca="1">IFERROR(TRANSPOSE(INDIRECT('MS section版配(Old)'!$AO175)),"")</f>
        <v/>
      </c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397" t="str">
        <f>IFERROR(VLOOKUP($AQ175,'(勿動)組件目錄表'!$D$15:$R$1094,4,FALSE),"")</f>
        <v/>
      </c>
      <c r="AF175" s="384"/>
      <c r="AG175" s="384"/>
      <c r="AH175" s="384"/>
      <c r="AI175" s="384"/>
      <c r="AJ175" s="385"/>
      <c r="AK175" s="54" t="b">
        <v>0</v>
      </c>
      <c r="AL175" s="54" t="b">
        <v>0</v>
      </c>
      <c r="AM175" s="54"/>
      <c r="AN175" s="7" t="str">
        <v>167</v>
      </c>
      <c r="AO175" s="7"/>
      <c r="AP175" s="62"/>
      <c r="AQ175" s="75" t="str">
        <v/>
      </c>
      <c r="AR175" s="75" t="str">
        <v>-</v>
      </c>
      <c r="AS175" s="11"/>
      <c r="AT175" s="77" t="str">
        <v>-</v>
      </c>
      <c r="AU175" s="11" t="str">
        <v>-</v>
      </c>
      <c r="AV175" s="100"/>
      <c r="AW175" s="80" t="str">
        <f ca="1"/>
        <v>-</v>
      </c>
      <c r="AX175" s="86" t="b">
        <v>0</v>
      </c>
      <c r="AY175" s="68" t="str">
        <f t="shared" si="0"/>
        <v/>
      </c>
      <c r="AZ175" s="69" t="str">
        <f t="shared" si="1"/>
        <v/>
      </c>
      <c r="BA175" s="70" t="str">
        <f t="shared" si="2"/>
        <v/>
      </c>
      <c r="BB175" s="68" t="str">
        <f t="shared" si="3"/>
        <v/>
      </c>
      <c r="BC175" s="69" t="str">
        <f>IFERROR(VLOOKUP($AQ175,'(勿動)組件目錄表'!$D$15:$R$1094,7,FALSE),"")</f>
        <v/>
      </c>
      <c r="BD175" s="69" t="str">
        <f>IFERROR(VLOOKUP($AQ175,'(勿動)組件目錄表'!$D$15:$R$1094,8,FALSE),"")</f>
        <v/>
      </c>
      <c r="BE175" s="69" t="str">
        <f>IFERROR(VLOOKUP($AQ175,'(勿動)組件目錄表'!$D$15:$R$1094,9,FALSE),"")</f>
        <v/>
      </c>
      <c r="BF175" s="69" t="str">
        <f>IFERROR(VLOOKUP($AQ175,'(勿動)組件目錄表'!$D$15:$R$1094,10,FALSE),"")</f>
        <v/>
      </c>
      <c r="BG175" s="69" t="str">
        <f>IFERROR(VLOOKUP($AQ175,'(勿動)組件目錄表'!$D$15:$R$1094,11,FALSE),"")</f>
        <v/>
      </c>
      <c r="BH175" s="69" t="str">
        <f>IFERROR(VLOOKUP($AQ175,'(勿動)組件目錄表'!$D$15:$R$1094,12,FALSE),"")</f>
        <v/>
      </c>
      <c r="BI175" s="69" t="str">
        <f>IFERROR(VLOOKUP($AQ175,'(勿動)組件目錄表'!$D$15:$R$1094,13,FALSE),"")</f>
        <v/>
      </c>
      <c r="BJ175" s="69" t="str">
        <f>IFERROR(VLOOKUP($AQ175,'(勿動)組件目錄表'!$D$15:$R$1094,14,FALSE),"")</f>
        <v/>
      </c>
      <c r="BK175" s="69" t="str">
        <f>IFERROR(VLOOKUP($AQ175,'(勿動)組件目錄表'!$D$15:$R$1094,15,FALSE),"")</f>
        <v/>
      </c>
      <c r="BL175" s="81">
        <f ca="1">IFERROR(__xludf.DUMMYFUNCTION("IFERROR(
  LET(
    rowData, FILTER('(勿動)組件目錄表'!J:Q, '(勿動)組件目錄表'!D:D=AQ175),
    IF(ROWS(rowData)=0, 0, 
      (
        IF(AND(BC175&lt;&gt;"""", INDEX(rowData,1,1)=BC175),1,0) +
        IF(AND(BD175&lt;&gt;"""", INDEX(rowData,1,2)=BD175),1,0) +
        IF(AND(BE175"&amp;"&lt;&gt;"""", INDEX(rowData,1,3)=BE175),1,0) +
        IF(AND(BF175&lt;&gt;"""", INDEX(rowData,1,4)=BF175),1,0) +
        IF(AND(BG175&lt;&gt;"""", INDEX(rowData,1,5)=BG175),1,0) +
        IF(AND(BH175&lt;&gt;"""", INDEX(rowData,1,6)=BH175),1,0) +
        IF(AND(BI175&lt;&gt;"""", IND"&amp;"EX(rowData,1,7)=BI175),1,0) +
        IF(AND(BJ175&lt;&gt;"""", INDEX(rowData,1,8)=BJ175),1,0)
      ) - COUNTIF(BC175:BJ175, ""-"")
        - COUNTIF(BC175:BJ175, ""固定格式，不需提供資訊"")
        - COUNTIF(BC175:BJ175, ""由MKT更新，此欄位固定格式，不需提供資訊
(Voucher CID：12917705872)"&amp;""")
        - COUNTIF(BC175:BJ175, ""text固定為以下：
※直播間僅支援手機版"")
        - COUNTIF(BC175:BJ175, ""text固定為以下：
※短影音僅支援手機版"")
    )
  ), 
  0
)
"),0)</f>
        <v>0</v>
      </c>
      <c r="BM175" s="77" t="b">
        <v>0</v>
      </c>
      <c r="BN175" s="85"/>
      <c r="BO175" s="85"/>
    </row>
    <row r="176" spans="1:67" ht="30" customHeight="1">
      <c r="A176" s="73" t="str">
        <f t="array" aca="1" ref="A176" ca="1">IFERROR(TRANSPOSE(INDIRECT('MS section版配(Old)'!$AO176)),"")</f>
        <v/>
      </c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397" t="str">
        <f>IFERROR(VLOOKUP($AQ176,'(勿動)組件目錄表'!$D$15:$R$1094,4,FALSE),"")</f>
        <v/>
      </c>
      <c r="AF176" s="384"/>
      <c r="AG176" s="384"/>
      <c r="AH176" s="384"/>
      <c r="AI176" s="384"/>
      <c r="AJ176" s="385"/>
      <c r="AK176" s="54" t="b">
        <v>0</v>
      </c>
      <c r="AL176" s="54" t="b">
        <v>0</v>
      </c>
      <c r="AM176" s="54"/>
      <c r="AN176" s="7" t="str">
        <v>168</v>
      </c>
      <c r="AO176" s="7"/>
      <c r="AP176" s="62"/>
      <c r="AQ176" s="75" t="str">
        <v/>
      </c>
      <c r="AR176" s="75" t="str">
        <v>-</v>
      </c>
      <c r="AS176" s="11"/>
      <c r="AT176" s="77" t="str">
        <v>-</v>
      </c>
      <c r="AU176" s="11" t="str">
        <v>-</v>
      </c>
      <c r="AV176" s="100"/>
      <c r="AW176" s="80" t="str">
        <f ca="1"/>
        <v>-</v>
      </c>
      <c r="AX176" s="86" t="b">
        <v>0</v>
      </c>
      <c r="AY176" s="68" t="str">
        <f t="shared" si="0"/>
        <v/>
      </c>
      <c r="AZ176" s="69" t="str">
        <f t="shared" si="1"/>
        <v/>
      </c>
      <c r="BA176" s="70" t="str">
        <f t="shared" si="2"/>
        <v/>
      </c>
      <c r="BB176" s="68" t="str">
        <f t="shared" si="3"/>
        <v/>
      </c>
      <c r="BC176" s="69" t="str">
        <f>IFERROR(VLOOKUP($AQ176,'(勿動)組件目錄表'!$D$15:$R$1094,7,FALSE),"")</f>
        <v/>
      </c>
      <c r="BD176" s="69" t="str">
        <f>IFERROR(VLOOKUP($AQ176,'(勿動)組件目錄表'!$D$15:$R$1094,8,FALSE),"")</f>
        <v/>
      </c>
      <c r="BE176" s="69" t="str">
        <f>IFERROR(VLOOKUP($AQ176,'(勿動)組件目錄表'!$D$15:$R$1094,9,FALSE),"")</f>
        <v/>
      </c>
      <c r="BF176" s="69" t="str">
        <f>IFERROR(VLOOKUP($AQ176,'(勿動)組件目錄表'!$D$15:$R$1094,10,FALSE),"")</f>
        <v/>
      </c>
      <c r="BG176" s="69" t="str">
        <f>IFERROR(VLOOKUP($AQ176,'(勿動)組件目錄表'!$D$15:$R$1094,11,FALSE),"")</f>
        <v/>
      </c>
      <c r="BH176" s="69" t="str">
        <f>IFERROR(VLOOKUP($AQ176,'(勿動)組件目錄表'!$D$15:$R$1094,12,FALSE),"")</f>
        <v/>
      </c>
      <c r="BI176" s="69" t="str">
        <f>IFERROR(VLOOKUP($AQ176,'(勿動)組件目錄表'!$D$15:$R$1094,13,FALSE),"")</f>
        <v/>
      </c>
      <c r="BJ176" s="69" t="str">
        <f>IFERROR(VLOOKUP($AQ176,'(勿動)組件目錄表'!$D$15:$R$1094,14,FALSE),"")</f>
        <v/>
      </c>
      <c r="BK176" s="69" t="str">
        <f>IFERROR(VLOOKUP($AQ176,'(勿動)組件目錄表'!$D$15:$R$1094,15,FALSE),"")</f>
        <v/>
      </c>
      <c r="BL176" s="81">
        <f ca="1">IFERROR(__xludf.DUMMYFUNCTION("IFERROR(
  LET(
    rowData, FILTER('(勿動)組件目錄表'!J:Q, '(勿動)組件目錄表'!D:D=AQ176),
    IF(ROWS(rowData)=0, 0, 
      (
        IF(AND(BC176&lt;&gt;"""", INDEX(rowData,1,1)=BC176),1,0) +
        IF(AND(BD176&lt;&gt;"""", INDEX(rowData,1,2)=BD176),1,0) +
        IF(AND(BE176"&amp;"&lt;&gt;"""", INDEX(rowData,1,3)=BE176),1,0) +
        IF(AND(BF176&lt;&gt;"""", INDEX(rowData,1,4)=BF176),1,0) +
        IF(AND(BG176&lt;&gt;"""", INDEX(rowData,1,5)=BG176),1,0) +
        IF(AND(BH176&lt;&gt;"""", INDEX(rowData,1,6)=BH176),1,0) +
        IF(AND(BI176&lt;&gt;"""", IND"&amp;"EX(rowData,1,7)=BI176),1,0) +
        IF(AND(BJ176&lt;&gt;"""", INDEX(rowData,1,8)=BJ176),1,0)
      ) - COUNTIF(BC176:BJ176, ""-"")
        - COUNTIF(BC176:BJ176, ""固定格式，不需提供資訊"")
        - COUNTIF(BC176:BJ176, ""由MKT更新，此欄位固定格式，不需提供資訊
(Voucher CID：12917705872)"&amp;""")
        - COUNTIF(BC176:BJ176, ""text固定為以下：
※直播間僅支援手機版"")
        - COUNTIF(BC176:BJ176, ""text固定為以下：
※短影音僅支援手機版"")
    )
  ), 
  0
)
"),0)</f>
        <v>0</v>
      </c>
      <c r="BM176" s="77" t="b">
        <v>0</v>
      </c>
      <c r="BN176" s="85"/>
      <c r="BO176" s="85"/>
    </row>
    <row r="177" spans="1:67" ht="30" customHeight="1">
      <c r="A177" s="73" t="str">
        <f t="array" aca="1" ref="A177" ca="1">IFERROR(TRANSPOSE(INDIRECT('MS section版配(Old)'!$AO177)),"")</f>
        <v/>
      </c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397" t="str">
        <f>IFERROR(VLOOKUP($AQ177,'(勿動)組件目錄表'!$D$15:$R$1094,4,FALSE),"")</f>
        <v/>
      </c>
      <c r="AF177" s="384"/>
      <c r="AG177" s="384"/>
      <c r="AH177" s="384"/>
      <c r="AI177" s="384"/>
      <c r="AJ177" s="385"/>
      <c r="AK177" s="54" t="b">
        <v>0</v>
      </c>
      <c r="AL177" s="54" t="b">
        <v>0</v>
      </c>
      <c r="AM177" s="54"/>
      <c r="AN177" s="7" t="str">
        <v>169</v>
      </c>
      <c r="AO177" s="7"/>
      <c r="AP177" s="62"/>
      <c r="AQ177" s="75" t="str">
        <v/>
      </c>
      <c r="AR177" s="75" t="str">
        <v>-</v>
      </c>
      <c r="AS177" s="11"/>
      <c r="AT177" s="77" t="str">
        <v>-</v>
      </c>
      <c r="AU177" s="11" t="str">
        <v>-</v>
      </c>
      <c r="AV177" s="100"/>
      <c r="AW177" s="80" t="str">
        <f ca="1"/>
        <v>-</v>
      </c>
      <c r="AX177" s="86" t="b">
        <v>0</v>
      </c>
      <c r="AY177" s="68" t="str">
        <f t="shared" si="0"/>
        <v/>
      </c>
      <c r="AZ177" s="69" t="str">
        <f t="shared" si="1"/>
        <v/>
      </c>
      <c r="BA177" s="70" t="str">
        <f t="shared" si="2"/>
        <v/>
      </c>
      <c r="BB177" s="68" t="str">
        <f t="shared" si="3"/>
        <v/>
      </c>
      <c r="BC177" s="69" t="str">
        <f>IFERROR(VLOOKUP($AQ177,'(勿動)組件目錄表'!$D$15:$R$1094,7,FALSE),"")</f>
        <v/>
      </c>
      <c r="BD177" s="69" t="str">
        <f>IFERROR(VLOOKUP($AQ177,'(勿動)組件目錄表'!$D$15:$R$1094,8,FALSE),"")</f>
        <v/>
      </c>
      <c r="BE177" s="69" t="str">
        <f>IFERROR(VLOOKUP($AQ177,'(勿動)組件目錄表'!$D$15:$R$1094,9,FALSE),"")</f>
        <v/>
      </c>
      <c r="BF177" s="69" t="str">
        <f>IFERROR(VLOOKUP($AQ177,'(勿動)組件目錄表'!$D$15:$R$1094,10,FALSE),"")</f>
        <v/>
      </c>
      <c r="BG177" s="69" t="str">
        <f>IFERROR(VLOOKUP($AQ177,'(勿動)組件目錄表'!$D$15:$R$1094,11,FALSE),"")</f>
        <v/>
      </c>
      <c r="BH177" s="69" t="str">
        <f>IFERROR(VLOOKUP($AQ177,'(勿動)組件目錄表'!$D$15:$R$1094,12,FALSE),"")</f>
        <v/>
      </c>
      <c r="BI177" s="69" t="str">
        <f>IFERROR(VLOOKUP($AQ177,'(勿動)組件目錄表'!$D$15:$R$1094,13,FALSE),"")</f>
        <v/>
      </c>
      <c r="BJ177" s="69" t="str">
        <f>IFERROR(VLOOKUP($AQ177,'(勿動)組件目錄表'!$D$15:$R$1094,14,FALSE),"")</f>
        <v/>
      </c>
      <c r="BK177" s="69" t="str">
        <f>IFERROR(VLOOKUP($AQ177,'(勿動)組件目錄表'!$D$15:$R$1094,15,FALSE),"")</f>
        <v/>
      </c>
      <c r="BL177" s="81">
        <f ca="1">IFERROR(__xludf.DUMMYFUNCTION("IFERROR(
  LET(
    rowData, FILTER('(勿動)組件目錄表'!J:Q, '(勿動)組件目錄表'!D:D=AQ177),
    IF(ROWS(rowData)=0, 0, 
      (
        IF(AND(BC177&lt;&gt;"""", INDEX(rowData,1,1)=BC177),1,0) +
        IF(AND(BD177&lt;&gt;"""", INDEX(rowData,1,2)=BD177),1,0) +
        IF(AND(BE177"&amp;"&lt;&gt;"""", INDEX(rowData,1,3)=BE177),1,0) +
        IF(AND(BF177&lt;&gt;"""", INDEX(rowData,1,4)=BF177),1,0) +
        IF(AND(BG177&lt;&gt;"""", INDEX(rowData,1,5)=BG177),1,0) +
        IF(AND(BH177&lt;&gt;"""", INDEX(rowData,1,6)=BH177),1,0) +
        IF(AND(BI177&lt;&gt;"""", IND"&amp;"EX(rowData,1,7)=BI177),1,0) +
        IF(AND(BJ177&lt;&gt;"""", INDEX(rowData,1,8)=BJ177),1,0)
      ) - COUNTIF(BC177:BJ177, ""-"")
        - COUNTIF(BC177:BJ177, ""固定格式，不需提供資訊"")
        - COUNTIF(BC177:BJ177, ""由MKT更新，此欄位固定格式，不需提供資訊
(Voucher CID：12917705872)"&amp;""")
        - COUNTIF(BC177:BJ177, ""text固定為以下：
※直播間僅支援手機版"")
        - COUNTIF(BC177:BJ177, ""text固定為以下：
※短影音僅支援手機版"")
    )
  ), 
  0
)
"),0)</f>
        <v>0</v>
      </c>
      <c r="BM177" s="77" t="b">
        <v>0</v>
      </c>
      <c r="BN177" s="85"/>
      <c r="BO177" s="85"/>
    </row>
    <row r="178" spans="1:67" ht="30" customHeight="1">
      <c r="A178" s="73" t="str">
        <f t="array" aca="1" ref="A178" ca="1">IFERROR(TRANSPOSE(INDIRECT('MS section版配(Old)'!$AO178)),"")</f>
        <v/>
      </c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397" t="str">
        <f>IFERROR(VLOOKUP($AQ178,'(勿動)組件目錄表'!$D$15:$R$1094,4,FALSE),"")</f>
        <v/>
      </c>
      <c r="AF178" s="384"/>
      <c r="AG178" s="384"/>
      <c r="AH178" s="384"/>
      <c r="AI178" s="384"/>
      <c r="AJ178" s="385"/>
      <c r="AK178" s="54" t="b">
        <v>0</v>
      </c>
      <c r="AL178" s="54" t="b">
        <v>0</v>
      </c>
      <c r="AM178" s="54"/>
      <c r="AN178" s="7" t="str">
        <v>170</v>
      </c>
      <c r="AO178" s="7"/>
      <c r="AP178" s="62"/>
      <c r="AQ178" s="75" t="str">
        <v/>
      </c>
      <c r="AR178" s="75" t="str">
        <v>-</v>
      </c>
      <c r="AS178" s="11"/>
      <c r="AT178" s="77" t="str">
        <v>-</v>
      </c>
      <c r="AU178" s="11" t="str">
        <v>-</v>
      </c>
      <c r="AV178" s="100"/>
      <c r="AW178" s="80" t="str">
        <f ca="1"/>
        <v>-</v>
      </c>
      <c r="AX178" s="86" t="b">
        <v>0</v>
      </c>
      <c r="AY178" s="68" t="str">
        <f t="shared" si="0"/>
        <v/>
      </c>
      <c r="AZ178" s="69" t="str">
        <f t="shared" si="1"/>
        <v/>
      </c>
      <c r="BA178" s="70" t="str">
        <f t="shared" si="2"/>
        <v/>
      </c>
      <c r="BB178" s="68" t="str">
        <f t="shared" si="3"/>
        <v/>
      </c>
      <c r="BC178" s="69" t="str">
        <f>IFERROR(VLOOKUP($AQ178,'(勿動)組件目錄表'!$D$15:$R$1094,7,FALSE),"")</f>
        <v/>
      </c>
      <c r="BD178" s="69" t="str">
        <f>IFERROR(VLOOKUP($AQ178,'(勿動)組件目錄表'!$D$15:$R$1094,8,FALSE),"")</f>
        <v/>
      </c>
      <c r="BE178" s="69" t="str">
        <f>IFERROR(VLOOKUP($AQ178,'(勿動)組件目錄表'!$D$15:$R$1094,9,FALSE),"")</f>
        <v/>
      </c>
      <c r="BF178" s="69" t="str">
        <f>IFERROR(VLOOKUP($AQ178,'(勿動)組件目錄表'!$D$15:$R$1094,10,FALSE),"")</f>
        <v/>
      </c>
      <c r="BG178" s="69" t="str">
        <f>IFERROR(VLOOKUP($AQ178,'(勿動)組件目錄表'!$D$15:$R$1094,11,FALSE),"")</f>
        <v/>
      </c>
      <c r="BH178" s="69" t="str">
        <f>IFERROR(VLOOKUP($AQ178,'(勿動)組件目錄表'!$D$15:$R$1094,12,FALSE),"")</f>
        <v/>
      </c>
      <c r="BI178" s="69" t="str">
        <f>IFERROR(VLOOKUP($AQ178,'(勿動)組件目錄表'!$D$15:$R$1094,13,FALSE),"")</f>
        <v/>
      </c>
      <c r="BJ178" s="69" t="str">
        <f>IFERROR(VLOOKUP($AQ178,'(勿動)組件目錄表'!$D$15:$R$1094,14,FALSE),"")</f>
        <v/>
      </c>
      <c r="BK178" s="69" t="str">
        <f>IFERROR(VLOOKUP($AQ178,'(勿動)組件目錄表'!$D$15:$R$1094,15,FALSE),"")</f>
        <v/>
      </c>
      <c r="BL178" s="81">
        <f ca="1">IFERROR(__xludf.DUMMYFUNCTION("IFERROR(
  LET(
    rowData, FILTER('(勿動)組件目錄表'!J:Q, '(勿動)組件目錄表'!D:D=AQ178),
    IF(ROWS(rowData)=0, 0, 
      (
        IF(AND(BC178&lt;&gt;"""", INDEX(rowData,1,1)=BC178),1,0) +
        IF(AND(BD178&lt;&gt;"""", INDEX(rowData,1,2)=BD178),1,0) +
        IF(AND(BE178"&amp;"&lt;&gt;"""", INDEX(rowData,1,3)=BE178),1,0) +
        IF(AND(BF178&lt;&gt;"""", INDEX(rowData,1,4)=BF178),1,0) +
        IF(AND(BG178&lt;&gt;"""", INDEX(rowData,1,5)=BG178),1,0) +
        IF(AND(BH178&lt;&gt;"""", INDEX(rowData,1,6)=BH178),1,0) +
        IF(AND(BI178&lt;&gt;"""", IND"&amp;"EX(rowData,1,7)=BI178),1,0) +
        IF(AND(BJ178&lt;&gt;"""", INDEX(rowData,1,8)=BJ178),1,0)
      ) - COUNTIF(BC178:BJ178, ""-"")
        - COUNTIF(BC178:BJ178, ""固定格式，不需提供資訊"")
        - COUNTIF(BC178:BJ178, ""由MKT更新，此欄位固定格式，不需提供資訊
(Voucher CID：12917705872)"&amp;""")
        - COUNTIF(BC178:BJ178, ""text固定為以下：
※直播間僅支援手機版"")
        - COUNTIF(BC178:BJ178, ""text固定為以下：
※短影音僅支援手機版"")
    )
  ), 
  0
)
"),0)</f>
        <v>0</v>
      </c>
      <c r="BM178" s="77" t="b">
        <v>0</v>
      </c>
      <c r="BN178" s="85"/>
      <c r="BO178" s="85"/>
    </row>
    <row r="179" spans="1:67" ht="30" customHeight="1">
      <c r="A179" s="73" t="str">
        <f t="array" aca="1" ref="A179" ca="1">IFERROR(TRANSPOSE(INDIRECT('MS section版配(Old)'!$AO179)),"")</f>
        <v/>
      </c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88"/>
      <c r="AC179" s="88"/>
      <c r="AD179" s="88"/>
      <c r="AE179" s="397" t="str">
        <f>IFERROR(VLOOKUP($AQ179,'(勿動)組件目錄表'!$D$15:$R$1094,4,FALSE),"")</f>
        <v/>
      </c>
      <c r="AF179" s="384"/>
      <c r="AG179" s="384"/>
      <c r="AH179" s="384"/>
      <c r="AI179" s="384"/>
      <c r="AJ179" s="385"/>
      <c r="AK179" s="54" t="b">
        <v>0</v>
      </c>
      <c r="AL179" s="54" t="b">
        <v>0</v>
      </c>
      <c r="AM179" s="54"/>
      <c r="AN179" s="7" t="str">
        <v>171</v>
      </c>
      <c r="AO179" s="7"/>
      <c r="AP179" s="62"/>
      <c r="AQ179" s="75" t="str">
        <v/>
      </c>
      <c r="AR179" s="75" t="str">
        <v>-</v>
      </c>
      <c r="AS179" s="11"/>
      <c r="AT179" s="77" t="str">
        <v>-</v>
      </c>
      <c r="AU179" s="11" t="str">
        <v>-</v>
      </c>
      <c r="AV179" s="100"/>
      <c r="AW179" s="80" t="str">
        <f ca="1"/>
        <v>-</v>
      </c>
      <c r="AX179" s="86" t="b">
        <v>0</v>
      </c>
      <c r="AY179" s="68" t="str">
        <f t="shared" si="0"/>
        <v/>
      </c>
      <c r="AZ179" s="69" t="str">
        <f t="shared" si="1"/>
        <v/>
      </c>
      <c r="BA179" s="70" t="str">
        <f t="shared" si="2"/>
        <v/>
      </c>
      <c r="BB179" s="68" t="str">
        <f t="shared" si="3"/>
        <v/>
      </c>
      <c r="BC179" s="69" t="str">
        <f>IFERROR(VLOOKUP($AQ179,'(勿動)組件目錄表'!$D$15:$R$1094,7,FALSE),"")</f>
        <v/>
      </c>
      <c r="BD179" s="69" t="str">
        <f>IFERROR(VLOOKUP($AQ179,'(勿動)組件目錄表'!$D$15:$R$1094,8,FALSE),"")</f>
        <v/>
      </c>
      <c r="BE179" s="69" t="str">
        <f>IFERROR(VLOOKUP($AQ179,'(勿動)組件目錄表'!$D$15:$R$1094,9,FALSE),"")</f>
        <v/>
      </c>
      <c r="BF179" s="69" t="str">
        <f>IFERROR(VLOOKUP($AQ179,'(勿動)組件目錄表'!$D$15:$R$1094,10,FALSE),"")</f>
        <v/>
      </c>
      <c r="BG179" s="69" t="str">
        <f>IFERROR(VLOOKUP($AQ179,'(勿動)組件目錄表'!$D$15:$R$1094,11,FALSE),"")</f>
        <v/>
      </c>
      <c r="BH179" s="69" t="str">
        <f>IFERROR(VLOOKUP($AQ179,'(勿動)組件目錄表'!$D$15:$R$1094,12,FALSE),"")</f>
        <v/>
      </c>
      <c r="BI179" s="69" t="str">
        <f>IFERROR(VLOOKUP($AQ179,'(勿動)組件目錄表'!$D$15:$R$1094,13,FALSE),"")</f>
        <v/>
      </c>
      <c r="BJ179" s="69" t="str">
        <f>IFERROR(VLOOKUP($AQ179,'(勿動)組件目錄表'!$D$15:$R$1094,14,FALSE),"")</f>
        <v/>
      </c>
      <c r="BK179" s="69" t="str">
        <f>IFERROR(VLOOKUP($AQ179,'(勿動)組件目錄表'!$D$15:$R$1094,15,FALSE),"")</f>
        <v/>
      </c>
      <c r="BL179" s="81">
        <f ca="1">IFERROR(__xludf.DUMMYFUNCTION("IFERROR(
  LET(
    rowData, FILTER('(勿動)組件目錄表'!J:Q, '(勿動)組件目錄表'!D:D=AQ179),
    IF(ROWS(rowData)=0, 0, 
      (
        IF(AND(BC179&lt;&gt;"""", INDEX(rowData,1,1)=BC179),1,0) +
        IF(AND(BD179&lt;&gt;"""", INDEX(rowData,1,2)=BD179),1,0) +
        IF(AND(BE179"&amp;"&lt;&gt;"""", INDEX(rowData,1,3)=BE179),1,0) +
        IF(AND(BF179&lt;&gt;"""", INDEX(rowData,1,4)=BF179),1,0) +
        IF(AND(BG179&lt;&gt;"""", INDEX(rowData,1,5)=BG179),1,0) +
        IF(AND(BH179&lt;&gt;"""", INDEX(rowData,1,6)=BH179),1,0) +
        IF(AND(BI179&lt;&gt;"""", IND"&amp;"EX(rowData,1,7)=BI179),1,0) +
        IF(AND(BJ179&lt;&gt;"""", INDEX(rowData,1,8)=BJ179),1,0)
      ) - COUNTIF(BC179:BJ179, ""-"")
        - COUNTIF(BC179:BJ179, ""固定格式，不需提供資訊"")
        - COUNTIF(BC179:BJ179, ""由MKT更新，此欄位固定格式，不需提供資訊
(Voucher CID：12917705872)"&amp;""")
        - COUNTIF(BC179:BJ179, ""text固定為以下：
※直播間僅支援手機版"")
        - COUNTIF(BC179:BJ179, ""text固定為以下：
※短影音僅支援手機版"")
    )
  ), 
  0
)
"),0)</f>
        <v>0</v>
      </c>
      <c r="BM179" s="77" t="b">
        <v>0</v>
      </c>
      <c r="BN179" s="85"/>
      <c r="BO179" s="85"/>
    </row>
    <row r="180" spans="1:67" ht="30" customHeight="1">
      <c r="A180" s="73" t="str">
        <f t="array" aca="1" ref="A180" ca="1">IFERROR(TRANSPOSE(INDIRECT('MS section版配(Old)'!$AO180)),"")</f>
        <v/>
      </c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88"/>
      <c r="AC180" s="88"/>
      <c r="AD180" s="88"/>
      <c r="AE180" s="397" t="str">
        <f>IFERROR(VLOOKUP($AQ180,'(勿動)組件目錄表'!$D$15:$R$1094,4,FALSE),"")</f>
        <v/>
      </c>
      <c r="AF180" s="384"/>
      <c r="AG180" s="384"/>
      <c r="AH180" s="384"/>
      <c r="AI180" s="384"/>
      <c r="AJ180" s="385"/>
      <c r="AK180" s="54" t="b">
        <v>0</v>
      </c>
      <c r="AL180" s="54" t="b">
        <v>0</v>
      </c>
      <c r="AM180" s="54"/>
      <c r="AN180" s="7" t="str">
        <v>172</v>
      </c>
      <c r="AO180" s="7"/>
      <c r="AP180" s="62"/>
      <c r="AQ180" s="75" t="str">
        <v/>
      </c>
      <c r="AR180" s="75" t="str">
        <v>-</v>
      </c>
      <c r="AS180" s="11"/>
      <c r="AT180" s="77" t="str">
        <v>-</v>
      </c>
      <c r="AU180" s="11" t="str">
        <v>-</v>
      </c>
      <c r="AV180" s="100"/>
      <c r="AW180" s="80" t="str">
        <f ca="1"/>
        <v>-</v>
      </c>
      <c r="AX180" s="86" t="b">
        <v>0</v>
      </c>
      <c r="AY180" s="68" t="str">
        <f t="shared" si="0"/>
        <v/>
      </c>
      <c r="AZ180" s="69" t="str">
        <f t="shared" si="1"/>
        <v/>
      </c>
      <c r="BA180" s="70" t="str">
        <f t="shared" si="2"/>
        <v/>
      </c>
      <c r="BB180" s="68" t="str">
        <f t="shared" si="3"/>
        <v/>
      </c>
      <c r="BC180" s="69" t="str">
        <f>IFERROR(VLOOKUP($AQ180,'(勿動)組件目錄表'!$D$15:$R$1094,7,FALSE),"")</f>
        <v/>
      </c>
      <c r="BD180" s="69" t="str">
        <f>IFERROR(VLOOKUP($AQ180,'(勿動)組件目錄表'!$D$15:$R$1094,8,FALSE),"")</f>
        <v/>
      </c>
      <c r="BE180" s="69" t="str">
        <f>IFERROR(VLOOKUP($AQ180,'(勿動)組件目錄表'!$D$15:$R$1094,9,FALSE),"")</f>
        <v/>
      </c>
      <c r="BF180" s="69" t="str">
        <f>IFERROR(VLOOKUP($AQ180,'(勿動)組件目錄表'!$D$15:$R$1094,10,FALSE),"")</f>
        <v/>
      </c>
      <c r="BG180" s="69" t="str">
        <f>IFERROR(VLOOKUP($AQ180,'(勿動)組件目錄表'!$D$15:$R$1094,11,FALSE),"")</f>
        <v/>
      </c>
      <c r="BH180" s="69" t="str">
        <f>IFERROR(VLOOKUP($AQ180,'(勿動)組件目錄表'!$D$15:$R$1094,12,FALSE),"")</f>
        <v/>
      </c>
      <c r="BI180" s="69" t="str">
        <f>IFERROR(VLOOKUP($AQ180,'(勿動)組件目錄表'!$D$15:$R$1094,13,FALSE),"")</f>
        <v/>
      </c>
      <c r="BJ180" s="69" t="str">
        <f>IFERROR(VLOOKUP($AQ180,'(勿動)組件目錄表'!$D$15:$R$1094,14,FALSE),"")</f>
        <v/>
      </c>
      <c r="BK180" s="69" t="str">
        <f>IFERROR(VLOOKUP($AQ180,'(勿動)組件目錄表'!$D$15:$R$1094,15,FALSE),"")</f>
        <v/>
      </c>
      <c r="BL180" s="81">
        <f ca="1">IFERROR(__xludf.DUMMYFUNCTION("IFERROR(
  LET(
    rowData, FILTER('(勿動)組件目錄表'!J:Q, '(勿動)組件目錄表'!D:D=AQ180),
    IF(ROWS(rowData)=0, 0, 
      (
        IF(AND(BC180&lt;&gt;"""", INDEX(rowData,1,1)=BC180),1,0) +
        IF(AND(BD180&lt;&gt;"""", INDEX(rowData,1,2)=BD180),1,0) +
        IF(AND(BE180"&amp;"&lt;&gt;"""", INDEX(rowData,1,3)=BE180),1,0) +
        IF(AND(BF180&lt;&gt;"""", INDEX(rowData,1,4)=BF180),1,0) +
        IF(AND(BG180&lt;&gt;"""", INDEX(rowData,1,5)=BG180),1,0) +
        IF(AND(BH180&lt;&gt;"""", INDEX(rowData,1,6)=BH180),1,0) +
        IF(AND(BI180&lt;&gt;"""", IND"&amp;"EX(rowData,1,7)=BI180),1,0) +
        IF(AND(BJ180&lt;&gt;"""", INDEX(rowData,1,8)=BJ180),1,0)
      ) - COUNTIF(BC180:BJ180, ""-"")
        - COUNTIF(BC180:BJ180, ""固定格式，不需提供資訊"")
        - COUNTIF(BC180:BJ180, ""由MKT更新，此欄位固定格式，不需提供資訊
(Voucher CID：12917705872)"&amp;""")
        - COUNTIF(BC180:BJ180, ""text固定為以下：
※直播間僅支援手機版"")
        - COUNTIF(BC180:BJ180, ""text固定為以下：
※短影音僅支援手機版"")
    )
  ), 
  0
)
"),0)</f>
        <v>0</v>
      </c>
      <c r="BM180" s="77" t="b">
        <v>0</v>
      </c>
      <c r="BN180" s="85"/>
      <c r="BO180" s="85"/>
    </row>
    <row r="181" spans="1:67" ht="30" customHeight="1">
      <c r="A181" s="73" t="str">
        <f t="array" aca="1" ref="A181" ca="1">IFERROR(TRANSPOSE(INDIRECT('MS section版配(Old)'!$AO181)),"")</f>
        <v/>
      </c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88"/>
      <c r="AC181" s="88"/>
      <c r="AD181" s="88"/>
      <c r="AE181" s="397" t="str">
        <f>IFERROR(VLOOKUP($AQ181,'(勿動)組件目錄表'!$D$15:$R$1094,4,FALSE),"")</f>
        <v/>
      </c>
      <c r="AF181" s="384"/>
      <c r="AG181" s="384"/>
      <c r="AH181" s="384"/>
      <c r="AI181" s="384"/>
      <c r="AJ181" s="385"/>
      <c r="AK181" s="54" t="b">
        <v>0</v>
      </c>
      <c r="AL181" s="54" t="b">
        <v>0</v>
      </c>
      <c r="AM181" s="54"/>
      <c r="AN181" s="7" t="str">
        <v>173</v>
      </c>
      <c r="AO181" s="7"/>
      <c r="AP181" s="62"/>
      <c r="AQ181" s="75" t="str">
        <v/>
      </c>
      <c r="AR181" s="75" t="str">
        <v>-</v>
      </c>
      <c r="AS181" s="11"/>
      <c r="AT181" s="77" t="str">
        <v>-</v>
      </c>
      <c r="AU181" s="11" t="str">
        <v>-</v>
      </c>
      <c r="AV181" s="100"/>
      <c r="AW181" s="80" t="str">
        <f ca="1"/>
        <v>-</v>
      </c>
      <c r="AX181" s="86" t="b">
        <v>0</v>
      </c>
      <c r="AY181" s="68" t="str">
        <f t="shared" si="0"/>
        <v/>
      </c>
      <c r="AZ181" s="69" t="str">
        <f t="shared" si="1"/>
        <v/>
      </c>
      <c r="BA181" s="70" t="str">
        <f t="shared" si="2"/>
        <v/>
      </c>
      <c r="BB181" s="68" t="str">
        <f t="shared" si="3"/>
        <v/>
      </c>
      <c r="BC181" s="69" t="str">
        <f>IFERROR(VLOOKUP($AQ181,'(勿動)組件目錄表'!$D$15:$R$1094,7,FALSE),"")</f>
        <v/>
      </c>
      <c r="BD181" s="69" t="str">
        <f>IFERROR(VLOOKUP($AQ181,'(勿動)組件目錄表'!$D$15:$R$1094,8,FALSE),"")</f>
        <v/>
      </c>
      <c r="BE181" s="69" t="str">
        <f>IFERROR(VLOOKUP($AQ181,'(勿動)組件目錄表'!$D$15:$R$1094,9,FALSE),"")</f>
        <v/>
      </c>
      <c r="BF181" s="69" t="str">
        <f>IFERROR(VLOOKUP($AQ181,'(勿動)組件目錄表'!$D$15:$R$1094,10,FALSE),"")</f>
        <v/>
      </c>
      <c r="BG181" s="69" t="str">
        <f>IFERROR(VLOOKUP($AQ181,'(勿動)組件目錄表'!$D$15:$R$1094,11,FALSE),"")</f>
        <v/>
      </c>
      <c r="BH181" s="69" t="str">
        <f>IFERROR(VLOOKUP($AQ181,'(勿動)組件目錄表'!$D$15:$R$1094,12,FALSE),"")</f>
        <v/>
      </c>
      <c r="BI181" s="69" t="str">
        <f>IFERROR(VLOOKUP($AQ181,'(勿動)組件目錄表'!$D$15:$R$1094,13,FALSE),"")</f>
        <v/>
      </c>
      <c r="BJ181" s="69" t="str">
        <f>IFERROR(VLOOKUP($AQ181,'(勿動)組件目錄表'!$D$15:$R$1094,14,FALSE),"")</f>
        <v/>
      </c>
      <c r="BK181" s="69" t="str">
        <f>IFERROR(VLOOKUP($AQ181,'(勿動)組件目錄表'!$D$15:$R$1094,15,FALSE),"")</f>
        <v/>
      </c>
      <c r="BL181" s="81">
        <f ca="1">IFERROR(__xludf.DUMMYFUNCTION("IFERROR(
  LET(
    rowData, FILTER('(勿動)組件目錄表'!J:Q, '(勿動)組件目錄表'!D:D=AQ181),
    IF(ROWS(rowData)=0, 0, 
      (
        IF(AND(BC181&lt;&gt;"""", INDEX(rowData,1,1)=BC181),1,0) +
        IF(AND(BD181&lt;&gt;"""", INDEX(rowData,1,2)=BD181),1,0) +
        IF(AND(BE181"&amp;"&lt;&gt;"""", INDEX(rowData,1,3)=BE181),1,0) +
        IF(AND(BF181&lt;&gt;"""", INDEX(rowData,1,4)=BF181),1,0) +
        IF(AND(BG181&lt;&gt;"""", INDEX(rowData,1,5)=BG181),1,0) +
        IF(AND(BH181&lt;&gt;"""", INDEX(rowData,1,6)=BH181),1,0) +
        IF(AND(BI181&lt;&gt;"""", IND"&amp;"EX(rowData,1,7)=BI181),1,0) +
        IF(AND(BJ181&lt;&gt;"""", INDEX(rowData,1,8)=BJ181),1,0)
      ) - COUNTIF(BC181:BJ181, ""-"")
        - COUNTIF(BC181:BJ181, ""固定格式，不需提供資訊"")
        - COUNTIF(BC181:BJ181, ""由MKT更新，此欄位固定格式，不需提供資訊
(Voucher CID：12917705872)"&amp;""")
        - COUNTIF(BC181:BJ181, ""text固定為以下：
※直播間僅支援手機版"")
        - COUNTIF(BC181:BJ181, ""text固定為以下：
※短影音僅支援手機版"")
    )
  ), 
  0
)
"),0)</f>
        <v>0</v>
      </c>
      <c r="BM181" s="77" t="b">
        <v>0</v>
      </c>
      <c r="BN181" s="85"/>
      <c r="BO181" s="85"/>
    </row>
    <row r="182" spans="1:67" ht="30" customHeight="1">
      <c r="A182" s="73" t="str">
        <f t="array" aca="1" ref="A182" ca="1">IFERROR(TRANSPOSE(INDIRECT('MS section版配(Old)'!$AO182)),"")</f>
        <v/>
      </c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88"/>
      <c r="AC182" s="88"/>
      <c r="AD182" s="88"/>
      <c r="AE182" s="397" t="str">
        <f>IFERROR(VLOOKUP($AQ182,'(勿動)組件目錄表'!$D$15:$R$1094,4,FALSE),"")</f>
        <v/>
      </c>
      <c r="AF182" s="384"/>
      <c r="AG182" s="384"/>
      <c r="AH182" s="384"/>
      <c r="AI182" s="384"/>
      <c r="AJ182" s="385"/>
      <c r="AK182" s="54" t="b">
        <v>0</v>
      </c>
      <c r="AL182" s="54" t="b">
        <v>0</v>
      </c>
      <c r="AM182" s="54"/>
      <c r="AN182" s="7" t="str">
        <v>174</v>
      </c>
      <c r="AO182" s="7"/>
      <c r="AP182" s="62"/>
      <c r="AQ182" s="75" t="str">
        <v/>
      </c>
      <c r="AR182" s="75" t="str">
        <v>-</v>
      </c>
      <c r="AS182" s="11"/>
      <c r="AT182" s="77" t="str">
        <v>-</v>
      </c>
      <c r="AU182" s="11" t="str">
        <v>-</v>
      </c>
      <c r="AV182" s="100"/>
      <c r="AW182" s="80" t="str">
        <f ca="1"/>
        <v>-</v>
      </c>
      <c r="AX182" s="86" t="b">
        <v>0</v>
      </c>
      <c r="AY182" s="68" t="str">
        <f t="shared" si="0"/>
        <v/>
      </c>
      <c r="AZ182" s="69" t="str">
        <f t="shared" si="1"/>
        <v/>
      </c>
      <c r="BA182" s="70" t="str">
        <f t="shared" si="2"/>
        <v/>
      </c>
      <c r="BB182" s="68" t="str">
        <f t="shared" si="3"/>
        <v/>
      </c>
      <c r="BC182" s="69" t="str">
        <f>IFERROR(VLOOKUP($AQ182,'(勿動)組件目錄表'!$D$15:$R$1094,7,FALSE),"")</f>
        <v/>
      </c>
      <c r="BD182" s="69" t="str">
        <f>IFERROR(VLOOKUP($AQ182,'(勿動)組件目錄表'!$D$15:$R$1094,8,FALSE),"")</f>
        <v/>
      </c>
      <c r="BE182" s="69" t="str">
        <f>IFERROR(VLOOKUP($AQ182,'(勿動)組件目錄表'!$D$15:$R$1094,9,FALSE),"")</f>
        <v/>
      </c>
      <c r="BF182" s="69" t="str">
        <f>IFERROR(VLOOKUP($AQ182,'(勿動)組件目錄表'!$D$15:$R$1094,10,FALSE),"")</f>
        <v/>
      </c>
      <c r="BG182" s="69" t="str">
        <f>IFERROR(VLOOKUP($AQ182,'(勿動)組件目錄表'!$D$15:$R$1094,11,FALSE),"")</f>
        <v/>
      </c>
      <c r="BH182" s="69" t="str">
        <f>IFERROR(VLOOKUP($AQ182,'(勿動)組件目錄表'!$D$15:$R$1094,12,FALSE),"")</f>
        <v/>
      </c>
      <c r="BI182" s="69" t="str">
        <f>IFERROR(VLOOKUP($AQ182,'(勿動)組件目錄表'!$D$15:$R$1094,13,FALSE),"")</f>
        <v/>
      </c>
      <c r="BJ182" s="69" t="str">
        <f>IFERROR(VLOOKUP($AQ182,'(勿動)組件目錄表'!$D$15:$R$1094,14,FALSE),"")</f>
        <v/>
      </c>
      <c r="BK182" s="69" t="str">
        <f>IFERROR(VLOOKUP($AQ182,'(勿動)組件目錄表'!$D$15:$R$1094,15,FALSE),"")</f>
        <v/>
      </c>
      <c r="BL182" s="81">
        <f ca="1">IFERROR(__xludf.DUMMYFUNCTION("IFERROR(
  LET(
    rowData, FILTER('(勿動)組件目錄表'!J:Q, '(勿動)組件目錄表'!D:D=AQ182),
    IF(ROWS(rowData)=0, 0, 
      (
        IF(AND(BC182&lt;&gt;"""", INDEX(rowData,1,1)=BC182),1,0) +
        IF(AND(BD182&lt;&gt;"""", INDEX(rowData,1,2)=BD182),1,0) +
        IF(AND(BE182"&amp;"&lt;&gt;"""", INDEX(rowData,1,3)=BE182),1,0) +
        IF(AND(BF182&lt;&gt;"""", INDEX(rowData,1,4)=BF182),1,0) +
        IF(AND(BG182&lt;&gt;"""", INDEX(rowData,1,5)=BG182),1,0) +
        IF(AND(BH182&lt;&gt;"""", INDEX(rowData,1,6)=BH182),1,0) +
        IF(AND(BI182&lt;&gt;"""", IND"&amp;"EX(rowData,1,7)=BI182),1,0) +
        IF(AND(BJ182&lt;&gt;"""", INDEX(rowData,1,8)=BJ182),1,0)
      ) - COUNTIF(BC182:BJ182, ""-"")
        - COUNTIF(BC182:BJ182, ""固定格式，不需提供資訊"")
        - COUNTIF(BC182:BJ182, ""由MKT更新，此欄位固定格式，不需提供資訊
(Voucher CID：12917705872)"&amp;""")
        - COUNTIF(BC182:BJ182, ""text固定為以下：
※直播間僅支援手機版"")
        - COUNTIF(BC182:BJ182, ""text固定為以下：
※短影音僅支援手機版"")
    )
  ), 
  0
)
"),0)</f>
        <v>0</v>
      </c>
      <c r="BM182" s="77" t="b">
        <v>0</v>
      </c>
      <c r="BN182" s="85"/>
      <c r="BO182" s="85"/>
    </row>
    <row r="183" spans="1:67" ht="30" customHeight="1">
      <c r="A183" s="73" t="str">
        <f t="array" aca="1" ref="A183" ca="1">IFERROR(TRANSPOSE(INDIRECT('MS section版配(Old)'!$AO183)),"")</f>
        <v/>
      </c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88"/>
      <c r="AC183" s="88"/>
      <c r="AD183" s="88"/>
      <c r="AE183" s="397" t="str">
        <f>IFERROR(VLOOKUP($AQ183,'(勿動)組件目錄表'!$D$15:$R$1094,4,FALSE),"")</f>
        <v/>
      </c>
      <c r="AF183" s="384"/>
      <c r="AG183" s="384"/>
      <c r="AH183" s="384"/>
      <c r="AI183" s="384"/>
      <c r="AJ183" s="385"/>
      <c r="AK183" s="54" t="b">
        <v>0</v>
      </c>
      <c r="AL183" s="54" t="b">
        <v>0</v>
      </c>
      <c r="AM183" s="54"/>
      <c r="AN183" s="7" t="str">
        <v>175</v>
      </c>
      <c r="AO183" s="7"/>
      <c r="AP183" s="62"/>
      <c r="AQ183" s="75" t="str">
        <v/>
      </c>
      <c r="AR183" s="75" t="str">
        <v>-</v>
      </c>
      <c r="AS183" s="11"/>
      <c r="AT183" s="77" t="str">
        <v>-</v>
      </c>
      <c r="AU183" s="11" t="str">
        <v>-</v>
      </c>
      <c r="AV183" s="100"/>
      <c r="AW183" s="80" t="str">
        <f ca="1"/>
        <v>-</v>
      </c>
      <c r="AX183" s="86" t="b">
        <v>0</v>
      </c>
      <c r="AY183" s="68" t="str">
        <f t="shared" si="0"/>
        <v/>
      </c>
      <c r="AZ183" s="69" t="str">
        <f t="shared" si="1"/>
        <v/>
      </c>
      <c r="BA183" s="70" t="str">
        <f t="shared" si="2"/>
        <v/>
      </c>
      <c r="BB183" s="68" t="str">
        <f t="shared" si="3"/>
        <v/>
      </c>
      <c r="BC183" s="69" t="str">
        <f>IFERROR(VLOOKUP($AQ183,'(勿動)組件目錄表'!$D$15:$R$1094,7,FALSE),"")</f>
        <v/>
      </c>
      <c r="BD183" s="69" t="str">
        <f>IFERROR(VLOOKUP($AQ183,'(勿動)組件目錄表'!$D$15:$R$1094,8,FALSE),"")</f>
        <v/>
      </c>
      <c r="BE183" s="69" t="str">
        <f>IFERROR(VLOOKUP($AQ183,'(勿動)組件目錄表'!$D$15:$R$1094,9,FALSE),"")</f>
        <v/>
      </c>
      <c r="BF183" s="69" t="str">
        <f>IFERROR(VLOOKUP($AQ183,'(勿動)組件目錄表'!$D$15:$R$1094,10,FALSE),"")</f>
        <v/>
      </c>
      <c r="BG183" s="69" t="str">
        <f>IFERROR(VLOOKUP($AQ183,'(勿動)組件目錄表'!$D$15:$R$1094,11,FALSE),"")</f>
        <v/>
      </c>
      <c r="BH183" s="69" t="str">
        <f>IFERROR(VLOOKUP($AQ183,'(勿動)組件目錄表'!$D$15:$R$1094,12,FALSE),"")</f>
        <v/>
      </c>
      <c r="BI183" s="69" t="str">
        <f>IFERROR(VLOOKUP($AQ183,'(勿動)組件目錄表'!$D$15:$R$1094,13,FALSE),"")</f>
        <v/>
      </c>
      <c r="BJ183" s="69" t="str">
        <f>IFERROR(VLOOKUP($AQ183,'(勿動)組件目錄表'!$D$15:$R$1094,14,FALSE),"")</f>
        <v/>
      </c>
      <c r="BK183" s="69" t="str">
        <f>IFERROR(VLOOKUP($AQ183,'(勿動)組件目錄表'!$D$15:$R$1094,15,FALSE),"")</f>
        <v/>
      </c>
      <c r="BL183" s="81">
        <f ca="1">IFERROR(__xludf.DUMMYFUNCTION("IFERROR(
  LET(
    rowData, FILTER('(勿動)組件目錄表'!J:Q, '(勿動)組件目錄表'!D:D=AQ183),
    IF(ROWS(rowData)=0, 0, 
      (
        IF(AND(BC183&lt;&gt;"""", INDEX(rowData,1,1)=BC183),1,0) +
        IF(AND(BD183&lt;&gt;"""", INDEX(rowData,1,2)=BD183),1,0) +
        IF(AND(BE183"&amp;"&lt;&gt;"""", INDEX(rowData,1,3)=BE183),1,0) +
        IF(AND(BF183&lt;&gt;"""", INDEX(rowData,1,4)=BF183),1,0) +
        IF(AND(BG183&lt;&gt;"""", INDEX(rowData,1,5)=BG183),1,0) +
        IF(AND(BH183&lt;&gt;"""", INDEX(rowData,1,6)=BH183),1,0) +
        IF(AND(BI183&lt;&gt;"""", IND"&amp;"EX(rowData,1,7)=BI183),1,0) +
        IF(AND(BJ183&lt;&gt;"""", INDEX(rowData,1,8)=BJ183),1,0)
      ) - COUNTIF(BC183:BJ183, ""-"")
        - COUNTIF(BC183:BJ183, ""固定格式，不需提供資訊"")
        - COUNTIF(BC183:BJ183, ""由MKT更新，此欄位固定格式，不需提供資訊
(Voucher CID：12917705872)"&amp;""")
        - COUNTIF(BC183:BJ183, ""text固定為以下：
※直播間僅支援手機版"")
        - COUNTIF(BC183:BJ183, ""text固定為以下：
※短影音僅支援手機版"")
    )
  ), 
  0
)
"),0)</f>
        <v>0</v>
      </c>
      <c r="BM183" s="77" t="b">
        <v>0</v>
      </c>
      <c r="BN183" s="85"/>
      <c r="BO183" s="85"/>
    </row>
    <row r="184" spans="1:67" ht="30" customHeight="1">
      <c r="A184" s="73" t="str">
        <f t="array" aca="1" ref="A184" ca="1">IFERROR(TRANSPOSE(INDIRECT('MS section版配(Old)'!$AO184)),"")</f>
        <v/>
      </c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88"/>
      <c r="AC184" s="88"/>
      <c r="AD184" s="88"/>
      <c r="AE184" s="397" t="str">
        <f>IFERROR(VLOOKUP($AQ184,'(勿動)組件目錄表'!$D$15:$R$1094,4,FALSE),"")</f>
        <v/>
      </c>
      <c r="AF184" s="384"/>
      <c r="AG184" s="384"/>
      <c r="AH184" s="384"/>
      <c r="AI184" s="384"/>
      <c r="AJ184" s="385"/>
      <c r="AK184" s="54" t="b">
        <v>0</v>
      </c>
      <c r="AL184" s="54" t="b">
        <v>0</v>
      </c>
      <c r="AM184" s="54"/>
      <c r="AN184" s="7" t="str">
        <v>176</v>
      </c>
      <c r="AO184" s="7"/>
      <c r="AP184" s="62"/>
      <c r="AQ184" s="75" t="str">
        <v/>
      </c>
      <c r="AR184" s="75" t="str">
        <v>-</v>
      </c>
      <c r="AS184" s="11"/>
      <c r="AT184" s="77" t="str">
        <v>-</v>
      </c>
      <c r="AU184" s="11" t="str">
        <v>-</v>
      </c>
      <c r="AV184" s="100"/>
      <c r="AW184" s="80" t="str">
        <f ca="1"/>
        <v>-</v>
      </c>
      <c r="AX184" s="86" t="b">
        <v>0</v>
      </c>
      <c r="AY184" s="68" t="str">
        <f t="shared" si="0"/>
        <v/>
      </c>
      <c r="AZ184" s="69" t="str">
        <f t="shared" si="1"/>
        <v/>
      </c>
      <c r="BA184" s="70" t="str">
        <f t="shared" si="2"/>
        <v/>
      </c>
      <c r="BB184" s="68" t="str">
        <f t="shared" si="3"/>
        <v/>
      </c>
      <c r="BC184" s="69" t="str">
        <f>IFERROR(VLOOKUP($AQ184,'(勿動)組件目錄表'!$D$15:$R$1094,7,FALSE),"")</f>
        <v/>
      </c>
      <c r="BD184" s="69" t="str">
        <f>IFERROR(VLOOKUP($AQ184,'(勿動)組件目錄表'!$D$15:$R$1094,8,FALSE),"")</f>
        <v/>
      </c>
      <c r="BE184" s="69" t="str">
        <f>IFERROR(VLOOKUP($AQ184,'(勿動)組件目錄表'!$D$15:$R$1094,9,FALSE),"")</f>
        <v/>
      </c>
      <c r="BF184" s="69" t="str">
        <f>IFERROR(VLOOKUP($AQ184,'(勿動)組件目錄表'!$D$15:$R$1094,10,FALSE),"")</f>
        <v/>
      </c>
      <c r="BG184" s="69" t="str">
        <f>IFERROR(VLOOKUP($AQ184,'(勿動)組件目錄表'!$D$15:$R$1094,11,FALSE),"")</f>
        <v/>
      </c>
      <c r="BH184" s="69" t="str">
        <f>IFERROR(VLOOKUP($AQ184,'(勿動)組件目錄表'!$D$15:$R$1094,12,FALSE),"")</f>
        <v/>
      </c>
      <c r="BI184" s="69" t="str">
        <f>IFERROR(VLOOKUP($AQ184,'(勿動)組件目錄表'!$D$15:$R$1094,13,FALSE),"")</f>
        <v/>
      </c>
      <c r="BJ184" s="69" t="str">
        <f>IFERROR(VLOOKUP($AQ184,'(勿動)組件目錄表'!$D$15:$R$1094,14,FALSE),"")</f>
        <v/>
      </c>
      <c r="BK184" s="69" t="str">
        <f>IFERROR(VLOOKUP($AQ184,'(勿動)組件目錄表'!$D$15:$R$1094,15,FALSE),"")</f>
        <v/>
      </c>
      <c r="BL184" s="81">
        <f ca="1">IFERROR(__xludf.DUMMYFUNCTION("IFERROR(
  LET(
    rowData, FILTER('(勿動)組件目錄表'!J:Q, '(勿動)組件目錄表'!D:D=AQ184),
    IF(ROWS(rowData)=0, 0, 
      (
        IF(AND(BC184&lt;&gt;"""", INDEX(rowData,1,1)=BC184),1,0) +
        IF(AND(BD184&lt;&gt;"""", INDEX(rowData,1,2)=BD184),1,0) +
        IF(AND(BE184"&amp;"&lt;&gt;"""", INDEX(rowData,1,3)=BE184),1,0) +
        IF(AND(BF184&lt;&gt;"""", INDEX(rowData,1,4)=BF184),1,0) +
        IF(AND(BG184&lt;&gt;"""", INDEX(rowData,1,5)=BG184),1,0) +
        IF(AND(BH184&lt;&gt;"""", INDEX(rowData,1,6)=BH184),1,0) +
        IF(AND(BI184&lt;&gt;"""", IND"&amp;"EX(rowData,1,7)=BI184),1,0) +
        IF(AND(BJ184&lt;&gt;"""", INDEX(rowData,1,8)=BJ184),1,0)
      ) - COUNTIF(BC184:BJ184, ""-"")
        - COUNTIF(BC184:BJ184, ""固定格式，不需提供資訊"")
        - COUNTIF(BC184:BJ184, ""由MKT更新，此欄位固定格式，不需提供資訊
(Voucher CID：12917705872)"&amp;""")
        - COUNTIF(BC184:BJ184, ""text固定為以下：
※直播間僅支援手機版"")
        - COUNTIF(BC184:BJ184, ""text固定為以下：
※短影音僅支援手機版"")
    )
  ), 
  0
)
"),0)</f>
        <v>0</v>
      </c>
      <c r="BM184" s="77" t="b">
        <v>0</v>
      </c>
      <c r="BN184" s="85"/>
      <c r="BO184" s="85"/>
    </row>
    <row r="185" spans="1:67" ht="30" customHeight="1">
      <c r="A185" s="73" t="str">
        <f t="array" aca="1" ref="A185" ca="1">IFERROR(TRANSPOSE(INDIRECT('MS section版配(Old)'!$AO185)),"")</f>
        <v/>
      </c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88"/>
      <c r="AC185" s="88"/>
      <c r="AD185" s="88"/>
      <c r="AE185" s="397" t="str">
        <f>IFERROR(VLOOKUP($AQ185,'(勿動)組件目錄表'!$D$15:$R$1094,4,FALSE),"")</f>
        <v/>
      </c>
      <c r="AF185" s="384"/>
      <c r="AG185" s="384"/>
      <c r="AH185" s="384"/>
      <c r="AI185" s="384"/>
      <c r="AJ185" s="385"/>
      <c r="AK185" s="54" t="b">
        <v>0</v>
      </c>
      <c r="AL185" s="54" t="b">
        <v>0</v>
      </c>
      <c r="AM185" s="54"/>
      <c r="AN185" s="7" t="str">
        <v>177</v>
      </c>
      <c r="AO185" s="7"/>
      <c r="AP185" s="62"/>
      <c r="AQ185" s="75" t="str">
        <v/>
      </c>
      <c r="AR185" s="75" t="str">
        <v>-</v>
      </c>
      <c r="AS185" s="11"/>
      <c r="AT185" s="77" t="str">
        <v>-</v>
      </c>
      <c r="AU185" s="11" t="str">
        <v>-</v>
      </c>
      <c r="AV185" s="100"/>
      <c r="AW185" s="80" t="str">
        <f ca="1"/>
        <v>-</v>
      </c>
      <c r="AX185" s="86" t="b">
        <v>0</v>
      </c>
      <c r="AY185" s="68" t="str">
        <f t="shared" si="0"/>
        <v/>
      </c>
      <c r="AZ185" s="69" t="str">
        <f t="shared" si="1"/>
        <v/>
      </c>
      <c r="BA185" s="70" t="str">
        <f t="shared" si="2"/>
        <v/>
      </c>
      <c r="BB185" s="68" t="str">
        <f t="shared" si="3"/>
        <v/>
      </c>
      <c r="BC185" s="69" t="str">
        <f>IFERROR(VLOOKUP($AQ185,'(勿動)組件目錄表'!$D$15:$R$1094,7,FALSE),"")</f>
        <v/>
      </c>
      <c r="BD185" s="69" t="str">
        <f>IFERROR(VLOOKUP($AQ185,'(勿動)組件目錄表'!$D$15:$R$1094,8,FALSE),"")</f>
        <v/>
      </c>
      <c r="BE185" s="69" t="str">
        <f>IFERROR(VLOOKUP($AQ185,'(勿動)組件目錄表'!$D$15:$R$1094,9,FALSE),"")</f>
        <v/>
      </c>
      <c r="BF185" s="69" t="str">
        <f>IFERROR(VLOOKUP($AQ185,'(勿動)組件目錄表'!$D$15:$R$1094,10,FALSE),"")</f>
        <v/>
      </c>
      <c r="BG185" s="69" t="str">
        <f>IFERROR(VLOOKUP($AQ185,'(勿動)組件目錄表'!$D$15:$R$1094,11,FALSE),"")</f>
        <v/>
      </c>
      <c r="BH185" s="69" t="str">
        <f>IFERROR(VLOOKUP($AQ185,'(勿動)組件目錄表'!$D$15:$R$1094,12,FALSE),"")</f>
        <v/>
      </c>
      <c r="BI185" s="69" t="str">
        <f>IFERROR(VLOOKUP($AQ185,'(勿動)組件目錄表'!$D$15:$R$1094,13,FALSE),"")</f>
        <v/>
      </c>
      <c r="BJ185" s="69" t="str">
        <f>IFERROR(VLOOKUP($AQ185,'(勿動)組件目錄表'!$D$15:$R$1094,14,FALSE),"")</f>
        <v/>
      </c>
      <c r="BK185" s="69" t="str">
        <f>IFERROR(VLOOKUP($AQ185,'(勿動)組件目錄表'!$D$15:$R$1094,15,FALSE),"")</f>
        <v/>
      </c>
      <c r="BL185" s="81">
        <f ca="1">IFERROR(__xludf.DUMMYFUNCTION("IFERROR(
  LET(
    rowData, FILTER('(勿動)組件目錄表'!J:Q, '(勿動)組件目錄表'!D:D=AQ185),
    IF(ROWS(rowData)=0, 0, 
      (
        IF(AND(BC185&lt;&gt;"""", INDEX(rowData,1,1)=BC185),1,0) +
        IF(AND(BD185&lt;&gt;"""", INDEX(rowData,1,2)=BD185),1,0) +
        IF(AND(BE185"&amp;"&lt;&gt;"""", INDEX(rowData,1,3)=BE185),1,0) +
        IF(AND(BF185&lt;&gt;"""", INDEX(rowData,1,4)=BF185),1,0) +
        IF(AND(BG185&lt;&gt;"""", INDEX(rowData,1,5)=BG185),1,0) +
        IF(AND(BH185&lt;&gt;"""", INDEX(rowData,1,6)=BH185),1,0) +
        IF(AND(BI185&lt;&gt;"""", IND"&amp;"EX(rowData,1,7)=BI185),1,0) +
        IF(AND(BJ185&lt;&gt;"""", INDEX(rowData,1,8)=BJ185),1,0)
      ) - COUNTIF(BC185:BJ185, ""-"")
        - COUNTIF(BC185:BJ185, ""固定格式，不需提供資訊"")
        - COUNTIF(BC185:BJ185, ""由MKT更新，此欄位固定格式，不需提供資訊
(Voucher CID：12917705872)"&amp;""")
        - COUNTIF(BC185:BJ185, ""text固定為以下：
※直播間僅支援手機版"")
        - COUNTIF(BC185:BJ185, ""text固定為以下：
※短影音僅支援手機版"")
    )
  ), 
  0
)
"),0)</f>
        <v>0</v>
      </c>
      <c r="BM185" s="77" t="b">
        <v>0</v>
      </c>
      <c r="BN185" s="85"/>
      <c r="BO185" s="85"/>
    </row>
    <row r="186" spans="1:67" ht="30" customHeight="1">
      <c r="A186" s="73" t="str">
        <f t="array" aca="1" ref="A186" ca="1">IFERROR(TRANSPOSE(INDIRECT('MS section版配(Old)'!$AO186)),"")</f>
        <v/>
      </c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88"/>
      <c r="AC186" s="88"/>
      <c r="AD186" s="88"/>
      <c r="AE186" s="397" t="str">
        <f>IFERROR(VLOOKUP($AQ186,'(勿動)組件目錄表'!$D$15:$R$1094,4,FALSE),"")</f>
        <v/>
      </c>
      <c r="AF186" s="384"/>
      <c r="AG186" s="384"/>
      <c r="AH186" s="384"/>
      <c r="AI186" s="384"/>
      <c r="AJ186" s="385"/>
      <c r="AK186" s="54" t="b">
        <v>0</v>
      </c>
      <c r="AL186" s="54" t="b">
        <v>0</v>
      </c>
      <c r="AM186" s="54"/>
      <c r="AN186" s="7" t="str">
        <v>178</v>
      </c>
      <c r="AO186" s="7"/>
      <c r="AP186" s="62"/>
      <c r="AQ186" s="75" t="str">
        <v/>
      </c>
      <c r="AR186" s="75" t="str">
        <v>-</v>
      </c>
      <c r="AS186" s="11"/>
      <c r="AT186" s="77" t="str">
        <v>-</v>
      </c>
      <c r="AU186" s="11" t="str">
        <v>-</v>
      </c>
      <c r="AV186" s="100"/>
      <c r="AW186" s="80" t="str">
        <f ca="1"/>
        <v>-</v>
      </c>
      <c r="AX186" s="86" t="b">
        <v>0</v>
      </c>
      <c r="AY186" s="68" t="str">
        <f t="shared" si="0"/>
        <v/>
      </c>
      <c r="AZ186" s="69" t="str">
        <f t="shared" si="1"/>
        <v/>
      </c>
      <c r="BA186" s="70" t="str">
        <f t="shared" si="2"/>
        <v/>
      </c>
      <c r="BB186" s="68" t="str">
        <f t="shared" si="3"/>
        <v/>
      </c>
      <c r="BC186" s="69" t="str">
        <f>IFERROR(VLOOKUP($AQ186,'(勿動)組件目錄表'!$D$15:$R$1094,7,FALSE),"")</f>
        <v/>
      </c>
      <c r="BD186" s="69" t="str">
        <f>IFERROR(VLOOKUP($AQ186,'(勿動)組件目錄表'!$D$15:$R$1094,8,FALSE),"")</f>
        <v/>
      </c>
      <c r="BE186" s="69" t="str">
        <f>IFERROR(VLOOKUP($AQ186,'(勿動)組件目錄表'!$D$15:$R$1094,9,FALSE),"")</f>
        <v/>
      </c>
      <c r="BF186" s="69" t="str">
        <f>IFERROR(VLOOKUP($AQ186,'(勿動)組件目錄表'!$D$15:$R$1094,10,FALSE),"")</f>
        <v/>
      </c>
      <c r="BG186" s="69" t="str">
        <f>IFERROR(VLOOKUP($AQ186,'(勿動)組件目錄表'!$D$15:$R$1094,11,FALSE),"")</f>
        <v/>
      </c>
      <c r="BH186" s="69" t="str">
        <f>IFERROR(VLOOKUP($AQ186,'(勿動)組件目錄表'!$D$15:$R$1094,12,FALSE),"")</f>
        <v/>
      </c>
      <c r="BI186" s="69" t="str">
        <f>IFERROR(VLOOKUP($AQ186,'(勿動)組件目錄表'!$D$15:$R$1094,13,FALSE),"")</f>
        <v/>
      </c>
      <c r="BJ186" s="69" t="str">
        <f>IFERROR(VLOOKUP($AQ186,'(勿動)組件目錄表'!$D$15:$R$1094,14,FALSE),"")</f>
        <v/>
      </c>
      <c r="BK186" s="69" t="str">
        <f>IFERROR(VLOOKUP($AQ186,'(勿動)組件目錄表'!$D$15:$R$1094,15,FALSE),"")</f>
        <v/>
      </c>
      <c r="BL186" s="81">
        <f ca="1">IFERROR(__xludf.DUMMYFUNCTION("IFERROR(
  LET(
    rowData, FILTER('(勿動)組件目錄表'!J:Q, '(勿動)組件目錄表'!D:D=AQ186),
    IF(ROWS(rowData)=0, 0, 
      (
        IF(AND(BC186&lt;&gt;"""", INDEX(rowData,1,1)=BC186),1,0) +
        IF(AND(BD186&lt;&gt;"""", INDEX(rowData,1,2)=BD186),1,0) +
        IF(AND(BE186"&amp;"&lt;&gt;"""", INDEX(rowData,1,3)=BE186),1,0) +
        IF(AND(BF186&lt;&gt;"""", INDEX(rowData,1,4)=BF186),1,0) +
        IF(AND(BG186&lt;&gt;"""", INDEX(rowData,1,5)=BG186),1,0) +
        IF(AND(BH186&lt;&gt;"""", INDEX(rowData,1,6)=BH186),1,0) +
        IF(AND(BI186&lt;&gt;"""", IND"&amp;"EX(rowData,1,7)=BI186),1,0) +
        IF(AND(BJ186&lt;&gt;"""", INDEX(rowData,1,8)=BJ186),1,0)
      ) - COUNTIF(BC186:BJ186, ""-"")
        - COUNTIF(BC186:BJ186, ""固定格式，不需提供資訊"")
        - COUNTIF(BC186:BJ186, ""由MKT更新，此欄位固定格式，不需提供資訊
(Voucher CID：12917705872)"&amp;""")
        - COUNTIF(BC186:BJ186, ""text固定為以下：
※直播間僅支援手機版"")
        - COUNTIF(BC186:BJ186, ""text固定為以下：
※短影音僅支援手機版"")
    )
  ), 
  0
)
"),0)</f>
        <v>0</v>
      </c>
      <c r="BM186" s="77" t="b">
        <v>0</v>
      </c>
      <c r="BN186" s="85"/>
      <c r="BO186" s="85"/>
    </row>
    <row r="187" spans="1:67" ht="30" customHeight="1">
      <c r="A187" s="73" t="str">
        <f t="array" aca="1" ref="A187" ca="1">IFERROR(TRANSPOSE(INDIRECT('MS section版配(Old)'!$AO187)),"")</f>
        <v/>
      </c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88"/>
      <c r="AC187" s="88"/>
      <c r="AD187" s="88"/>
      <c r="AE187" s="397" t="str">
        <f>IFERROR(VLOOKUP($AQ187,'(勿動)組件目錄表'!$D$15:$R$1094,4,FALSE),"")</f>
        <v/>
      </c>
      <c r="AF187" s="384"/>
      <c r="AG187" s="384"/>
      <c r="AH187" s="384"/>
      <c r="AI187" s="384"/>
      <c r="AJ187" s="385"/>
      <c r="AK187" s="54" t="b">
        <v>0</v>
      </c>
      <c r="AL187" s="54" t="b">
        <v>0</v>
      </c>
      <c r="AM187" s="54"/>
      <c r="AN187" s="7" t="str">
        <v>179</v>
      </c>
      <c r="AO187" s="7"/>
      <c r="AP187" s="62"/>
      <c r="AQ187" s="75" t="str">
        <v/>
      </c>
      <c r="AR187" s="75" t="str">
        <v>-</v>
      </c>
      <c r="AS187" s="11"/>
      <c r="AT187" s="77" t="str">
        <v>-</v>
      </c>
      <c r="AU187" s="11" t="str">
        <v>-</v>
      </c>
      <c r="AV187" s="100"/>
      <c r="AW187" s="80" t="str">
        <f ca="1"/>
        <v>-</v>
      </c>
      <c r="AX187" s="86" t="b">
        <v>0</v>
      </c>
      <c r="AY187" s="68" t="str">
        <f t="shared" si="0"/>
        <v/>
      </c>
      <c r="AZ187" s="69" t="str">
        <f t="shared" si="1"/>
        <v/>
      </c>
      <c r="BA187" s="70" t="str">
        <f t="shared" si="2"/>
        <v/>
      </c>
      <c r="BB187" s="68" t="str">
        <f t="shared" si="3"/>
        <v/>
      </c>
      <c r="BC187" s="69" t="str">
        <f>IFERROR(VLOOKUP($AQ187,'(勿動)組件目錄表'!$D$15:$R$1094,7,FALSE),"")</f>
        <v/>
      </c>
      <c r="BD187" s="69" t="str">
        <f>IFERROR(VLOOKUP($AQ187,'(勿動)組件目錄表'!$D$15:$R$1094,8,FALSE),"")</f>
        <v/>
      </c>
      <c r="BE187" s="69" t="str">
        <f>IFERROR(VLOOKUP($AQ187,'(勿動)組件目錄表'!$D$15:$R$1094,9,FALSE),"")</f>
        <v/>
      </c>
      <c r="BF187" s="69" t="str">
        <f>IFERROR(VLOOKUP($AQ187,'(勿動)組件目錄表'!$D$15:$R$1094,10,FALSE),"")</f>
        <v/>
      </c>
      <c r="BG187" s="69" t="str">
        <f>IFERROR(VLOOKUP($AQ187,'(勿動)組件目錄表'!$D$15:$R$1094,11,FALSE),"")</f>
        <v/>
      </c>
      <c r="BH187" s="69" t="str">
        <f>IFERROR(VLOOKUP($AQ187,'(勿動)組件目錄表'!$D$15:$R$1094,12,FALSE),"")</f>
        <v/>
      </c>
      <c r="BI187" s="69" t="str">
        <f>IFERROR(VLOOKUP($AQ187,'(勿動)組件目錄表'!$D$15:$R$1094,13,FALSE),"")</f>
        <v/>
      </c>
      <c r="BJ187" s="69" t="str">
        <f>IFERROR(VLOOKUP($AQ187,'(勿動)組件目錄表'!$D$15:$R$1094,14,FALSE),"")</f>
        <v/>
      </c>
      <c r="BK187" s="69" t="str">
        <f>IFERROR(VLOOKUP($AQ187,'(勿動)組件目錄表'!$D$15:$R$1094,15,FALSE),"")</f>
        <v/>
      </c>
      <c r="BL187" s="81">
        <f ca="1">IFERROR(__xludf.DUMMYFUNCTION("IFERROR(
  LET(
    rowData, FILTER('(勿動)組件目錄表'!J:Q, '(勿動)組件目錄表'!D:D=AQ187),
    IF(ROWS(rowData)=0, 0, 
      (
        IF(AND(BC187&lt;&gt;"""", INDEX(rowData,1,1)=BC187),1,0) +
        IF(AND(BD187&lt;&gt;"""", INDEX(rowData,1,2)=BD187),1,0) +
        IF(AND(BE187"&amp;"&lt;&gt;"""", INDEX(rowData,1,3)=BE187),1,0) +
        IF(AND(BF187&lt;&gt;"""", INDEX(rowData,1,4)=BF187),1,0) +
        IF(AND(BG187&lt;&gt;"""", INDEX(rowData,1,5)=BG187),1,0) +
        IF(AND(BH187&lt;&gt;"""", INDEX(rowData,1,6)=BH187),1,0) +
        IF(AND(BI187&lt;&gt;"""", IND"&amp;"EX(rowData,1,7)=BI187),1,0) +
        IF(AND(BJ187&lt;&gt;"""", INDEX(rowData,1,8)=BJ187),1,0)
      ) - COUNTIF(BC187:BJ187, ""-"")
        - COUNTIF(BC187:BJ187, ""固定格式，不需提供資訊"")
        - COUNTIF(BC187:BJ187, ""由MKT更新，此欄位固定格式，不需提供資訊
(Voucher CID：12917705872)"&amp;""")
        - COUNTIF(BC187:BJ187, ""text固定為以下：
※直播間僅支援手機版"")
        - COUNTIF(BC187:BJ187, ""text固定為以下：
※短影音僅支援手機版"")
    )
  ), 
  0
)
"),0)</f>
        <v>0</v>
      </c>
      <c r="BM187" s="77" t="b">
        <v>0</v>
      </c>
      <c r="BN187" s="85"/>
      <c r="BO187" s="85"/>
    </row>
    <row r="188" spans="1:67" ht="30" customHeight="1">
      <c r="A188" s="73" t="str">
        <f t="array" aca="1" ref="A188" ca="1">IFERROR(TRANSPOSE(INDIRECT('MS section版配(Old)'!$AO188)),"")</f>
        <v/>
      </c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88"/>
      <c r="AC188" s="88"/>
      <c r="AD188" s="88"/>
      <c r="AE188" s="397" t="str">
        <f>IFERROR(VLOOKUP($AQ188,'(勿動)組件目錄表'!$D$15:$R$1094,4,FALSE),"")</f>
        <v/>
      </c>
      <c r="AF188" s="384"/>
      <c r="AG188" s="384"/>
      <c r="AH188" s="384"/>
      <c r="AI188" s="384"/>
      <c r="AJ188" s="385"/>
      <c r="AK188" s="54" t="b">
        <v>0</v>
      </c>
      <c r="AL188" s="54" t="b">
        <v>0</v>
      </c>
      <c r="AM188" s="54"/>
      <c r="AN188" s="7" t="str">
        <v>180</v>
      </c>
      <c r="AO188" s="7"/>
      <c r="AP188" s="62"/>
      <c r="AQ188" s="75" t="str">
        <v/>
      </c>
      <c r="AR188" s="75" t="str">
        <v>-</v>
      </c>
      <c r="AS188" s="11"/>
      <c r="AT188" s="77" t="str">
        <v>-</v>
      </c>
      <c r="AU188" s="11" t="str">
        <v>-</v>
      </c>
      <c r="AV188" s="100"/>
      <c r="AW188" s="80" t="str">
        <f ca="1"/>
        <v>-</v>
      </c>
      <c r="AX188" s="86" t="b">
        <v>0</v>
      </c>
      <c r="AY188" s="68" t="str">
        <f t="shared" si="0"/>
        <v/>
      </c>
      <c r="AZ188" s="69" t="str">
        <f t="shared" si="1"/>
        <v/>
      </c>
      <c r="BA188" s="70" t="str">
        <f t="shared" si="2"/>
        <v/>
      </c>
      <c r="BB188" s="68" t="str">
        <f t="shared" si="3"/>
        <v/>
      </c>
      <c r="BC188" s="69" t="str">
        <f>IFERROR(VLOOKUP($AQ188,'(勿動)組件目錄表'!$D$15:$R$1094,7,FALSE),"")</f>
        <v/>
      </c>
      <c r="BD188" s="69" t="str">
        <f>IFERROR(VLOOKUP($AQ188,'(勿動)組件目錄表'!$D$15:$R$1094,8,FALSE),"")</f>
        <v/>
      </c>
      <c r="BE188" s="69" t="str">
        <f>IFERROR(VLOOKUP($AQ188,'(勿動)組件目錄表'!$D$15:$R$1094,9,FALSE),"")</f>
        <v/>
      </c>
      <c r="BF188" s="69" t="str">
        <f>IFERROR(VLOOKUP($AQ188,'(勿動)組件目錄表'!$D$15:$R$1094,10,FALSE),"")</f>
        <v/>
      </c>
      <c r="BG188" s="69" t="str">
        <f>IFERROR(VLOOKUP($AQ188,'(勿動)組件目錄表'!$D$15:$R$1094,11,FALSE),"")</f>
        <v/>
      </c>
      <c r="BH188" s="69" t="str">
        <f>IFERROR(VLOOKUP($AQ188,'(勿動)組件目錄表'!$D$15:$R$1094,12,FALSE),"")</f>
        <v/>
      </c>
      <c r="BI188" s="69" t="str">
        <f>IFERROR(VLOOKUP($AQ188,'(勿動)組件目錄表'!$D$15:$R$1094,13,FALSE),"")</f>
        <v/>
      </c>
      <c r="BJ188" s="69" t="str">
        <f>IFERROR(VLOOKUP($AQ188,'(勿動)組件目錄表'!$D$15:$R$1094,14,FALSE),"")</f>
        <v/>
      </c>
      <c r="BK188" s="69" t="str">
        <f>IFERROR(VLOOKUP($AQ188,'(勿動)組件目錄表'!$D$15:$R$1094,15,FALSE),"")</f>
        <v/>
      </c>
      <c r="BL188" s="81">
        <f ca="1">IFERROR(__xludf.DUMMYFUNCTION("IFERROR(
  LET(
    rowData, FILTER('(勿動)組件目錄表'!J:Q, '(勿動)組件目錄表'!D:D=AQ188),
    IF(ROWS(rowData)=0, 0, 
      (
        IF(AND(BC188&lt;&gt;"""", INDEX(rowData,1,1)=BC188),1,0) +
        IF(AND(BD188&lt;&gt;"""", INDEX(rowData,1,2)=BD188),1,0) +
        IF(AND(BE188"&amp;"&lt;&gt;"""", INDEX(rowData,1,3)=BE188),1,0) +
        IF(AND(BF188&lt;&gt;"""", INDEX(rowData,1,4)=BF188),1,0) +
        IF(AND(BG188&lt;&gt;"""", INDEX(rowData,1,5)=BG188),1,0) +
        IF(AND(BH188&lt;&gt;"""", INDEX(rowData,1,6)=BH188),1,0) +
        IF(AND(BI188&lt;&gt;"""", IND"&amp;"EX(rowData,1,7)=BI188),1,0) +
        IF(AND(BJ188&lt;&gt;"""", INDEX(rowData,1,8)=BJ188),1,0)
      ) - COUNTIF(BC188:BJ188, ""-"")
        - COUNTIF(BC188:BJ188, ""固定格式，不需提供資訊"")
        - COUNTIF(BC188:BJ188, ""由MKT更新，此欄位固定格式，不需提供資訊
(Voucher CID：12917705872)"&amp;""")
        - COUNTIF(BC188:BJ188, ""text固定為以下：
※直播間僅支援手機版"")
        - COUNTIF(BC188:BJ188, ""text固定為以下：
※短影音僅支援手機版"")
    )
  ), 
  0
)
"),0)</f>
        <v>0</v>
      </c>
      <c r="BM188" s="77" t="b">
        <v>0</v>
      </c>
      <c r="BN188" s="85"/>
      <c r="BO188" s="85"/>
    </row>
    <row r="189" spans="1:67" ht="30" customHeight="1">
      <c r="A189" s="73" t="str">
        <f t="array" aca="1" ref="A189" ca="1">IFERROR(TRANSPOSE(INDIRECT('MS section版配(Old)'!$AO189)),"")</f>
        <v/>
      </c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88"/>
      <c r="AC189" s="88"/>
      <c r="AD189" s="88"/>
      <c r="AE189" s="397" t="str">
        <f>IFERROR(VLOOKUP($AQ189,'(勿動)組件目錄表'!$D$15:$R$1094,4,FALSE),"")</f>
        <v/>
      </c>
      <c r="AF189" s="384"/>
      <c r="AG189" s="384"/>
      <c r="AH189" s="384"/>
      <c r="AI189" s="384"/>
      <c r="AJ189" s="385"/>
      <c r="AK189" s="54" t="b">
        <v>0</v>
      </c>
      <c r="AL189" s="54" t="b">
        <v>0</v>
      </c>
      <c r="AM189" s="54"/>
      <c r="AN189" s="7" t="str">
        <v>181</v>
      </c>
      <c r="AO189" s="7"/>
      <c r="AP189" s="62"/>
      <c r="AQ189" s="75" t="str">
        <v/>
      </c>
      <c r="AR189" s="75" t="str">
        <v>-</v>
      </c>
      <c r="AS189" s="11"/>
      <c r="AT189" s="77" t="str">
        <v>-</v>
      </c>
      <c r="AU189" s="11" t="str">
        <v>-</v>
      </c>
      <c r="AV189" s="100"/>
      <c r="AW189" s="80" t="str">
        <f ca="1"/>
        <v>-</v>
      </c>
      <c r="AX189" s="86" t="b">
        <v>0</v>
      </c>
      <c r="AY189" s="68" t="str">
        <f t="shared" si="0"/>
        <v/>
      </c>
      <c r="AZ189" s="69" t="str">
        <f t="shared" si="1"/>
        <v/>
      </c>
      <c r="BA189" s="70" t="str">
        <f t="shared" si="2"/>
        <v/>
      </c>
      <c r="BB189" s="68" t="str">
        <f t="shared" si="3"/>
        <v/>
      </c>
      <c r="BC189" s="69" t="str">
        <f>IFERROR(VLOOKUP($AQ189,'(勿動)組件目錄表'!$D$15:$R$1094,7,FALSE),"")</f>
        <v/>
      </c>
      <c r="BD189" s="69" t="str">
        <f>IFERROR(VLOOKUP($AQ189,'(勿動)組件目錄表'!$D$15:$R$1094,8,FALSE),"")</f>
        <v/>
      </c>
      <c r="BE189" s="69" t="str">
        <f>IFERROR(VLOOKUP($AQ189,'(勿動)組件目錄表'!$D$15:$R$1094,9,FALSE),"")</f>
        <v/>
      </c>
      <c r="BF189" s="69" t="str">
        <f>IFERROR(VLOOKUP($AQ189,'(勿動)組件目錄表'!$D$15:$R$1094,10,FALSE),"")</f>
        <v/>
      </c>
      <c r="BG189" s="69" t="str">
        <f>IFERROR(VLOOKUP($AQ189,'(勿動)組件目錄表'!$D$15:$R$1094,11,FALSE),"")</f>
        <v/>
      </c>
      <c r="BH189" s="69" t="str">
        <f>IFERROR(VLOOKUP($AQ189,'(勿動)組件目錄表'!$D$15:$R$1094,12,FALSE),"")</f>
        <v/>
      </c>
      <c r="BI189" s="69" t="str">
        <f>IFERROR(VLOOKUP($AQ189,'(勿動)組件目錄表'!$D$15:$R$1094,13,FALSE),"")</f>
        <v/>
      </c>
      <c r="BJ189" s="69" t="str">
        <f>IFERROR(VLOOKUP($AQ189,'(勿動)組件目錄表'!$D$15:$R$1094,14,FALSE),"")</f>
        <v/>
      </c>
      <c r="BK189" s="69" t="str">
        <f>IFERROR(VLOOKUP($AQ189,'(勿動)組件目錄表'!$D$15:$R$1094,15,FALSE),"")</f>
        <v/>
      </c>
      <c r="BL189" s="81">
        <f ca="1">IFERROR(__xludf.DUMMYFUNCTION("IFERROR(
  LET(
    rowData, FILTER('(勿動)組件目錄表'!J:Q, '(勿動)組件目錄表'!D:D=AQ189),
    IF(ROWS(rowData)=0, 0, 
      (
        IF(AND(BC189&lt;&gt;"""", INDEX(rowData,1,1)=BC189),1,0) +
        IF(AND(BD189&lt;&gt;"""", INDEX(rowData,1,2)=BD189),1,0) +
        IF(AND(BE189"&amp;"&lt;&gt;"""", INDEX(rowData,1,3)=BE189),1,0) +
        IF(AND(BF189&lt;&gt;"""", INDEX(rowData,1,4)=BF189),1,0) +
        IF(AND(BG189&lt;&gt;"""", INDEX(rowData,1,5)=BG189),1,0) +
        IF(AND(BH189&lt;&gt;"""", INDEX(rowData,1,6)=BH189),1,0) +
        IF(AND(BI189&lt;&gt;"""", IND"&amp;"EX(rowData,1,7)=BI189),1,0) +
        IF(AND(BJ189&lt;&gt;"""", INDEX(rowData,1,8)=BJ189),1,0)
      ) - COUNTIF(BC189:BJ189, ""-"")
        - COUNTIF(BC189:BJ189, ""固定格式，不需提供資訊"")
        - COUNTIF(BC189:BJ189, ""由MKT更新，此欄位固定格式，不需提供資訊
(Voucher CID：12917705872)"&amp;""")
        - COUNTIF(BC189:BJ189, ""text固定為以下：
※直播間僅支援手機版"")
        - COUNTIF(BC189:BJ189, ""text固定為以下：
※短影音僅支援手機版"")
    )
  ), 
  0
)
"),0)</f>
        <v>0</v>
      </c>
      <c r="BM189" s="77" t="b">
        <v>0</v>
      </c>
      <c r="BN189" s="85"/>
      <c r="BO189" s="85"/>
    </row>
    <row r="190" spans="1:67" ht="30" customHeight="1">
      <c r="A190" s="73" t="str">
        <f t="array" aca="1" ref="A190" ca="1">IFERROR(TRANSPOSE(INDIRECT('MS section版配(Old)'!$AO190)),"")</f>
        <v/>
      </c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88"/>
      <c r="AC190" s="88"/>
      <c r="AD190" s="88"/>
      <c r="AE190" s="397" t="str">
        <f>IFERROR(VLOOKUP($AQ190,'(勿動)組件目錄表'!$D$15:$R$1094,4,FALSE),"")</f>
        <v/>
      </c>
      <c r="AF190" s="384"/>
      <c r="AG190" s="384"/>
      <c r="AH190" s="384"/>
      <c r="AI190" s="384"/>
      <c r="AJ190" s="385"/>
      <c r="AK190" s="54" t="b">
        <v>0</v>
      </c>
      <c r="AL190" s="54" t="b">
        <v>0</v>
      </c>
      <c r="AM190" s="54"/>
      <c r="AN190" s="7" t="str">
        <v>182</v>
      </c>
      <c r="AO190" s="7"/>
      <c r="AP190" s="62"/>
      <c r="AQ190" s="75" t="str">
        <v/>
      </c>
      <c r="AR190" s="75" t="str">
        <v>-</v>
      </c>
      <c r="AS190" s="11"/>
      <c r="AT190" s="77" t="str">
        <v>-</v>
      </c>
      <c r="AU190" s="11" t="str">
        <v>-</v>
      </c>
      <c r="AV190" s="100"/>
      <c r="AW190" s="80" t="str">
        <f ca="1"/>
        <v>-</v>
      </c>
      <c r="AX190" s="86" t="b">
        <v>0</v>
      </c>
      <c r="AY190" s="68" t="str">
        <f t="shared" si="0"/>
        <v/>
      </c>
      <c r="AZ190" s="69" t="str">
        <f t="shared" si="1"/>
        <v/>
      </c>
      <c r="BA190" s="70" t="str">
        <f t="shared" si="2"/>
        <v/>
      </c>
      <c r="BB190" s="68" t="str">
        <f t="shared" si="3"/>
        <v/>
      </c>
      <c r="BC190" s="69" t="str">
        <f>IFERROR(VLOOKUP($AQ190,'(勿動)組件目錄表'!$D$15:$R$1094,7,FALSE),"")</f>
        <v/>
      </c>
      <c r="BD190" s="69" t="str">
        <f>IFERROR(VLOOKUP($AQ190,'(勿動)組件目錄表'!$D$15:$R$1094,8,FALSE),"")</f>
        <v/>
      </c>
      <c r="BE190" s="69" t="str">
        <f>IFERROR(VLOOKUP($AQ190,'(勿動)組件目錄表'!$D$15:$R$1094,9,FALSE),"")</f>
        <v/>
      </c>
      <c r="BF190" s="69" t="str">
        <f>IFERROR(VLOOKUP($AQ190,'(勿動)組件目錄表'!$D$15:$R$1094,10,FALSE),"")</f>
        <v/>
      </c>
      <c r="BG190" s="69" t="str">
        <f>IFERROR(VLOOKUP($AQ190,'(勿動)組件目錄表'!$D$15:$R$1094,11,FALSE),"")</f>
        <v/>
      </c>
      <c r="BH190" s="69" t="str">
        <f>IFERROR(VLOOKUP($AQ190,'(勿動)組件目錄表'!$D$15:$R$1094,12,FALSE),"")</f>
        <v/>
      </c>
      <c r="BI190" s="69" t="str">
        <f>IFERROR(VLOOKUP($AQ190,'(勿動)組件目錄表'!$D$15:$R$1094,13,FALSE),"")</f>
        <v/>
      </c>
      <c r="BJ190" s="69" t="str">
        <f>IFERROR(VLOOKUP($AQ190,'(勿動)組件目錄表'!$D$15:$R$1094,14,FALSE),"")</f>
        <v/>
      </c>
      <c r="BK190" s="69" t="str">
        <f>IFERROR(VLOOKUP($AQ190,'(勿動)組件目錄表'!$D$15:$R$1094,15,FALSE),"")</f>
        <v/>
      </c>
      <c r="BL190" s="81">
        <f ca="1">IFERROR(__xludf.DUMMYFUNCTION("IFERROR(
  LET(
    rowData, FILTER('(勿動)組件目錄表'!J:Q, '(勿動)組件目錄表'!D:D=AQ190),
    IF(ROWS(rowData)=0, 0, 
      (
        IF(AND(BC190&lt;&gt;"""", INDEX(rowData,1,1)=BC190),1,0) +
        IF(AND(BD190&lt;&gt;"""", INDEX(rowData,1,2)=BD190),1,0) +
        IF(AND(BE190"&amp;"&lt;&gt;"""", INDEX(rowData,1,3)=BE190),1,0) +
        IF(AND(BF190&lt;&gt;"""", INDEX(rowData,1,4)=BF190),1,0) +
        IF(AND(BG190&lt;&gt;"""", INDEX(rowData,1,5)=BG190),1,0) +
        IF(AND(BH190&lt;&gt;"""", INDEX(rowData,1,6)=BH190),1,0) +
        IF(AND(BI190&lt;&gt;"""", IND"&amp;"EX(rowData,1,7)=BI190),1,0) +
        IF(AND(BJ190&lt;&gt;"""", INDEX(rowData,1,8)=BJ190),1,0)
      ) - COUNTIF(BC190:BJ190, ""-"")
        - COUNTIF(BC190:BJ190, ""固定格式，不需提供資訊"")
        - COUNTIF(BC190:BJ190, ""由MKT更新，此欄位固定格式，不需提供資訊
(Voucher CID：12917705872)"&amp;""")
        - COUNTIF(BC190:BJ190, ""text固定為以下：
※直播間僅支援手機版"")
        - COUNTIF(BC190:BJ190, ""text固定為以下：
※短影音僅支援手機版"")
    )
  ), 
  0
)
"),0)</f>
        <v>0</v>
      </c>
      <c r="BM190" s="77" t="b">
        <v>0</v>
      </c>
      <c r="BN190" s="85"/>
      <c r="BO190" s="85"/>
    </row>
    <row r="191" spans="1:67" ht="30" customHeight="1">
      <c r="A191" s="73" t="str">
        <f t="array" aca="1" ref="A191" ca="1">IFERROR(TRANSPOSE(INDIRECT('MS section版配(Old)'!$AO191)),"")</f>
        <v/>
      </c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88"/>
      <c r="AC191" s="88"/>
      <c r="AD191" s="88"/>
      <c r="AE191" s="397" t="str">
        <f>IFERROR(VLOOKUP($AQ191,'(勿動)組件目錄表'!$D$15:$R$1094,4,FALSE),"")</f>
        <v/>
      </c>
      <c r="AF191" s="384"/>
      <c r="AG191" s="384"/>
      <c r="AH191" s="384"/>
      <c r="AI191" s="384"/>
      <c r="AJ191" s="385"/>
      <c r="AK191" s="54" t="b">
        <v>0</v>
      </c>
      <c r="AL191" s="54" t="b">
        <v>0</v>
      </c>
      <c r="AM191" s="54"/>
      <c r="AN191" s="7" t="str">
        <v>183</v>
      </c>
      <c r="AO191" s="7"/>
      <c r="AP191" s="62"/>
      <c r="AQ191" s="75" t="str">
        <v/>
      </c>
      <c r="AR191" s="75" t="str">
        <v>-</v>
      </c>
      <c r="AS191" s="11"/>
      <c r="AT191" s="77" t="str">
        <v>-</v>
      </c>
      <c r="AU191" s="11" t="str">
        <v>-</v>
      </c>
      <c r="AV191" s="100"/>
      <c r="AW191" s="80" t="str">
        <f ca="1"/>
        <v>-</v>
      </c>
      <c r="AX191" s="86" t="b">
        <v>0</v>
      </c>
      <c r="AY191" s="68" t="str">
        <f t="shared" si="0"/>
        <v/>
      </c>
      <c r="AZ191" s="69" t="str">
        <f t="shared" si="1"/>
        <v/>
      </c>
      <c r="BA191" s="70" t="str">
        <f t="shared" si="2"/>
        <v/>
      </c>
      <c r="BB191" s="68" t="str">
        <f t="shared" si="3"/>
        <v/>
      </c>
      <c r="BC191" s="69" t="str">
        <f>IFERROR(VLOOKUP($AQ191,'(勿動)組件目錄表'!$D$15:$R$1094,7,FALSE),"")</f>
        <v/>
      </c>
      <c r="BD191" s="69" t="str">
        <f>IFERROR(VLOOKUP($AQ191,'(勿動)組件目錄表'!$D$15:$R$1094,8,FALSE),"")</f>
        <v/>
      </c>
      <c r="BE191" s="69" t="str">
        <f>IFERROR(VLOOKUP($AQ191,'(勿動)組件目錄表'!$D$15:$R$1094,9,FALSE),"")</f>
        <v/>
      </c>
      <c r="BF191" s="69" t="str">
        <f>IFERROR(VLOOKUP($AQ191,'(勿動)組件目錄表'!$D$15:$R$1094,10,FALSE),"")</f>
        <v/>
      </c>
      <c r="BG191" s="69" t="str">
        <f>IFERROR(VLOOKUP($AQ191,'(勿動)組件目錄表'!$D$15:$R$1094,11,FALSE),"")</f>
        <v/>
      </c>
      <c r="BH191" s="69" t="str">
        <f>IFERROR(VLOOKUP($AQ191,'(勿動)組件目錄表'!$D$15:$R$1094,12,FALSE),"")</f>
        <v/>
      </c>
      <c r="BI191" s="69" t="str">
        <f>IFERROR(VLOOKUP($AQ191,'(勿動)組件目錄表'!$D$15:$R$1094,13,FALSE),"")</f>
        <v/>
      </c>
      <c r="BJ191" s="69" t="str">
        <f>IFERROR(VLOOKUP($AQ191,'(勿動)組件目錄表'!$D$15:$R$1094,14,FALSE),"")</f>
        <v/>
      </c>
      <c r="BK191" s="69" t="str">
        <f>IFERROR(VLOOKUP($AQ191,'(勿動)組件目錄表'!$D$15:$R$1094,15,FALSE),"")</f>
        <v/>
      </c>
      <c r="BL191" s="81">
        <f ca="1">IFERROR(__xludf.DUMMYFUNCTION("IFERROR(
  LET(
    rowData, FILTER('(勿動)組件目錄表'!J:Q, '(勿動)組件目錄表'!D:D=AQ191),
    IF(ROWS(rowData)=0, 0, 
      (
        IF(AND(BC191&lt;&gt;"""", INDEX(rowData,1,1)=BC191),1,0) +
        IF(AND(BD191&lt;&gt;"""", INDEX(rowData,1,2)=BD191),1,0) +
        IF(AND(BE191"&amp;"&lt;&gt;"""", INDEX(rowData,1,3)=BE191),1,0) +
        IF(AND(BF191&lt;&gt;"""", INDEX(rowData,1,4)=BF191),1,0) +
        IF(AND(BG191&lt;&gt;"""", INDEX(rowData,1,5)=BG191),1,0) +
        IF(AND(BH191&lt;&gt;"""", INDEX(rowData,1,6)=BH191),1,0) +
        IF(AND(BI191&lt;&gt;"""", IND"&amp;"EX(rowData,1,7)=BI191),1,0) +
        IF(AND(BJ191&lt;&gt;"""", INDEX(rowData,1,8)=BJ191),1,0)
      ) - COUNTIF(BC191:BJ191, ""-"")
        - COUNTIF(BC191:BJ191, ""固定格式，不需提供資訊"")
        - COUNTIF(BC191:BJ191, ""由MKT更新，此欄位固定格式，不需提供資訊
(Voucher CID：12917705872)"&amp;""")
        - COUNTIF(BC191:BJ191, ""text固定為以下：
※直播間僅支援手機版"")
        - COUNTIF(BC191:BJ191, ""text固定為以下：
※短影音僅支援手機版"")
    )
  ), 
  0
)
"),0)</f>
        <v>0</v>
      </c>
      <c r="BM191" s="77" t="b">
        <v>0</v>
      </c>
      <c r="BN191" s="85"/>
      <c r="BO191" s="85"/>
    </row>
    <row r="192" spans="1:67" ht="30" customHeight="1">
      <c r="A192" s="73" t="str">
        <f t="array" aca="1" ref="A192" ca="1">IFERROR(TRANSPOSE(INDIRECT('MS section版配(Old)'!$AO192)),"")</f>
        <v/>
      </c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88"/>
      <c r="AC192" s="88"/>
      <c r="AD192" s="88"/>
      <c r="AE192" s="397" t="str">
        <f>IFERROR(VLOOKUP($AQ192,'(勿動)組件目錄表'!$D$15:$R$1094,4,FALSE),"")</f>
        <v/>
      </c>
      <c r="AF192" s="384"/>
      <c r="AG192" s="384"/>
      <c r="AH192" s="384"/>
      <c r="AI192" s="384"/>
      <c r="AJ192" s="385"/>
      <c r="AK192" s="54" t="b">
        <v>0</v>
      </c>
      <c r="AL192" s="54" t="b">
        <v>0</v>
      </c>
      <c r="AM192" s="54"/>
      <c r="AN192" s="7" t="str">
        <v>184</v>
      </c>
      <c r="AO192" s="7"/>
      <c r="AP192" s="62"/>
      <c r="AQ192" s="75" t="str">
        <v/>
      </c>
      <c r="AR192" s="75" t="str">
        <v>-</v>
      </c>
      <c r="AS192" s="11"/>
      <c r="AT192" s="77" t="str">
        <v>-</v>
      </c>
      <c r="AU192" s="11" t="str">
        <v>-</v>
      </c>
      <c r="AV192" s="100"/>
      <c r="AW192" s="80" t="str">
        <f ca="1"/>
        <v>-</v>
      </c>
      <c r="AX192" s="86" t="b">
        <v>0</v>
      </c>
      <c r="AY192" s="68" t="str">
        <f t="shared" si="0"/>
        <v/>
      </c>
      <c r="AZ192" s="69" t="str">
        <f t="shared" si="1"/>
        <v/>
      </c>
      <c r="BA192" s="70" t="str">
        <f t="shared" si="2"/>
        <v/>
      </c>
      <c r="BB192" s="68" t="str">
        <f t="shared" si="3"/>
        <v/>
      </c>
      <c r="BC192" s="69" t="str">
        <f>IFERROR(VLOOKUP($AQ192,'(勿動)組件目錄表'!$D$15:$R$1094,7,FALSE),"")</f>
        <v/>
      </c>
      <c r="BD192" s="69" t="str">
        <f>IFERROR(VLOOKUP($AQ192,'(勿動)組件目錄表'!$D$15:$R$1094,8,FALSE),"")</f>
        <v/>
      </c>
      <c r="BE192" s="69" t="str">
        <f>IFERROR(VLOOKUP($AQ192,'(勿動)組件目錄表'!$D$15:$R$1094,9,FALSE),"")</f>
        <v/>
      </c>
      <c r="BF192" s="69" t="str">
        <f>IFERROR(VLOOKUP($AQ192,'(勿動)組件目錄表'!$D$15:$R$1094,10,FALSE),"")</f>
        <v/>
      </c>
      <c r="BG192" s="69" t="str">
        <f>IFERROR(VLOOKUP($AQ192,'(勿動)組件目錄表'!$D$15:$R$1094,11,FALSE),"")</f>
        <v/>
      </c>
      <c r="BH192" s="69" t="str">
        <f>IFERROR(VLOOKUP($AQ192,'(勿動)組件目錄表'!$D$15:$R$1094,12,FALSE),"")</f>
        <v/>
      </c>
      <c r="BI192" s="69" t="str">
        <f>IFERROR(VLOOKUP($AQ192,'(勿動)組件目錄表'!$D$15:$R$1094,13,FALSE),"")</f>
        <v/>
      </c>
      <c r="BJ192" s="69" t="str">
        <f>IFERROR(VLOOKUP($AQ192,'(勿動)組件目錄表'!$D$15:$R$1094,14,FALSE),"")</f>
        <v/>
      </c>
      <c r="BK192" s="69" t="str">
        <f>IFERROR(VLOOKUP($AQ192,'(勿動)組件目錄表'!$D$15:$R$1094,15,FALSE),"")</f>
        <v/>
      </c>
      <c r="BL192" s="81">
        <f ca="1">IFERROR(__xludf.DUMMYFUNCTION("IFERROR(
  LET(
    rowData, FILTER('(勿動)組件目錄表'!J:Q, '(勿動)組件目錄表'!D:D=AQ192),
    IF(ROWS(rowData)=0, 0, 
      (
        IF(AND(BC192&lt;&gt;"""", INDEX(rowData,1,1)=BC192),1,0) +
        IF(AND(BD192&lt;&gt;"""", INDEX(rowData,1,2)=BD192),1,0) +
        IF(AND(BE192"&amp;"&lt;&gt;"""", INDEX(rowData,1,3)=BE192),1,0) +
        IF(AND(BF192&lt;&gt;"""", INDEX(rowData,1,4)=BF192),1,0) +
        IF(AND(BG192&lt;&gt;"""", INDEX(rowData,1,5)=BG192),1,0) +
        IF(AND(BH192&lt;&gt;"""", INDEX(rowData,1,6)=BH192),1,0) +
        IF(AND(BI192&lt;&gt;"""", IND"&amp;"EX(rowData,1,7)=BI192),1,0) +
        IF(AND(BJ192&lt;&gt;"""", INDEX(rowData,1,8)=BJ192),1,0)
      ) - COUNTIF(BC192:BJ192, ""-"")
        - COUNTIF(BC192:BJ192, ""固定格式，不需提供資訊"")
        - COUNTIF(BC192:BJ192, ""由MKT更新，此欄位固定格式，不需提供資訊
(Voucher CID：12917705872)"&amp;""")
        - COUNTIF(BC192:BJ192, ""text固定為以下：
※直播間僅支援手機版"")
        - COUNTIF(BC192:BJ192, ""text固定為以下：
※短影音僅支援手機版"")
    )
  ), 
  0
)
"),0)</f>
        <v>0</v>
      </c>
      <c r="BM192" s="77" t="b">
        <v>0</v>
      </c>
      <c r="BN192" s="85"/>
      <c r="BO192" s="85"/>
    </row>
    <row r="193" spans="1:67" ht="30" customHeight="1">
      <c r="A193" s="73" t="str">
        <f t="array" aca="1" ref="A193" ca="1">IFERROR(TRANSPOSE(INDIRECT('MS section版配(Old)'!$AO193)),"")</f>
        <v/>
      </c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88"/>
      <c r="AC193" s="88"/>
      <c r="AD193" s="88"/>
      <c r="AE193" s="397" t="str">
        <f>IFERROR(VLOOKUP($AQ193,'(勿動)組件目錄表'!$D$15:$R$1094,4,FALSE),"")</f>
        <v/>
      </c>
      <c r="AF193" s="384"/>
      <c r="AG193" s="384"/>
      <c r="AH193" s="384"/>
      <c r="AI193" s="384"/>
      <c r="AJ193" s="385"/>
      <c r="AK193" s="54" t="b">
        <v>0</v>
      </c>
      <c r="AL193" s="54" t="b">
        <v>0</v>
      </c>
      <c r="AM193" s="54"/>
      <c r="AN193" s="7" t="str">
        <v>185</v>
      </c>
      <c r="AO193" s="7"/>
      <c r="AP193" s="62"/>
      <c r="AQ193" s="75" t="str">
        <v/>
      </c>
      <c r="AR193" s="75" t="str">
        <v>-</v>
      </c>
      <c r="AS193" s="11"/>
      <c r="AT193" s="77" t="str">
        <v>-</v>
      </c>
      <c r="AU193" s="11" t="str">
        <v>-</v>
      </c>
      <c r="AV193" s="100"/>
      <c r="AW193" s="80" t="str">
        <f ca="1"/>
        <v>-</v>
      </c>
      <c r="AX193" s="86" t="b">
        <v>0</v>
      </c>
      <c r="AY193" s="68" t="str">
        <f t="shared" si="0"/>
        <v/>
      </c>
      <c r="AZ193" s="69" t="str">
        <f t="shared" si="1"/>
        <v/>
      </c>
      <c r="BA193" s="70" t="str">
        <f t="shared" si="2"/>
        <v/>
      </c>
      <c r="BB193" s="68" t="str">
        <f t="shared" si="3"/>
        <v/>
      </c>
      <c r="BC193" s="69" t="str">
        <f>IFERROR(VLOOKUP($AQ193,'(勿動)組件目錄表'!$D$15:$R$1094,7,FALSE),"")</f>
        <v/>
      </c>
      <c r="BD193" s="69" t="str">
        <f>IFERROR(VLOOKUP($AQ193,'(勿動)組件目錄表'!$D$15:$R$1094,8,FALSE),"")</f>
        <v/>
      </c>
      <c r="BE193" s="69" t="str">
        <f>IFERROR(VLOOKUP($AQ193,'(勿動)組件目錄表'!$D$15:$R$1094,9,FALSE),"")</f>
        <v/>
      </c>
      <c r="BF193" s="69" t="str">
        <f>IFERROR(VLOOKUP($AQ193,'(勿動)組件目錄表'!$D$15:$R$1094,10,FALSE),"")</f>
        <v/>
      </c>
      <c r="BG193" s="69" t="str">
        <f>IFERROR(VLOOKUP($AQ193,'(勿動)組件目錄表'!$D$15:$R$1094,11,FALSE),"")</f>
        <v/>
      </c>
      <c r="BH193" s="69" t="str">
        <f>IFERROR(VLOOKUP($AQ193,'(勿動)組件目錄表'!$D$15:$R$1094,12,FALSE),"")</f>
        <v/>
      </c>
      <c r="BI193" s="69" t="str">
        <f>IFERROR(VLOOKUP($AQ193,'(勿動)組件目錄表'!$D$15:$R$1094,13,FALSE),"")</f>
        <v/>
      </c>
      <c r="BJ193" s="69" t="str">
        <f>IFERROR(VLOOKUP($AQ193,'(勿動)組件目錄表'!$D$15:$R$1094,14,FALSE),"")</f>
        <v/>
      </c>
      <c r="BK193" s="69" t="str">
        <f>IFERROR(VLOOKUP($AQ193,'(勿動)組件目錄表'!$D$15:$R$1094,15,FALSE),"")</f>
        <v/>
      </c>
      <c r="BL193" s="81">
        <f ca="1">IFERROR(__xludf.DUMMYFUNCTION("IFERROR(
  LET(
    rowData, FILTER('(勿動)組件目錄表'!J:Q, '(勿動)組件目錄表'!D:D=AQ193),
    IF(ROWS(rowData)=0, 0, 
      (
        IF(AND(BC193&lt;&gt;"""", INDEX(rowData,1,1)=BC193),1,0) +
        IF(AND(BD193&lt;&gt;"""", INDEX(rowData,1,2)=BD193),1,0) +
        IF(AND(BE193"&amp;"&lt;&gt;"""", INDEX(rowData,1,3)=BE193),1,0) +
        IF(AND(BF193&lt;&gt;"""", INDEX(rowData,1,4)=BF193),1,0) +
        IF(AND(BG193&lt;&gt;"""", INDEX(rowData,1,5)=BG193),1,0) +
        IF(AND(BH193&lt;&gt;"""", INDEX(rowData,1,6)=BH193),1,0) +
        IF(AND(BI193&lt;&gt;"""", IND"&amp;"EX(rowData,1,7)=BI193),1,0) +
        IF(AND(BJ193&lt;&gt;"""", INDEX(rowData,1,8)=BJ193),1,0)
      ) - COUNTIF(BC193:BJ193, ""-"")
        - COUNTIF(BC193:BJ193, ""固定格式，不需提供資訊"")
        - COUNTIF(BC193:BJ193, ""由MKT更新，此欄位固定格式，不需提供資訊
(Voucher CID：12917705872)"&amp;""")
        - COUNTIF(BC193:BJ193, ""text固定為以下：
※直播間僅支援手機版"")
        - COUNTIF(BC193:BJ193, ""text固定為以下：
※短影音僅支援手機版"")
    )
  ), 
  0
)
"),0)</f>
        <v>0</v>
      </c>
      <c r="BM193" s="77" t="b">
        <v>0</v>
      </c>
      <c r="BN193" s="85"/>
      <c r="BO193" s="85"/>
    </row>
    <row r="194" spans="1:67" ht="30" customHeight="1">
      <c r="A194" s="73" t="str">
        <f t="array" aca="1" ref="A194" ca="1">IFERROR(TRANSPOSE(INDIRECT('MS section版配(Old)'!$AO194)),"")</f>
        <v/>
      </c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88"/>
      <c r="AC194" s="88"/>
      <c r="AD194" s="88"/>
      <c r="AE194" s="397" t="str">
        <f>IFERROR(VLOOKUP($AQ194,'(勿動)組件目錄表'!$D$15:$R$1094,4,FALSE),"")</f>
        <v/>
      </c>
      <c r="AF194" s="384"/>
      <c r="AG194" s="384"/>
      <c r="AH194" s="384"/>
      <c r="AI194" s="384"/>
      <c r="AJ194" s="385"/>
      <c r="AK194" s="54" t="b">
        <v>0</v>
      </c>
      <c r="AL194" s="54" t="b">
        <v>0</v>
      </c>
      <c r="AM194" s="54"/>
      <c r="AN194" s="7" t="str">
        <v>186</v>
      </c>
      <c r="AO194" s="7"/>
      <c r="AP194" s="62"/>
      <c r="AQ194" s="75" t="str">
        <v/>
      </c>
      <c r="AR194" s="75" t="str">
        <v>-</v>
      </c>
      <c r="AS194" s="11"/>
      <c r="AT194" s="77" t="str">
        <v>-</v>
      </c>
      <c r="AU194" s="11" t="str">
        <v>-</v>
      </c>
      <c r="AV194" s="100"/>
      <c r="AW194" s="80" t="str">
        <f ca="1"/>
        <v>-</v>
      </c>
      <c r="AX194" s="86" t="b">
        <v>0</v>
      </c>
      <c r="AY194" s="68" t="str">
        <f t="shared" si="0"/>
        <v/>
      </c>
      <c r="AZ194" s="69" t="str">
        <f t="shared" si="1"/>
        <v/>
      </c>
      <c r="BA194" s="70" t="str">
        <f t="shared" si="2"/>
        <v/>
      </c>
      <c r="BB194" s="68" t="str">
        <f t="shared" si="3"/>
        <v/>
      </c>
      <c r="BC194" s="69" t="str">
        <f>IFERROR(VLOOKUP($AQ194,'(勿動)組件目錄表'!$D$15:$R$1094,7,FALSE),"")</f>
        <v/>
      </c>
      <c r="BD194" s="69" t="str">
        <f>IFERROR(VLOOKUP($AQ194,'(勿動)組件目錄表'!$D$15:$R$1094,8,FALSE),"")</f>
        <v/>
      </c>
      <c r="BE194" s="69" t="str">
        <f>IFERROR(VLOOKUP($AQ194,'(勿動)組件目錄表'!$D$15:$R$1094,9,FALSE),"")</f>
        <v/>
      </c>
      <c r="BF194" s="69" t="str">
        <f>IFERROR(VLOOKUP($AQ194,'(勿動)組件目錄表'!$D$15:$R$1094,10,FALSE),"")</f>
        <v/>
      </c>
      <c r="BG194" s="69" t="str">
        <f>IFERROR(VLOOKUP($AQ194,'(勿動)組件目錄表'!$D$15:$R$1094,11,FALSE),"")</f>
        <v/>
      </c>
      <c r="BH194" s="69" t="str">
        <f>IFERROR(VLOOKUP($AQ194,'(勿動)組件目錄表'!$D$15:$R$1094,12,FALSE),"")</f>
        <v/>
      </c>
      <c r="BI194" s="69" t="str">
        <f>IFERROR(VLOOKUP($AQ194,'(勿動)組件目錄表'!$D$15:$R$1094,13,FALSE),"")</f>
        <v/>
      </c>
      <c r="BJ194" s="69" t="str">
        <f>IFERROR(VLOOKUP($AQ194,'(勿動)組件目錄表'!$D$15:$R$1094,14,FALSE),"")</f>
        <v/>
      </c>
      <c r="BK194" s="69" t="str">
        <f>IFERROR(VLOOKUP($AQ194,'(勿動)組件目錄表'!$D$15:$R$1094,15,FALSE),"")</f>
        <v/>
      </c>
      <c r="BL194" s="81">
        <f ca="1">IFERROR(__xludf.DUMMYFUNCTION("IFERROR(
  LET(
    rowData, FILTER('(勿動)組件目錄表'!J:Q, '(勿動)組件目錄表'!D:D=AQ194),
    IF(ROWS(rowData)=0, 0, 
      (
        IF(AND(BC194&lt;&gt;"""", INDEX(rowData,1,1)=BC194),1,0) +
        IF(AND(BD194&lt;&gt;"""", INDEX(rowData,1,2)=BD194),1,0) +
        IF(AND(BE194"&amp;"&lt;&gt;"""", INDEX(rowData,1,3)=BE194),1,0) +
        IF(AND(BF194&lt;&gt;"""", INDEX(rowData,1,4)=BF194),1,0) +
        IF(AND(BG194&lt;&gt;"""", INDEX(rowData,1,5)=BG194),1,0) +
        IF(AND(BH194&lt;&gt;"""", INDEX(rowData,1,6)=BH194),1,0) +
        IF(AND(BI194&lt;&gt;"""", IND"&amp;"EX(rowData,1,7)=BI194),1,0) +
        IF(AND(BJ194&lt;&gt;"""", INDEX(rowData,1,8)=BJ194),1,0)
      ) - COUNTIF(BC194:BJ194, ""-"")
        - COUNTIF(BC194:BJ194, ""固定格式，不需提供資訊"")
        - COUNTIF(BC194:BJ194, ""由MKT更新，此欄位固定格式，不需提供資訊
(Voucher CID：12917705872)"&amp;""")
        - COUNTIF(BC194:BJ194, ""text固定為以下：
※直播間僅支援手機版"")
        - COUNTIF(BC194:BJ194, ""text固定為以下：
※短影音僅支援手機版"")
    )
  ), 
  0
)
"),0)</f>
        <v>0</v>
      </c>
      <c r="BM194" s="77" t="b">
        <v>0</v>
      </c>
      <c r="BN194" s="85"/>
      <c r="BO194" s="85"/>
    </row>
    <row r="195" spans="1:67" ht="30" customHeight="1">
      <c r="A195" s="73" t="str">
        <f t="array" aca="1" ref="A195" ca="1">IFERROR(TRANSPOSE(INDIRECT('MS section版配(Old)'!$AO195)),"")</f>
        <v/>
      </c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88"/>
      <c r="AC195" s="88"/>
      <c r="AD195" s="88"/>
      <c r="AE195" s="397" t="str">
        <f>IFERROR(VLOOKUP($AQ195,'(勿動)組件目錄表'!$D$15:$R$1094,4,FALSE),"")</f>
        <v/>
      </c>
      <c r="AF195" s="384"/>
      <c r="AG195" s="384"/>
      <c r="AH195" s="384"/>
      <c r="AI195" s="384"/>
      <c r="AJ195" s="385"/>
      <c r="AK195" s="54" t="b">
        <v>0</v>
      </c>
      <c r="AL195" s="54" t="b">
        <v>0</v>
      </c>
      <c r="AM195" s="54"/>
      <c r="AN195" s="7" t="str">
        <v>187</v>
      </c>
      <c r="AO195" s="7"/>
      <c r="AP195" s="62"/>
      <c r="AQ195" s="75" t="str">
        <v/>
      </c>
      <c r="AR195" s="75" t="str">
        <v>-</v>
      </c>
      <c r="AS195" s="11"/>
      <c r="AT195" s="77" t="str">
        <v>-</v>
      </c>
      <c r="AU195" s="11" t="str">
        <v>-</v>
      </c>
      <c r="AV195" s="100"/>
      <c r="AW195" s="80" t="str">
        <f ca="1"/>
        <v>-</v>
      </c>
      <c r="AX195" s="86" t="b">
        <v>0</v>
      </c>
      <c r="AY195" s="68" t="str">
        <f t="shared" si="0"/>
        <v/>
      </c>
      <c r="AZ195" s="69" t="str">
        <f t="shared" si="1"/>
        <v/>
      </c>
      <c r="BA195" s="70" t="str">
        <f t="shared" si="2"/>
        <v/>
      </c>
      <c r="BB195" s="68" t="str">
        <f t="shared" si="3"/>
        <v/>
      </c>
      <c r="BC195" s="69" t="str">
        <f>IFERROR(VLOOKUP($AQ195,'(勿動)組件目錄表'!$D$15:$R$1094,7,FALSE),"")</f>
        <v/>
      </c>
      <c r="BD195" s="69" t="str">
        <f>IFERROR(VLOOKUP($AQ195,'(勿動)組件目錄表'!$D$15:$R$1094,8,FALSE),"")</f>
        <v/>
      </c>
      <c r="BE195" s="69" t="str">
        <f>IFERROR(VLOOKUP($AQ195,'(勿動)組件目錄表'!$D$15:$R$1094,9,FALSE),"")</f>
        <v/>
      </c>
      <c r="BF195" s="69" t="str">
        <f>IFERROR(VLOOKUP($AQ195,'(勿動)組件目錄表'!$D$15:$R$1094,10,FALSE),"")</f>
        <v/>
      </c>
      <c r="BG195" s="69" t="str">
        <f>IFERROR(VLOOKUP($AQ195,'(勿動)組件目錄表'!$D$15:$R$1094,11,FALSE),"")</f>
        <v/>
      </c>
      <c r="BH195" s="69" t="str">
        <f>IFERROR(VLOOKUP($AQ195,'(勿動)組件目錄表'!$D$15:$R$1094,12,FALSE),"")</f>
        <v/>
      </c>
      <c r="BI195" s="69" t="str">
        <f>IFERROR(VLOOKUP($AQ195,'(勿動)組件目錄表'!$D$15:$R$1094,13,FALSE),"")</f>
        <v/>
      </c>
      <c r="BJ195" s="69" t="str">
        <f>IFERROR(VLOOKUP($AQ195,'(勿動)組件目錄表'!$D$15:$R$1094,14,FALSE),"")</f>
        <v/>
      </c>
      <c r="BK195" s="69" t="str">
        <f>IFERROR(VLOOKUP($AQ195,'(勿動)組件目錄表'!$D$15:$R$1094,15,FALSE),"")</f>
        <v/>
      </c>
      <c r="BL195" s="81">
        <f ca="1">IFERROR(__xludf.DUMMYFUNCTION("IFERROR(
  LET(
    rowData, FILTER('(勿動)組件目錄表'!J:Q, '(勿動)組件目錄表'!D:D=AQ195),
    IF(ROWS(rowData)=0, 0, 
      (
        IF(AND(BC195&lt;&gt;"""", INDEX(rowData,1,1)=BC195),1,0) +
        IF(AND(BD195&lt;&gt;"""", INDEX(rowData,1,2)=BD195),1,0) +
        IF(AND(BE195"&amp;"&lt;&gt;"""", INDEX(rowData,1,3)=BE195),1,0) +
        IF(AND(BF195&lt;&gt;"""", INDEX(rowData,1,4)=BF195),1,0) +
        IF(AND(BG195&lt;&gt;"""", INDEX(rowData,1,5)=BG195),1,0) +
        IF(AND(BH195&lt;&gt;"""", INDEX(rowData,1,6)=BH195),1,0) +
        IF(AND(BI195&lt;&gt;"""", IND"&amp;"EX(rowData,1,7)=BI195),1,0) +
        IF(AND(BJ195&lt;&gt;"""", INDEX(rowData,1,8)=BJ195),1,0)
      ) - COUNTIF(BC195:BJ195, ""-"")
        - COUNTIF(BC195:BJ195, ""固定格式，不需提供資訊"")
        - COUNTIF(BC195:BJ195, ""由MKT更新，此欄位固定格式，不需提供資訊
(Voucher CID：12917705872)"&amp;""")
        - COUNTIF(BC195:BJ195, ""text固定為以下：
※直播間僅支援手機版"")
        - COUNTIF(BC195:BJ195, ""text固定為以下：
※短影音僅支援手機版"")
    )
  ), 
  0
)
"),0)</f>
        <v>0</v>
      </c>
      <c r="BM195" s="77" t="b">
        <v>0</v>
      </c>
      <c r="BN195" s="85"/>
      <c r="BO195" s="85"/>
    </row>
    <row r="196" spans="1:67" ht="30" customHeight="1">
      <c r="A196" s="73" t="str">
        <f t="array" aca="1" ref="A196" ca="1">IFERROR(TRANSPOSE(INDIRECT('MS section版配(Old)'!$AO196)),"")</f>
        <v/>
      </c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88"/>
      <c r="AC196" s="88"/>
      <c r="AD196" s="88"/>
      <c r="AE196" s="397" t="str">
        <f>IFERROR(VLOOKUP($AQ196,'(勿動)組件目錄表'!$D$15:$R$1094,4,FALSE),"")</f>
        <v/>
      </c>
      <c r="AF196" s="384"/>
      <c r="AG196" s="384"/>
      <c r="AH196" s="384"/>
      <c r="AI196" s="384"/>
      <c r="AJ196" s="385"/>
      <c r="AK196" s="54" t="b">
        <v>0</v>
      </c>
      <c r="AL196" s="54" t="b">
        <v>0</v>
      </c>
      <c r="AM196" s="54"/>
      <c r="AN196" s="7" t="str">
        <v>188</v>
      </c>
      <c r="AO196" s="7"/>
      <c r="AP196" s="62"/>
      <c r="AQ196" s="75" t="str">
        <v/>
      </c>
      <c r="AR196" s="75" t="str">
        <v>-</v>
      </c>
      <c r="AS196" s="11"/>
      <c r="AT196" s="77" t="str">
        <v>-</v>
      </c>
      <c r="AU196" s="11" t="str">
        <v>-</v>
      </c>
      <c r="AV196" s="100"/>
      <c r="AW196" s="80" t="str">
        <f ca="1"/>
        <v>-</v>
      </c>
      <c r="AX196" s="86" t="b">
        <v>0</v>
      </c>
      <c r="AY196" s="68" t="str">
        <f t="shared" si="0"/>
        <v/>
      </c>
      <c r="AZ196" s="69" t="str">
        <f t="shared" si="1"/>
        <v/>
      </c>
      <c r="BA196" s="70" t="str">
        <f t="shared" si="2"/>
        <v/>
      </c>
      <c r="BB196" s="68" t="str">
        <f t="shared" si="3"/>
        <v/>
      </c>
      <c r="BC196" s="69" t="str">
        <f>IFERROR(VLOOKUP($AQ196,'(勿動)組件目錄表'!$D$15:$R$1094,7,FALSE),"")</f>
        <v/>
      </c>
      <c r="BD196" s="69" t="str">
        <f>IFERROR(VLOOKUP($AQ196,'(勿動)組件目錄表'!$D$15:$R$1094,8,FALSE),"")</f>
        <v/>
      </c>
      <c r="BE196" s="69" t="str">
        <f>IFERROR(VLOOKUP($AQ196,'(勿動)組件目錄表'!$D$15:$R$1094,9,FALSE),"")</f>
        <v/>
      </c>
      <c r="BF196" s="69" t="str">
        <f>IFERROR(VLOOKUP($AQ196,'(勿動)組件目錄表'!$D$15:$R$1094,10,FALSE),"")</f>
        <v/>
      </c>
      <c r="BG196" s="69" t="str">
        <f>IFERROR(VLOOKUP($AQ196,'(勿動)組件目錄表'!$D$15:$R$1094,11,FALSE),"")</f>
        <v/>
      </c>
      <c r="BH196" s="69" t="str">
        <f>IFERROR(VLOOKUP($AQ196,'(勿動)組件目錄表'!$D$15:$R$1094,12,FALSE),"")</f>
        <v/>
      </c>
      <c r="BI196" s="69" t="str">
        <f>IFERROR(VLOOKUP($AQ196,'(勿動)組件目錄表'!$D$15:$R$1094,13,FALSE),"")</f>
        <v/>
      </c>
      <c r="BJ196" s="69" t="str">
        <f>IFERROR(VLOOKUP($AQ196,'(勿動)組件目錄表'!$D$15:$R$1094,14,FALSE),"")</f>
        <v/>
      </c>
      <c r="BK196" s="69" t="str">
        <f>IFERROR(VLOOKUP($AQ196,'(勿動)組件目錄表'!$D$15:$R$1094,15,FALSE),"")</f>
        <v/>
      </c>
      <c r="BL196" s="81">
        <f ca="1">IFERROR(__xludf.DUMMYFUNCTION("IFERROR(
  LET(
    rowData, FILTER('(勿動)組件目錄表'!J:Q, '(勿動)組件目錄表'!D:D=AQ196),
    IF(ROWS(rowData)=0, 0, 
      (
        IF(AND(BC196&lt;&gt;"""", INDEX(rowData,1,1)=BC196),1,0) +
        IF(AND(BD196&lt;&gt;"""", INDEX(rowData,1,2)=BD196),1,0) +
        IF(AND(BE196"&amp;"&lt;&gt;"""", INDEX(rowData,1,3)=BE196),1,0) +
        IF(AND(BF196&lt;&gt;"""", INDEX(rowData,1,4)=BF196),1,0) +
        IF(AND(BG196&lt;&gt;"""", INDEX(rowData,1,5)=BG196),1,0) +
        IF(AND(BH196&lt;&gt;"""", INDEX(rowData,1,6)=BH196),1,0) +
        IF(AND(BI196&lt;&gt;"""", IND"&amp;"EX(rowData,1,7)=BI196),1,0) +
        IF(AND(BJ196&lt;&gt;"""", INDEX(rowData,1,8)=BJ196),1,0)
      ) - COUNTIF(BC196:BJ196, ""-"")
        - COUNTIF(BC196:BJ196, ""固定格式，不需提供資訊"")
        - COUNTIF(BC196:BJ196, ""由MKT更新，此欄位固定格式，不需提供資訊
(Voucher CID：12917705872)"&amp;""")
        - COUNTIF(BC196:BJ196, ""text固定為以下：
※直播間僅支援手機版"")
        - COUNTIF(BC196:BJ196, ""text固定為以下：
※短影音僅支援手機版"")
    )
  ), 
  0
)
"),0)</f>
        <v>0</v>
      </c>
      <c r="BM196" s="77" t="b">
        <v>0</v>
      </c>
      <c r="BN196" s="85"/>
      <c r="BO196" s="85"/>
    </row>
    <row r="197" spans="1:67" ht="30" customHeight="1">
      <c r="A197" s="73" t="str">
        <f t="array" aca="1" ref="A197" ca="1">IFERROR(TRANSPOSE(INDIRECT('MS section版配(Old)'!$AO197)),"")</f>
        <v/>
      </c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88"/>
      <c r="AC197" s="88"/>
      <c r="AD197" s="88"/>
      <c r="AE197" s="397" t="str">
        <f>IFERROR(VLOOKUP($AQ197,'(勿動)組件目錄表'!$D$15:$R$1094,4,FALSE),"")</f>
        <v/>
      </c>
      <c r="AF197" s="384"/>
      <c r="AG197" s="384"/>
      <c r="AH197" s="384"/>
      <c r="AI197" s="384"/>
      <c r="AJ197" s="385"/>
      <c r="AK197" s="54" t="b">
        <v>0</v>
      </c>
      <c r="AL197" s="54" t="b">
        <v>0</v>
      </c>
      <c r="AM197" s="54"/>
      <c r="AN197" s="7" t="str">
        <v>189</v>
      </c>
      <c r="AO197" s="7"/>
      <c r="AP197" s="62"/>
      <c r="AQ197" s="75" t="str">
        <v/>
      </c>
      <c r="AR197" s="75" t="str">
        <v>-</v>
      </c>
      <c r="AS197" s="11"/>
      <c r="AT197" s="77" t="str">
        <v>-</v>
      </c>
      <c r="AU197" s="11" t="str">
        <v>-</v>
      </c>
      <c r="AV197" s="100"/>
      <c r="AW197" s="80" t="str">
        <f ca="1"/>
        <v>-</v>
      </c>
      <c r="AX197" s="86" t="b">
        <v>0</v>
      </c>
      <c r="AY197" s="68" t="str">
        <f t="shared" si="0"/>
        <v/>
      </c>
      <c r="AZ197" s="69" t="str">
        <f t="shared" si="1"/>
        <v/>
      </c>
      <c r="BA197" s="70" t="str">
        <f t="shared" si="2"/>
        <v/>
      </c>
      <c r="BB197" s="68" t="str">
        <f t="shared" si="3"/>
        <v/>
      </c>
      <c r="BC197" s="69" t="str">
        <f>IFERROR(VLOOKUP($AQ197,'(勿動)組件目錄表'!$D$15:$R$1094,7,FALSE),"")</f>
        <v/>
      </c>
      <c r="BD197" s="69" t="str">
        <f>IFERROR(VLOOKUP($AQ197,'(勿動)組件目錄表'!$D$15:$R$1094,8,FALSE),"")</f>
        <v/>
      </c>
      <c r="BE197" s="69" t="str">
        <f>IFERROR(VLOOKUP($AQ197,'(勿動)組件目錄表'!$D$15:$R$1094,9,FALSE),"")</f>
        <v/>
      </c>
      <c r="BF197" s="69" t="str">
        <f>IFERROR(VLOOKUP($AQ197,'(勿動)組件目錄表'!$D$15:$R$1094,10,FALSE),"")</f>
        <v/>
      </c>
      <c r="BG197" s="69" t="str">
        <f>IFERROR(VLOOKUP($AQ197,'(勿動)組件目錄表'!$D$15:$R$1094,11,FALSE),"")</f>
        <v/>
      </c>
      <c r="BH197" s="69" t="str">
        <f>IFERROR(VLOOKUP($AQ197,'(勿動)組件目錄表'!$D$15:$R$1094,12,FALSE),"")</f>
        <v/>
      </c>
      <c r="BI197" s="69" t="str">
        <f>IFERROR(VLOOKUP($AQ197,'(勿動)組件目錄表'!$D$15:$R$1094,13,FALSE),"")</f>
        <v/>
      </c>
      <c r="BJ197" s="69" t="str">
        <f>IFERROR(VLOOKUP($AQ197,'(勿動)組件目錄表'!$D$15:$R$1094,14,FALSE),"")</f>
        <v/>
      </c>
      <c r="BK197" s="69" t="str">
        <f>IFERROR(VLOOKUP($AQ197,'(勿動)組件目錄表'!$D$15:$R$1094,15,FALSE),"")</f>
        <v/>
      </c>
      <c r="BL197" s="81">
        <f ca="1">IFERROR(__xludf.DUMMYFUNCTION("IFERROR(
  LET(
    rowData, FILTER('(勿動)組件目錄表'!J:Q, '(勿動)組件目錄表'!D:D=AQ197),
    IF(ROWS(rowData)=0, 0, 
      (
        IF(AND(BC197&lt;&gt;"""", INDEX(rowData,1,1)=BC197),1,0) +
        IF(AND(BD197&lt;&gt;"""", INDEX(rowData,1,2)=BD197),1,0) +
        IF(AND(BE197"&amp;"&lt;&gt;"""", INDEX(rowData,1,3)=BE197),1,0) +
        IF(AND(BF197&lt;&gt;"""", INDEX(rowData,1,4)=BF197),1,0) +
        IF(AND(BG197&lt;&gt;"""", INDEX(rowData,1,5)=BG197),1,0) +
        IF(AND(BH197&lt;&gt;"""", INDEX(rowData,1,6)=BH197),1,0) +
        IF(AND(BI197&lt;&gt;"""", IND"&amp;"EX(rowData,1,7)=BI197),1,0) +
        IF(AND(BJ197&lt;&gt;"""", INDEX(rowData,1,8)=BJ197),1,0)
      ) - COUNTIF(BC197:BJ197, ""-"")
        - COUNTIF(BC197:BJ197, ""固定格式，不需提供資訊"")
        - COUNTIF(BC197:BJ197, ""由MKT更新，此欄位固定格式，不需提供資訊
(Voucher CID：12917705872)"&amp;""")
        - COUNTIF(BC197:BJ197, ""text固定為以下：
※直播間僅支援手機版"")
        - COUNTIF(BC197:BJ197, ""text固定為以下：
※短影音僅支援手機版"")
    )
  ), 
  0
)
"),0)</f>
        <v>0</v>
      </c>
      <c r="BM197" s="77" t="b">
        <v>0</v>
      </c>
      <c r="BN197" s="85"/>
      <c r="BO197" s="85"/>
    </row>
    <row r="198" spans="1:67" ht="30" customHeight="1">
      <c r="A198" s="73" t="str">
        <f t="array" aca="1" ref="A198" ca="1">IFERROR(TRANSPOSE(INDIRECT('MS section版配(Old)'!$AO198)),"")</f>
        <v/>
      </c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88"/>
      <c r="AC198" s="88"/>
      <c r="AD198" s="88"/>
      <c r="AE198" s="397" t="str">
        <f>IFERROR(VLOOKUP($AQ198,'(勿動)組件目錄表'!$D$15:$R$1094,4,FALSE),"")</f>
        <v/>
      </c>
      <c r="AF198" s="384"/>
      <c r="AG198" s="384"/>
      <c r="AH198" s="384"/>
      <c r="AI198" s="384"/>
      <c r="AJ198" s="385"/>
      <c r="AK198" s="54" t="b">
        <v>0</v>
      </c>
      <c r="AL198" s="54" t="b">
        <v>0</v>
      </c>
      <c r="AM198" s="54"/>
      <c r="AN198" s="7" t="str">
        <v>190</v>
      </c>
      <c r="AO198" s="7"/>
      <c r="AP198" s="62"/>
      <c r="AQ198" s="75" t="str">
        <v/>
      </c>
      <c r="AR198" s="75" t="str">
        <v>-</v>
      </c>
      <c r="AS198" s="11"/>
      <c r="AT198" s="77" t="str">
        <v>-</v>
      </c>
      <c r="AU198" s="11" t="str">
        <v>-</v>
      </c>
      <c r="AV198" s="100"/>
      <c r="AW198" s="80" t="str">
        <f ca="1"/>
        <v>-</v>
      </c>
      <c r="AX198" s="86" t="b">
        <v>0</v>
      </c>
      <c r="AY198" s="68" t="str">
        <f t="shared" si="0"/>
        <v/>
      </c>
      <c r="AZ198" s="69" t="str">
        <f t="shared" si="1"/>
        <v/>
      </c>
      <c r="BA198" s="70" t="str">
        <f t="shared" si="2"/>
        <v/>
      </c>
      <c r="BB198" s="68" t="str">
        <f t="shared" si="3"/>
        <v/>
      </c>
      <c r="BC198" s="69" t="str">
        <f>IFERROR(VLOOKUP($AQ198,'(勿動)組件目錄表'!$D$15:$R$1094,7,FALSE),"")</f>
        <v/>
      </c>
      <c r="BD198" s="69" t="str">
        <f>IFERROR(VLOOKUP($AQ198,'(勿動)組件目錄表'!$D$15:$R$1094,8,FALSE),"")</f>
        <v/>
      </c>
      <c r="BE198" s="69" t="str">
        <f>IFERROR(VLOOKUP($AQ198,'(勿動)組件目錄表'!$D$15:$R$1094,9,FALSE),"")</f>
        <v/>
      </c>
      <c r="BF198" s="69" t="str">
        <f>IFERROR(VLOOKUP($AQ198,'(勿動)組件目錄表'!$D$15:$R$1094,10,FALSE),"")</f>
        <v/>
      </c>
      <c r="BG198" s="69" t="str">
        <f>IFERROR(VLOOKUP($AQ198,'(勿動)組件目錄表'!$D$15:$R$1094,11,FALSE),"")</f>
        <v/>
      </c>
      <c r="BH198" s="69" t="str">
        <f>IFERROR(VLOOKUP($AQ198,'(勿動)組件目錄表'!$D$15:$R$1094,12,FALSE),"")</f>
        <v/>
      </c>
      <c r="BI198" s="69" t="str">
        <f>IFERROR(VLOOKUP($AQ198,'(勿動)組件目錄表'!$D$15:$R$1094,13,FALSE),"")</f>
        <v/>
      </c>
      <c r="BJ198" s="69" t="str">
        <f>IFERROR(VLOOKUP($AQ198,'(勿動)組件目錄表'!$D$15:$R$1094,14,FALSE),"")</f>
        <v/>
      </c>
      <c r="BK198" s="69" t="str">
        <f>IFERROR(VLOOKUP($AQ198,'(勿動)組件目錄表'!$D$15:$R$1094,15,FALSE),"")</f>
        <v/>
      </c>
      <c r="BL198" s="81">
        <f ca="1">IFERROR(__xludf.DUMMYFUNCTION("IFERROR(
  LET(
    rowData, FILTER('(勿動)組件目錄表'!J:Q, '(勿動)組件目錄表'!D:D=AQ198),
    IF(ROWS(rowData)=0, 0, 
      (
        IF(AND(BC198&lt;&gt;"""", INDEX(rowData,1,1)=BC198),1,0) +
        IF(AND(BD198&lt;&gt;"""", INDEX(rowData,1,2)=BD198),1,0) +
        IF(AND(BE198"&amp;"&lt;&gt;"""", INDEX(rowData,1,3)=BE198),1,0) +
        IF(AND(BF198&lt;&gt;"""", INDEX(rowData,1,4)=BF198),1,0) +
        IF(AND(BG198&lt;&gt;"""", INDEX(rowData,1,5)=BG198),1,0) +
        IF(AND(BH198&lt;&gt;"""", INDEX(rowData,1,6)=BH198),1,0) +
        IF(AND(BI198&lt;&gt;"""", IND"&amp;"EX(rowData,1,7)=BI198),1,0) +
        IF(AND(BJ198&lt;&gt;"""", INDEX(rowData,1,8)=BJ198),1,0)
      ) - COUNTIF(BC198:BJ198, ""-"")
        - COUNTIF(BC198:BJ198, ""固定格式，不需提供資訊"")
        - COUNTIF(BC198:BJ198, ""由MKT更新，此欄位固定格式，不需提供資訊
(Voucher CID：12917705872)"&amp;""")
        - COUNTIF(BC198:BJ198, ""text固定為以下：
※直播間僅支援手機版"")
        - COUNTIF(BC198:BJ198, ""text固定為以下：
※短影音僅支援手機版"")
    )
  ), 
  0
)
"),0)</f>
        <v>0</v>
      </c>
      <c r="BM198" s="77" t="b">
        <v>0</v>
      </c>
      <c r="BN198" s="85"/>
      <c r="BO198" s="85"/>
    </row>
    <row r="199" spans="1:67" ht="30" customHeight="1">
      <c r="A199" s="73" t="str">
        <f t="array" aca="1" ref="A199" ca="1">IFERROR(TRANSPOSE(INDIRECT('MS section版配(Old)'!$AO199)),"")</f>
        <v/>
      </c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88"/>
      <c r="AC199" s="88"/>
      <c r="AD199" s="88"/>
      <c r="AE199" s="397" t="str">
        <f>IFERROR(VLOOKUP($AQ199,'(勿動)組件目錄表'!$D$15:$R$1094,4,FALSE),"")</f>
        <v/>
      </c>
      <c r="AF199" s="384"/>
      <c r="AG199" s="384"/>
      <c r="AH199" s="384"/>
      <c r="AI199" s="384"/>
      <c r="AJ199" s="385"/>
      <c r="AK199" s="54" t="b">
        <v>0</v>
      </c>
      <c r="AL199" s="54" t="b">
        <v>0</v>
      </c>
      <c r="AM199" s="54"/>
      <c r="AN199" s="7" t="str">
        <v>191</v>
      </c>
      <c r="AO199" s="7"/>
      <c r="AP199" s="62"/>
      <c r="AQ199" s="75" t="str">
        <v/>
      </c>
      <c r="AR199" s="75" t="str">
        <v>-</v>
      </c>
      <c r="AS199" s="11"/>
      <c r="AT199" s="77" t="str">
        <v>-</v>
      </c>
      <c r="AU199" s="11" t="str">
        <v>-</v>
      </c>
      <c r="AV199" s="100"/>
      <c r="AW199" s="80" t="str">
        <f ca="1"/>
        <v>-</v>
      </c>
      <c r="AX199" s="86" t="b">
        <v>0</v>
      </c>
      <c r="AY199" s="68" t="str">
        <f t="shared" si="0"/>
        <v/>
      </c>
      <c r="AZ199" s="69" t="str">
        <f t="shared" si="1"/>
        <v/>
      </c>
      <c r="BA199" s="70" t="str">
        <f t="shared" si="2"/>
        <v/>
      </c>
      <c r="BB199" s="68" t="str">
        <f t="shared" si="3"/>
        <v/>
      </c>
      <c r="BC199" s="69" t="str">
        <f>IFERROR(VLOOKUP($AQ199,'(勿動)組件目錄表'!$D$15:$R$1094,7,FALSE),"")</f>
        <v/>
      </c>
      <c r="BD199" s="69" t="str">
        <f>IFERROR(VLOOKUP($AQ199,'(勿動)組件目錄表'!$D$15:$R$1094,8,FALSE),"")</f>
        <v/>
      </c>
      <c r="BE199" s="69" t="str">
        <f>IFERROR(VLOOKUP($AQ199,'(勿動)組件目錄表'!$D$15:$R$1094,9,FALSE),"")</f>
        <v/>
      </c>
      <c r="BF199" s="69" t="str">
        <f>IFERROR(VLOOKUP($AQ199,'(勿動)組件目錄表'!$D$15:$R$1094,10,FALSE),"")</f>
        <v/>
      </c>
      <c r="BG199" s="69" t="str">
        <f>IFERROR(VLOOKUP($AQ199,'(勿動)組件目錄表'!$D$15:$R$1094,11,FALSE),"")</f>
        <v/>
      </c>
      <c r="BH199" s="69" t="str">
        <f>IFERROR(VLOOKUP($AQ199,'(勿動)組件目錄表'!$D$15:$R$1094,12,FALSE),"")</f>
        <v/>
      </c>
      <c r="BI199" s="69" t="str">
        <f>IFERROR(VLOOKUP($AQ199,'(勿動)組件目錄表'!$D$15:$R$1094,13,FALSE),"")</f>
        <v/>
      </c>
      <c r="BJ199" s="69" t="str">
        <f>IFERROR(VLOOKUP($AQ199,'(勿動)組件目錄表'!$D$15:$R$1094,14,FALSE),"")</f>
        <v/>
      </c>
      <c r="BK199" s="69" t="str">
        <f>IFERROR(VLOOKUP($AQ199,'(勿動)組件目錄表'!$D$15:$R$1094,15,FALSE),"")</f>
        <v/>
      </c>
      <c r="BL199" s="81">
        <f ca="1">IFERROR(__xludf.DUMMYFUNCTION("IFERROR(
  LET(
    rowData, FILTER('(勿動)組件目錄表'!J:Q, '(勿動)組件目錄表'!D:D=AQ199),
    IF(ROWS(rowData)=0, 0, 
      (
        IF(AND(BC199&lt;&gt;"""", INDEX(rowData,1,1)=BC199),1,0) +
        IF(AND(BD199&lt;&gt;"""", INDEX(rowData,1,2)=BD199),1,0) +
        IF(AND(BE199"&amp;"&lt;&gt;"""", INDEX(rowData,1,3)=BE199),1,0) +
        IF(AND(BF199&lt;&gt;"""", INDEX(rowData,1,4)=BF199),1,0) +
        IF(AND(BG199&lt;&gt;"""", INDEX(rowData,1,5)=BG199),1,0) +
        IF(AND(BH199&lt;&gt;"""", INDEX(rowData,1,6)=BH199),1,0) +
        IF(AND(BI199&lt;&gt;"""", IND"&amp;"EX(rowData,1,7)=BI199),1,0) +
        IF(AND(BJ199&lt;&gt;"""", INDEX(rowData,1,8)=BJ199),1,0)
      ) - COUNTIF(BC199:BJ199, ""-"")
        - COUNTIF(BC199:BJ199, ""固定格式，不需提供資訊"")
        - COUNTIF(BC199:BJ199, ""由MKT更新，此欄位固定格式，不需提供資訊
(Voucher CID：12917705872)"&amp;""")
        - COUNTIF(BC199:BJ199, ""text固定為以下：
※直播間僅支援手機版"")
        - COUNTIF(BC199:BJ199, ""text固定為以下：
※短影音僅支援手機版"")
    )
  ), 
  0
)
"),0)</f>
        <v>0</v>
      </c>
      <c r="BM199" s="77" t="b">
        <v>0</v>
      </c>
      <c r="BN199" s="85"/>
      <c r="BO199" s="85"/>
    </row>
    <row r="200" spans="1:67" ht="30" customHeight="1">
      <c r="A200" s="73" t="str">
        <f t="array" aca="1" ref="A200" ca="1">IFERROR(TRANSPOSE(INDIRECT('MS section版配(Old)'!$AO200)),"")</f>
        <v/>
      </c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88"/>
      <c r="AC200" s="88"/>
      <c r="AD200" s="88"/>
      <c r="AE200" s="397" t="str">
        <f>IFERROR(VLOOKUP($AQ200,'(勿動)組件目錄表'!$D$15:$R$1094,4,FALSE),"")</f>
        <v/>
      </c>
      <c r="AF200" s="384"/>
      <c r="AG200" s="384"/>
      <c r="AH200" s="384"/>
      <c r="AI200" s="384"/>
      <c r="AJ200" s="385"/>
      <c r="AK200" s="54" t="b">
        <v>0</v>
      </c>
      <c r="AL200" s="54" t="b">
        <v>0</v>
      </c>
      <c r="AM200" s="54"/>
      <c r="AN200" s="7" t="str">
        <v>192</v>
      </c>
      <c r="AO200" s="7"/>
      <c r="AP200" s="62"/>
      <c r="AQ200" s="75" t="str">
        <v/>
      </c>
      <c r="AR200" s="75" t="str">
        <v>-</v>
      </c>
      <c r="AS200" s="11"/>
      <c r="AT200" s="77" t="str">
        <v>-</v>
      </c>
      <c r="AU200" s="11" t="str">
        <v>-</v>
      </c>
      <c r="AV200" s="100"/>
      <c r="AW200" s="80" t="str">
        <f ca="1"/>
        <v>-</v>
      </c>
      <c r="AX200" s="86" t="b">
        <v>0</v>
      </c>
      <c r="AY200" s="68" t="str">
        <f t="shared" si="0"/>
        <v/>
      </c>
      <c r="AZ200" s="69" t="str">
        <f t="shared" si="1"/>
        <v/>
      </c>
      <c r="BA200" s="70" t="str">
        <f t="shared" si="2"/>
        <v/>
      </c>
      <c r="BB200" s="68" t="str">
        <f t="shared" si="3"/>
        <v/>
      </c>
      <c r="BC200" s="69" t="str">
        <f>IFERROR(VLOOKUP($AQ200,'(勿動)組件目錄表'!$D$15:$R$1094,7,FALSE),"")</f>
        <v/>
      </c>
      <c r="BD200" s="69" t="str">
        <f>IFERROR(VLOOKUP($AQ200,'(勿動)組件目錄表'!$D$15:$R$1094,8,FALSE),"")</f>
        <v/>
      </c>
      <c r="BE200" s="69" t="str">
        <f>IFERROR(VLOOKUP($AQ200,'(勿動)組件目錄表'!$D$15:$R$1094,9,FALSE),"")</f>
        <v/>
      </c>
      <c r="BF200" s="69" t="str">
        <f>IFERROR(VLOOKUP($AQ200,'(勿動)組件目錄表'!$D$15:$R$1094,10,FALSE),"")</f>
        <v/>
      </c>
      <c r="BG200" s="69" t="str">
        <f>IFERROR(VLOOKUP($AQ200,'(勿動)組件目錄表'!$D$15:$R$1094,11,FALSE),"")</f>
        <v/>
      </c>
      <c r="BH200" s="69" t="str">
        <f>IFERROR(VLOOKUP($AQ200,'(勿動)組件目錄表'!$D$15:$R$1094,12,FALSE),"")</f>
        <v/>
      </c>
      <c r="BI200" s="69" t="str">
        <f>IFERROR(VLOOKUP($AQ200,'(勿動)組件目錄表'!$D$15:$R$1094,13,FALSE),"")</f>
        <v/>
      </c>
      <c r="BJ200" s="69" t="str">
        <f>IFERROR(VLOOKUP($AQ200,'(勿動)組件目錄表'!$D$15:$R$1094,14,FALSE),"")</f>
        <v/>
      </c>
      <c r="BK200" s="69" t="str">
        <f>IFERROR(VLOOKUP($AQ200,'(勿動)組件目錄表'!$D$15:$R$1094,15,FALSE),"")</f>
        <v/>
      </c>
      <c r="BL200" s="81">
        <f ca="1">IFERROR(__xludf.DUMMYFUNCTION("IFERROR(
  LET(
    rowData, FILTER('(勿動)組件目錄表'!J:Q, '(勿動)組件目錄表'!D:D=AQ200),
    IF(ROWS(rowData)=0, 0, 
      (
        IF(AND(BC200&lt;&gt;"""", INDEX(rowData,1,1)=BC200),1,0) +
        IF(AND(BD200&lt;&gt;"""", INDEX(rowData,1,2)=BD200),1,0) +
        IF(AND(BE200"&amp;"&lt;&gt;"""", INDEX(rowData,1,3)=BE200),1,0) +
        IF(AND(BF200&lt;&gt;"""", INDEX(rowData,1,4)=BF200),1,0) +
        IF(AND(BG200&lt;&gt;"""", INDEX(rowData,1,5)=BG200),1,0) +
        IF(AND(BH200&lt;&gt;"""", INDEX(rowData,1,6)=BH200),1,0) +
        IF(AND(BI200&lt;&gt;"""", IND"&amp;"EX(rowData,1,7)=BI200),1,0) +
        IF(AND(BJ200&lt;&gt;"""", INDEX(rowData,1,8)=BJ200),1,0)
      ) - COUNTIF(BC200:BJ200, ""-"")
        - COUNTIF(BC200:BJ200, ""固定格式，不需提供資訊"")
        - COUNTIF(BC200:BJ200, ""由MKT更新，此欄位固定格式，不需提供資訊
(Voucher CID：12917705872)"&amp;""")
        - COUNTIF(BC200:BJ200, ""text固定為以下：
※直播間僅支援手機版"")
        - COUNTIF(BC200:BJ200, ""text固定為以下：
※短影音僅支援手機版"")
    )
  ), 
  0
)
"),0)</f>
        <v>0</v>
      </c>
      <c r="BM200" s="77" t="b">
        <v>0</v>
      </c>
      <c r="BN200" s="85"/>
      <c r="BO200" s="85"/>
    </row>
    <row r="201" spans="1:67" ht="30" customHeight="1">
      <c r="A201" s="73" t="str">
        <f t="array" aca="1" ref="A201" ca="1">IFERROR(TRANSPOSE(INDIRECT('MS section版配(Old)'!$AO201)),"")</f>
        <v/>
      </c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88"/>
      <c r="AC201" s="88"/>
      <c r="AD201" s="88"/>
      <c r="AE201" s="397" t="str">
        <f>IFERROR(VLOOKUP($AQ201,'(勿動)組件目錄表'!$D$15:$R$1094,4,FALSE),"")</f>
        <v/>
      </c>
      <c r="AF201" s="384"/>
      <c r="AG201" s="384"/>
      <c r="AH201" s="384"/>
      <c r="AI201" s="384"/>
      <c r="AJ201" s="385"/>
      <c r="AK201" s="54" t="b">
        <v>0</v>
      </c>
      <c r="AL201" s="54" t="b">
        <v>0</v>
      </c>
      <c r="AM201" s="54"/>
      <c r="AN201" s="7" t="str">
        <v>193</v>
      </c>
      <c r="AO201" s="7"/>
      <c r="AP201" s="62"/>
      <c r="AQ201" s="75" t="str">
        <v/>
      </c>
      <c r="AR201" s="75" t="str">
        <v>-</v>
      </c>
      <c r="AS201" s="11"/>
      <c r="AT201" s="77" t="str">
        <v>-</v>
      </c>
      <c r="AU201" s="11" t="str">
        <v>-</v>
      </c>
      <c r="AV201" s="100"/>
      <c r="AW201" s="80" t="str">
        <f ca="1"/>
        <v>-</v>
      </c>
      <c r="AX201" s="86" t="b">
        <v>0</v>
      </c>
      <c r="AY201" s="68" t="str">
        <f t="shared" si="0"/>
        <v/>
      </c>
      <c r="AZ201" s="69" t="str">
        <f t="shared" si="1"/>
        <v/>
      </c>
      <c r="BA201" s="70" t="str">
        <f t="shared" si="2"/>
        <v/>
      </c>
      <c r="BB201" s="68" t="str">
        <f t="shared" si="3"/>
        <v/>
      </c>
      <c r="BC201" s="69" t="str">
        <f>IFERROR(VLOOKUP($AQ201,'(勿動)組件目錄表'!$D$15:$R$1094,7,FALSE),"")</f>
        <v/>
      </c>
      <c r="BD201" s="69" t="str">
        <f>IFERROR(VLOOKUP($AQ201,'(勿動)組件目錄表'!$D$15:$R$1094,8,FALSE),"")</f>
        <v/>
      </c>
      <c r="BE201" s="69" t="str">
        <f>IFERROR(VLOOKUP($AQ201,'(勿動)組件目錄表'!$D$15:$R$1094,9,FALSE),"")</f>
        <v/>
      </c>
      <c r="BF201" s="69" t="str">
        <f>IFERROR(VLOOKUP($AQ201,'(勿動)組件目錄表'!$D$15:$R$1094,10,FALSE),"")</f>
        <v/>
      </c>
      <c r="BG201" s="69" t="str">
        <f>IFERROR(VLOOKUP($AQ201,'(勿動)組件目錄表'!$D$15:$R$1094,11,FALSE),"")</f>
        <v/>
      </c>
      <c r="BH201" s="69" t="str">
        <f>IFERROR(VLOOKUP($AQ201,'(勿動)組件目錄表'!$D$15:$R$1094,12,FALSE),"")</f>
        <v/>
      </c>
      <c r="BI201" s="69" t="str">
        <f>IFERROR(VLOOKUP($AQ201,'(勿動)組件目錄表'!$D$15:$R$1094,13,FALSE),"")</f>
        <v/>
      </c>
      <c r="BJ201" s="69" t="str">
        <f>IFERROR(VLOOKUP($AQ201,'(勿動)組件目錄表'!$D$15:$R$1094,14,FALSE),"")</f>
        <v/>
      </c>
      <c r="BK201" s="69" t="str">
        <f>IFERROR(VLOOKUP($AQ201,'(勿動)組件目錄表'!$D$15:$R$1094,15,FALSE),"")</f>
        <v/>
      </c>
      <c r="BL201" s="81">
        <f ca="1">IFERROR(__xludf.DUMMYFUNCTION("IFERROR(
  LET(
    rowData, FILTER('(勿動)組件目錄表'!J:Q, '(勿動)組件目錄表'!D:D=AQ201),
    IF(ROWS(rowData)=0, 0, 
      (
        IF(AND(BC201&lt;&gt;"""", INDEX(rowData,1,1)=BC201),1,0) +
        IF(AND(BD201&lt;&gt;"""", INDEX(rowData,1,2)=BD201),1,0) +
        IF(AND(BE201"&amp;"&lt;&gt;"""", INDEX(rowData,1,3)=BE201),1,0) +
        IF(AND(BF201&lt;&gt;"""", INDEX(rowData,1,4)=BF201),1,0) +
        IF(AND(BG201&lt;&gt;"""", INDEX(rowData,1,5)=BG201),1,0) +
        IF(AND(BH201&lt;&gt;"""", INDEX(rowData,1,6)=BH201),1,0) +
        IF(AND(BI201&lt;&gt;"""", IND"&amp;"EX(rowData,1,7)=BI201),1,0) +
        IF(AND(BJ201&lt;&gt;"""", INDEX(rowData,1,8)=BJ201),1,0)
      ) - COUNTIF(BC201:BJ201, ""-"")
        - COUNTIF(BC201:BJ201, ""固定格式，不需提供資訊"")
        - COUNTIF(BC201:BJ201, ""由MKT更新，此欄位固定格式，不需提供資訊
(Voucher CID：12917705872)"&amp;""")
        - COUNTIF(BC201:BJ201, ""text固定為以下：
※直播間僅支援手機版"")
        - COUNTIF(BC201:BJ201, ""text固定為以下：
※短影音僅支援手機版"")
    )
  ), 
  0
)
"),0)</f>
        <v>0</v>
      </c>
      <c r="BM201" s="77" t="b">
        <v>0</v>
      </c>
      <c r="BN201" s="85"/>
      <c r="BO201" s="85"/>
    </row>
    <row r="202" spans="1:67" ht="30" customHeight="1">
      <c r="A202" s="73" t="str">
        <f t="array" aca="1" ref="A202" ca="1">IFERROR(TRANSPOSE(INDIRECT('MS section版配(Old)'!$AO202)),"")</f>
        <v/>
      </c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88"/>
      <c r="AC202" s="88"/>
      <c r="AD202" s="88"/>
      <c r="AE202" s="397" t="str">
        <f>IFERROR(VLOOKUP($AQ202,'(勿動)組件目錄表'!$D$15:$R$1094,4,FALSE),"")</f>
        <v/>
      </c>
      <c r="AF202" s="384"/>
      <c r="AG202" s="384"/>
      <c r="AH202" s="384"/>
      <c r="AI202" s="384"/>
      <c r="AJ202" s="385"/>
      <c r="AK202" s="54" t="b">
        <v>0</v>
      </c>
      <c r="AL202" s="54" t="b">
        <v>0</v>
      </c>
      <c r="AM202" s="54"/>
      <c r="AN202" s="7" t="str">
        <v>194</v>
      </c>
      <c r="AO202" s="7"/>
      <c r="AP202" s="62"/>
      <c r="AQ202" s="75" t="str">
        <v/>
      </c>
      <c r="AR202" s="75" t="str">
        <v>-</v>
      </c>
      <c r="AS202" s="11"/>
      <c r="AT202" s="77" t="str">
        <v>-</v>
      </c>
      <c r="AU202" s="11" t="str">
        <v>-</v>
      </c>
      <c r="AV202" s="100"/>
      <c r="AW202" s="80" t="str">
        <f ca="1"/>
        <v>-</v>
      </c>
      <c r="AX202" s="86" t="b">
        <v>0</v>
      </c>
      <c r="AY202" s="68" t="str">
        <f t="shared" si="0"/>
        <v/>
      </c>
      <c r="AZ202" s="69" t="str">
        <f t="shared" si="1"/>
        <v/>
      </c>
      <c r="BA202" s="70" t="str">
        <f t="shared" si="2"/>
        <v/>
      </c>
      <c r="BB202" s="68" t="str">
        <f t="shared" si="3"/>
        <v/>
      </c>
      <c r="BC202" s="69" t="str">
        <f>IFERROR(VLOOKUP($AQ202,'(勿動)組件目錄表'!$D$15:$R$1094,7,FALSE),"")</f>
        <v/>
      </c>
      <c r="BD202" s="69" t="str">
        <f>IFERROR(VLOOKUP($AQ202,'(勿動)組件目錄表'!$D$15:$R$1094,8,FALSE),"")</f>
        <v/>
      </c>
      <c r="BE202" s="69" t="str">
        <f>IFERROR(VLOOKUP($AQ202,'(勿動)組件目錄表'!$D$15:$R$1094,9,FALSE),"")</f>
        <v/>
      </c>
      <c r="BF202" s="69" t="str">
        <f>IFERROR(VLOOKUP($AQ202,'(勿動)組件目錄表'!$D$15:$R$1094,10,FALSE),"")</f>
        <v/>
      </c>
      <c r="BG202" s="69" t="str">
        <f>IFERROR(VLOOKUP($AQ202,'(勿動)組件目錄表'!$D$15:$R$1094,11,FALSE),"")</f>
        <v/>
      </c>
      <c r="BH202" s="69" t="str">
        <f>IFERROR(VLOOKUP($AQ202,'(勿動)組件目錄表'!$D$15:$R$1094,12,FALSE),"")</f>
        <v/>
      </c>
      <c r="BI202" s="69" t="str">
        <f>IFERROR(VLOOKUP($AQ202,'(勿動)組件目錄表'!$D$15:$R$1094,13,FALSE),"")</f>
        <v/>
      </c>
      <c r="BJ202" s="69" t="str">
        <f>IFERROR(VLOOKUP($AQ202,'(勿動)組件目錄表'!$D$15:$R$1094,14,FALSE),"")</f>
        <v/>
      </c>
      <c r="BK202" s="69" t="str">
        <f>IFERROR(VLOOKUP($AQ202,'(勿動)組件目錄表'!$D$15:$R$1094,15,FALSE),"")</f>
        <v/>
      </c>
      <c r="BL202" s="81">
        <f ca="1">IFERROR(__xludf.DUMMYFUNCTION("IFERROR(
  LET(
    rowData, FILTER('(勿動)組件目錄表'!J:Q, '(勿動)組件目錄表'!D:D=AQ202),
    IF(ROWS(rowData)=0, 0, 
      (
        IF(AND(BC202&lt;&gt;"""", INDEX(rowData,1,1)=BC202),1,0) +
        IF(AND(BD202&lt;&gt;"""", INDEX(rowData,1,2)=BD202),1,0) +
        IF(AND(BE202"&amp;"&lt;&gt;"""", INDEX(rowData,1,3)=BE202),1,0) +
        IF(AND(BF202&lt;&gt;"""", INDEX(rowData,1,4)=BF202),1,0) +
        IF(AND(BG202&lt;&gt;"""", INDEX(rowData,1,5)=BG202),1,0) +
        IF(AND(BH202&lt;&gt;"""", INDEX(rowData,1,6)=BH202),1,0) +
        IF(AND(BI202&lt;&gt;"""", IND"&amp;"EX(rowData,1,7)=BI202),1,0) +
        IF(AND(BJ202&lt;&gt;"""", INDEX(rowData,1,8)=BJ202),1,0)
      ) - COUNTIF(BC202:BJ202, ""-"")
        - COUNTIF(BC202:BJ202, ""固定格式，不需提供資訊"")
        - COUNTIF(BC202:BJ202, ""由MKT更新，此欄位固定格式，不需提供資訊
(Voucher CID：12917705872)"&amp;""")
        - COUNTIF(BC202:BJ202, ""text固定為以下：
※直播間僅支援手機版"")
        - COUNTIF(BC202:BJ202, ""text固定為以下：
※短影音僅支援手機版"")
    )
  ), 
  0
)
"),0)</f>
        <v>0</v>
      </c>
      <c r="BM202" s="77" t="b">
        <v>0</v>
      </c>
      <c r="BN202" s="85"/>
      <c r="BO202" s="85"/>
    </row>
    <row r="203" spans="1:67" ht="30" customHeight="1">
      <c r="A203" s="73" t="str">
        <f t="array" aca="1" ref="A203" ca="1">IFERROR(TRANSPOSE(INDIRECT('MS section版配(Old)'!$AO203)),"")</f>
        <v/>
      </c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88"/>
      <c r="AC203" s="88"/>
      <c r="AD203" s="88"/>
      <c r="AE203" s="397" t="str">
        <f>IFERROR(VLOOKUP($AQ203,'(勿動)組件目錄表'!$D$15:$R$1094,4,FALSE),"")</f>
        <v/>
      </c>
      <c r="AF203" s="384"/>
      <c r="AG203" s="384"/>
      <c r="AH203" s="384"/>
      <c r="AI203" s="384"/>
      <c r="AJ203" s="385"/>
      <c r="AK203" s="54" t="b">
        <v>0</v>
      </c>
      <c r="AL203" s="54" t="b">
        <v>0</v>
      </c>
      <c r="AM203" s="54"/>
      <c r="AN203" s="7" t="str">
        <v>195</v>
      </c>
      <c r="AO203" s="7"/>
      <c r="AP203" s="62"/>
      <c r="AQ203" s="75" t="str">
        <v/>
      </c>
      <c r="AR203" s="75" t="str">
        <v>-</v>
      </c>
      <c r="AS203" s="11"/>
      <c r="AT203" s="77" t="str">
        <v>-</v>
      </c>
      <c r="AU203" s="11" t="str">
        <v>-</v>
      </c>
      <c r="AV203" s="100"/>
      <c r="AW203" s="80" t="str">
        <f ca="1"/>
        <v>-</v>
      </c>
      <c r="AX203" s="86" t="b">
        <v>0</v>
      </c>
      <c r="AY203" s="68" t="str">
        <f t="shared" si="0"/>
        <v/>
      </c>
      <c r="AZ203" s="69" t="str">
        <f t="shared" si="1"/>
        <v/>
      </c>
      <c r="BA203" s="70" t="str">
        <f t="shared" si="2"/>
        <v/>
      </c>
      <c r="BB203" s="68" t="str">
        <f t="shared" si="3"/>
        <v/>
      </c>
      <c r="BC203" s="69" t="str">
        <f>IFERROR(VLOOKUP($AQ203,'(勿動)組件目錄表'!$D$15:$R$1094,7,FALSE),"")</f>
        <v/>
      </c>
      <c r="BD203" s="69" t="str">
        <f>IFERROR(VLOOKUP($AQ203,'(勿動)組件目錄表'!$D$15:$R$1094,8,FALSE),"")</f>
        <v/>
      </c>
      <c r="BE203" s="69" t="str">
        <f>IFERROR(VLOOKUP($AQ203,'(勿動)組件目錄表'!$D$15:$R$1094,9,FALSE),"")</f>
        <v/>
      </c>
      <c r="BF203" s="69" t="str">
        <f>IFERROR(VLOOKUP($AQ203,'(勿動)組件目錄表'!$D$15:$R$1094,10,FALSE),"")</f>
        <v/>
      </c>
      <c r="BG203" s="69" t="str">
        <f>IFERROR(VLOOKUP($AQ203,'(勿動)組件目錄表'!$D$15:$R$1094,11,FALSE),"")</f>
        <v/>
      </c>
      <c r="BH203" s="69" t="str">
        <f>IFERROR(VLOOKUP($AQ203,'(勿動)組件目錄表'!$D$15:$R$1094,12,FALSE),"")</f>
        <v/>
      </c>
      <c r="BI203" s="69" t="str">
        <f>IFERROR(VLOOKUP($AQ203,'(勿動)組件目錄表'!$D$15:$R$1094,13,FALSE),"")</f>
        <v/>
      </c>
      <c r="BJ203" s="69" t="str">
        <f>IFERROR(VLOOKUP($AQ203,'(勿動)組件目錄表'!$D$15:$R$1094,14,FALSE),"")</f>
        <v/>
      </c>
      <c r="BK203" s="69" t="str">
        <f>IFERROR(VLOOKUP($AQ203,'(勿動)組件目錄表'!$D$15:$R$1094,15,FALSE),"")</f>
        <v/>
      </c>
      <c r="BL203" s="81">
        <f ca="1">IFERROR(__xludf.DUMMYFUNCTION("IFERROR(
  LET(
    rowData, FILTER('(勿動)組件目錄表'!J:Q, '(勿動)組件目錄表'!D:D=AQ203),
    IF(ROWS(rowData)=0, 0, 
      (
        IF(AND(BC203&lt;&gt;"""", INDEX(rowData,1,1)=BC203),1,0) +
        IF(AND(BD203&lt;&gt;"""", INDEX(rowData,1,2)=BD203),1,0) +
        IF(AND(BE203"&amp;"&lt;&gt;"""", INDEX(rowData,1,3)=BE203),1,0) +
        IF(AND(BF203&lt;&gt;"""", INDEX(rowData,1,4)=BF203),1,0) +
        IF(AND(BG203&lt;&gt;"""", INDEX(rowData,1,5)=BG203),1,0) +
        IF(AND(BH203&lt;&gt;"""", INDEX(rowData,1,6)=BH203),1,0) +
        IF(AND(BI203&lt;&gt;"""", IND"&amp;"EX(rowData,1,7)=BI203),1,0) +
        IF(AND(BJ203&lt;&gt;"""", INDEX(rowData,1,8)=BJ203),1,0)
      ) - COUNTIF(BC203:BJ203, ""-"")
        - COUNTIF(BC203:BJ203, ""固定格式，不需提供資訊"")
        - COUNTIF(BC203:BJ203, ""由MKT更新，此欄位固定格式，不需提供資訊
(Voucher CID：12917705872)"&amp;""")
        - COUNTIF(BC203:BJ203, ""text固定為以下：
※直播間僅支援手機版"")
        - COUNTIF(BC203:BJ203, ""text固定為以下：
※短影音僅支援手機版"")
    )
  ), 
  0
)
"),0)</f>
        <v>0</v>
      </c>
      <c r="BM203" s="77" t="b">
        <v>0</v>
      </c>
      <c r="BN203" s="85"/>
      <c r="BO203" s="85"/>
    </row>
    <row r="204" spans="1:67" ht="30" customHeight="1">
      <c r="A204" s="73" t="str">
        <f t="array" aca="1" ref="A204" ca="1">IFERROR(TRANSPOSE(INDIRECT('MS section版配(Old)'!$AO204)),"")</f>
        <v/>
      </c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88"/>
      <c r="AC204" s="88"/>
      <c r="AD204" s="88"/>
      <c r="AE204" s="397" t="str">
        <f>IFERROR(VLOOKUP($AQ204,'(勿動)組件目錄表'!$D$15:$R$1094,4,FALSE),"")</f>
        <v/>
      </c>
      <c r="AF204" s="384"/>
      <c r="AG204" s="384"/>
      <c r="AH204" s="384"/>
      <c r="AI204" s="384"/>
      <c r="AJ204" s="385"/>
      <c r="AK204" s="54" t="b">
        <v>0</v>
      </c>
      <c r="AL204" s="54" t="b">
        <v>0</v>
      </c>
      <c r="AM204" s="54"/>
      <c r="AN204" s="7" t="str">
        <v>196</v>
      </c>
      <c r="AO204" s="7"/>
      <c r="AP204" s="62"/>
      <c r="AQ204" s="75" t="str">
        <v/>
      </c>
      <c r="AR204" s="75" t="str">
        <v>-</v>
      </c>
      <c r="AS204" s="11"/>
      <c r="AT204" s="77" t="str">
        <v>-</v>
      </c>
      <c r="AU204" s="11" t="str">
        <v>-</v>
      </c>
      <c r="AV204" s="100"/>
      <c r="AW204" s="80" t="str">
        <f ca="1"/>
        <v>-</v>
      </c>
      <c r="AX204" s="86" t="b">
        <v>0</v>
      </c>
      <c r="AY204" s="68" t="str">
        <f t="shared" si="0"/>
        <v/>
      </c>
      <c r="AZ204" s="69" t="str">
        <f t="shared" si="1"/>
        <v/>
      </c>
      <c r="BA204" s="70" t="str">
        <f t="shared" si="2"/>
        <v/>
      </c>
      <c r="BB204" s="68" t="str">
        <f t="shared" si="3"/>
        <v/>
      </c>
      <c r="BC204" s="69" t="str">
        <f>IFERROR(VLOOKUP($AQ204,'(勿動)組件目錄表'!$D$15:$R$1094,7,FALSE),"")</f>
        <v/>
      </c>
      <c r="BD204" s="69" t="str">
        <f>IFERROR(VLOOKUP($AQ204,'(勿動)組件目錄表'!$D$15:$R$1094,8,FALSE),"")</f>
        <v/>
      </c>
      <c r="BE204" s="69" t="str">
        <f>IFERROR(VLOOKUP($AQ204,'(勿動)組件目錄表'!$D$15:$R$1094,9,FALSE),"")</f>
        <v/>
      </c>
      <c r="BF204" s="69" t="str">
        <f>IFERROR(VLOOKUP($AQ204,'(勿動)組件目錄表'!$D$15:$R$1094,10,FALSE),"")</f>
        <v/>
      </c>
      <c r="BG204" s="69" t="str">
        <f>IFERROR(VLOOKUP($AQ204,'(勿動)組件目錄表'!$D$15:$R$1094,11,FALSE),"")</f>
        <v/>
      </c>
      <c r="BH204" s="69" t="str">
        <f>IFERROR(VLOOKUP($AQ204,'(勿動)組件目錄表'!$D$15:$R$1094,12,FALSE),"")</f>
        <v/>
      </c>
      <c r="BI204" s="69" t="str">
        <f>IFERROR(VLOOKUP($AQ204,'(勿動)組件目錄表'!$D$15:$R$1094,13,FALSE),"")</f>
        <v/>
      </c>
      <c r="BJ204" s="69" t="str">
        <f>IFERROR(VLOOKUP($AQ204,'(勿動)組件目錄表'!$D$15:$R$1094,14,FALSE),"")</f>
        <v/>
      </c>
      <c r="BK204" s="69" t="str">
        <f>IFERROR(VLOOKUP($AQ204,'(勿動)組件目錄表'!$D$15:$R$1094,15,FALSE),"")</f>
        <v/>
      </c>
      <c r="BL204" s="81">
        <f ca="1">IFERROR(__xludf.DUMMYFUNCTION("IFERROR(
  LET(
    rowData, FILTER('(勿動)組件目錄表'!J:Q, '(勿動)組件目錄表'!D:D=AQ204),
    IF(ROWS(rowData)=0, 0, 
      (
        IF(AND(BC204&lt;&gt;"""", INDEX(rowData,1,1)=BC204),1,0) +
        IF(AND(BD204&lt;&gt;"""", INDEX(rowData,1,2)=BD204),1,0) +
        IF(AND(BE204"&amp;"&lt;&gt;"""", INDEX(rowData,1,3)=BE204),1,0) +
        IF(AND(BF204&lt;&gt;"""", INDEX(rowData,1,4)=BF204),1,0) +
        IF(AND(BG204&lt;&gt;"""", INDEX(rowData,1,5)=BG204),1,0) +
        IF(AND(BH204&lt;&gt;"""", INDEX(rowData,1,6)=BH204),1,0) +
        IF(AND(BI204&lt;&gt;"""", IND"&amp;"EX(rowData,1,7)=BI204),1,0) +
        IF(AND(BJ204&lt;&gt;"""", INDEX(rowData,1,8)=BJ204),1,0)
      ) - COUNTIF(BC204:BJ204, ""-"")
        - COUNTIF(BC204:BJ204, ""固定格式，不需提供資訊"")
        - COUNTIF(BC204:BJ204, ""由MKT更新，此欄位固定格式，不需提供資訊
(Voucher CID：12917705872)"&amp;""")
        - COUNTIF(BC204:BJ204, ""text固定為以下：
※直播間僅支援手機版"")
        - COUNTIF(BC204:BJ204, ""text固定為以下：
※短影音僅支援手機版"")
    )
  ), 
  0
)
"),0)</f>
        <v>0</v>
      </c>
      <c r="BM204" s="77" t="b">
        <v>0</v>
      </c>
      <c r="BN204" s="85"/>
      <c r="BO204" s="85"/>
    </row>
    <row r="205" spans="1:67" ht="30" customHeight="1">
      <c r="A205" s="73" t="str">
        <f t="array" aca="1" ref="A205" ca="1">IFERROR(TRANSPOSE(INDIRECT('MS section版配(Old)'!$AO205)),"")</f>
        <v/>
      </c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88"/>
      <c r="AC205" s="88"/>
      <c r="AD205" s="88"/>
      <c r="AE205" s="397" t="str">
        <f>IFERROR(VLOOKUP($AQ205,'(勿動)組件目錄表'!$D$15:$R$1094,4,FALSE),"")</f>
        <v/>
      </c>
      <c r="AF205" s="384"/>
      <c r="AG205" s="384"/>
      <c r="AH205" s="384"/>
      <c r="AI205" s="384"/>
      <c r="AJ205" s="385"/>
      <c r="AK205" s="54" t="b">
        <v>0</v>
      </c>
      <c r="AL205" s="54" t="b">
        <v>0</v>
      </c>
      <c r="AM205" s="54"/>
      <c r="AN205" s="7" t="str">
        <v>197</v>
      </c>
      <c r="AO205" s="7"/>
      <c r="AP205" s="62"/>
      <c r="AQ205" s="75" t="str">
        <v/>
      </c>
      <c r="AR205" s="75" t="str">
        <v>-</v>
      </c>
      <c r="AS205" s="11"/>
      <c r="AT205" s="77" t="str">
        <v>-</v>
      </c>
      <c r="AU205" s="11" t="str">
        <v>-</v>
      </c>
      <c r="AV205" s="100"/>
      <c r="AW205" s="80" t="str">
        <f ca="1"/>
        <v>-</v>
      </c>
      <c r="AX205" s="86" t="b">
        <v>0</v>
      </c>
      <c r="AY205" s="68" t="str">
        <f t="shared" si="0"/>
        <v/>
      </c>
      <c r="AZ205" s="69" t="str">
        <f t="shared" si="1"/>
        <v/>
      </c>
      <c r="BA205" s="70" t="str">
        <f t="shared" si="2"/>
        <v/>
      </c>
      <c r="BB205" s="68" t="str">
        <f t="shared" si="3"/>
        <v/>
      </c>
      <c r="BC205" s="69" t="str">
        <f>IFERROR(VLOOKUP($AQ205,'(勿動)組件目錄表'!$D$15:$R$1094,7,FALSE),"")</f>
        <v/>
      </c>
      <c r="BD205" s="69" t="str">
        <f>IFERROR(VLOOKUP($AQ205,'(勿動)組件目錄表'!$D$15:$R$1094,8,FALSE),"")</f>
        <v/>
      </c>
      <c r="BE205" s="69" t="str">
        <f>IFERROR(VLOOKUP($AQ205,'(勿動)組件目錄表'!$D$15:$R$1094,9,FALSE),"")</f>
        <v/>
      </c>
      <c r="BF205" s="69" t="str">
        <f>IFERROR(VLOOKUP($AQ205,'(勿動)組件目錄表'!$D$15:$R$1094,10,FALSE),"")</f>
        <v/>
      </c>
      <c r="BG205" s="69" t="str">
        <f>IFERROR(VLOOKUP($AQ205,'(勿動)組件目錄表'!$D$15:$R$1094,11,FALSE),"")</f>
        <v/>
      </c>
      <c r="BH205" s="69" t="str">
        <f>IFERROR(VLOOKUP($AQ205,'(勿動)組件目錄表'!$D$15:$R$1094,12,FALSE),"")</f>
        <v/>
      </c>
      <c r="BI205" s="69" t="str">
        <f>IFERROR(VLOOKUP($AQ205,'(勿動)組件目錄表'!$D$15:$R$1094,13,FALSE),"")</f>
        <v/>
      </c>
      <c r="BJ205" s="69" t="str">
        <f>IFERROR(VLOOKUP($AQ205,'(勿動)組件目錄表'!$D$15:$R$1094,14,FALSE),"")</f>
        <v/>
      </c>
      <c r="BK205" s="69" t="str">
        <f>IFERROR(VLOOKUP($AQ205,'(勿動)組件目錄表'!$D$15:$R$1094,15,FALSE),"")</f>
        <v/>
      </c>
      <c r="BL205" s="81">
        <f ca="1">IFERROR(__xludf.DUMMYFUNCTION("IFERROR(
  LET(
    rowData, FILTER('(勿動)組件目錄表'!J:Q, '(勿動)組件目錄表'!D:D=AQ205),
    IF(ROWS(rowData)=0, 0, 
      (
        IF(AND(BC205&lt;&gt;"""", INDEX(rowData,1,1)=BC205),1,0) +
        IF(AND(BD205&lt;&gt;"""", INDEX(rowData,1,2)=BD205),1,0) +
        IF(AND(BE205"&amp;"&lt;&gt;"""", INDEX(rowData,1,3)=BE205),1,0) +
        IF(AND(BF205&lt;&gt;"""", INDEX(rowData,1,4)=BF205),1,0) +
        IF(AND(BG205&lt;&gt;"""", INDEX(rowData,1,5)=BG205),1,0) +
        IF(AND(BH205&lt;&gt;"""", INDEX(rowData,1,6)=BH205),1,0) +
        IF(AND(BI205&lt;&gt;"""", IND"&amp;"EX(rowData,1,7)=BI205),1,0) +
        IF(AND(BJ205&lt;&gt;"""", INDEX(rowData,1,8)=BJ205),1,0)
      ) - COUNTIF(BC205:BJ205, ""-"")
        - COUNTIF(BC205:BJ205, ""固定格式，不需提供資訊"")
        - COUNTIF(BC205:BJ205, ""由MKT更新，此欄位固定格式，不需提供資訊
(Voucher CID：12917705872)"&amp;""")
        - COUNTIF(BC205:BJ205, ""text固定為以下：
※直播間僅支援手機版"")
        - COUNTIF(BC205:BJ205, ""text固定為以下：
※短影音僅支援手機版"")
    )
  ), 
  0
)
"),0)</f>
        <v>0</v>
      </c>
      <c r="BM205" s="77" t="b">
        <v>0</v>
      </c>
      <c r="BN205" s="85"/>
      <c r="BO205" s="85"/>
    </row>
    <row r="206" spans="1:67" ht="30" customHeight="1">
      <c r="A206" s="73" t="str">
        <f t="array" aca="1" ref="A206" ca="1">IFERROR(TRANSPOSE(INDIRECT('MS section版配(Old)'!$AO206)),"")</f>
        <v/>
      </c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88"/>
      <c r="AC206" s="88"/>
      <c r="AD206" s="88"/>
      <c r="AE206" s="397" t="str">
        <f>IFERROR(VLOOKUP($AQ206,'(勿動)組件目錄表'!$D$15:$R$1094,4,FALSE),"")</f>
        <v/>
      </c>
      <c r="AF206" s="384"/>
      <c r="AG206" s="384"/>
      <c r="AH206" s="384"/>
      <c r="AI206" s="384"/>
      <c r="AJ206" s="385"/>
      <c r="AK206" s="54" t="b">
        <v>0</v>
      </c>
      <c r="AL206" s="54" t="b">
        <v>0</v>
      </c>
      <c r="AM206" s="54"/>
      <c r="AN206" s="7" t="str">
        <v>198</v>
      </c>
      <c r="AO206" s="7"/>
      <c r="AP206" s="62"/>
      <c r="AQ206" s="75" t="str">
        <v/>
      </c>
      <c r="AR206" s="75" t="str">
        <v>-</v>
      </c>
      <c r="AS206" s="11"/>
      <c r="AT206" s="77" t="str">
        <v>-</v>
      </c>
      <c r="AU206" s="11" t="str">
        <v>-</v>
      </c>
      <c r="AV206" s="100"/>
      <c r="AW206" s="80" t="str">
        <f ca="1"/>
        <v>-</v>
      </c>
      <c r="AX206" s="86" t="b">
        <v>0</v>
      </c>
      <c r="AY206" s="68" t="str">
        <f t="shared" si="0"/>
        <v/>
      </c>
      <c r="AZ206" s="69" t="str">
        <f t="shared" si="1"/>
        <v/>
      </c>
      <c r="BA206" s="70" t="str">
        <f t="shared" si="2"/>
        <v/>
      </c>
      <c r="BB206" s="68" t="str">
        <f t="shared" si="3"/>
        <v/>
      </c>
      <c r="BC206" s="69" t="str">
        <f>IFERROR(VLOOKUP($AQ206,'(勿動)組件目錄表'!$D$15:$R$1094,7,FALSE),"")</f>
        <v/>
      </c>
      <c r="BD206" s="69" t="str">
        <f>IFERROR(VLOOKUP($AQ206,'(勿動)組件目錄表'!$D$15:$R$1094,8,FALSE),"")</f>
        <v/>
      </c>
      <c r="BE206" s="69" t="str">
        <f>IFERROR(VLOOKUP($AQ206,'(勿動)組件目錄表'!$D$15:$R$1094,9,FALSE),"")</f>
        <v/>
      </c>
      <c r="BF206" s="69" t="str">
        <f>IFERROR(VLOOKUP($AQ206,'(勿動)組件目錄表'!$D$15:$R$1094,10,FALSE),"")</f>
        <v/>
      </c>
      <c r="BG206" s="69" t="str">
        <f>IFERROR(VLOOKUP($AQ206,'(勿動)組件目錄表'!$D$15:$R$1094,11,FALSE),"")</f>
        <v/>
      </c>
      <c r="BH206" s="69" t="str">
        <f>IFERROR(VLOOKUP($AQ206,'(勿動)組件目錄表'!$D$15:$R$1094,12,FALSE),"")</f>
        <v/>
      </c>
      <c r="BI206" s="69" t="str">
        <f>IFERROR(VLOOKUP($AQ206,'(勿動)組件目錄表'!$D$15:$R$1094,13,FALSE),"")</f>
        <v/>
      </c>
      <c r="BJ206" s="69" t="str">
        <f>IFERROR(VLOOKUP($AQ206,'(勿動)組件目錄表'!$D$15:$R$1094,14,FALSE),"")</f>
        <v/>
      </c>
      <c r="BK206" s="69" t="str">
        <f>IFERROR(VLOOKUP($AQ206,'(勿動)組件目錄表'!$D$15:$R$1094,15,FALSE),"")</f>
        <v/>
      </c>
      <c r="BL206" s="81">
        <f ca="1">IFERROR(__xludf.DUMMYFUNCTION("IFERROR(
  LET(
    rowData, FILTER('(勿動)組件目錄表'!J:Q, '(勿動)組件目錄表'!D:D=AQ206),
    IF(ROWS(rowData)=0, 0, 
      (
        IF(AND(BC206&lt;&gt;"""", INDEX(rowData,1,1)=BC206),1,0) +
        IF(AND(BD206&lt;&gt;"""", INDEX(rowData,1,2)=BD206),1,0) +
        IF(AND(BE206"&amp;"&lt;&gt;"""", INDEX(rowData,1,3)=BE206),1,0) +
        IF(AND(BF206&lt;&gt;"""", INDEX(rowData,1,4)=BF206),1,0) +
        IF(AND(BG206&lt;&gt;"""", INDEX(rowData,1,5)=BG206),1,0) +
        IF(AND(BH206&lt;&gt;"""", INDEX(rowData,1,6)=BH206),1,0) +
        IF(AND(BI206&lt;&gt;"""", IND"&amp;"EX(rowData,1,7)=BI206),1,0) +
        IF(AND(BJ206&lt;&gt;"""", INDEX(rowData,1,8)=BJ206),1,0)
      ) - COUNTIF(BC206:BJ206, ""-"")
        - COUNTIF(BC206:BJ206, ""固定格式，不需提供資訊"")
        - COUNTIF(BC206:BJ206, ""由MKT更新，此欄位固定格式，不需提供資訊
(Voucher CID：12917705872)"&amp;""")
        - COUNTIF(BC206:BJ206, ""text固定為以下：
※直播間僅支援手機版"")
        - COUNTIF(BC206:BJ206, ""text固定為以下：
※短影音僅支援手機版"")
    )
  ), 
  0
)
"),0)</f>
        <v>0</v>
      </c>
      <c r="BM206" s="77" t="b">
        <v>0</v>
      </c>
      <c r="BN206" s="85"/>
      <c r="BO206" s="85"/>
    </row>
    <row r="207" spans="1:67" ht="30" customHeight="1">
      <c r="A207" s="73" t="str">
        <f t="array" aca="1" ref="A207" ca="1">IFERROR(TRANSPOSE(INDIRECT('MS section版配(Old)'!$AO207)),"")</f>
        <v/>
      </c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88"/>
      <c r="AC207" s="88"/>
      <c r="AD207" s="88"/>
      <c r="AE207" s="397" t="str">
        <f>IFERROR(VLOOKUP($AQ207,'(勿動)組件目錄表'!$D$15:$R$1094,4,FALSE),"")</f>
        <v/>
      </c>
      <c r="AF207" s="384"/>
      <c r="AG207" s="384"/>
      <c r="AH207" s="384"/>
      <c r="AI207" s="384"/>
      <c r="AJ207" s="385"/>
      <c r="AK207" s="54" t="b">
        <v>0</v>
      </c>
      <c r="AL207" s="54" t="b">
        <v>0</v>
      </c>
      <c r="AM207" s="54"/>
      <c r="AN207" s="7" t="str">
        <v>199</v>
      </c>
      <c r="AO207" s="7"/>
      <c r="AP207" s="62"/>
      <c r="AQ207" s="75" t="str">
        <v/>
      </c>
      <c r="AR207" s="75" t="str">
        <v>-</v>
      </c>
      <c r="AS207" s="11"/>
      <c r="AT207" s="77" t="str">
        <v>-</v>
      </c>
      <c r="AU207" s="11" t="str">
        <v>-</v>
      </c>
      <c r="AV207" s="100"/>
      <c r="AW207" s="80" t="str">
        <f ca="1"/>
        <v>-</v>
      </c>
      <c r="AX207" s="86" t="b">
        <v>0</v>
      </c>
      <c r="AY207" s="68" t="str">
        <f t="shared" si="0"/>
        <v/>
      </c>
      <c r="AZ207" s="69" t="str">
        <f t="shared" si="1"/>
        <v/>
      </c>
      <c r="BA207" s="70" t="str">
        <f t="shared" si="2"/>
        <v/>
      </c>
      <c r="BB207" s="68" t="str">
        <f t="shared" si="3"/>
        <v/>
      </c>
      <c r="BC207" s="69" t="str">
        <f>IFERROR(VLOOKUP($AQ207,'(勿動)組件目錄表'!$D$15:$R$1094,7,FALSE),"")</f>
        <v/>
      </c>
      <c r="BD207" s="69" t="str">
        <f>IFERROR(VLOOKUP($AQ207,'(勿動)組件目錄表'!$D$15:$R$1094,8,FALSE),"")</f>
        <v/>
      </c>
      <c r="BE207" s="69" t="str">
        <f>IFERROR(VLOOKUP($AQ207,'(勿動)組件目錄表'!$D$15:$R$1094,9,FALSE),"")</f>
        <v/>
      </c>
      <c r="BF207" s="69" t="str">
        <f>IFERROR(VLOOKUP($AQ207,'(勿動)組件目錄表'!$D$15:$R$1094,10,FALSE),"")</f>
        <v/>
      </c>
      <c r="BG207" s="69" t="str">
        <f>IFERROR(VLOOKUP($AQ207,'(勿動)組件目錄表'!$D$15:$R$1094,11,FALSE),"")</f>
        <v/>
      </c>
      <c r="BH207" s="69" t="str">
        <f>IFERROR(VLOOKUP($AQ207,'(勿動)組件目錄表'!$D$15:$R$1094,12,FALSE),"")</f>
        <v/>
      </c>
      <c r="BI207" s="69" t="str">
        <f>IFERROR(VLOOKUP($AQ207,'(勿動)組件目錄表'!$D$15:$R$1094,13,FALSE),"")</f>
        <v/>
      </c>
      <c r="BJ207" s="69" t="str">
        <f>IFERROR(VLOOKUP($AQ207,'(勿動)組件目錄表'!$D$15:$R$1094,14,FALSE),"")</f>
        <v/>
      </c>
      <c r="BK207" s="69" t="str">
        <f>IFERROR(VLOOKUP($AQ207,'(勿動)組件目錄表'!$D$15:$R$1094,15,FALSE),"")</f>
        <v/>
      </c>
      <c r="BL207" s="81">
        <f ca="1">IFERROR(__xludf.DUMMYFUNCTION("IFERROR(
  LET(
    rowData, FILTER('(勿動)組件目錄表'!J:Q, '(勿動)組件目錄表'!D:D=AQ207),
    IF(ROWS(rowData)=0, 0, 
      (
        IF(AND(BC207&lt;&gt;"""", INDEX(rowData,1,1)=BC207),1,0) +
        IF(AND(BD207&lt;&gt;"""", INDEX(rowData,1,2)=BD207),1,0) +
        IF(AND(BE207"&amp;"&lt;&gt;"""", INDEX(rowData,1,3)=BE207),1,0) +
        IF(AND(BF207&lt;&gt;"""", INDEX(rowData,1,4)=BF207),1,0) +
        IF(AND(BG207&lt;&gt;"""", INDEX(rowData,1,5)=BG207),1,0) +
        IF(AND(BH207&lt;&gt;"""", INDEX(rowData,1,6)=BH207),1,0) +
        IF(AND(BI207&lt;&gt;"""", IND"&amp;"EX(rowData,1,7)=BI207),1,0) +
        IF(AND(BJ207&lt;&gt;"""", INDEX(rowData,1,8)=BJ207),1,0)
      ) - COUNTIF(BC207:BJ207, ""-"")
        - COUNTIF(BC207:BJ207, ""固定格式，不需提供資訊"")
        - COUNTIF(BC207:BJ207, ""由MKT更新，此欄位固定格式，不需提供資訊
(Voucher CID：12917705872)"&amp;""")
        - COUNTIF(BC207:BJ207, ""text固定為以下：
※直播間僅支援手機版"")
        - COUNTIF(BC207:BJ207, ""text固定為以下：
※短影音僅支援手機版"")
    )
  ), 
  0
)
"),0)</f>
        <v>0</v>
      </c>
      <c r="BM207" s="77" t="b">
        <v>0</v>
      </c>
      <c r="BN207" s="85"/>
      <c r="BO207" s="85"/>
    </row>
    <row r="208" spans="1:67" ht="30" customHeight="1">
      <c r="A208" s="73" t="str">
        <f t="array" aca="1" ref="A208" ca="1">IFERROR(TRANSPOSE(INDIRECT('MS section版配(Old)'!$AO208)),"")</f>
        <v/>
      </c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88"/>
      <c r="AC208" s="88"/>
      <c r="AD208" s="88"/>
      <c r="AE208" s="397" t="str">
        <f>IFERROR(VLOOKUP($AQ208,'(勿動)組件目錄表'!$D$15:$R$1094,4,FALSE),"")</f>
        <v/>
      </c>
      <c r="AF208" s="384"/>
      <c r="AG208" s="384"/>
      <c r="AH208" s="384"/>
      <c r="AI208" s="384"/>
      <c r="AJ208" s="385"/>
      <c r="AK208" s="54" t="b">
        <v>0</v>
      </c>
      <c r="AL208" s="54" t="b">
        <v>0</v>
      </c>
      <c r="AM208" s="54"/>
      <c r="AN208" s="7" t="str">
        <v>200</v>
      </c>
      <c r="AO208" s="7"/>
      <c r="AP208" s="62"/>
      <c r="AQ208" s="75" t="str">
        <v/>
      </c>
      <c r="AR208" s="75" t="str">
        <v>-</v>
      </c>
      <c r="AS208" s="11"/>
      <c r="AT208" s="77" t="str">
        <v>-</v>
      </c>
      <c r="AU208" s="11" t="str">
        <v>-</v>
      </c>
      <c r="AV208" s="100"/>
      <c r="AW208" s="80" t="str">
        <f ca="1"/>
        <v>-</v>
      </c>
      <c r="AX208" s="86" t="b">
        <v>0</v>
      </c>
      <c r="AY208" s="68" t="str">
        <f t="shared" si="0"/>
        <v/>
      </c>
      <c r="AZ208" s="69" t="str">
        <f t="shared" si="1"/>
        <v/>
      </c>
      <c r="BA208" s="70" t="str">
        <f t="shared" si="2"/>
        <v/>
      </c>
      <c r="BB208" s="68" t="str">
        <f t="shared" si="3"/>
        <v/>
      </c>
      <c r="BC208" s="69" t="str">
        <f>IFERROR(VLOOKUP($AQ208,'(勿動)組件目錄表'!$D$15:$R$1094,7,FALSE),"")</f>
        <v/>
      </c>
      <c r="BD208" s="69" t="str">
        <f>IFERROR(VLOOKUP($AQ208,'(勿動)組件目錄表'!$D$15:$R$1094,8,FALSE),"")</f>
        <v/>
      </c>
      <c r="BE208" s="69" t="str">
        <f>IFERROR(VLOOKUP($AQ208,'(勿動)組件目錄表'!$D$15:$R$1094,9,FALSE),"")</f>
        <v/>
      </c>
      <c r="BF208" s="69" t="str">
        <f>IFERROR(VLOOKUP($AQ208,'(勿動)組件目錄表'!$D$15:$R$1094,10,FALSE),"")</f>
        <v/>
      </c>
      <c r="BG208" s="69" t="str">
        <f>IFERROR(VLOOKUP($AQ208,'(勿動)組件目錄表'!$D$15:$R$1094,11,FALSE),"")</f>
        <v/>
      </c>
      <c r="BH208" s="69" t="str">
        <f>IFERROR(VLOOKUP($AQ208,'(勿動)組件目錄表'!$D$15:$R$1094,12,FALSE),"")</f>
        <v/>
      </c>
      <c r="BI208" s="69" t="str">
        <f>IFERROR(VLOOKUP($AQ208,'(勿動)組件目錄表'!$D$15:$R$1094,13,FALSE),"")</f>
        <v/>
      </c>
      <c r="BJ208" s="69" t="str">
        <f>IFERROR(VLOOKUP($AQ208,'(勿動)組件目錄表'!$D$15:$R$1094,14,FALSE),"")</f>
        <v/>
      </c>
      <c r="BK208" s="69" t="str">
        <f>IFERROR(VLOOKUP($AQ208,'(勿動)組件目錄表'!$D$15:$R$1094,15,FALSE),"")</f>
        <v/>
      </c>
      <c r="BL208" s="81">
        <f ca="1">IFERROR(__xludf.DUMMYFUNCTION("IFERROR(
  LET(
    rowData, FILTER('(勿動)組件目錄表'!J:Q, '(勿動)組件目錄表'!D:D=AQ208),
    IF(ROWS(rowData)=0, 0, 
      (
        IF(AND(BC208&lt;&gt;"""", INDEX(rowData,1,1)=BC208),1,0) +
        IF(AND(BD208&lt;&gt;"""", INDEX(rowData,1,2)=BD208),1,0) +
        IF(AND(BE208"&amp;"&lt;&gt;"""", INDEX(rowData,1,3)=BE208),1,0) +
        IF(AND(BF208&lt;&gt;"""", INDEX(rowData,1,4)=BF208),1,0) +
        IF(AND(BG208&lt;&gt;"""", INDEX(rowData,1,5)=BG208),1,0) +
        IF(AND(BH208&lt;&gt;"""", INDEX(rowData,1,6)=BH208),1,0) +
        IF(AND(BI208&lt;&gt;"""", IND"&amp;"EX(rowData,1,7)=BI208),1,0) +
        IF(AND(BJ208&lt;&gt;"""", INDEX(rowData,1,8)=BJ208),1,0)
      ) - COUNTIF(BC208:BJ208, ""-"")
        - COUNTIF(BC208:BJ208, ""固定格式，不需提供資訊"")
        - COUNTIF(BC208:BJ208, ""由MKT更新，此欄位固定格式，不需提供資訊
(Voucher CID：12917705872)"&amp;""")
        - COUNTIF(BC208:BJ208, ""text固定為以下：
※直播間僅支援手機版"")
        - COUNTIF(BC208:BJ208, ""text固定為以下：
※短影音僅支援手機版"")
    )
  ), 
  0
)
"),0)</f>
        <v>0</v>
      </c>
      <c r="BM208" s="77" t="b">
        <v>0</v>
      </c>
      <c r="BN208" s="85"/>
      <c r="BO208" s="85"/>
    </row>
    <row r="209" spans="1:67" ht="30" customHeight="1">
      <c r="A209" s="73" t="str">
        <f t="array" aca="1" ref="A209" ca="1">IFERROR(TRANSPOSE(INDIRECT('MS section版配(Old)'!$AO209)),"")</f>
        <v/>
      </c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88"/>
      <c r="AC209" s="88"/>
      <c r="AD209" s="88"/>
      <c r="AE209" s="397" t="str">
        <f>IFERROR(VLOOKUP($AQ209,'(勿動)組件目錄表'!$D$15:$R$1094,4,FALSE),"")</f>
        <v/>
      </c>
      <c r="AF209" s="384"/>
      <c r="AG209" s="384"/>
      <c r="AH209" s="384"/>
      <c r="AI209" s="384"/>
      <c r="AJ209" s="385"/>
      <c r="AK209" s="54" t="b">
        <v>0</v>
      </c>
      <c r="AL209" s="54" t="b">
        <v>0</v>
      </c>
      <c r="AM209" s="54"/>
      <c r="AN209" s="7" t="str">
        <v>201</v>
      </c>
      <c r="AO209" s="7"/>
      <c r="AP209" s="62"/>
      <c r="AQ209" s="75" t="str">
        <v/>
      </c>
      <c r="AR209" s="75" t="str">
        <v>-</v>
      </c>
      <c r="AS209" s="11"/>
      <c r="AT209" s="77" t="str">
        <v>-</v>
      </c>
      <c r="AU209" s="11" t="str">
        <v>-</v>
      </c>
      <c r="AV209" s="100"/>
      <c r="AW209" s="80" t="str">
        <f ca="1"/>
        <v>-</v>
      </c>
      <c r="AX209" s="86" t="b">
        <v>0</v>
      </c>
      <c r="AY209" s="68" t="str">
        <f t="shared" si="0"/>
        <v/>
      </c>
      <c r="AZ209" s="69" t="str">
        <f t="shared" si="1"/>
        <v/>
      </c>
      <c r="BA209" s="70" t="str">
        <f t="shared" si="2"/>
        <v/>
      </c>
      <c r="BB209" s="68" t="str">
        <f t="shared" si="3"/>
        <v/>
      </c>
      <c r="BC209" s="69" t="str">
        <f>IFERROR(VLOOKUP($AQ209,'(勿動)組件目錄表'!$D$15:$R$1094,7,FALSE),"")</f>
        <v/>
      </c>
      <c r="BD209" s="69" t="str">
        <f>IFERROR(VLOOKUP($AQ209,'(勿動)組件目錄表'!$D$15:$R$1094,8,FALSE),"")</f>
        <v/>
      </c>
      <c r="BE209" s="69" t="str">
        <f>IFERROR(VLOOKUP($AQ209,'(勿動)組件目錄表'!$D$15:$R$1094,9,FALSE),"")</f>
        <v/>
      </c>
      <c r="BF209" s="69" t="str">
        <f>IFERROR(VLOOKUP($AQ209,'(勿動)組件目錄表'!$D$15:$R$1094,10,FALSE),"")</f>
        <v/>
      </c>
      <c r="BG209" s="69" t="str">
        <f>IFERROR(VLOOKUP($AQ209,'(勿動)組件目錄表'!$D$15:$R$1094,11,FALSE),"")</f>
        <v/>
      </c>
      <c r="BH209" s="69" t="str">
        <f>IFERROR(VLOOKUP($AQ209,'(勿動)組件目錄表'!$D$15:$R$1094,12,FALSE),"")</f>
        <v/>
      </c>
      <c r="BI209" s="69" t="str">
        <f>IFERROR(VLOOKUP($AQ209,'(勿動)組件目錄表'!$D$15:$R$1094,13,FALSE),"")</f>
        <v/>
      </c>
      <c r="BJ209" s="69" t="str">
        <f>IFERROR(VLOOKUP($AQ209,'(勿動)組件目錄表'!$D$15:$R$1094,14,FALSE),"")</f>
        <v/>
      </c>
      <c r="BK209" s="69" t="str">
        <f>IFERROR(VLOOKUP($AQ209,'(勿動)組件目錄表'!$D$15:$R$1094,15,FALSE),"")</f>
        <v/>
      </c>
      <c r="BL209" s="81">
        <f ca="1">IFERROR(__xludf.DUMMYFUNCTION("IFERROR(
  LET(
    rowData, FILTER('(勿動)組件目錄表'!J:Q, '(勿動)組件目錄表'!D:D=AQ209),
    IF(ROWS(rowData)=0, 0, 
      (
        IF(AND(BC209&lt;&gt;"""", INDEX(rowData,1,1)=BC209),1,0) +
        IF(AND(BD209&lt;&gt;"""", INDEX(rowData,1,2)=BD209),1,0) +
        IF(AND(BE209"&amp;"&lt;&gt;"""", INDEX(rowData,1,3)=BE209),1,0) +
        IF(AND(BF209&lt;&gt;"""", INDEX(rowData,1,4)=BF209),1,0) +
        IF(AND(BG209&lt;&gt;"""", INDEX(rowData,1,5)=BG209),1,0) +
        IF(AND(BH209&lt;&gt;"""", INDEX(rowData,1,6)=BH209),1,0) +
        IF(AND(BI209&lt;&gt;"""", IND"&amp;"EX(rowData,1,7)=BI209),1,0) +
        IF(AND(BJ209&lt;&gt;"""", INDEX(rowData,1,8)=BJ209),1,0)
      ) - COUNTIF(BC209:BJ209, ""-"")
        - COUNTIF(BC209:BJ209, ""固定格式，不需提供資訊"")
        - COUNTIF(BC209:BJ209, ""由MKT更新，此欄位固定格式，不需提供資訊
(Voucher CID：12917705872)"&amp;""")
        - COUNTIF(BC209:BJ209, ""text固定為以下：
※直播間僅支援手機版"")
        - COUNTIF(BC209:BJ209, ""text固定為以下：
※短影音僅支援手機版"")
    )
  ), 
  0
)
"),0)</f>
        <v>0</v>
      </c>
      <c r="BM209" s="77" t="b">
        <v>0</v>
      </c>
      <c r="BN209" s="85"/>
      <c r="BO209" s="85"/>
    </row>
    <row r="210" spans="1:67" ht="30" customHeight="1">
      <c r="A210" s="73" t="str">
        <f t="array" aca="1" ref="A210" ca="1">IFERROR(TRANSPOSE(INDIRECT('MS section版配(Old)'!$AO210)),"")</f>
        <v/>
      </c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88"/>
      <c r="AC210" s="88"/>
      <c r="AD210" s="88"/>
      <c r="AE210" s="397" t="str">
        <f>IFERROR(VLOOKUP($AQ210,'(勿動)組件目錄表'!$D$15:$R$1094,4,FALSE),"")</f>
        <v/>
      </c>
      <c r="AF210" s="384"/>
      <c r="AG210" s="384"/>
      <c r="AH210" s="384"/>
      <c r="AI210" s="384"/>
      <c r="AJ210" s="385"/>
      <c r="AK210" s="54" t="b">
        <v>0</v>
      </c>
      <c r="AL210" s="54" t="b">
        <v>0</v>
      </c>
      <c r="AM210" s="54"/>
      <c r="AN210" s="7" t="str">
        <v>202</v>
      </c>
      <c r="AO210" s="7"/>
      <c r="AP210" s="62"/>
      <c r="AQ210" s="75" t="str">
        <v/>
      </c>
      <c r="AR210" s="75" t="str">
        <v>-</v>
      </c>
      <c r="AS210" s="11"/>
      <c r="AT210" s="77" t="str">
        <v>-</v>
      </c>
      <c r="AU210" s="11" t="str">
        <v>-</v>
      </c>
      <c r="AV210" s="100"/>
      <c r="AW210" s="80" t="str">
        <f ca="1"/>
        <v>-</v>
      </c>
      <c r="AX210" s="86" t="b">
        <v>0</v>
      </c>
      <c r="AY210" s="68" t="str">
        <f t="shared" si="0"/>
        <v/>
      </c>
      <c r="AZ210" s="69" t="str">
        <f t="shared" si="1"/>
        <v/>
      </c>
      <c r="BA210" s="70" t="str">
        <f t="shared" si="2"/>
        <v/>
      </c>
      <c r="BB210" s="68" t="str">
        <f t="shared" si="3"/>
        <v/>
      </c>
      <c r="BC210" s="69" t="str">
        <f>IFERROR(VLOOKUP($AQ210,'(勿動)組件目錄表'!$D$15:$R$1094,7,FALSE),"")</f>
        <v/>
      </c>
      <c r="BD210" s="69" t="str">
        <f>IFERROR(VLOOKUP($AQ210,'(勿動)組件目錄表'!$D$15:$R$1094,8,FALSE),"")</f>
        <v/>
      </c>
      <c r="BE210" s="69" t="str">
        <f>IFERROR(VLOOKUP($AQ210,'(勿動)組件目錄表'!$D$15:$R$1094,9,FALSE),"")</f>
        <v/>
      </c>
      <c r="BF210" s="69" t="str">
        <f>IFERROR(VLOOKUP($AQ210,'(勿動)組件目錄表'!$D$15:$R$1094,10,FALSE),"")</f>
        <v/>
      </c>
      <c r="BG210" s="69" t="str">
        <f>IFERROR(VLOOKUP($AQ210,'(勿動)組件目錄表'!$D$15:$R$1094,11,FALSE),"")</f>
        <v/>
      </c>
      <c r="BH210" s="69" t="str">
        <f>IFERROR(VLOOKUP($AQ210,'(勿動)組件目錄表'!$D$15:$R$1094,12,FALSE),"")</f>
        <v/>
      </c>
      <c r="BI210" s="69" t="str">
        <f>IFERROR(VLOOKUP($AQ210,'(勿動)組件目錄表'!$D$15:$R$1094,13,FALSE),"")</f>
        <v/>
      </c>
      <c r="BJ210" s="69" t="str">
        <f>IFERROR(VLOOKUP($AQ210,'(勿動)組件目錄表'!$D$15:$R$1094,14,FALSE),"")</f>
        <v/>
      </c>
      <c r="BK210" s="69" t="str">
        <f>IFERROR(VLOOKUP($AQ210,'(勿動)組件目錄表'!$D$15:$R$1094,15,FALSE),"")</f>
        <v/>
      </c>
      <c r="BL210" s="81">
        <f ca="1">IFERROR(__xludf.DUMMYFUNCTION("IFERROR(
  LET(
    rowData, FILTER('(勿動)組件目錄表'!J:Q, '(勿動)組件目錄表'!D:D=AQ210),
    IF(ROWS(rowData)=0, 0, 
      (
        IF(AND(BC210&lt;&gt;"""", INDEX(rowData,1,1)=BC210),1,0) +
        IF(AND(BD210&lt;&gt;"""", INDEX(rowData,1,2)=BD210),1,0) +
        IF(AND(BE210"&amp;"&lt;&gt;"""", INDEX(rowData,1,3)=BE210),1,0) +
        IF(AND(BF210&lt;&gt;"""", INDEX(rowData,1,4)=BF210),1,0) +
        IF(AND(BG210&lt;&gt;"""", INDEX(rowData,1,5)=BG210),1,0) +
        IF(AND(BH210&lt;&gt;"""", INDEX(rowData,1,6)=BH210),1,0) +
        IF(AND(BI210&lt;&gt;"""", IND"&amp;"EX(rowData,1,7)=BI210),1,0) +
        IF(AND(BJ210&lt;&gt;"""", INDEX(rowData,1,8)=BJ210),1,0)
      ) - COUNTIF(BC210:BJ210, ""-"")
        - COUNTIF(BC210:BJ210, ""固定格式，不需提供資訊"")
        - COUNTIF(BC210:BJ210, ""由MKT更新，此欄位固定格式，不需提供資訊
(Voucher CID：12917705872)"&amp;""")
        - COUNTIF(BC210:BJ210, ""text固定為以下：
※直播間僅支援手機版"")
        - COUNTIF(BC210:BJ210, ""text固定為以下：
※短影音僅支援手機版"")
    )
  ), 
  0
)
"),0)</f>
        <v>0</v>
      </c>
      <c r="BM210" s="77" t="b">
        <v>0</v>
      </c>
      <c r="BN210" s="85"/>
      <c r="BO210" s="85"/>
    </row>
    <row r="211" spans="1:67" ht="30" customHeight="1">
      <c r="A211" s="73" t="str">
        <f t="array" aca="1" ref="A211" ca="1">IFERROR(TRANSPOSE(INDIRECT('MS section版配(Old)'!$AO211)),"")</f>
        <v/>
      </c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88"/>
      <c r="AC211" s="88"/>
      <c r="AD211" s="88"/>
      <c r="AE211" s="397" t="str">
        <f>IFERROR(VLOOKUP($AQ211,'(勿動)組件目錄表'!$D$15:$R$1094,4,FALSE),"")</f>
        <v/>
      </c>
      <c r="AF211" s="384"/>
      <c r="AG211" s="384"/>
      <c r="AH211" s="384"/>
      <c r="AI211" s="384"/>
      <c r="AJ211" s="385"/>
      <c r="AK211" s="54" t="b">
        <v>0</v>
      </c>
      <c r="AL211" s="54" t="b">
        <v>0</v>
      </c>
      <c r="AM211" s="54"/>
      <c r="AN211" s="7" t="str">
        <v>203</v>
      </c>
      <c r="AO211" s="7"/>
      <c r="AP211" s="62"/>
      <c r="AQ211" s="75" t="str">
        <v/>
      </c>
      <c r="AR211" s="75" t="str">
        <v>-</v>
      </c>
      <c r="AS211" s="11"/>
      <c r="AT211" s="77" t="str">
        <v>-</v>
      </c>
      <c r="AU211" s="11" t="str">
        <v>-</v>
      </c>
      <c r="AV211" s="100"/>
      <c r="AW211" s="80" t="str">
        <f ca="1"/>
        <v>-</v>
      </c>
      <c r="AX211" s="86" t="b">
        <v>0</v>
      </c>
      <c r="AY211" s="68" t="str">
        <f t="shared" si="0"/>
        <v/>
      </c>
      <c r="AZ211" s="69" t="str">
        <f t="shared" si="1"/>
        <v/>
      </c>
      <c r="BA211" s="70" t="str">
        <f t="shared" si="2"/>
        <v/>
      </c>
      <c r="BB211" s="68" t="str">
        <f t="shared" si="3"/>
        <v/>
      </c>
      <c r="BC211" s="69" t="str">
        <f>IFERROR(VLOOKUP($AQ211,'(勿動)組件目錄表'!$D$15:$R$1094,7,FALSE),"")</f>
        <v/>
      </c>
      <c r="BD211" s="69" t="str">
        <f>IFERROR(VLOOKUP($AQ211,'(勿動)組件目錄表'!$D$15:$R$1094,8,FALSE),"")</f>
        <v/>
      </c>
      <c r="BE211" s="69" t="str">
        <f>IFERROR(VLOOKUP($AQ211,'(勿動)組件目錄表'!$D$15:$R$1094,9,FALSE),"")</f>
        <v/>
      </c>
      <c r="BF211" s="69" t="str">
        <f>IFERROR(VLOOKUP($AQ211,'(勿動)組件目錄表'!$D$15:$R$1094,10,FALSE),"")</f>
        <v/>
      </c>
      <c r="BG211" s="69" t="str">
        <f>IFERROR(VLOOKUP($AQ211,'(勿動)組件目錄表'!$D$15:$R$1094,11,FALSE),"")</f>
        <v/>
      </c>
      <c r="BH211" s="69" t="str">
        <f>IFERROR(VLOOKUP($AQ211,'(勿動)組件目錄表'!$D$15:$R$1094,12,FALSE),"")</f>
        <v/>
      </c>
      <c r="BI211" s="69" t="str">
        <f>IFERROR(VLOOKUP($AQ211,'(勿動)組件目錄表'!$D$15:$R$1094,13,FALSE),"")</f>
        <v/>
      </c>
      <c r="BJ211" s="69" t="str">
        <f>IFERROR(VLOOKUP($AQ211,'(勿動)組件目錄表'!$D$15:$R$1094,14,FALSE),"")</f>
        <v/>
      </c>
      <c r="BK211" s="69" t="str">
        <f>IFERROR(VLOOKUP($AQ211,'(勿動)組件目錄表'!$D$15:$R$1094,15,FALSE),"")</f>
        <v/>
      </c>
      <c r="BL211" s="81">
        <f ca="1">IFERROR(__xludf.DUMMYFUNCTION("IFERROR(
  LET(
    rowData, FILTER('(勿動)組件目錄表'!J:Q, '(勿動)組件目錄表'!D:D=AQ211),
    IF(ROWS(rowData)=0, 0, 
      (
        IF(AND(BC211&lt;&gt;"""", INDEX(rowData,1,1)=BC211),1,0) +
        IF(AND(BD211&lt;&gt;"""", INDEX(rowData,1,2)=BD211),1,0) +
        IF(AND(BE211"&amp;"&lt;&gt;"""", INDEX(rowData,1,3)=BE211),1,0) +
        IF(AND(BF211&lt;&gt;"""", INDEX(rowData,1,4)=BF211),1,0) +
        IF(AND(BG211&lt;&gt;"""", INDEX(rowData,1,5)=BG211),1,0) +
        IF(AND(BH211&lt;&gt;"""", INDEX(rowData,1,6)=BH211),1,0) +
        IF(AND(BI211&lt;&gt;"""", IND"&amp;"EX(rowData,1,7)=BI211),1,0) +
        IF(AND(BJ211&lt;&gt;"""", INDEX(rowData,1,8)=BJ211),1,0)
      ) - COUNTIF(BC211:BJ211, ""-"")
        - COUNTIF(BC211:BJ211, ""固定格式，不需提供資訊"")
        - COUNTIF(BC211:BJ211, ""由MKT更新，此欄位固定格式，不需提供資訊
(Voucher CID：12917705872)"&amp;""")
        - COUNTIF(BC211:BJ211, ""text固定為以下：
※直播間僅支援手機版"")
        - COUNTIF(BC211:BJ211, ""text固定為以下：
※短影音僅支援手機版"")
    )
  ), 
  0
)
"),0)</f>
        <v>0</v>
      </c>
      <c r="BM211" s="77" t="b">
        <v>0</v>
      </c>
      <c r="BN211" s="85"/>
      <c r="BO211" s="85"/>
    </row>
    <row r="212" spans="1:67" ht="30" customHeight="1">
      <c r="A212" s="73" t="str">
        <f t="array" aca="1" ref="A212" ca="1">IFERROR(TRANSPOSE(INDIRECT('MS section版配(Old)'!$AO212)),"")</f>
        <v/>
      </c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88"/>
      <c r="AC212" s="88"/>
      <c r="AD212" s="88"/>
      <c r="AE212" s="397" t="str">
        <f>IFERROR(VLOOKUP($AQ212,'(勿動)組件目錄表'!$D$15:$R$1094,4,FALSE),"")</f>
        <v/>
      </c>
      <c r="AF212" s="384"/>
      <c r="AG212" s="384"/>
      <c r="AH212" s="384"/>
      <c r="AI212" s="384"/>
      <c r="AJ212" s="385"/>
      <c r="AK212" s="54" t="b">
        <v>0</v>
      </c>
      <c r="AL212" s="54" t="b">
        <v>0</v>
      </c>
      <c r="AM212" s="54"/>
      <c r="AN212" s="7" t="str">
        <v>204</v>
      </c>
      <c r="AO212" s="7"/>
      <c r="AP212" s="62"/>
      <c r="AQ212" s="75" t="str">
        <v/>
      </c>
      <c r="AR212" s="75" t="str">
        <v>-</v>
      </c>
      <c r="AS212" s="11"/>
      <c r="AT212" s="77" t="str">
        <v>-</v>
      </c>
      <c r="AU212" s="11" t="str">
        <v>-</v>
      </c>
      <c r="AV212" s="100"/>
      <c r="AW212" s="80" t="str">
        <f ca="1"/>
        <v>-</v>
      </c>
      <c r="AX212" s="86" t="b">
        <v>0</v>
      </c>
      <c r="AY212" s="68" t="str">
        <f t="shared" si="0"/>
        <v/>
      </c>
      <c r="AZ212" s="69" t="str">
        <f t="shared" si="1"/>
        <v/>
      </c>
      <c r="BA212" s="70" t="str">
        <f t="shared" si="2"/>
        <v/>
      </c>
      <c r="BB212" s="68" t="str">
        <f t="shared" si="3"/>
        <v/>
      </c>
      <c r="BC212" s="69" t="str">
        <f>IFERROR(VLOOKUP($AQ212,'(勿動)組件目錄表'!$D$15:$R$1094,7,FALSE),"")</f>
        <v/>
      </c>
      <c r="BD212" s="69" t="str">
        <f>IFERROR(VLOOKUP($AQ212,'(勿動)組件目錄表'!$D$15:$R$1094,8,FALSE),"")</f>
        <v/>
      </c>
      <c r="BE212" s="69" t="str">
        <f>IFERROR(VLOOKUP($AQ212,'(勿動)組件目錄表'!$D$15:$R$1094,9,FALSE),"")</f>
        <v/>
      </c>
      <c r="BF212" s="69" t="str">
        <f>IFERROR(VLOOKUP($AQ212,'(勿動)組件目錄表'!$D$15:$R$1094,10,FALSE),"")</f>
        <v/>
      </c>
      <c r="BG212" s="69" t="str">
        <f>IFERROR(VLOOKUP($AQ212,'(勿動)組件目錄表'!$D$15:$R$1094,11,FALSE),"")</f>
        <v/>
      </c>
      <c r="BH212" s="69" t="str">
        <f>IFERROR(VLOOKUP($AQ212,'(勿動)組件目錄表'!$D$15:$R$1094,12,FALSE),"")</f>
        <v/>
      </c>
      <c r="BI212" s="69" t="str">
        <f>IFERROR(VLOOKUP($AQ212,'(勿動)組件目錄表'!$D$15:$R$1094,13,FALSE),"")</f>
        <v/>
      </c>
      <c r="BJ212" s="69" t="str">
        <f>IFERROR(VLOOKUP($AQ212,'(勿動)組件目錄表'!$D$15:$R$1094,14,FALSE),"")</f>
        <v/>
      </c>
      <c r="BK212" s="69" t="str">
        <f>IFERROR(VLOOKUP($AQ212,'(勿動)組件目錄表'!$D$15:$R$1094,15,FALSE),"")</f>
        <v/>
      </c>
      <c r="BL212" s="81">
        <f ca="1">IFERROR(__xludf.DUMMYFUNCTION("IFERROR(
  LET(
    rowData, FILTER('(勿動)組件目錄表'!J:Q, '(勿動)組件目錄表'!D:D=AQ212),
    IF(ROWS(rowData)=0, 0, 
      (
        IF(AND(BC212&lt;&gt;"""", INDEX(rowData,1,1)=BC212),1,0) +
        IF(AND(BD212&lt;&gt;"""", INDEX(rowData,1,2)=BD212),1,0) +
        IF(AND(BE212"&amp;"&lt;&gt;"""", INDEX(rowData,1,3)=BE212),1,0) +
        IF(AND(BF212&lt;&gt;"""", INDEX(rowData,1,4)=BF212),1,0) +
        IF(AND(BG212&lt;&gt;"""", INDEX(rowData,1,5)=BG212),1,0) +
        IF(AND(BH212&lt;&gt;"""", INDEX(rowData,1,6)=BH212),1,0) +
        IF(AND(BI212&lt;&gt;"""", IND"&amp;"EX(rowData,1,7)=BI212),1,0) +
        IF(AND(BJ212&lt;&gt;"""", INDEX(rowData,1,8)=BJ212),1,0)
      ) - COUNTIF(BC212:BJ212, ""-"")
        - COUNTIF(BC212:BJ212, ""固定格式，不需提供資訊"")
        - COUNTIF(BC212:BJ212, ""由MKT更新，此欄位固定格式，不需提供資訊
(Voucher CID：12917705872)"&amp;""")
        - COUNTIF(BC212:BJ212, ""text固定為以下：
※直播間僅支援手機版"")
        - COUNTIF(BC212:BJ212, ""text固定為以下：
※短影音僅支援手機版"")
    )
  ), 
  0
)
"),0)</f>
        <v>0</v>
      </c>
      <c r="BM212" s="77" t="b">
        <v>0</v>
      </c>
      <c r="BN212" s="85"/>
      <c r="BO212" s="85"/>
    </row>
    <row r="213" spans="1:67" ht="30" customHeight="1">
      <c r="A213" s="73" t="str">
        <f t="array" aca="1" ref="A213" ca="1">IFERROR(TRANSPOSE(INDIRECT('MS section版配(Old)'!$AO213)),"")</f>
        <v/>
      </c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88"/>
      <c r="AC213" s="88"/>
      <c r="AD213" s="88"/>
      <c r="AE213" s="397" t="str">
        <f>IFERROR(VLOOKUP($AQ213,'(勿動)組件目錄表'!$D$15:$R$1094,4,FALSE),"")</f>
        <v/>
      </c>
      <c r="AF213" s="384"/>
      <c r="AG213" s="384"/>
      <c r="AH213" s="384"/>
      <c r="AI213" s="384"/>
      <c r="AJ213" s="385"/>
      <c r="AK213" s="54" t="b">
        <v>0</v>
      </c>
      <c r="AL213" s="54" t="b">
        <v>0</v>
      </c>
      <c r="AM213" s="54"/>
      <c r="AN213" s="7" t="str">
        <v>205</v>
      </c>
      <c r="AO213" s="7"/>
      <c r="AP213" s="62"/>
      <c r="AQ213" s="75" t="str">
        <v/>
      </c>
      <c r="AR213" s="75" t="str">
        <v>-</v>
      </c>
      <c r="AS213" s="11"/>
      <c r="AT213" s="77" t="str">
        <v>-</v>
      </c>
      <c r="AU213" s="11" t="str">
        <v>-</v>
      </c>
      <c r="AV213" s="100"/>
      <c r="AW213" s="80" t="str">
        <f ca="1"/>
        <v>-</v>
      </c>
      <c r="AX213" s="86" t="b">
        <v>0</v>
      </c>
      <c r="AY213" s="68" t="str">
        <f t="shared" si="0"/>
        <v/>
      </c>
      <c r="AZ213" s="69" t="str">
        <f t="shared" si="1"/>
        <v/>
      </c>
      <c r="BA213" s="70" t="str">
        <f t="shared" si="2"/>
        <v/>
      </c>
      <c r="BB213" s="68" t="str">
        <f t="shared" si="3"/>
        <v/>
      </c>
      <c r="BC213" s="69" t="str">
        <f>IFERROR(VLOOKUP($AQ213,'(勿動)組件目錄表'!$D$15:$R$1094,7,FALSE),"")</f>
        <v/>
      </c>
      <c r="BD213" s="69" t="str">
        <f>IFERROR(VLOOKUP($AQ213,'(勿動)組件目錄表'!$D$15:$R$1094,8,FALSE),"")</f>
        <v/>
      </c>
      <c r="BE213" s="69" t="str">
        <f>IFERROR(VLOOKUP($AQ213,'(勿動)組件目錄表'!$D$15:$R$1094,9,FALSE),"")</f>
        <v/>
      </c>
      <c r="BF213" s="69" t="str">
        <f>IFERROR(VLOOKUP($AQ213,'(勿動)組件目錄表'!$D$15:$R$1094,10,FALSE),"")</f>
        <v/>
      </c>
      <c r="BG213" s="69" t="str">
        <f>IFERROR(VLOOKUP($AQ213,'(勿動)組件目錄表'!$D$15:$R$1094,11,FALSE),"")</f>
        <v/>
      </c>
      <c r="BH213" s="69" t="str">
        <f>IFERROR(VLOOKUP($AQ213,'(勿動)組件目錄表'!$D$15:$R$1094,12,FALSE),"")</f>
        <v/>
      </c>
      <c r="BI213" s="69" t="str">
        <f>IFERROR(VLOOKUP($AQ213,'(勿動)組件目錄表'!$D$15:$R$1094,13,FALSE),"")</f>
        <v/>
      </c>
      <c r="BJ213" s="69" t="str">
        <f>IFERROR(VLOOKUP($AQ213,'(勿動)組件目錄表'!$D$15:$R$1094,14,FALSE),"")</f>
        <v/>
      </c>
      <c r="BK213" s="69" t="str">
        <f>IFERROR(VLOOKUP($AQ213,'(勿動)組件目錄表'!$D$15:$R$1094,15,FALSE),"")</f>
        <v/>
      </c>
      <c r="BL213" s="81">
        <f ca="1">IFERROR(__xludf.DUMMYFUNCTION("IFERROR(
  LET(
    rowData, FILTER('(勿動)組件目錄表'!J:Q, '(勿動)組件目錄表'!D:D=AQ213),
    IF(ROWS(rowData)=0, 0, 
      (
        IF(AND(BC213&lt;&gt;"""", INDEX(rowData,1,1)=BC213),1,0) +
        IF(AND(BD213&lt;&gt;"""", INDEX(rowData,1,2)=BD213),1,0) +
        IF(AND(BE213"&amp;"&lt;&gt;"""", INDEX(rowData,1,3)=BE213),1,0) +
        IF(AND(BF213&lt;&gt;"""", INDEX(rowData,1,4)=BF213),1,0) +
        IF(AND(BG213&lt;&gt;"""", INDEX(rowData,1,5)=BG213),1,0) +
        IF(AND(BH213&lt;&gt;"""", INDEX(rowData,1,6)=BH213),1,0) +
        IF(AND(BI213&lt;&gt;"""", IND"&amp;"EX(rowData,1,7)=BI213),1,0) +
        IF(AND(BJ213&lt;&gt;"""", INDEX(rowData,1,8)=BJ213),1,0)
      ) - COUNTIF(BC213:BJ213, ""-"")
        - COUNTIF(BC213:BJ213, ""固定格式，不需提供資訊"")
        - COUNTIF(BC213:BJ213, ""由MKT更新，此欄位固定格式，不需提供資訊
(Voucher CID：12917705872)"&amp;""")
        - COUNTIF(BC213:BJ213, ""text固定為以下：
※直播間僅支援手機版"")
        - COUNTIF(BC213:BJ213, ""text固定為以下：
※短影音僅支援手機版"")
    )
  ), 
  0
)
"),0)</f>
        <v>0</v>
      </c>
      <c r="BM213" s="77" t="b">
        <v>0</v>
      </c>
      <c r="BN213" s="85"/>
      <c r="BO213" s="85"/>
    </row>
    <row r="214" spans="1:67" ht="30" customHeight="1">
      <c r="A214" s="73" t="str">
        <f t="array" aca="1" ref="A214" ca="1">IFERROR(TRANSPOSE(INDIRECT('MS section版配(Old)'!$AO214)),"")</f>
        <v/>
      </c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88"/>
      <c r="AC214" s="88"/>
      <c r="AD214" s="88"/>
      <c r="AE214" s="397" t="str">
        <f>IFERROR(VLOOKUP($AQ214,'(勿動)組件目錄表'!$D$15:$R$1094,4,FALSE),"")</f>
        <v/>
      </c>
      <c r="AF214" s="384"/>
      <c r="AG214" s="384"/>
      <c r="AH214" s="384"/>
      <c r="AI214" s="384"/>
      <c r="AJ214" s="385"/>
      <c r="AK214" s="54" t="b">
        <v>0</v>
      </c>
      <c r="AL214" s="54" t="b">
        <v>0</v>
      </c>
      <c r="AM214" s="54"/>
      <c r="AN214" s="7" t="str">
        <v>206</v>
      </c>
      <c r="AO214" s="7"/>
      <c r="AP214" s="62"/>
      <c r="AQ214" s="75" t="str">
        <v/>
      </c>
      <c r="AR214" s="75" t="str">
        <v>-</v>
      </c>
      <c r="AS214" s="11"/>
      <c r="AT214" s="77" t="str">
        <v>-</v>
      </c>
      <c r="AU214" s="11" t="str">
        <v>-</v>
      </c>
      <c r="AV214" s="100"/>
      <c r="AW214" s="80" t="str">
        <f ca="1"/>
        <v>-</v>
      </c>
      <c r="AX214" s="86" t="b">
        <v>0</v>
      </c>
      <c r="AY214" s="68" t="str">
        <f t="shared" si="0"/>
        <v/>
      </c>
      <c r="AZ214" s="69" t="str">
        <f t="shared" si="1"/>
        <v/>
      </c>
      <c r="BA214" s="70" t="str">
        <f t="shared" si="2"/>
        <v/>
      </c>
      <c r="BB214" s="68" t="str">
        <f t="shared" si="3"/>
        <v/>
      </c>
      <c r="BC214" s="69" t="str">
        <f>IFERROR(VLOOKUP($AQ214,'(勿動)組件目錄表'!$D$15:$R$1094,7,FALSE),"")</f>
        <v/>
      </c>
      <c r="BD214" s="69" t="str">
        <f>IFERROR(VLOOKUP($AQ214,'(勿動)組件目錄表'!$D$15:$R$1094,8,FALSE),"")</f>
        <v/>
      </c>
      <c r="BE214" s="69" t="str">
        <f>IFERROR(VLOOKUP($AQ214,'(勿動)組件目錄表'!$D$15:$R$1094,9,FALSE),"")</f>
        <v/>
      </c>
      <c r="BF214" s="69" t="str">
        <f>IFERROR(VLOOKUP($AQ214,'(勿動)組件目錄表'!$D$15:$R$1094,10,FALSE),"")</f>
        <v/>
      </c>
      <c r="BG214" s="69" t="str">
        <f>IFERROR(VLOOKUP($AQ214,'(勿動)組件目錄表'!$D$15:$R$1094,11,FALSE),"")</f>
        <v/>
      </c>
      <c r="BH214" s="69" t="str">
        <f>IFERROR(VLOOKUP($AQ214,'(勿動)組件目錄表'!$D$15:$R$1094,12,FALSE),"")</f>
        <v/>
      </c>
      <c r="BI214" s="69" t="str">
        <f>IFERROR(VLOOKUP($AQ214,'(勿動)組件目錄表'!$D$15:$R$1094,13,FALSE),"")</f>
        <v/>
      </c>
      <c r="BJ214" s="69" t="str">
        <f>IFERROR(VLOOKUP($AQ214,'(勿動)組件目錄表'!$D$15:$R$1094,14,FALSE),"")</f>
        <v/>
      </c>
      <c r="BK214" s="69" t="str">
        <f>IFERROR(VLOOKUP($AQ214,'(勿動)組件目錄表'!$D$15:$R$1094,15,FALSE),"")</f>
        <v/>
      </c>
      <c r="BL214" s="81">
        <f ca="1">IFERROR(__xludf.DUMMYFUNCTION("IFERROR(
  LET(
    rowData, FILTER('(勿動)組件目錄表'!J:Q, '(勿動)組件目錄表'!D:D=AQ214),
    IF(ROWS(rowData)=0, 0, 
      (
        IF(AND(BC214&lt;&gt;"""", INDEX(rowData,1,1)=BC214),1,0) +
        IF(AND(BD214&lt;&gt;"""", INDEX(rowData,1,2)=BD214),1,0) +
        IF(AND(BE214"&amp;"&lt;&gt;"""", INDEX(rowData,1,3)=BE214),1,0) +
        IF(AND(BF214&lt;&gt;"""", INDEX(rowData,1,4)=BF214),1,0) +
        IF(AND(BG214&lt;&gt;"""", INDEX(rowData,1,5)=BG214),1,0) +
        IF(AND(BH214&lt;&gt;"""", INDEX(rowData,1,6)=BH214),1,0) +
        IF(AND(BI214&lt;&gt;"""", IND"&amp;"EX(rowData,1,7)=BI214),1,0) +
        IF(AND(BJ214&lt;&gt;"""", INDEX(rowData,1,8)=BJ214),1,0)
      ) - COUNTIF(BC214:BJ214, ""-"")
        - COUNTIF(BC214:BJ214, ""固定格式，不需提供資訊"")
        - COUNTIF(BC214:BJ214, ""由MKT更新，此欄位固定格式，不需提供資訊
(Voucher CID：12917705872)"&amp;""")
        - COUNTIF(BC214:BJ214, ""text固定為以下：
※直播間僅支援手機版"")
        - COUNTIF(BC214:BJ214, ""text固定為以下：
※短影音僅支援手機版"")
    )
  ), 
  0
)
"),0)</f>
        <v>0</v>
      </c>
      <c r="BM214" s="77" t="b">
        <v>0</v>
      </c>
      <c r="BN214" s="85"/>
      <c r="BO214" s="85"/>
    </row>
    <row r="215" spans="1:67" ht="30" customHeight="1">
      <c r="A215" s="73" t="str">
        <f t="array" aca="1" ref="A215" ca="1">IFERROR(TRANSPOSE(INDIRECT('MS section版配(Old)'!$AO215)),"")</f>
        <v/>
      </c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88"/>
      <c r="AC215" s="88"/>
      <c r="AD215" s="88"/>
      <c r="AE215" s="397" t="str">
        <f>IFERROR(VLOOKUP($AQ215,'(勿動)組件目錄表'!$D$15:$R$1094,4,FALSE),"")</f>
        <v/>
      </c>
      <c r="AF215" s="384"/>
      <c r="AG215" s="384"/>
      <c r="AH215" s="384"/>
      <c r="AI215" s="384"/>
      <c r="AJ215" s="385"/>
      <c r="AK215" s="54" t="b">
        <v>0</v>
      </c>
      <c r="AL215" s="54" t="b">
        <v>0</v>
      </c>
      <c r="AM215" s="54"/>
      <c r="AN215" s="7" t="str">
        <v>207</v>
      </c>
      <c r="AO215" s="7"/>
      <c r="AP215" s="62"/>
      <c r="AQ215" s="75" t="str">
        <v/>
      </c>
      <c r="AR215" s="75" t="str">
        <v>-</v>
      </c>
      <c r="AS215" s="11"/>
      <c r="AT215" s="77" t="str">
        <v>-</v>
      </c>
      <c r="AU215" s="11" t="str">
        <v>-</v>
      </c>
      <c r="AV215" s="100"/>
      <c r="AW215" s="80" t="str">
        <f ca="1"/>
        <v>-</v>
      </c>
      <c r="AX215" s="86" t="b">
        <v>0</v>
      </c>
      <c r="AY215" s="68" t="str">
        <f t="shared" si="0"/>
        <v/>
      </c>
      <c r="AZ215" s="69" t="str">
        <f t="shared" si="1"/>
        <v/>
      </c>
      <c r="BA215" s="70" t="str">
        <f t="shared" si="2"/>
        <v/>
      </c>
      <c r="BB215" s="68" t="str">
        <f t="shared" si="3"/>
        <v/>
      </c>
      <c r="BC215" s="69" t="str">
        <f>IFERROR(VLOOKUP($AQ215,'(勿動)組件目錄表'!$D$15:$R$1094,7,FALSE),"")</f>
        <v/>
      </c>
      <c r="BD215" s="69" t="str">
        <f>IFERROR(VLOOKUP($AQ215,'(勿動)組件目錄表'!$D$15:$R$1094,8,FALSE),"")</f>
        <v/>
      </c>
      <c r="BE215" s="69" t="str">
        <f>IFERROR(VLOOKUP($AQ215,'(勿動)組件目錄表'!$D$15:$R$1094,9,FALSE),"")</f>
        <v/>
      </c>
      <c r="BF215" s="69" t="str">
        <f>IFERROR(VLOOKUP($AQ215,'(勿動)組件目錄表'!$D$15:$R$1094,10,FALSE),"")</f>
        <v/>
      </c>
      <c r="BG215" s="69" t="str">
        <f>IFERROR(VLOOKUP($AQ215,'(勿動)組件目錄表'!$D$15:$R$1094,11,FALSE),"")</f>
        <v/>
      </c>
      <c r="BH215" s="69" t="str">
        <f>IFERROR(VLOOKUP($AQ215,'(勿動)組件目錄表'!$D$15:$R$1094,12,FALSE),"")</f>
        <v/>
      </c>
      <c r="BI215" s="69" t="str">
        <f>IFERROR(VLOOKUP($AQ215,'(勿動)組件目錄表'!$D$15:$R$1094,13,FALSE),"")</f>
        <v/>
      </c>
      <c r="BJ215" s="69" t="str">
        <f>IFERROR(VLOOKUP($AQ215,'(勿動)組件目錄表'!$D$15:$R$1094,14,FALSE),"")</f>
        <v/>
      </c>
      <c r="BK215" s="69" t="str">
        <f>IFERROR(VLOOKUP($AQ215,'(勿動)組件目錄表'!$D$15:$R$1094,15,FALSE),"")</f>
        <v/>
      </c>
      <c r="BL215" s="81">
        <f ca="1">IFERROR(__xludf.DUMMYFUNCTION("IFERROR(
  LET(
    rowData, FILTER('(勿動)組件目錄表'!J:Q, '(勿動)組件目錄表'!D:D=AQ215),
    IF(ROWS(rowData)=0, 0, 
      (
        IF(AND(BC215&lt;&gt;"""", INDEX(rowData,1,1)=BC215),1,0) +
        IF(AND(BD215&lt;&gt;"""", INDEX(rowData,1,2)=BD215),1,0) +
        IF(AND(BE215"&amp;"&lt;&gt;"""", INDEX(rowData,1,3)=BE215),1,0) +
        IF(AND(BF215&lt;&gt;"""", INDEX(rowData,1,4)=BF215),1,0) +
        IF(AND(BG215&lt;&gt;"""", INDEX(rowData,1,5)=BG215),1,0) +
        IF(AND(BH215&lt;&gt;"""", INDEX(rowData,1,6)=BH215),1,0) +
        IF(AND(BI215&lt;&gt;"""", IND"&amp;"EX(rowData,1,7)=BI215),1,0) +
        IF(AND(BJ215&lt;&gt;"""", INDEX(rowData,1,8)=BJ215),1,0)
      ) - COUNTIF(BC215:BJ215, ""-"")
        - COUNTIF(BC215:BJ215, ""固定格式，不需提供資訊"")
        - COUNTIF(BC215:BJ215, ""由MKT更新，此欄位固定格式，不需提供資訊
(Voucher CID：12917705872)"&amp;""")
        - COUNTIF(BC215:BJ215, ""text固定為以下：
※直播間僅支援手機版"")
        - COUNTIF(BC215:BJ215, ""text固定為以下：
※短影音僅支援手機版"")
    )
  ), 
  0
)
"),0)</f>
        <v>0</v>
      </c>
      <c r="BM215" s="77" t="b">
        <v>0</v>
      </c>
      <c r="BN215" s="85"/>
      <c r="BO215" s="85"/>
    </row>
    <row r="216" spans="1:67" ht="30" customHeight="1">
      <c r="A216" s="73" t="str">
        <f t="array" aca="1" ref="A216" ca="1">IFERROR(TRANSPOSE(INDIRECT('MS section版配(Old)'!$AO216)),"")</f>
        <v/>
      </c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88"/>
      <c r="AC216" s="88"/>
      <c r="AD216" s="88"/>
      <c r="AE216" s="397" t="str">
        <f>IFERROR(VLOOKUP($AQ216,'(勿動)組件目錄表'!$D$15:$R$1094,4,FALSE),"")</f>
        <v/>
      </c>
      <c r="AF216" s="384"/>
      <c r="AG216" s="384"/>
      <c r="AH216" s="384"/>
      <c r="AI216" s="384"/>
      <c r="AJ216" s="385"/>
      <c r="AK216" s="54" t="b">
        <v>0</v>
      </c>
      <c r="AL216" s="54" t="b">
        <v>0</v>
      </c>
      <c r="AM216" s="54"/>
      <c r="AN216" s="7" t="str">
        <v>208</v>
      </c>
      <c r="AO216" s="7"/>
      <c r="AP216" s="62"/>
      <c r="AQ216" s="75" t="str">
        <v/>
      </c>
      <c r="AR216" s="75" t="str">
        <v>-</v>
      </c>
      <c r="AS216" s="11"/>
      <c r="AT216" s="77" t="str">
        <v>-</v>
      </c>
      <c r="AU216" s="11" t="str">
        <v>-</v>
      </c>
      <c r="AV216" s="100"/>
      <c r="AW216" s="80" t="str">
        <f ca="1"/>
        <v>-</v>
      </c>
      <c r="AX216" s="86" t="b">
        <v>0</v>
      </c>
      <c r="AY216" s="68" t="str">
        <f t="shared" si="0"/>
        <v/>
      </c>
      <c r="AZ216" s="69" t="str">
        <f t="shared" si="1"/>
        <v/>
      </c>
      <c r="BA216" s="70" t="str">
        <f t="shared" si="2"/>
        <v/>
      </c>
      <c r="BB216" s="68" t="str">
        <f t="shared" si="3"/>
        <v/>
      </c>
      <c r="BC216" s="69" t="str">
        <f>IFERROR(VLOOKUP($AQ216,'(勿動)組件目錄表'!$D$15:$R$1094,7,FALSE),"")</f>
        <v/>
      </c>
      <c r="BD216" s="69" t="str">
        <f>IFERROR(VLOOKUP($AQ216,'(勿動)組件目錄表'!$D$15:$R$1094,8,FALSE),"")</f>
        <v/>
      </c>
      <c r="BE216" s="69" t="str">
        <f>IFERROR(VLOOKUP($AQ216,'(勿動)組件目錄表'!$D$15:$R$1094,9,FALSE),"")</f>
        <v/>
      </c>
      <c r="BF216" s="69" t="str">
        <f>IFERROR(VLOOKUP($AQ216,'(勿動)組件目錄表'!$D$15:$R$1094,10,FALSE),"")</f>
        <v/>
      </c>
      <c r="BG216" s="69" t="str">
        <f>IFERROR(VLOOKUP($AQ216,'(勿動)組件目錄表'!$D$15:$R$1094,11,FALSE),"")</f>
        <v/>
      </c>
      <c r="BH216" s="69" t="str">
        <f>IFERROR(VLOOKUP($AQ216,'(勿動)組件目錄表'!$D$15:$R$1094,12,FALSE),"")</f>
        <v/>
      </c>
      <c r="BI216" s="69" t="str">
        <f>IFERROR(VLOOKUP($AQ216,'(勿動)組件目錄表'!$D$15:$R$1094,13,FALSE),"")</f>
        <v/>
      </c>
      <c r="BJ216" s="69" t="str">
        <f>IFERROR(VLOOKUP($AQ216,'(勿動)組件目錄表'!$D$15:$R$1094,14,FALSE),"")</f>
        <v/>
      </c>
      <c r="BK216" s="69" t="str">
        <f>IFERROR(VLOOKUP($AQ216,'(勿動)組件目錄表'!$D$15:$R$1094,15,FALSE),"")</f>
        <v/>
      </c>
      <c r="BL216" s="81">
        <f ca="1">IFERROR(__xludf.DUMMYFUNCTION("IFERROR(
  LET(
    rowData, FILTER('(勿動)組件目錄表'!J:Q, '(勿動)組件目錄表'!D:D=AQ216),
    IF(ROWS(rowData)=0, 0, 
      (
        IF(AND(BC216&lt;&gt;"""", INDEX(rowData,1,1)=BC216),1,0) +
        IF(AND(BD216&lt;&gt;"""", INDEX(rowData,1,2)=BD216),1,0) +
        IF(AND(BE216"&amp;"&lt;&gt;"""", INDEX(rowData,1,3)=BE216),1,0) +
        IF(AND(BF216&lt;&gt;"""", INDEX(rowData,1,4)=BF216),1,0) +
        IF(AND(BG216&lt;&gt;"""", INDEX(rowData,1,5)=BG216),1,0) +
        IF(AND(BH216&lt;&gt;"""", INDEX(rowData,1,6)=BH216),1,0) +
        IF(AND(BI216&lt;&gt;"""", IND"&amp;"EX(rowData,1,7)=BI216),1,0) +
        IF(AND(BJ216&lt;&gt;"""", INDEX(rowData,1,8)=BJ216),1,0)
      ) - COUNTIF(BC216:BJ216, ""-"")
        - COUNTIF(BC216:BJ216, ""固定格式，不需提供資訊"")
        - COUNTIF(BC216:BJ216, ""由MKT更新，此欄位固定格式，不需提供資訊
(Voucher CID：12917705872)"&amp;""")
        - COUNTIF(BC216:BJ216, ""text固定為以下：
※直播間僅支援手機版"")
        - COUNTIF(BC216:BJ216, ""text固定為以下：
※短影音僅支援手機版"")
    )
  ), 
  0
)
"),0)</f>
        <v>0</v>
      </c>
      <c r="BM216" s="77" t="b">
        <v>0</v>
      </c>
      <c r="BN216" s="85"/>
      <c r="BO216" s="85"/>
    </row>
    <row r="217" spans="1:67" ht="30" customHeight="1">
      <c r="A217" s="73" t="str">
        <f t="array" aca="1" ref="A217" ca="1">IFERROR(TRANSPOSE(INDIRECT('MS section版配(Old)'!$AO217)),"")</f>
        <v/>
      </c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88"/>
      <c r="AC217" s="88"/>
      <c r="AD217" s="88"/>
      <c r="AE217" s="397" t="str">
        <f>IFERROR(VLOOKUP($AQ217,'(勿動)組件目錄表'!$D$15:$R$1094,4,FALSE),"")</f>
        <v/>
      </c>
      <c r="AF217" s="384"/>
      <c r="AG217" s="384"/>
      <c r="AH217" s="384"/>
      <c r="AI217" s="384"/>
      <c r="AJ217" s="385"/>
      <c r="AK217" s="54" t="b">
        <v>0</v>
      </c>
      <c r="AL217" s="54" t="b">
        <v>0</v>
      </c>
      <c r="AM217" s="54"/>
      <c r="AN217" s="7" t="str">
        <v>209</v>
      </c>
      <c r="AO217" s="7"/>
      <c r="AP217" s="62"/>
      <c r="AQ217" s="75" t="str">
        <v/>
      </c>
      <c r="AR217" s="75" t="str">
        <v>-</v>
      </c>
      <c r="AS217" s="11"/>
      <c r="AT217" s="77" t="str">
        <v>-</v>
      </c>
      <c r="AU217" s="11" t="str">
        <v>-</v>
      </c>
      <c r="AV217" s="100"/>
      <c r="AW217" s="80" t="str">
        <f ca="1"/>
        <v>-</v>
      </c>
      <c r="AX217" s="86" t="b">
        <v>0</v>
      </c>
      <c r="AY217" s="68" t="str">
        <f t="shared" si="0"/>
        <v/>
      </c>
      <c r="AZ217" s="69" t="str">
        <f t="shared" si="1"/>
        <v/>
      </c>
      <c r="BA217" s="70" t="str">
        <f t="shared" si="2"/>
        <v/>
      </c>
      <c r="BB217" s="68" t="str">
        <f t="shared" si="3"/>
        <v/>
      </c>
      <c r="BC217" s="69" t="str">
        <f>IFERROR(VLOOKUP($AQ217,'(勿動)組件目錄表'!$D$15:$R$1094,7,FALSE),"")</f>
        <v/>
      </c>
      <c r="BD217" s="69" t="str">
        <f>IFERROR(VLOOKUP($AQ217,'(勿動)組件目錄表'!$D$15:$R$1094,8,FALSE),"")</f>
        <v/>
      </c>
      <c r="BE217" s="69" t="str">
        <f>IFERROR(VLOOKUP($AQ217,'(勿動)組件目錄表'!$D$15:$R$1094,9,FALSE),"")</f>
        <v/>
      </c>
      <c r="BF217" s="69" t="str">
        <f>IFERROR(VLOOKUP($AQ217,'(勿動)組件目錄表'!$D$15:$R$1094,10,FALSE),"")</f>
        <v/>
      </c>
      <c r="BG217" s="69" t="str">
        <f>IFERROR(VLOOKUP($AQ217,'(勿動)組件目錄表'!$D$15:$R$1094,11,FALSE),"")</f>
        <v/>
      </c>
      <c r="BH217" s="69" t="str">
        <f>IFERROR(VLOOKUP($AQ217,'(勿動)組件目錄表'!$D$15:$R$1094,12,FALSE),"")</f>
        <v/>
      </c>
      <c r="BI217" s="69" t="str">
        <f>IFERROR(VLOOKUP($AQ217,'(勿動)組件目錄表'!$D$15:$R$1094,13,FALSE),"")</f>
        <v/>
      </c>
      <c r="BJ217" s="69" t="str">
        <f>IFERROR(VLOOKUP($AQ217,'(勿動)組件目錄表'!$D$15:$R$1094,14,FALSE),"")</f>
        <v/>
      </c>
      <c r="BK217" s="69" t="str">
        <f>IFERROR(VLOOKUP($AQ217,'(勿動)組件目錄表'!$D$15:$R$1094,15,FALSE),"")</f>
        <v/>
      </c>
      <c r="BL217" s="81">
        <f ca="1">IFERROR(__xludf.DUMMYFUNCTION("IFERROR(
  LET(
    rowData, FILTER('(勿動)組件目錄表'!J:Q, '(勿動)組件目錄表'!D:D=AQ217),
    IF(ROWS(rowData)=0, 0, 
      (
        IF(AND(BC217&lt;&gt;"""", INDEX(rowData,1,1)=BC217),1,0) +
        IF(AND(BD217&lt;&gt;"""", INDEX(rowData,1,2)=BD217),1,0) +
        IF(AND(BE217"&amp;"&lt;&gt;"""", INDEX(rowData,1,3)=BE217),1,0) +
        IF(AND(BF217&lt;&gt;"""", INDEX(rowData,1,4)=BF217),1,0) +
        IF(AND(BG217&lt;&gt;"""", INDEX(rowData,1,5)=BG217),1,0) +
        IF(AND(BH217&lt;&gt;"""", INDEX(rowData,1,6)=BH217),1,0) +
        IF(AND(BI217&lt;&gt;"""", IND"&amp;"EX(rowData,1,7)=BI217),1,0) +
        IF(AND(BJ217&lt;&gt;"""", INDEX(rowData,1,8)=BJ217),1,0)
      ) - COUNTIF(BC217:BJ217, ""-"")
        - COUNTIF(BC217:BJ217, ""固定格式，不需提供資訊"")
        - COUNTIF(BC217:BJ217, ""由MKT更新，此欄位固定格式，不需提供資訊
(Voucher CID：12917705872)"&amp;""")
        - COUNTIF(BC217:BJ217, ""text固定為以下：
※直播間僅支援手機版"")
        - COUNTIF(BC217:BJ217, ""text固定為以下：
※短影音僅支援手機版"")
    )
  ), 
  0
)
"),0)</f>
        <v>0</v>
      </c>
      <c r="BM217" s="77" t="b">
        <v>0</v>
      </c>
      <c r="BN217" s="85"/>
      <c r="BO217" s="85"/>
    </row>
    <row r="218" spans="1:67" ht="30" customHeight="1">
      <c r="A218" s="73" t="str">
        <f t="array" aca="1" ref="A218" ca="1">IFERROR(TRANSPOSE(INDIRECT('MS section版配(Old)'!$AO218)),"")</f>
        <v/>
      </c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88"/>
      <c r="AC218" s="88"/>
      <c r="AD218" s="88"/>
      <c r="AE218" s="397" t="str">
        <f>IFERROR(VLOOKUP($AQ218,'(勿動)組件目錄表'!$D$15:$R$1094,4,FALSE),"")</f>
        <v/>
      </c>
      <c r="AF218" s="384"/>
      <c r="AG218" s="384"/>
      <c r="AH218" s="384"/>
      <c r="AI218" s="384"/>
      <c r="AJ218" s="385"/>
      <c r="AK218" s="54" t="b">
        <v>0</v>
      </c>
      <c r="AL218" s="54" t="b">
        <v>0</v>
      </c>
      <c r="AM218" s="54"/>
      <c r="AN218" s="7" t="str">
        <v>210</v>
      </c>
      <c r="AO218" s="7"/>
      <c r="AP218" s="62"/>
      <c r="AQ218" s="75" t="str">
        <v/>
      </c>
      <c r="AR218" s="75" t="str">
        <v>-</v>
      </c>
      <c r="AS218" s="11"/>
      <c r="AT218" s="77" t="str">
        <v>-</v>
      </c>
      <c r="AU218" s="11" t="str">
        <v>-</v>
      </c>
      <c r="AV218" s="100"/>
      <c r="AW218" s="80" t="str">
        <f ca="1"/>
        <v>-</v>
      </c>
      <c r="AX218" s="86" t="b">
        <v>0</v>
      </c>
      <c r="AY218" s="68" t="str">
        <f t="shared" si="0"/>
        <v/>
      </c>
      <c r="AZ218" s="69" t="str">
        <f t="shared" si="1"/>
        <v/>
      </c>
      <c r="BA218" s="70" t="str">
        <f t="shared" si="2"/>
        <v/>
      </c>
      <c r="BB218" s="68" t="str">
        <f t="shared" si="3"/>
        <v/>
      </c>
      <c r="BC218" s="69" t="str">
        <f>IFERROR(VLOOKUP($AQ218,'(勿動)組件目錄表'!$D$15:$R$1094,7,FALSE),"")</f>
        <v/>
      </c>
      <c r="BD218" s="69" t="str">
        <f>IFERROR(VLOOKUP($AQ218,'(勿動)組件目錄表'!$D$15:$R$1094,8,FALSE),"")</f>
        <v/>
      </c>
      <c r="BE218" s="69" t="str">
        <f>IFERROR(VLOOKUP($AQ218,'(勿動)組件目錄表'!$D$15:$R$1094,9,FALSE),"")</f>
        <v/>
      </c>
      <c r="BF218" s="69" t="str">
        <f>IFERROR(VLOOKUP($AQ218,'(勿動)組件目錄表'!$D$15:$R$1094,10,FALSE),"")</f>
        <v/>
      </c>
      <c r="BG218" s="69" t="str">
        <f>IFERROR(VLOOKUP($AQ218,'(勿動)組件目錄表'!$D$15:$R$1094,11,FALSE),"")</f>
        <v/>
      </c>
      <c r="BH218" s="69" t="str">
        <f>IFERROR(VLOOKUP($AQ218,'(勿動)組件目錄表'!$D$15:$R$1094,12,FALSE),"")</f>
        <v/>
      </c>
      <c r="BI218" s="69" t="str">
        <f>IFERROR(VLOOKUP($AQ218,'(勿動)組件目錄表'!$D$15:$R$1094,13,FALSE),"")</f>
        <v/>
      </c>
      <c r="BJ218" s="69" t="str">
        <f>IFERROR(VLOOKUP($AQ218,'(勿動)組件目錄表'!$D$15:$R$1094,14,FALSE),"")</f>
        <v/>
      </c>
      <c r="BK218" s="69" t="str">
        <f>IFERROR(VLOOKUP($AQ218,'(勿動)組件目錄表'!$D$15:$R$1094,15,FALSE),"")</f>
        <v/>
      </c>
      <c r="BL218" s="81">
        <f ca="1">IFERROR(__xludf.DUMMYFUNCTION("IFERROR(
  LET(
    rowData, FILTER('(勿動)組件目錄表'!J:Q, '(勿動)組件目錄表'!D:D=AQ218),
    IF(ROWS(rowData)=0, 0, 
      (
        IF(AND(BC218&lt;&gt;"""", INDEX(rowData,1,1)=BC218),1,0) +
        IF(AND(BD218&lt;&gt;"""", INDEX(rowData,1,2)=BD218),1,0) +
        IF(AND(BE218"&amp;"&lt;&gt;"""", INDEX(rowData,1,3)=BE218),1,0) +
        IF(AND(BF218&lt;&gt;"""", INDEX(rowData,1,4)=BF218),1,0) +
        IF(AND(BG218&lt;&gt;"""", INDEX(rowData,1,5)=BG218),1,0) +
        IF(AND(BH218&lt;&gt;"""", INDEX(rowData,1,6)=BH218),1,0) +
        IF(AND(BI218&lt;&gt;"""", IND"&amp;"EX(rowData,1,7)=BI218),1,0) +
        IF(AND(BJ218&lt;&gt;"""", INDEX(rowData,1,8)=BJ218),1,0)
      ) - COUNTIF(BC218:BJ218, ""-"")
        - COUNTIF(BC218:BJ218, ""固定格式，不需提供資訊"")
        - COUNTIF(BC218:BJ218, ""由MKT更新，此欄位固定格式，不需提供資訊
(Voucher CID：12917705872)"&amp;""")
        - COUNTIF(BC218:BJ218, ""text固定為以下：
※直播間僅支援手機版"")
        - COUNTIF(BC218:BJ218, ""text固定為以下：
※短影音僅支援手機版"")
    )
  ), 
  0
)
"),0)</f>
        <v>0</v>
      </c>
      <c r="BM218" s="77" t="b">
        <v>0</v>
      </c>
      <c r="BN218" s="85"/>
      <c r="BO218" s="85"/>
    </row>
    <row r="219" spans="1:67" ht="30" customHeight="1">
      <c r="A219" s="73" t="str">
        <f t="array" aca="1" ref="A219" ca="1">IFERROR(TRANSPOSE(INDIRECT('MS section版配(Old)'!$AO219)),"")</f>
        <v/>
      </c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88"/>
      <c r="AC219" s="88"/>
      <c r="AD219" s="88"/>
      <c r="AE219" s="397" t="str">
        <f>IFERROR(VLOOKUP($AQ219,'(勿動)組件目錄表'!$D$15:$R$1094,4,FALSE),"")</f>
        <v/>
      </c>
      <c r="AF219" s="384"/>
      <c r="AG219" s="384"/>
      <c r="AH219" s="384"/>
      <c r="AI219" s="384"/>
      <c r="AJ219" s="385"/>
      <c r="AK219" s="54" t="b">
        <v>0</v>
      </c>
      <c r="AL219" s="54" t="b">
        <v>0</v>
      </c>
      <c r="AM219" s="54"/>
      <c r="AN219" s="7" t="str">
        <v>211</v>
      </c>
      <c r="AO219" s="7"/>
      <c r="AP219" s="62"/>
      <c r="AQ219" s="75" t="str">
        <v/>
      </c>
      <c r="AR219" s="75" t="str">
        <v>-</v>
      </c>
      <c r="AS219" s="11"/>
      <c r="AT219" s="77" t="str">
        <v>-</v>
      </c>
      <c r="AU219" s="11" t="str">
        <v>-</v>
      </c>
      <c r="AV219" s="100"/>
      <c r="AW219" s="80" t="str">
        <f ca="1"/>
        <v>-</v>
      </c>
      <c r="AX219" s="86" t="b">
        <v>0</v>
      </c>
      <c r="AY219" s="68" t="str">
        <f t="shared" si="0"/>
        <v/>
      </c>
      <c r="AZ219" s="69" t="str">
        <f t="shared" si="1"/>
        <v/>
      </c>
      <c r="BA219" s="70" t="str">
        <f t="shared" si="2"/>
        <v/>
      </c>
      <c r="BB219" s="68" t="str">
        <f t="shared" si="3"/>
        <v/>
      </c>
      <c r="BC219" s="69" t="str">
        <f>IFERROR(VLOOKUP($AQ219,'(勿動)組件目錄表'!$D$15:$R$1094,7,FALSE),"")</f>
        <v/>
      </c>
      <c r="BD219" s="69" t="str">
        <f>IFERROR(VLOOKUP($AQ219,'(勿動)組件目錄表'!$D$15:$R$1094,8,FALSE),"")</f>
        <v/>
      </c>
      <c r="BE219" s="69" t="str">
        <f>IFERROR(VLOOKUP($AQ219,'(勿動)組件目錄表'!$D$15:$R$1094,9,FALSE),"")</f>
        <v/>
      </c>
      <c r="BF219" s="69" t="str">
        <f>IFERROR(VLOOKUP($AQ219,'(勿動)組件目錄表'!$D$15:$R$1094,10,FALSE),"")</f>
        <v/>
      </c>
      <c r="BG219" s="69" t="str">
        <f>IFERROR(VLOOKUP($AQ219,'(勿動)組件目錄表'!$D$15:$R$1094,11,FALSE),"")</f>
        <v/>
      </c>
      <c r="BH219" s="69" t="str">
        <f>IFERROR(VLOOKUP($AQ219,'(勿動)組件目錄表'!$D$15:$R$1094,12,FALSE),"")</f>
        <v/>
      </c>
      <c r="BI219" s="69" t="str">
        <f>IFERROR(VLOOKUP($AQ219,'(勿動)組件目錄表'!$D$15:$R$1094,13,FALSE),"")</f>
        <v/>
      </c>
      <c r="BJ219" s="69" t="str">
        <f>IFERROR(VLOOKUP($AQ219,'(勿動)組件目錄表'!$D$15:$R$1094,14,FALSE),"")</f>
        <v/>
      </c>
      <c r="BK219" s="69" t="str">
        <f>IFERROR(VLOOKUP($AQ219,'(勿動)組件目錄表'!$D$15:$R$1094,15,FALSE),"")</f>
        <v/>
      </c>
      <c r="BL219" s="81">
        <f ca="1">IFERROR(__xludf.DUMMYFUNCTION("IFERROR(
  LET(
    rowData, FILTER('(勿動)組件目錄表'!J:Q, '(勿動)組件目錄表'!D:D=AQ219),
    IF(ROWS(rowData)=0, 0, 
      (
        IF(AND(BC219&lt;&gt;"""", INDEX(rowData,1,1)=BC219),1,0) +
        IF(AND(BD219&lt;&gt;"""", INDEX(rowData,1,2)=BD219),1,0) +
        IF(AND(BE219"&amp;"&lt;&gt;"""", INDEX(rowData,1,3)=BE219),1,0) +
        IF(AND(BF219&lt;&gt;"""", INDEX(rowData,1,4)=BF219),1,0) +
        IF(AND(BG219&lt;&gt;"""", INDEX(rowData,1,5)=BG219),1,0) +
        IF(AND(BH219&lt;&gt;"""", INDEX(rowData,1,6)=BH219),1,0) +
        IF(AND(BI219&lt;&gt;"""", IND"&amp;"EX(rowData,1,7)=BI219),1,0) +
        IF(AND(BJ219&lt;&gt;"""", INDEX(rowData,1,8)=BJ219),1,0)
      ) - COUNTIF(BC219:BJ219, ""-"")
        - COUNTIF(BC219:BJ219, ""固定格式，不需提供資訊"")
        - COUNTIF(BC219:BJ219, ""由MKT更新，此欄位固定格式，不需提供資訊
(Voucher CID：12917705872)"&amp;""")
        - COUNTIF(BC219:BJ219, ""text固定為以下：
※直播間僅支援手機版"")
        - COUNTIF(BC219:BJ219, ""text固定為以下：
※短影音僅支援手機版"")
    )
  ), 
  0
)
"),0)</f>
        <v>0</v>
      </c>
      <c r="BM219" s="77" t="b">
        <v>0</v>
      </c>
      <c r="BN219" s="85"/>
      <c r="BO219" s="85"/>
    </row>
    <row r="220" spans="1:67" ht="30" customHeight="1">
      <c r="A220" s="73" t="str">
        <f t="array" aca="1" ref="A220" ca="1">IFERROR(TRANSPOSE(INDIRECT('MS section版配(Old)'!$AO220)),"")</f>
        <v/>
      </c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88"/>
      <c r="AC220" s="88"/>
      <c r="AD220" s="88"/>
      <c r="AE220" s="397" t="str">
        <f>IFERROR(VLOOKUP($AQ220,'(勿動)組件目錄表'!$D$15:$R$1094,4,FALSE),"")</f>
        <v/>
      </c>
      <c r="AF220" s="384"/>
      <c r="AG220" s="384"/>
      <c r="AH220" s="384"/>
      <c r="AI220" s="384"/>
      <c r="AJ220" s="385"/>
      <c r="AK220" s="54" t="b">
        <v>0</v>
      </c>
      <c r="AL220" s="54" t="b">
        <v>0</v>
      </c>
      <c r="AM220" s="54"/>
      <c r="AN220" s="7" t="str">
        <v>212</v>
      </c>
      <c r="AO220" s="7"/>
      <c r="AP220" s="62"/>
      <c r="AQ220" s="75" t="str">
        <v/>
      </c>
      <c r="AR220" s="75" t="str">
        <v>-</v>
      </c>
      <c r="AS220" s="11"/>
      <c r="AT220" s="77" t="str">
        <v>-</v>
      </c>
      <c r="AU220" s="11" t="str">
        <v>-</v>
      </c>
      <c r="AV220" s="100"/>
      <c r="AW220" s="80" t="str">
        <f ca="1"/>
        <v>-</v>
      </c>
      <c r="AX220" s="86" t="b">
        <v>0</v>
      </c>
      <c r="AY220" s="68" t="str">
        <f t="shared" si="0"/>
        <v/>
      </c>
      <c r="AZ220" s="69" t="str">
        <f t="shared" si="1"/>
        <v/>
      </c>
      <c r="BA220" s="70" t="str">
        <f t="shared" si="2"/>
        <v/>
      </c>
      <c r="BB220" s="68" t="str">
        <f t="shared" si="3"/>
        <v/>
      </c>
      <c r="BC220" s="69" t="str">
        <f>IFERROR(VLOOKUP($AQ220,'(勿動)組件目錄表'!$D$15:$R$1094,7,FALSE),"")</f>
        <v/>
      </c>
      <c r="BD220" s="69" t="str">
        <f>IFERROR(VLOOKUP($AQ220,'(勿動)組件目錄表'!$D$15:$R$1094,8,FALSE),"")</f>
        <v/>
      </c>
      <c r="BE220" s="69" t="str">
        <f>IFERROR(VLOOKUP($AQ220,'(勿動)組件目錄表'!$D$15:$R$1094,9,FALSE),"")</f>
        <v/>
      </c>
      <c r="BF220" s="69" t="str">
        <f>IFERROR(VLOOKUP($AQ220,'(勿動)組件目錄表'!$D$15:$R$1094,10,FALSE),"")</f>
        <v/>
      </c>
      <c r="BG220" s="69" t="str">
        <f>IFERROR(VLOOKUP($AQ220,'(勿動)組件目錄表'!$D$15:$R$1094,11,FALSE),"")</f>
        <v/>
      </c>
      <c r="BH220" s="69" t="str">
        <f>IFERROR(VLOOKUP($AQ220,'(勿動)組件目錄表'!$D$15:$R$1094,12,FALSE),"")</f>
        <v/>
      </c>
      <c r="BI220" s="69" t="str">
        <f>IFERROR(VLOOKUP($AQ220,'(勿動)組件目錄表'!$D$15:$R$1094,13,FALSE),"")</f>
        <v/>
      </c>
      <c r="BJ220" s="69" t="str">
        <f>IFERROR(VLOOKUP($AQ220,'(勿動)組件目錄表'!$D$15:$R$1094,14,FALSE),"")</f>
        <v/>
      </c>
      <c r="BK220" s="69" t="str">
        <f>IFERROR(VLOOKUP($AQ220,'(勿動)組件目錄表'!$D$15:$R$1094,15,FALSE),"")</f>
        <v/>
      </c>
      <c r="BL220" s="81">
        <f ca="1">IFERROR(__xludf.DUMMYFUNCTION("IFERROR(
  LET(
    rowData, FILTER('(勿動)組件目錄表'!J:Q, '(勿動)組件目錄表'!D:D=AQ220),
    IF(ROWS(rowData)=0, 0, 
      (
        IF(AND(BC220&lt;&gt;"""", INDEX(rowData,1,1)=BC220),1,0) +
        IF(AND(BD220&lt;&gt;"""", INDEX(rowData,1,2)=BD220),1,0) +
        IF(AND(BE220"&amp;"&lt;&gt;"""", INDEX(rowData,1,3)=BE220),1,0) +
        IF(AND(BF220&lt;&gt;"""", INDEX(rowData,1,4)=BF220),1,0) +
        IF(AND(BG220&lt;&gt;"""", INDEX(rowData,1,5)=BG220),1,0) +
        IF(AND(BH220&lt;&gt;"""", INDEX(rowData,1,6)=BH220),1,0) +
        IF(AND(BI220&lt;&gt;"""", IND"&amp;"EX(rowData,1,7)=BI220),1,0) +
        IF(AND(BJ220&lt;&gt;"""", INDEX(rowData,1,8)=BJ220),1,0)
      ) - COUNTIF(BC220:BJ220, ""-"")
        - COUNTIF(BC220:BJ220, ""固定格式，不需提供資訊"")
        - COUNTIF(BC220:BJ220, ""由MKT更新，此欄位固定格式，不需提供資訊
(Voucher CID：12917705872)"&amp;""")
        - COUNTIF(BC220:BJ220, ""text固定為以下：
※直播間僅支援手機版"")
        - COUNTIF(BC220:BJ220, ""text固定為以下：
※短影音僅支援手機版"")
    )
  ), 
  0
)
"),0)</f>
        <v>0</v>
      </c>
      <c r="BM220" s="77" t="b">
        <v>0</v>
      </c>
      <c r="BN220" s="85"/>
      <c r="BO220" s="85"/>
    </row>
    <row r="221" spans="1:67" ht="30" customHeight="1">
      <c r="A221" s="73" t="str">
        <f t="array" aca="1" ref="A221" ca="1">IFERROR(TRANSPOSE(INDIRECT('MS section版配(Old)'!$AO221)),"")</f>
        <v/>
      </c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8"/>
      <c r="P221" s="88"/>
      <c r="Q221" s="88"/>
      <c r="R221" s="88"/>
      <c r="S221" s="88"/>
      <c r="T221" s="88"/>
      <c r="U221" s="88"/>
      <c r="V221" s="88"/>
      <c r="W221" s="88"/>
      <c r="X221" s="88"/>
      <c r="Y221" s="88"/>
      <c r="Z221" s="88"/>
      <c r="AA221" s="88"/>
      <c r="AB221" s="88"/>
      <c r="AC221" s="88"/>
      <c r="AD221" s="88"/>
      <c r="AE221" s="397" t="str">
        <f>IFERROR(VLOOKUP($AQ221,'(勿動)組件目錄表'!$D$15:$R$1094,4,FALSE),"")</f>
        <v/>
      </c>
      <c r="AF221" s="384"/>
      <c r="AG221" s="384"/>
      <c r="AH221" s="384"/>
      <c r="AI221" s="384"/>
      <c r="AJ221" s="385"/>
      <c r="AK221" s="54" t="b">
        <v>0</v>
      </c>
      <c r="AL221" s="54" t="b">
        <v>0</v>
      </c>
      <c r="AM221" s="54"/>
      <c r="AN221" s="7" t="str">
        <v>213</v>
      </c>
      <c r="AO221" s="7"/>
      <c r="AP221" s="62"/>
      <c r="AQ221" s="75" t="str">
        <v/>
      </c>
      <c r="AR221" s="75" t="str">
        <v>-</v>
      </c>
      <c r="AS221" s="11"/>
      <c r="AT221" s="77" t="str">
        <v>-</v>
      </c>
      <c r="AU221" s="11" t="str">
        <v>-</v>
      </c>
      <c r="AV221" s="100"/>
      <c r="AW221" s="80" t="str">
        <f ca="1"/>
        <v>-</v>
      </c>
      <c r="AX221" s="86" t="b">
        <v>0</v>
      </c>
      <c r="AY221" s="68" t="str">
        <f t="shared" si="0"/>
        <v/>
      </c>
      <c r="AZ221" s="69" t="str">
        <f t="shared" si="1"/>
        <v/>
      </c>
      <c r="BA221" s="70" t="str">
        <f t="shared" si="2"/>
        <v/>
      </c>
      <c r="BB221" s="68" t="str">
        <f t="shared" si="3"/>
        <v/>
      </c>
      <c r="BC221" s="69" t="str">
        <f>IFERROR(VLOOKUP($AQ221,'(勿動)組件目錄表'!$D$15:$R$1094,7,FALSE),"")</f>
        <v/>
      </c>
      <c r="BD221" s="69" t="str">
        <f>IFERROR(VLOOKUP($AQ221,'(勿動)組件目錄表'!$D$15:$R$1094,8,FALSE),"")</f>
        <v/>
      </c>
      <c r="BE221" s="69" t="str">
        <f>IFERROR(VLOOKUP($AQ221,'(勿動)組件目錄表'!$D$15:$R$1094,9,FALSE),"")</f>
        <v/>
      </c>
      <c r="BF221" s="69" t="str">
        <f>IFERROR(VLOOKUP($AQ221,'(勿動)組件目錄表'!$D$15:$R$1094,10,FALSE),"")</f>
        <v/>
      </c>
      <c r="BG221" s="69" t="str">
        <f>IFERROR(VLOOKUP($AQ221,'(勿動)組件目錄表'!$D$15:$R$1094,11,FALSE),"")</f>
        <v/>
      </c>
      <c r="BH221" s="69" t="str">
        <f>IFERROR(VLOOKUP($AQ221,'(勿動)組件目錄表'!$D$15:$R$1094,12,FALSE),"")</f>
        <v/>
      </c>
      <c r="BI221" s="69" t="str">
        <f>IFERROR(VLOOKUP($AQ221,'(勿動)組件目錄表'!$D$15:$R$1094,13,FALSE),"")</f>
        <v/>
      </c>
      <c r="BJ221" s="69" t="str">
        <f>IFERROR(VLOOKUP($AQ221,'(勿動)組件目錄表'!$D$15:$R$1094,14,FALSE),"")</f>
        <v/>
      </c>
      <c r="BK221" s="69" t="str">
        <f>IFERROR(VLOOKUP($AQ221,'(勿動)組件目錄表'!$D$15:$R$1094,15,FALSE),"")</f>
        <v/>
      </c>
      <c r="BL221" s="81">
        <f ca="1">IFERROR(__xludf.DUMMYFUNCTION("IFERROR(
  LET(
    rowData, FILTER('(勿動)組件目錄表'!J:Q, '(勿動)組件目錄表'!D:D=AQ221),
    IF(ROWS(rowData)=0, 0, 
      (
        IF(AND(BC221&lt;&gt;"""", INDEX(rowData,1,1)=BC221),1,0) +
        IF(AND(BD221&lt;&gt;"""", INDEX(rowData,1,2)=BD221),1,0) +
        IF(AND(BE221"&amp;"&lt;&gt;"""", INDEX(rowData,1,3)=BE221),1,0) +
        IF(AND(BF221&lt;&gt;"""", INDEX(rowData,1,4)=BF221),1,0) +
        IF(AND(BG221&lt;&gt;"""", INDEX(rowData,1,5)=BG221),1,0) +
        IF(AND(BH221&lt;&gt;"""", INDEX(rowData,1,6)=BH221),1,0) +
        IF(AND(BI221&lt;&gt;"""", IND"&amp;"EX(rowData,1,7)=BI221),1,0) +
        IF(AND(BJ221&lt;&gt;"""", INDEX(rowData,1,8)=BJ221),1,0)
      ) - COUNTIF(BC221:BJ221, ""-"")
        - COUNTIF(BC221:BJ221, ""固定格式，不需提供資訊"")
        - COUNTIF(BC221:BJ221, ""由MKT更新，此欄位固定格式，不需提供資訊
(Voucher CID：12917705872)"&amp;""")
        - COUNTIF(BC221:BJ221, ""text固定為以下：
※直播間僅支援手機版"")
        - COUNTIF(BC221:BJ221, ""text固定為以下：
※短影音僅支援手機版"")
    )
  ), 
  0
)
"),0)</f>
        <v>0</v>
      </c>
      <c r="BM221" s="77" t="b">
        <v>0</v>
      </c>
      <c r="BN221" s="85"/>
      <c r="BO221" s="85"/>
    </row>
    <row r="222" spans="1:67" ht="30" customHeight="1">
      <c r="A222" s="73" t="str">
        <f t="array" aca="1" ref="A222" ca="1">IFERROR(TRANSPOSE(INDIRECT('MS section版配(Old)'!$AO222)),"")</f>
        <v/>
      </c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8"/>
      <c r="P222" s="88"/>
      <c r="Q222" s="88"/>
      <c r="R222" s="88"/>
      <c r="S222" s="88"/>
      <c r="T222" s="88"/>
      <c r="U222" s="88"/>
      <c r="V222" s="88"/>
      <c r="W222" s="88"/>
      <c r="X222" s="88"/>
      <c r="Y222" s="88"/>
      <c r="Z222" s="88"/>
      <c r="AA222" s="88"/>
      <c r="AB222" s="88"/>
      <c r="AC222" s="88"/>
      <c r="AD222" s="88"/>
      <c r="AE222" s="397" t="str">
        <f>IFERROR(VLOOKUP($AQ222,'(勿動)組件目錄表'!$D$15:$R$1094,4,FALSE),"")</f>
        <v/>
      </c>
      <c r="AF222" s="384"/>
      <c r="AG222" s="384"/>
      <c r="AH222" s="384"/>
      <c r="AI222" s="384"/>
      <c r="AJ222" s="385"/>
      <c r="AK222" s="54" t="b">
        <v>0</v>
      </c>
      <c r="AL222" s="54" t="b">
        <v>0</v>
      </c>
      <c r="AM222" s="54"/>
      <c r="AN222" s="7" t="str">
        <v>214</v>
      </c>
      <c r="AO222" s="7"/>
      <c r="AP222" s="62"/>
      <c r="AQ222" s="75" t="str">
        <v/>
      </c>
      <c r="AR222" s="75" t="str">
        <v>-</v>
      </c>
      <c r="AS222" s="11"/>
      <c r="AT222" s="77" t="str">
        <v>-</v>
      </c>
      <c r="AU222" s="11" t="str">
        <v>-</v>
      </c>
      <c r="AV222" s="100"/>
      <c r="AW222" s="80" t="str">
        <f ca="1"/>
        <v>-</v>
      </c>
      <c r="AX222" s="86" t="b">
        <v>0</v>
      </c>
      <c r="AY222" s="68" t="str">
        <f t="shared" si="0"/>
        <v/>
      </c>
      <c r="AZ222" s="69" t="str">
        <f t="shared" si="1"/>
        <v/>
      </c>
      <c r="BA222" s="70" t="str">
        <f t="shared" si="2"/>
        <v/>
      </c>
      <c r="BB222" s="68" t="str">
        <f t="shared" si="3"/>
        <v/>
      </c>
      <c r="BC222" s="69" t="str">
        <f>IFERROR(VLOOKUP($AQ222,'(勿動)組件目錄表'!$D$15:$R$1094,7,FALSE),"")</f>
        <v/>
      </c>
      <c r="BD222" s="69" t="str">
        <f>IFERROR(VLOOKUP($AQ222,'(勿動)組件目錄表'!$D$15:$R$1094,8,FALSE),"")</f>
        <v/>
      </c>
      <c r="BE222" s="69" t="str">
        <f>IFERROR(VLOOKUP($AQ222,'(勿動)組件目錄表'!$D$15:$R$1094,9,FALSE),"")</f>
        <v/>
      </c>
      <c r="BF222" s="69" t="str">
        <f>IFERROR(VLOOKUP($AQ222,'(勿動)組件目錄表'!$D$15:$R$1094,10,FALSE),"")</f>
        <v/>
      </c>
      <c r="BG222" s="69" t="str">
        <f>IFERROR(VLOOKUP($AQ222,'(勿動)組件目錄表'!$D$15:$R$1094,11,FALSE),"")</f>
        <v/>
      </c>
      <c r="BH222" s="69" t="str">
        <f>IFERROR(VLOOKUP($AQ222,'(勿動)組件目錄表'!$D$15:$R$1094,12,FALSE),"")</f>
        <v/>
      </c>
      <c r="BI222" s="69" t="str">
        <f>IFERROR(VLOOKUP($AQ222,'(勿動)組件目錄表'!$D$15:$R$1094,13,FALSE),"")</f>
        <v/>
      </c>
      <c r="BJ222" s="69" t="str">
        <f>IFERROR(VLOOKUP($AQ222,'(勿動)組件目錄表'!$D$15:$R$1094,14,FALSE),"")</f>
        <v/>
      </c>
      <c r="BK222" s="69" t="str">
        <f>IFERROR(VLOOKUP($AQ222,'(勿動)組件目錄表'!$D$15:$R$1094,15,FALSE),"")</f>
        <v/>
      </c>
      <c r="BL222" s="81">
        <f ca="1">IFERROR(__xludf.DUMMYFUNCTION("IFERROR(
  LET(
    rowData, FILTER('(勿動)組件目錄表'!J:Q, '(勿動)組件目錄表'!D:D=AQ222),
    IF(ROWS(rowData)=0, 0, 
      (
        IF(AND(BC222&lt;&gt;"""", INDEX(rowData,1,1)=BC222),1,0) +
        IF(AND(BD222&lt;&gt;"""", INDEX(rowData,1,2)=BD222),1,0) +
        IF(AND(BE222"&amp;"&lt;&gt;"""", INDEX(rowData,1,3)=BE222),1,0) +
        IF(AND(BF222&lt;&gt;"""", INDEX(rowData,1,4)=BF222),1,0) +
        IF(AND(BG222&lt;&gt;"""", INDEX(rowData,1,5)=BG222),1,0) +
        IF(AND(BH222&lt;&gt;"""", INDEX(rowData,1,6)=BH222),1,0) +
        IF(AND(BI222&lt;&gt;"""", IND"&amp;"EX(rowData,1,7)=BI222),1,0) +
        IF(AND(BJ222&lt;&gt;"""", INDEX(rowData,1,8)=BJ222),1,0)
      ) - COUNTIF(BC222:BJ222, ""-"")
        - COUNTIF(BC222:BJ222, ""固定格式，不需提供資訊"")
        - COUNTIF(BC222:BJ222, ""由MKT更新，此欄位固定格式，不需提供資訊
(Voucher CID：12917705872)"&amp;""")
        - COUNTIF(BC222:BJ222, ""text固定為以下：
※直播間僅支援手機版"")
        - COUNTIF(BC222:BJ222, ""text固定為以下：
※短影音僅支援手機版"")
    )
  ), 
  0
)
"),0)</f>
        <v>0</v>
      </c>
      <c r="BM222" s="77" t="b">
        <v>0</v>
      </c>
      <c r="BN222" s="85"/>
      <c r="BO222" s="85"/>
    </row>
    <row r="223" spans="1:67" ht="30" customHeight="1">
      <c r="A223" s="73" t="str">
        <f t="array" aca="1" ref="A223" ca="1">IFERROR(TRANSPOSE(INDIRECT('MS section版配(Old)'!$AO223)),"")</f>
        <v/>
      </c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8"/>
      <c r="P223" s="88"/>
      <c r="Q223" s="88"/>
      <c r="R223" s="88"/>
      <c r="S223" s="88"/>
      <c r="T223" s="88"/>
      <c r="U223" s="88"/>
      <c r="V223" s="88"/>
      <c r="W223" s="88"/>
      <c r="X223" s="88"/>
      <c r="Y223" s="88"/>
      <c r="Z223" s="88"/>
      <c r="AA223" s="88"/>
      <c r="AB223" s="88"/>
      <c r="AC223" s="88"/>
      <c r="AD223" s="88"/>
      <c r="AE223" s="397" t="str">
        <f>IFERROR(VLOOKUP($AQ223,'(勿動)組件目錄表'!$D$15:$R$1094,4,FALSE),"")</f>
        <v/>
      </c>
      <c r="AF223" s="384"/>
      <c r="AG223" s="384"/>
      <c r="AH223" s="384"/>
      <c r="AI223" s="384"/>
      <c r="AJ223" s="385"/>
      <c r="AK223" s="54" t="b">
        <v>0</v>
      </c>
      <c r="AL223" s="54" t="b">
        <v>0</v>
      </c>
      <c r="AM223" s="54"/>
      <c r="AN223" s="7" t="str">
        <v>215</v>
      </c>
      <c r="AO223" s="7"/>
      <c r="AP223" s="62"/>
      <c r="AQ223" s="75" t="str">
        <v/>
      </c>
      <c r="AR223" s="75" t="str">
        <v>-</v>
      </c>
      <c r="AS223" s="11"/>
      <c r="AT223" s="77" t="str">
        <v>-</v>
      </c>
      <c r="AU223" s="11" t="str">
        <v>-</v>
      </c>
      <c r="AV223" s="100"/>
      <c r="AW223" s="80" t="str">
        <f ca="1"/>
        <v>-</v>
      </c>
      <c r="AX223" s="86" t="b">
        <v>0</v>
      </c>
      <c r="AY223" s="68" t="str">
        <f t="shared" si="0"/>
        <v/>
      </c>
      <c r="AZ223" s="69" t="str">
        <f t="shared" si="1"/>
        <v/>
      </c>
      <c r="BA223" s="70" t="str">
        <f t="shared" si="2"/>
        <v/>
      </c>
      <c r="BB223" s="68" t="str">
        <f t="shared" si="3"/>
        <v/>
      </c>
      <c r="BC223" s="69" t="str">
        <f>IFERROR(VLOOKUP($AQ223,'(勿動)組件目錄表'!$D$15:$R$1094,7,FALSE),"")</f>
        <v/>
      </c>
      <c r="BD223" s="69" t="str">
        <f>IFERROR(VLOOKUP($AQ223,'(勿動)組件目錄表'!$D$15:$R$1094,8,FALSE),"")</f>
        <v/>
      </c>
      <c r="BE223" s="69" t="str">
        <f>IFERROR(VLOOKUP($AQ223,'(勿動)組件目錄表'!$D$15:$R$1094,9,FALSE),"")</f>
        <v/>
      </c>
      <c r="BF223" s="69" t="str">
        <f>IFERROR(VLOOKUP($AQ223,'(勿動)組件目錄表'!$D$15:$R$1094,10,FALSE),"")</f>
        <v/>
      </c>
      <c r="BG223" s="69" t="str">
        <f>IFERROR(VLOOKUP($AQ223,'(勿動)組件目錄表'!$D$15:$R$1094,11,FALSE),"")</f>
        <v/>
      </c>
      <c r="BH223" s="69" t="str">
        <f>IFERROR(VLOOKUP($AQ223,'(勿動)組件目錄表'!$D$15:$R$1094,12,FALSE),"")</f>
        <v/>
      </c>
      <c r="BI223" s="69" t="str">
        <f>IFERROR(VLOOKUP($AQ223,'(勿動)組件目錄表'!$D$15:$R$1094,13,FALSE),"")</f>
        <v/>
      </c>
      <c r="BJ223" s="69" t="str">
        <f>IFERROR(VLOOKUP($AQ223,'(勿動)組件目錄表'!$D$15:$R$1094,14,FALSE),"")</f>
        <v/>
      </c>
      <c r="BK223" s="69" t="str">
        <f>IFERROR(VLOOKUP($AQ223,'(勿動)組件目錄表'!$D$15:$R$1094,15,FALSE),"")</f>
        <v/>
      </c>
      <c r="BL223" s="81">
        <f ca="1">IFERROR(__xludf.DUMMYFUNCTION("IFERROR(
  LET(
    rowData, FILTER('(勿動)組件目錄表'!J:Q, '(勿動)組件目錄表'!D:D=AQ223),
    IF(ROWS(rowData)=0, 0, 
      (
        IF(AND(BC223&lt;&gt;"""", INDEX(rowData,1,1)=BC223),1,0) +
        IF(AND(BD223&lt;&gt;"""", INDEX(rowData,1,2)=BD223),1,0) +
        IF(AND(BE223"&amp;"&lt;&gt;"""", INDEX(rowData,1,3)=BE223),1,0) +
        IF(AND(BF223&lt;&gt;"""", INDEX(rowData,1,4)=BF223),1,0) +
        IF(AND(BG223&lt;&gt;"""", INDEX(rowData,1,5)=BG223),1,0) +
        IF(AND(BH223&lt;&gt;"""", INDEX(rowData,1,6)=BH223),1,0) +
        IF(AND(BI223&lt;&gt;"""", IND"&amp;"EX(rowData,1,7)=BI223),1,0) +
        IF(AND(BJ223&lt;&gt;"""", INDEX(rowData,1,8)=BJ223),1,0)
      ) - COUNTIF(BC223:BJ223, ""-"")
        - COUNTIF(BC223:BJ223, ""固定格式，不需提供資訊"")
        - COUNTIF(BC223:BJ223, ""由MKT更新，此欄位固定格式，不需提供資訊
(Voucher CID：12917705872)"&amp;""")
        - COUNTIF(BC223:BJ223, ""text固定為以下：
※直播間僅支援手機版"")
        - COUNTIF(BC223:BJ223, ""text固定為以下：
※短影音僅支援手機版"")
    )
  ), 
  0
)
"),0)</f>
        <v>0</v>
      </c>
      <c r="BM223" s="77" t="b">
        <v>0</v>
      </c>
      <c r="BN223" s="85"/>
      <c r="BO223" s="85"/>
    </row>
    <row r="224" spans="1:67" ht="30" customHeight="1">
      <c r="A224" s="73" t="str">
        <f t="array" aca="1" ref="A224" ca="1">IFERROR(TRANSPOSE(INDIRECT('MS section版配(Old)'!$AO224)),"")</f>
        <v/>
      </c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8"/>
      <c r="P224" s="88"/>
      <c r="Q224" s="88"/>
      <c r="R224" s="88"/>
      <c r="S224" s="88"/>
      <c r="T224" s="88"/>
      <c r="U224" s="88"/>
      <c r="V224" s="88"/>
      <c r="W224" s="88"/>
      <c r="X224" s="88"/>
      <c r="Y224" s="88"/>
      <c r="Z224" s="88"/>
      <c r="AA224" s="88"/>
      <c r="AB224" s="88"/>
      <c r="AC224" s="88"/>
      <c r="AD224" s="88"/>
      <c r="AE224" s="397" t="str">
        <f>IFERROR(VLOOKUP($AQ224,'(勿動)組件目錄表'!$D$15:$R$1094,4,FALSE),"")</f>
        <v/>
      </c>
      <c r="AF224" s="384"/>
      <c r="AG224" s="384"/>
      <c r="AH224" s="384"/>
      <c r="AI224" s="384"/>
      <c r="AJ224" s="385"/>
      <c r="AK224" s="54" t="b">
        <v>0</v>
      </c>
      <c r="AL224" s="54" t="b">
        <v>0</v>
      </c>
      <c r="AM224" s="54"/>
      <c r="AN224" s="7" t="str">
        <v>216</v>
      </c>
      <c r="AO224" s="7"/>
      <c r="AP224" s="62"/>
      <c r="AQ224" s="75" t="str">
        <v/>
      </c>
      <c r="AR224" s="75" t="str">
        <v>-</v>
      </c>
      <c r="AS224" s="11"/>
      <c r="AT224" s="77" t="str">
        <v>-</v>
      </c>
      <c r="AU224" s="11" t="str">
        <v>-</v>
      </c>
      <c r="AV224" s="100"/>
      <c r="AW224" s="80" t="str">
        <f ca="1"/>
        <v>-</v>
      </c>
      <c r="AX224" s="86" t="b">
        <v>0</v>
      </c>
      <c r="AY224" s="68" t="str">
        <f t="shared" si="0"/>
        <v/>
      </c>
      <c r="AZ224" s="69" t="str">
        <f t="shared" si="1"/>
        <v/>
      </c>
      <c r="BA224" s="70" t="str">
        <f t="shared" si="2"/>
        <v/>
      </c>
      <c r="BB224" s="68" t="str">
        <f t="shared" si="3"/>
        <v/>
      </c>
      <c r="BC224" s="69" t="str">
        <f>IFERROR(VLOOKUP($AQ224,'(勿動)組件目錄表'!$D$15:$R$1094,7,FALSE),"")</f>
        <v/>
      </c>
      <c r="BD224" s="69" t="str">
        <f>IFERROR(VLOOKUP($AQ224,'(勿動)組件目錄表'!$D$15:$R$1094,8,FALSE),"")</f>
        <v/>
      </c>
      <c r="BE224" s="69" t="str">
        <f>IFERROR(VLOOKUP($AQ224,'(勿動)組件目錄表'!$D$15:$R$1094,9,FALSE),"")</f>
        <v/>
      </c>
      <c r="BF224" s="69" t="str">
        <f>IFERROR(VLOOKUP($AQ224,'(勿動)組件目錄表'!$D$15:$R$1094,10,FALSE),"")</f>
        <v/>
      </c>
      <c r="BG224" s="69" t="str">
        <f>IFERROR(VLOOKUP($AQ224,'(勿動)組件目錄表'!$D$15:$R$1094,11,FALSE),"")</f>
        <v/>
      </c>
      <c r="BH224" s="69" t="str">
        <f>IFERROR(VLOOKUP($AQ224,'(勿動)組件目錄表'!$D$15:$R$1094,12,FALSE),"")</f>
        <v/>
      </c>
      <c r="BI224" s="69" t="str">
        <f>IFERROR(VLOOKUP($AQ224,'(勿動)組件目錄表'!$D$15:$R$1094,13,FALSE),"")</f>
        <v/>
      </c>
      <c r="BJ224" s="69" t="str">
        <f>IFERROR(VLOOKUP($AQ224,'(勿動)組件目錄表'!$D$15:$R$1094,14,FALSE),"")</f>
        <v/>
      </c>
      <c r="BK224" s="69" t="str">
        <f>IFERROR(VLOOKUP($AQ224,'(勿動)組件目錄表'!$D$15:$R$1094,15,FALSE),"")</f>
        <v/>
      </c>
      <c r="BL224" s="81">
        <f ca="1">IFERROR(__xludf.DUMMYFUNCTION("IFERROR(
  LET(
    rowData, FILTER('(勿動)組件目錄表'!J:Q, '(勿動)組件目錄表'!D:D=AQ224),
    IF(ROWS(rowData)=0, 0, 
      (
        IF(AND(BC224&lt;&gt;"""", INDEX(rowData,1,1)=BC224),1,0) +
        IF(AND(BD224&lt;&gt;"""", INDEX(rowData,1,2)=BD224),1,0) +
        IF(AND(BE224"&amp;"&lt;&gt;"""", INDEX(rowData,1,3)=BE224),1,0) +
        IF(AND(BF224&lt;&gt;"""", INDEX(rowData,1,4)=BF224),1,0) +
        IF(AND(BG224&lt;&gt;"""", INDEX(rowData,1,5)=BG224),1,0) +
        IF(AND(BH224&lt;&gt;"""", INDEX(rowData,1,6)=BH224),1,0) +
        IF(AND(BI224&lt;&gt;"""", IND"&amp;"EX(rowData,1,7)=BI224),1,0) +
        IF(AND(BJ224&lt;&gt;"""", INDEX(rowData,1,8)=BJ224),1,0)
      ) - COUNTIF(BC224:BJ224, ""-"")
        - COUNTIF(BC224:BJ224, ""固定格式，不需提供資訊"")
        - COUNTIF(BC224:BJ224, ""由MKT更新，此欄位固定格式，不需提供資訊
(Voucher CID：12917705872)"&amp;""")
        - COUNTIF(BC224:BJ224, ""text固定為以下：
※直播間僅支援手機版"")
        - COUNTIF(BC224:BJ224, ""text固定為以下：
※短影音僅支援手機版"")
    )
  ), 
  0
)
"),0)</f>
        <v>0</v>
      </c>
      <c r="BM224" s="77" t="b">
        <v>0</v>
      </c>
      <c r="BN224" s="85"/>
      <c r="BO224" s="85"/>
    </row>
    <row r="225" spans="1:67" ht="30" customHeight="1">
      <c r="A225" s="73" t="str">
        <f t="array" aca="1" ref="A225" ca="1">IFERROR(TRANSPOSE(INDIRECT('MS section版配(Old)'!$AO225)),"")</f>
        <v/>
      </c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8"/>
      <c r="P225" s="88"/>
      <c r="Q225" s="88"/>
      <c r="R225" s="88"/>
      <c r="S225" s="88"/>
      <c r="T225" s="88"/>
      <c r="U225" s="88"/>
      <c r="V225" s="88"/>
      <c r="W225" s="88"/>
      <c r="X225" s="88"/>
      <c r="Y225" s="88"/>
      <c r="Z225" s="88"/>
      <c r="AA225" s="88"/>
      <c r="AB225" s="88"/>
      <c r="AC225" s="88"/>
      <c r="AD225" s="88"/>
      <c r="AE225" s="397" t="str">
        <f>IFERROR(VLOOKUP($AQ225,'(勿動)組件目錄表'!$D$15:$R$1094,4,FALSE),"")</f>
        <v/>
      </c>
      <c r="AF225" s="384"/>
      <c r="AG225" s="384"/>
      <c r="AH225" s="384"/>
      <c r="AI225" s="384"/>
      <c r="AJ225" s="385"/>
      <c r="AK225" s="54" t="b">
        <v>0</v>
      </c>
      <c r="AL225" s="54" t="b">
        <v>0</v>
      </c>
      <c r="AM225" s="54"/>
      <c r="AN225" s="7" t="str">
        <v>217</v>
      </c>
      <c r="AO225" s="7"/>
      <c r="AP225" s="62"/>
      <c r="AQ225" s="75" t="str">
        <v/>
      </c>
      <c r="AR225" s="75" t="str">
        <v>-</v>
      </c>
      <c r="AS225" s="11"/>
      <c r="AT225" s="77" t="str">
        <v>-</v>
      </c>
      <c r="AU225" s="11" t="str">
        <v>-</v>
      </c>
      <c r="AV225" s="100"/>
      <c r="AW225" s="80" t="str">
        <f ca="1"/>
        <v>-</v>
      </c>
      <c r="AX225" s="86" t="b">
        <v>0</v>
      </c>
      <c r="AY225" s="68" t="str">
        <f t="shared" si="0"/>
        <v/>
      </c>
      <c r="AZ225" s="69" t="str">
        <f t="shared" si="1"/>
        <v/>
      </c>
      <c r="BA225" s="70" t="str">
        <f t="shared" si="2"/>
        <v/>
      </c>
      <c r="BB225" s="68" t="str">
        <f t="shared" si="3"/>
        <v/>
      </c>
      <c r="BC225" s="69" t="str">
        <f>IFERROR(VLOOKUP($AQ225,'(勿動)組件目錄表'!$D$15:$R$1094,7,FALSE),"")</f>
        <v/>
      </c>
      <c r="BD225" s="69" t="str">
        <f>IFERROR(VLOOKUP($AQ225,'(勿動)組件目錄表'!$D$15:$R$1094,8,FALSE),"")</f>
        <v/>
      </c>
      <c r="BE225" s="69" t="str">
        <f>IFERROR(VLOOKUP($AQ225,'(勿動)組件目錄表'!$D$15:$R$1094,9,FALSE),"")</f>
        <v/>
      </c>
      <c r="BF225" s="69" t="str">
        <f>IFERROR(VLOOKUP($AQ225,'(勿動)組件目錄表'!$D$15:$R$1094,10,FALSE),"")</f>
        <v/>
      </c>
      <c r="BG225" s="69" t="str">
        <f>IFERROR(VLOOKUP($AQ225,'(勿動)組件目錄表'!$D$15:$R$1094,11,FALSE),"")</f>
        <v/>
      </c>
      <c r="BH225" s="69" t="str">
        <f>IFERROR(VLOOKUP($AQ225,'(勿動)組件目錄表'!$D$15:$R$1094,12,FALSE),"")</f>
        <v/>
      </c>
      <c r="BI225" s="69" t="str">
        <f>IFERROR(VLOOKUP($AQ225,'(勿動)組件目錄表'!$D$15:$R$1094,13,FALSE),"")</f>
        <v/>
      </c>
      <c r="BJ225" s="69" t="str">
        <f>IFERROR(VLOOKUP($AQ225,'(勿動)組件目錄表'!$D$15:$R$1094,14,FALSE),"")</f>
        <v/>
      </c>
      <c r="BK225" s="69" t="str">
        <f>IFERROR(VLOOKUP($AQ225,'(勿動)組件目錄表'!$D$15:$R$1094,15,FALSE),"")</f>
        <v/>
      </c>
      <c r="BL225" s="81">
        <f ca="1">IFERROR(__xludf.DUMMYFUNCTION("IFERROR(
  LET(
    rowData, FILTER('(勿動)組件目錄表'!J:Q, '(勿動)組件目錄表'!D:D=AQ225),
    IF(ROWS(rowData)=0, 0, 
      (
        IF(AND(BC225&lt;&gt;"""", INDEX(rowData,1,1)=BC225),1,0) +
        IF(AND(BD225&lt;&gt;"""", INDEX(rowData,1,2)=BD225),1,0) +
        IF(AND(BE225"&amp;"&lt;&gt;"""", INDEX(rowData,1,3)=BE225),1,0) +
        IF(AND(BF225&lt;&gt;"""", INDEX(rowData,1,4)=BF225),1,0) +
        IF(AND(BG225&lt;&gt;"""", INDEX(rowData,1,5)=BG225),1,0) +
        IF(AND(BH225&lt;&gt;"""", INDEX(rowData,1,6)=BH225),1,0) +
        IF(AND(BI225&lt;&gt;"""", IND"&amp;"EX(rowData,1,7)=BI225),1,0) +
        IF(AND(BJ225&lt;&gt;"""", INDEX(rowData,1,8)=BJ225),1,0)
      ) - COUNTIF(BC225:BJ225, ""-"")
        - COUNTIF(BC225:BJ225, ""固定格式，不需提供資訊"")
        - COUNTIF(BC225:BJ225, ""由MKT更新，此欄位固定格式，不需提供資訊
(Voucher CID：12917705872)"&amp;""")
        - COUNTIF(BC225:BJ225, ""text固定為以下：
※直播間僅支援手機版"")
        - COUNTIF(BC225:BJ225, ""text固定為以下：
※短影音僅支援手機版"")
    )
  ), 
  0
)
"),0)</f>
        <v>0</v>
      </c>
      <c r="BM225" s="77" t="b">
        <v>0</v>
      </c>
      <c r="BN225" s="85"/>
      <c r="BO225" s="85"/>
    </row>
    <row r="226" spans="1:67" ht="30" customHeight="1">
      <c r="A226" s="73" t="str">
        <f t="array" aca="1" ref="A226" ca="1">IFERROR(TRANSPOSE(INDIRECT('MS section版配(Old)'!$AO226)),"")</f>
        <v/>
      </c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8"/>
      <c r="P226" s="88"/>
      <c r="Q226" s="88"/>
      <c r="R226" s="88"/>
      <c r="S226" s="88"/>
      <c r="T226" s="88"/>
      <c r="U226" s="88"/>
      <c r="V226" s="88"/>
      <c r="W226" s="88"/>
      <c r="X226" s="88"/>
      <c r="Y226" s="88"/>
      <c r="Z226" s="88"/>
      <c r="AA226" s="88"/>
      <c r="AB226" s="88"/>
      <c r="AC226" s="88"/>
      <c r="AD226" s="88"/>
      <c r="AE226" s="397" t="str">
        <f>IFERROR(VLOOKUP($AQ226,'(勿動)組件目錄表'!$D$15:$R$1094,4,FALSE),"")</f>
        <v/>
      </c>
      <c r="AF226" s="384"/>
      <c r="AG226" s="384"/>
      <c r="AH226" s="384"/>
      <c r="AI226" s="384"/>
      <c r="AJ226" s="385"/>
      <c r="AK226" s="54" t="b">
        <v>0</v>
      </c>
      <c r="AL226" s="54" t="b">
        <v>0</v>
      </c>
      <c r="AM226" s="54"/>
      <c r="AN226" s="7" t="str">
        <v>218</v>
      </c>
      <c r="AO226" s="7"/>
      <c r="AP226" s="62"/>
      <c r="AQ226" s="75" t="str">
        <v/>
      </c>
      <c r="AR226" s="75" t="str">
        <v>-</v>
      </c>
      <c r="AS226" s="11"/>
      <c r="AT226" s="77" t="str">
        <v>-</v>
      </c>
      <c r="AU226" s="11" t="str">
        <v>-</v>
      </c>
      <c r="AV226" s="100"/>
      <c r="AW226" s="80" t="str">
        <f ca="1"/>
        <v>-</v>
      </c>
      <c r="AX226" s="86" t="b">
        <v>0</v>
      </c>
      <c r="AY226" s="68" t="str">
        <f t="shared" si="0"/>
        <v/>
      </c>
      <c r="AZ226" s="69" t="str">
        <f t="shared" si="1"/>
        <v/>
      </c>
      <c r="BA226" s="70" t="str">
        <f t="shared" si="2"/>
        <v/>
      </c>
      <c r="BB226" s="68" t="str">
        <f t="shared" si="3"/>
        <v/>
      </c>
      <c r="BC226" s="69" t="str">
        <f>IFERROR(VLOOKUP($AQ226,'(勿動)組件目錄表'!$D$15:$R$1094,7,FALSE),"")</f>
        <v/>
      </c>
      <c r="BD226" s="69" t="str">
        <f>IFERROR(VLOOKUP($AQ226,'(勿動)組件目錄表'!$D$15:$R$1094,8,FALSE),"")</f>
        <v/>
      </c>
      <c r="BE226" s="69" t="str">
        <f>IFERROR(VLOOKUP($AQ226,'(勿動)組件目錄表'!$D$15:$R$1094,9,FALSE),"")</f>
        <v/>
      </c>
      <c r="BF226" s="69" t="str">
        <f>IFERROR(VLOOKUP($AQ226,'(勿動)組件目錄表'!$D$15:$R$1094,10,FALSE),"")</f>
        <v/>
      </c>
      <c r="BG226" s="69" t="str">
        <f>IFERROR(VLOOKUP($AQ226,'(勿動)組件目錄表'!$D$15:$R$1094,11,FALSE),"")</f>
        <v/>
      </c>
      <c r="BH226" s="69" t="str">
        <f>IFERROR(VLOOKUP($AQ226,'(勿動)組件目錄表'!$D$15:$R$1094,12,FALSE),"")</f>
        <v/>
      </c>
      <c r="BI226" s="69" t="str">
        <f>IFERROR(VLOOKUP($AQ226,'(勿動)組件目錄表'!$D$15:$R$1094,13,FALSE),"")</f>
        <v/>
      </c>
      <c r="BJ226" s="69" t="str">
        <f>IFERROR(VLOOKUP($AQ226,'(勿動)組件目錄表'!$D$15:$R$1094,14,FALSE),"")</f>
        <v/>
      </c>
      <c r="BK226" s="69" t="str">
        <f>IFERROR(VLOOKUP($AQ226,'(勿動)組件目錄表'!$D$15:$R$1094,15,FALSE),"")</f>
        <v/>
      </c>
      <c r="BL226" s="81">
        <f ca="1">IFERROR(__xludf.DUMMYFUNCTION("IFERROR(
  LET(
    rowData, FILTER('(勿動)組件目錄表'!J:Q, '(勿動)組件目錄表'!D:D=AQ226),
    IF(ROWS(rowData)=0, 0, 
      (
        IF(AND(BC226&lt;&gt;"""", INDEX(rowData,1,1)=BC226),1,0) +
        IF(AND(BD226&lt;&gt;"""", INDEX(rowData,1,2)=BD226),1,0) +
        IF(AND(BE226"&amp;"&lt;&gt;"""", INDEX(rowData,1,3)=BE226),1,0) +
        IF(AND(BF226&lt;&gt;"""", INDEX(rowData,1,4)=BF226),1,0) +
        IF(AND(BG226&lt;&gt;"""", INDEX(rowData,1,5)=BG226),1,0) +
        IF(AND(BH226&lt;&gt;"""", INDEX(rowData,1,6)=BH226),1,0) +
        IF(AND(BI226&lt;&gt;"""", IND"&amp;"EX(rowData,1,7)=BI226),1,0) +
        IF(AND(BJ226&lt;&gt;"""", INDEX(rowData,1,8)=BJ226),1,0)
      ) - COUNTIF(BC226:BJ226, ""-"")
        - COUNTIF(BC226:BJ226, ""固定格式，不需提供資訊"")
        - COUNTIF(BC226:BJ226, ""由MKT更新，此欄位固定格式，不需提供資訊
(Voucher CID：12917705872)"&amp;""")
        - COUNTIF(BC226:BJ226, ""text固定為以下：
※直播間僅支援手機版"")
        - COUNTIF(BC226:BJ226, ""text固定為以下：
※短影音僅支援手機版"")
    )
  ), 
  0
)
"),0)</f>
        <v>0</v>
      </c>
      <c r="BM226" s="77" t="b">
        <v>0</v>
      </c>
      <c r="BN226" s="85"/>
      <c r="BO226" s="85"/>
    </row>
    <row r="227" spans="1:67" ht="30" customHeight="1">
      <c r="A227" s="73" t="str">
        <f t="array" aca="1" ref="A227" ca="1">IFERROR(TRANSPOSE(INDIRECT('MS section版配(Old)'!$AO227)),"")</f>
        <v/>
      </c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8"/>
      <c r="P227" s="88"/>
      <c r="Q227" s="88"/>
      <c r="R227" s="88"/>
      <c r="S227" s="88"/>
      <c r="T227" s="88"/>
      <c r="U227" s="88"/>
      <c r="V227" s="88"/>
      <c r="W227" s="88"/>
      <c r="X227" s="88"/>
      <c r="Y227" s="88"/>
      <c r="Z227" s="88"/>
      <c r="AA227" s="88"/>
      <c r="AB227" s="88"/>
      <c r="AC227" s="88"/>
      <c r="AD227" s="88"/>
      <c r="AE227" s="397" t="str">
        <f>IFERROR(VLOOKUP($AQ227,'(勿動)組件目錄表'!$D$15:$R$1094,4,FALSE),"")</f>
        <v/>
      </c>
      <c r="AF227" s="384"/>
      <c r="AG227" s="384"/>
      <c r="AH227" s="384"/>
      <c r="AI227" s="384"/>
      <c r="AJ227" s="385"/>
      <c r="AK227" s="54" t="b">
        <v>0</v>
      </c>
      <c r="AL227" s="54" t="b">
        <v>0</v>
      </c>
      <c r="AM227" s="54"/>
      <c r="AN227" s="7" t="str">
        <v>219</v>
      </c>
      <c r="AO227" s="7"/>
      <c r="AP227" s="62"/>
      <c r="AQ227" s="75" t="str">
        <v/>
      </c>
      <c r="AR227" s="75" t="str">
        <v>-</v>
      </c>
      <c r="AS227" s="11"/>
      <c r="AT227" s="77" t="str">
        <v>-</v>
      </c>
      <c r="AU227" s="11" t="str">
        <v>-</v>
      </c>
      <c r="AV227" s="100"/>
      <c r="AW227" s="80" t="str">
        <f ca="1"/>
        <v>-</v>
      </c>
      <c r="AX227" s="86" t="b">
        <v>0</v>
      </c>
      <c r="AY227" s="68" t="str">
        <f t="shared" si="0"/>
        <v/>
      </c>
      <c r="AZ227" s="69" t="str">
        <f t="shared" si="1"/>
        <v/>
      </c>
      <c r="BA227" s="70" t="str">
        <f t="shared" si="2"/>
        <v/>
      </c>
      <c r="BB227" s="68" t="str">
        <f t="shared" si="3"/>
        <v/>
      </c>
      <c r="BC227" s="69" t="str">
        <f>IFERROR(VLOOKUP($AQ227,'(勿動)組件目錄表'!$D$15:$R$1094,7,FALSE),"")</f>
        <v/>
      </c>
      <c r="BD227" s="69" t="str">
        <f>IFERROR(VLOOKUP($AQ227,'(勿動)組件目錄表'!$D$15:$R$1094,8,FALSE),"")</f>
        <v/>
      </c>
      <c r="BE227" s="69" t="str">
        <f>IFERROR(VLOOKUP($AQ227,'(勿動)組件目錄表'!$D$15:$R$1094,9,FALSE),"")</f>
        <v/>
      </c>
      <c r="BF227" s="69" t="str">
        <f>IFERROR(VLOOKUP($AQ227,'(勿動)組件目錄表'!$D$15:$R$1094,10,FALSE),"")</f>
        <v/>
      </c>
      <c r="BG227" s="69" t="str">
        <f>IFERROR(VLOOKUP($AQ227,'(勿動)組件目錄表'!$D$15:$R$1094,11,FALSE),"")</f>
        <v/>
      </c>
      <c r="BH227" s="69" t="str">
        <f>IFERROR(VLOOKUP($AQ227,'(勿動)組件目錄表'!$D$15:$R$1094,12,FALSE),"")</f>
        <v/>
      </c>
      <c r="BI227" s="69" t="str">
        <f>IFERROR(VLOOKUP($AQ227,'(勿動)組件目錄表'!$D$15:$R$1094,13,FALSE),"")</f>
        <v/>
      </c>
      <c r="BJ227" s="69" t="str">
        <f>IFERROR(VLOOKUP($AQ227,'(勿動)組件目錄表'!$D$15:$R$1094,14,FALSE),"")</f>
        <v/>
      </c>
      <c r="BK227" s="69" t="str">
        <f>IFERROR(VLOOKUP($AQ227,'(勿動)組件目錄表'!$D$15:$R$1094,15,FALSE),"")</f>
        <v/>
      </c>
      <c r="BL227" s="81">
        <f ca="1">IFERROR(__xludf.DUMMYFUNCTION("IFERROR(
  LET(
    rowData, FILTER('(勿動)組件目錄表'!J:Q, '(勿動)組件目錄表'!D:D=AQ227),
    IF(ROWS(rowData)=0, 0, 
      (
        IF(AND(BC227&lt;&gt;"""", INDEX(rowData,1,1)=BC227),1,0) +
        IF(AND(BD227&lt;&gt;"""", INDEX(rowData,1,2)=BD227),1,0) +
        IF(AND(BE227"&amp;"&lt;&gt;"""", INDEX(rowData,1,3)=BE227),1,0) +
        IF(AND(BF227&lt;&gt;"""", INDEX(rowData,1,4)=BF227),1,0) +
        IF(AND(BG227&lt;&gt;"""", INDEX(rowData,1,5)=BG227),1,0) +
        IF(AND(BH227&lt;&gt;"""", INDEX(rowData,1,6)=BH227),1,0) +
        IF(AND(BI227&lt;&gt;"""", IND"&amp;"EX(rowData,1,7)=BI227),1,0) +
        IF(AND(BJ227&lt;&gt;"""", INDEX(rowData,1,8)=BJ227),1,0)
      ) - COUNTIF(BC227:BJ227, ""-"")
        - COUNTIF(BC227:BJ227, ""固定格式，不需提供資訊"")
        - COUNTIF(BC227:BJ227, ""由MKT更新，此欄位固定格式，不需提供資訊
(Voucher CID：12917705872)"&amp;""")
        - COUNTIF(BC227:BJ227, ""text固定為以下：
※直播間僅支援手機版"")
        - COUNTIF(BC227:BJ227, ""text固定為以下：
※短影音僅支援手機版"")
    )
  ), 
  0
)
"),0)</f>
        <v>0</v>
      </c>
      <c r="BM227" s="77" t="b">
        <v>0</v>
      </c>
      <c r="BN227" s="85"/>
      <c r="BO227" s="85"/>
    </row>
    <row r="228" spans="1:67" ht="30" customHeight="1">
      <c r="A228" s="73" t="str">
        <f t="array" aca="1" ref="A228" ca="1">IFERROR(TRANSPOSE(INDIRECT('MS section版配(Old)'!$AO228)),"")</f>
        <v/>
      </c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8"/>
      <c r="P228" s="88"/>
      <c r="Q228" s="88"/>
      <c r="R228" s="88"/>
      <c r="S228" s="88"/>
      <c r="T228" s="88"/>
      <c r="U228" s="88"/>
      <c r="V228" s="88"/>
      <c r="W228" s="88"/>
      <c r="X228" s="88"/>
      <c r="Y228" s="88"/>
      <c r="Z228" s="88"/>
      <c r="AA228" s="88"/>
      <c r="AB228" s="88"/>
      <c r="AC228" s="88"/>
      <c r="AD228" s="88"/>
      <c r="AE228" s="397" t="str">
        <f>IFERROR(VLOOKUP($AQ228,'(勿動)組件目錄表'!$D$15:$R$1094,4,FALSE),"")</f>
        <v/>
      </c>
      <c r="AF228" s="384"/>
      <c r="AG228" s="384"/>
      <c r="AH228" s="384"/>
      <c r="AI228" s="384"/>
      <c r="AJ228" s="385"/>
      <c r="AK228" s="54" t="b">
        <v>0</v>
      </c>
      <c r="AL228" s="54" t="b">
        <v>0</v>
      </c>
      <c r="AM228" s="54"/>
      <c r="AN228" s="7" t="str">
        <v>220</v>
      </c>
      <c r="AO228" s="7"/>
      <c r="AP228" s="62"/>
      <c r="AQ228" s="75" t="str">
        <v/>
      </c>
      <c r="AR228" s="75" t="str">
        <v>-</v>
      </c>
      <c r="AS228" s="11"/>
      <c r="AT228" s="77" t="str">
        <v>-</v>
      </c>
      <c r="AU228" s="11" t="str">
        <v>-</v>
      </c>
      <c r="AV228" s="100"/>
      <c r="AW228" s="80" t="str">
        <f ca="1"/>
        <v>-</v>
      </c>
      <c r="AX228" s="86" t="b">
        <v>0</v>
      </c>
      <c r="AY228" s="68" t="str">
        <f t="shared" si="0"/>
        <v/>
      </c>
      <c r="AZ228" s="69" t="str">
        <f t="shared" si="1"/>
        <v/>
      </c>
      <c r="BA228" s="70" t="str">
        <f t="shared" si="2"/>
        <v/>
      </c>
      <c r="BB228" s="68" t="str">
        <f t="shared" si="3"/>
        <v/>
      </c>
      <c r="BC228" s="69" t="str">
        <f>IFERROR(VLOOKUP($AQ228,'(勿動)組件目錄表'!$D$15:$R$1094,7,FALSE),"")</f>
        <v/>
      </c>
      <c r="BD228" s="69" t="str">
        <f>IFERROR(VLOOKUP($AQ228,'(勿動)組件目錄表'!$D$15:$R$1094,8,FALSE),"")</f>
        <v/>
      </c>
      <c r="BE228" s="69" t="str">
        <f>IFERROR(VLOOKUP($AQ228,'(勿動)組件目錄表'!$D$15:$R$1094,9,FALSE),"")</f>
        <v/>
      </c>
      <c r="BF228" s="69" t="str">
        <f>IFERROR(VLOOKUP($AQ228,'(勿動)組件目錄表'!$D$15:$R$1094,10,FALSE),"")</f>
        <v/>
      </c>
      <c r="BG228" s="69" t="str">
        <f>IFERROR(VLOOKUP($AQ228,'(勿動)組件目錄表'!$D$15:$R$1094,11,FALSE),"")</f>
        <v/>
      </c>
      <c r="BH228" s="69" t="str">
        <f>IFERROR(VLOOKUP($AQ228,'(勿動)組件目錄表'!$D$15:$R$1094,12,FALSE),"")</f>
        <v/>
      </c>
      <c r="BI228" s="69" t="str">
        <f>IFERROR(VLOOKUP($AQ228,'(勿動)組件目錄表'!$D$15:$R$1094,13,FALSE),"")</f>
        <v/>
      </c>
      <c r="BJ228" s="69" t="str">
        <f>IFERROR(VLOOKUP($AQ228,'(勿動)組件目錄表'!$D$15:$R$1094,14,FALSE),"")</f>
        <v/>
      </c>
      <c r="BK228" s="69" t="str">
        <f>IFERROR(VLOOKUP($AQ228,'(勿動)組件目錄表'!$D$15:$R$1094,15,FALSE),"")</f>
        <v/>
      </c>
      <c r="BL228" s="81">
        <f ca="1">IFERROR(__xludf.DUMMYFUNCTION("IFERROR(
  LET(
    rowData, FILTER('(勿動)組件目錄表'!J:Q, '(勿動)組件目錄表'!D:D=AQ228),
    IF(ROWS(rowData)=0, 0, 
      (
        IF(AND(BC228&lt;&gt;"""", INDEX(rowData,1,1)=BC228),1,0) +
        IF(AND(BD228&lt;&gt;"""", INDEX(rowData,1,2)=BD228),1,0) +
        IF(AND(BE228"&amp;"&lt;&gt;"""", INDEX(rowData,1,3)=BE228),1,0) +
        IF(AND(BF228&lt;&gt;"""", INDEX(rowData,1,4)=BF228),1,0) +
        IF(AND(BG228&lt;&gt;"""", INDEX(rowData,1,5)=BG228),1,0) +
        IF(AND(BH228&lt;&gt;"""", INDEX(rowData,1,6)=BH228),1,0) +
        IF(AND(BI228&lt;&gt;"""", IND"&amp;"EX(rowData,1,7)=BI228),1,0) +
        IF(AND(BJ228&lt;&gt;"""", INDEX(rowData,1,8)=BJ228),1,0)
      ) - COUNTIF(BC228:BJ228, ""-"")
        - COUNTIF(BC228:BJ228, ""固定格式，不需提供資訊"")
        - COUNTIF(BC228:BJ228, ""由MKT更新，此欄位固定格式，不需提供資訊
(Voucher CID：12917705872)"&amp;""")
        - COUNTIF(BC228:BJ228, ""text固定為以下：
※直播間僅支援手機版"")
        - COUNTIF(BC228:BJ228, ""text固定為以下：
※短影音僅支援手機版"")
    )
  ), 
  0
)
"),0)</f>
        <v>0</v>
      </c>
      <c r="BM228" s="77" t="b">
        <v>0</v>
      </c>
      <c r="BN228" s="85"/>
      <c r="BO228" s="85"/>
    </row>
    <row r="229" spans="1:67" ht="30" customHeight="1">
      <c r="A229" s="73" t="str">
        <f t="array" aca="1" ref="A229" ca="1">IFERROR(TRANSPOSE(INDIRECT('MS section版配(Old)'!$AO229)),"")</f>
        <v/>
      </c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8"/>
      <c r="P229" s="88"/>
      <c r="Q229" s="88"/>
      <c r="R229" s="88"/>
      <c r="S229" s="88"/>
      <c r="T229" s="88"/>
      <c r="U229" s="88"/>
      <c r="V229" s="88"/>
      <c r="W229" s="88"/>
      <c r="X229" s="88"/>
      <c r="Y229" s="88"/>
      <c r="Z229" s="88"/>
      <c r="AA229" s="88"/>
      <c r="AB229" s="88"/>
      <c r="AC229" s="88"/>
      <c r="AD229" s="88"/>
      <c r="AE229" s="397" t="str">
        <f>IFERROR(VLOOKUP($AQ229,'(勿動)組件目錄表'!$D$15:$R$1094,4,FALSE),"")</f>
        <v/>
      </c>
      <c r="AF229" s="384"/>
      <c r="AG229" s="384"/>
      <c r="AH229" s="384"/>
      <c r="AI229" s="384"/>
      <c r="AJ229" s="385"/>
      <c r="AK229" s="54" t="b">
        <v>0</v>
      </c>
      <c r="AL229" s="54" t="b">
        <v>0</v>
      </c>
      <c r="AM229" s="54"/>
      <c r="AN229" s="7" t="str">
        <v>221</v>
      </c>
      <c r="AO229" s="7"/>
      <c r="AP229" s="62"/>
      <c r="AQ229" s="75" t="str">
        <v/>
      </c>
      <c r="AR229" s="75" t="str">
        <v>-</v>
      </c>
      <c r="AS229" s="11"/>
      <c r="AT229" s="77" t="str">
        <v>-</v>
      </c>
      <c r="AU229" s="11" t="str">
        <v>-</v>
      </c>
      <c r="AV229" s="100"/>
      <c r="AW229" s="80" t="str">
        <f ca="1"/>
        <v>-</v>
      </c>
      <c r="AX229" s="86" t="b">
        <v>0</v>
      </c>
      <c r="AY229" s="68" t="str">
        <f t="shared" si="0"/>
        <v/>
      </c>
      <c r="AZ229" s="69" t="str">
        <f t="shared" si="1"/>
        <v/>
      </c>
      <c r="BA229" s="70" t="str">
        <f t="shared" si="2"/>
        <v/>
      </c>
      <c r="BB229" s="68" t="str">
        <f t="shared" si="3"/>
        <v/>
      </c>
      <c r="BC229" s="69" t="str">
        <f>IFERROR(VLOOKUP($AQ229,'(勿動)組件目錄表'!$D$15:$R$1094,7,FALSE),"")</f>
        <v/>
      </c>
      <c r="BD229" s="69" t="str">
        <f>IFERROR(VLOOKUP($AQ229,'(勿動)組件目錄表'!$D$15:$R$1094,8,FALSE),"")</f>
        <v/>
      </c>
      <c r="BE229" s="69" t="str">
        <f>IFERROR(VLOOKUP($AQ229,'(勿動)組件目錄表'!$D$15:$R$1094,9,FALSE),"")</f>
        <v/>
      </c>
      <c r="BF229" s="69" t="str">
        <f>IFERROR(VLOOKUP($AQ229,'(勿動)組件目錄表'!$D$15:$R$1094,10,FALSE),"")</f>
        <v/>
      </c>
      <c r="BG229" s="69" t="str">
        <f>IFERROR(VLOOKUP($AQ229,'(勿動)組件目錄表'!$D$15:$R$1094,11,FALSE),"")</f>
        <v/>
      </c>
      <c r="BH229" s="69" t="str">
        <f>IFERROR(VLOOKUP($AQ229,'(勿動)組件目錄表'!$D$15:$R$1094,12,FALSE),"")</f>
        <v/>
      </c>
      <c r="BI229" s="69" t="str">
        <f>IFERROR(VLOOKUP($AQ229,'(勿動)組件目錄表'!$D$15:$R$1094,13,FALSE),"")</f>
        <v/>
      </c>
      <c r="BJ229" s="69" t="str">
        <f>IFERROR(VLOOKUP($AQ229,'(勿動)組件目錄表'!$D$15:$R$1094,14,FALSE),"")</f>
        <v/>
      </c>
      <c r="BK229" s="69" t="str">
        <f>IFERROR(VLOOKUP($AQ229,'(勿動)組件目錄表'!$D$15:$R$1094,15,FALSE),"")</f>
        <v/>
      </c>
      <c r="BL229" s="81">
        <f ca="1">IFERROR(__xludf.DUMMYFUNCTION("IFERROR(
  LET(
    rowData, FILTER('(勿動)組件目錄表'!J:Q, '(勿動)組件目錄表'!D:D=AQ229),
    IF(ROWS(rowData)=0, 0, 
      (
        IF(AND(BC229&lt;&gt;"""", INDEX(rowData,1,1)=BC229),1,0) +
        IF(AND(BD229&lt;&gt;"""", INDEX(rowData,1,2)=BD229),1,0) +
        IF(AND(BE229"&amp;"&lt;&gt;"""", INDEX(rowData,1,3)=BE229),1,0) +
        IF(AND(BF229&lt;&gt;"""", INDEX(rowData,1,4)=BF229),1,0) +
        IF(AND(BG229&lt;&gt;"""", INDEX(rowData,1,5)=BG229),1,0) +
        IF(AND(BH229&lt;&gt;"""", INDEX(rowData,1,6)=BH229),1,0) +
        IF(AND(BI229&lt;&gt;"""", IND"&amp;"EX(rowData,1,7)=BI229),1,0) +
        IF(AND(BJ229&lt;&gt;"""", INDEX(rowData,1,8)=BJ229),1,0)
      ) - COUNTIF(BC229:BJ229, ""-"")
        - COUNTIF(BC229:BJ229, ""固定格式，不需提供資訊"")
        - COUNTIF(BC229:BJ229, ""由MKT更新，此欄位固定格式，不需提供資訊
(Voucher CID：12917705872)"&amp;""")
        - COUNTIF(BC229:BJ229, ""text固定為以下：
※直播間僅支援手機版"")
        - COUNTIF(BC229:BJ229, ""text固定為以下：
※短影音僅支援手機版"")
    )
  ), 
  0
)
"),0)</f>
        <v>0</v>
      </c>
      <c r="BM229" s="77" t="b">
        <v>0</v>
      </c>
      <c r="BN229" s="85"/>
      <c r="BO229" s="85"/>
    </row>
    <row r="230" spans="1:67" ht="30" customHeight="1">
      <c r="A230" s="73" t="str">
        <f t="array" aca="1" ref="A230" ca="1">IFERROR(TRANSPOSE(INDIRECT('MS section版配(Old)'!$AO230)),"")</f>
        <v/>
      </c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8"/>
      <c r="P230" s="88"/>
      <c r="Q230" s="88"/>
      <c r="R230" s="88"/>
      <c r="S230" s="88"/>
      <c r="T230" s="88"/>
      <c r="U230" s="88"/>
      <c r="V230" s="88"/>
      <c r="W230" s="88"/>
      <c r="X230" s="88"/>
      <c r="Y230" s="88"/>
      <c r="Z230" s="88"/>
      <c r="AA230" s="88"/>
      <c r="AB230" s="88"/>
      <c r="AC230" s="88"/>
      <c r="AD230" s="88"/>
      <c r="AE230" s="397" t="str">
        <f>IFERROR(VLOOKUP($AQ230,'(勿動)組件目錄表'!$D$15:$R$1094,4,FALSE),"")</f>
        <v/>
      </c>
      <c r="AF230" s="384"/>
      <c r="AG230" s="384"/>
      <c r="AH230" s="384"/>
      <c r="AI230" s="384"/>
      <c r="AJ230" s="385"/>
      <c r="AK230" s="54" t="b">
        <v>0</v>
      </c>
      <c r="AL230" s="54" t="b">
        <v>0</v>
      </c>
      <c r="AM230" s="54"/>
      <c r="AN230" s="7" t="str">
        <v>222</v>
      </c>
      <c r="AO230" s="7"/>
      <c r="AP230" s="62"/>
      <c r="AQ230" s="75" t="str">
        <v/>
      </c>
      <c r="AR230" s="75" t="str">
        <v>-</v>
      </c>
      <c r="AS230" s="11"/>
      <c r="AT230" s="77" t="str">
        <v>-</v>
      </c>
      <c r="AU230" s="11" t="str">
        <v>-</v>
      </c>
      <c r="AV230" s="100"/>
      <c r="AW230" s="80" t="str">
        <f ca="1"/>
        <v>-</v>
      </c>
      <c r="AX230" s="86" t="b">
        <v>0</v>
      </c>
      <c r="AY230" s="68" t="str">
        <f t="shared" si="0"/>
        <v/>
      </c>
      <c r="AZ230" s="69" t="str">
        <f t="shared" si="1"/>
        <v/>
      </c>
      <c r="BA230" s="70" t="str">
        <f t="shared" si="2"/>
        <v/>
      </c>
      <c r="BB230" s="68" t="str">
        <f t="shared" si="3"/>
        <v/>
      </c>
      <c r="BC230" s="69" t="str">
        <f>IFERROR(VLOOKUP($AQ230,'(勿動)組件目錄表'!$D$15:$R$1094,7,FALSE),"")</f>
        <v/>
      </c>
      <c r="BD230" s="69" t="str">
        <f>IFERROR(VLOOKUP($AQ230,'(勿動)組件目錄表'!$D$15:$R$1094,8,FALSE),"")</f>
        <v/>
      </c>
      <c r="BE230" s="69" t="str">
        <f>IFERROR(VLOOKUP($AQ230,'(勿動)組件目錄表'!$D$15:$R$1094,9,FALSE),"")</f>
        <v/>
      </c>
      <c r="BF230" s="69" t="str">
        <f>IFERROR(VLOOKUP($AQ230,'(勿動)組件目錄表'!$D$15:$R$1094,10,FALSE),"")</f>
        <v/>
      </c>
      <c r="BG230" s="69" t="str">
        <f>IFERROR(VLOOKUP($AQ230,'(勿動)組件目錄表'!$D$15:$R$1094,11,FALSE),"")</f>
        <v/>
      </c>
      <c r="BH230" s="69" t="str">
        <f>IFERROR(VLOOKUP($AQ230,'(勿動)組件目錄表'!$D$15:$R$1094,12,FALSE),"")</f>
        <v/>
      </c>
      <c r="BI230" s="69" t="str">
        <f>IFERROR(VLOOKUP($AQ230,'(勿動)組件目錄表'!$D$15:$R$1094,13,FALSE),"")</f>
        <v/>
      </c>
      <c r="BJ230" s="69" t="str">
        <f>IFERROR(VLOOKUP($AQ230,'(勿動)組件目錄表'!$D$15:$R$1094,14,FALSE),"")</f>
        <v/>
      </c>
      <c r="BK230" s="69" t="str">
        <f>IFERROR(VLOOKUP($AQ230,'(勿動)組件目錄表'!$D$15:$R$1094,15,FALSE),"")</f>
        <v/>
      </c>
      <c r="BL230" s="81">
        <f ca="1">IFERROR(__xludf.DUMMYFUNCTION("IFERROR(
  LET(
    rowData, FILTER('(勿動)組件目錄表'!J:Q, '(勿動)組件目錄表'!D:D=AQ230),
    IF(ROWS(rowData)=0, 0, 
      (
        IF(AND(BC230&lt;&gt;"""", INDEX(rowData,1,1)=BC230),1,0) +
        IF(AND(BD230&lt;&gt;"""", INDEX(rowData,1,2)=BD230),1,0) +
        IF(AND(BE230"&amp;"&lt;&gt;"""", INDEX(rowData,1,3)=BE230),1,0) +
        IF(AND(BF230&lt;&gt;"""", INDEX(rowData,1,4)=BF230),1,0) +
        IF(AND(BG230&lt;&gt;"""", INDEX(rowData,1,5)=BG230),1,0) +
        IF(AND(BH230&lt;&gt;"""", INDEX(rowData,1,6)=BH230),1,0) +
        IF(AND(BI230&lt;&gt;"""", IND"&amp;"EX(rowData,1,7)=BI230),1,0) +
        IF(AND(BJ230&lt;&gt;"""", INDEX(rowData,1,8)=BJ230),1,0)
      ) - COUNTIF(BC230:BJ230, ""-"")
        - COUNTIF(BC230:BJ230, ""固定格式，不需提供資訊"")
        - COUNTIF(BC230:BJ230, ""由MKT更新，此欄位固定格式，不需提供資訊
(Voucher CID：12917705872)"&amp;""")
        - COUNTIF(BC230:BJ230, ""text固定為以下：
※直播間僅支援手機版"")
        - COUNTIF(BC230:BJ230, ""text固定為以下：
※短影音僅支援手機版"")
    )
  ), 
  0
)
"),0)</f>
        <v>0</v>
      </c>
      <c r="BM230" s="77" t="b">
        <v>0</v>
      </c>
      <c r="BN230" s="85"/>
      <c r="BO230" s="85"/>
    </row>
    <row r="231" spans="1:67" ht="30" customHeight="1">
      <c r="A231" s="73" t="str">
        <f t="array" aca="1" ref="A231" ca="1">IFERROR(TRANSPOSE(INDIRECT('MS section版配(Old)'!$AO231)),"")</f>
        <v/>
      </c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8"/>
      <c r="P231" s="88"/>
      <c r="Q231" s="88"/>
      <c r="R231" s="88"/>
      <c r="S231" s="88"/>
      <c r="T231" s="88"/>
      <c r="U231" s="88"/>
      <c r="V231" s="88"/>
      <c r="W231" s="88"/>
      <c r="X231" s="88"/>
      <c r="Y231" s="88"/>
      <c r="Z231" s="88"/>
      <c r="AA231" s="88"/>
      <c r="AB231" s="88"/>
      <c r="AC231" s="88"/>
      <c r="AD231" s="88"/>
      <c r="AE231" s="397" t="str">
        <f>IFERROR(VLOOKUP($AQ231,'(勿動)組件目錄表'!$D$15:$R$1094,4,FALSE),"")</f>
        <v/>
      </c>
      <c r="AF231" s="384"/>
      <c r="AG231" s="384"/>
      <c r="AH231" s="384"/>
      <c r="AI231" s="384"/>
      <c r="AJ231" s="385"/>
      <c r="AK231" s="54" t="b">
        <v>0</v>
      </c>
      <c r="AL231" s="54" t="b">
        <v>0</v>
      </c>
      <c r="AM231" s="54"/>
      <c r="AN231" s="7" t="str">
        <v>223</v>
      </c>
      <c r="AO231" s="7"/>
      <c r="AP231" s="62"/>
      <c r="AQ231" s="75" t="str">
        <v/>
      </c>
      <c r="AR231" s="75" t="str">
        <v>-</v>
      </c>
      <c r="AS231" s="11"/>
      <c r="AT231" s="77" t="str">
        <v>-</v>
      </c>
      <c r="AU231" s="11" t="str">
        <v>-</v>
      </c>
      <c r="AV231" s="100"/>
      <c r="AW231" s="80" t="str">
        <f ca="1"/>
        <v>-</v>
      </c>
      <c r="AX231" s="86" t="b">
        <v>0</v>
      </c>
      <c r="AY231" s="68" t="str">
        <f t="shared" si="0"/>
        <v/>
      </c>
      <c r="AZ231" s="69" t="str">
        <f t="shared" si="1"/>
        <v/>
      </c>
      <c r="BA231" s="70" t="str">
        <f t="shared" si="2"/>
        <v/>
      </c>
      <c r="BB231" s="68" t="str">
        <f t="shared" si="3"/>
        <v/>
      </c>
      <c r="BC231" s="69" t="str">
        <f>IFERROR(VLOOKUP($AQ231,'(勿動)組件目錄表'!$D$15:$R$1094,7,FALSE),"")</f>
        <v/>
      </c>
      <c r="BD231" s="69" t="str">
        <f>IFERROR(VLOOKUP($AQ231,'(勿動)組件目錄表'!$D$15:$R$1094,8,FALSE),"")</f>
        <v/>
      </c>
      <c r="BE231" s="69" t="str">
        <f>IFERROR(VLOOKUP($AQ231,'(勿動)組件目錄表'!$D$15:$R$1094,9,FALSE),"")</f>
        <v/>
      </c>
      <c r="BF231" s="69" t="str">
        <f>IFERROR(VLOOKUP($AQ231,'(勿動)組件目錄表'!$D$15:$R$1094,10,FALSE),"")</f>
        <v/>
      </c>
      <c r="BG231" s="69" t="str">
        <f>IFERROR(VLOOKUP($AQ231,'(勿動)組件目錄表'!$D$15:$R$1094,11,FALSE),"")</f>
        <v/>
      </c>
      <c r="BH231" s="69" t="str">
        <f>IFERROR(VLOOKUP($AQ231,'(勿動)組件目錄表'!$D$15:$R$1094,12,FALSE),"")</f>
        <v/>
      </c>
      <c r="BI231" s="69" t="str">
        <f>IFERROR(VLOOKUP($AQ231,'(勿動)組件目錄表'!$D$15:$R$1094,13,FALSE),"")</f>
        <v/>
      </c>
      <c r="BJ231" s="69" t="str">
        <f>IFERROR(VLOOKUP($AQ231,'(勿動)組件目錄表'!$D$15:$R$1094,14,FALSE),"")</f>
        <v/>
      </c>
      <c r="BK231" s="69" t="str">
        <f>IFERROR(VLOOKUP($AQ231,'(勿動)組件目錄表'!$D$15:$R$1094,15,FALSE),"")</f>
        <v/>
      </c>
      <c r="BL231" s="81">
        <f ca="1">IFERROR(__xludf.DUMMYFUNCTION("IFERROR(
  LET(
    rowData, FILTER('(勿動)組件目錄表'!J:Q, '(勿動)組件目錄表'!D:D=AQ231),
    IF(ROWS(rowData)=0, 0, 
      (
        IF(AND(BC231&lt;&gt;"""", INDEX(rowData,1,1)=BC231),1,0) +
        IF(AND(BD231&lt;&gt;"""", INDEX(rowData,1,2)=BD231),1,0) +
        IF(AND(BE231"&amp;"&lt;&gt;"""", INDEX(rowData,1,3)=BE231),1,0) +
        IF(AND(BF231&lt;&gt;"""", INDEX(rowData,1,4)=BF231),1,0) +
        IF(AND(BG231&lt;&gt;"""", INDEX(rowData,1,5)=BG231),1,0) +
        IF(AND(BH231&lt;&gt;"""", INDEX(rowData,1,6)=BH231),1,0) +
        IF(AND(BI231&lt;&gt;"""", IND"&amp;"EX(rowData,1,7)=BI231),1,0) +
        IF(AND(BJ231&lt;&gt;"""", INDEX(rowData,1,8)=BJ231),1,0)
      ) - COUNTIF(BC231:BJ231, ""-"")
        - COUNTIF(BC231:BJ231, ""固定格式，不需提供資訊"")
        - COUNTIF(BC231:BJ231, ""由MKT更新，此欄位固定格式，不需提供資訊
(Voucher CID：12917705872)"&amp;""")
        - COUNTIF(BC231:BJ231, ""text固定為以下：
※直播間僅支援手機版"")
        - COUNTIF(BC231:BJ231, ""text固定為以下：
※短影音僅支援手機版"")
    )
  ), 
  0
)
"),0)</f>
        <v>0</v>
      </c>
      <c r="BM231" s="77" t="b">
        <v>0</v>
      </c>
      <c r="BN231" s="85"/>
      <c r="BO231" s="85"/>
    </row>
    <row r="232" spans="1:67" ht="30" customHeight="1">
      <c r="A232" s="73" t="str">
        <f t="array" aca="1" ref="A232" ca="1">IFERROR(TRANSPOSE(INDIRECT('MS section版配(Old)'!$AO232)),"")</f>
        <v/>
      </c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8"/>
      <c r="P232" s="88"/>
      <c r="Q232" s="88"/>
      <c r="R232" s="88"/>
      <c r="S232" s="88"/>
      <c r="T232" s="88"/>
      <c r="U232" s="88"/>
      <c r="V232" s="88"/>
      <c r="W232" s="88"/>
      <c r="X232" s="88"/>
      <c r="Y232" s="88"/>
      <c r="Z232" s="88"/>
      <c r="AA232" s="88"/>
      <c r="AB232" s="88"/>
      <c r="AC232" s="88"/>
      <c r="AD232" s="88"/>
      <c r="AE232" s="397" t="str">
        <f>IFERROR(VLOOKUP($AQ232,'(勿動)組件目錄表'!$D$15:$R$1094,4,FALSE),"")</f>
        <v/>
      </c>
      <c r="AF232" s="384"/>
      <c r="AG232" s="384"/>
      <c r="AH232" s="384"/>
      <c r="AI232" s="384"/>
      <c r="AJ232" s="385"/>
      <c r="AK232" s="54" t="b">
        <v>0</v>
      </c>
      <c r="AL232" s="54" t="b">
        <v>0</v>
      </c>
      <c r="AM232" s="54"/>
      <c r="AN232" s="7" t="str">
        <v>224</v>
      </c>
      <c r="AO232" s="7"/>
      <c r="AP232" s="62"/>
      <c r="AQ232" s="75" t="str">
        <v/>
      </c>
      <c r="AR232" s="75" t="str">
        <v>-</v>
      </c>
      <c r="AS232" s="11"/>
      <c r="AT232" s="77" t="str">
        <v>-</v>
      </c>
      <c r="AU232" s="11" t="str">
        <v>-</v>
      </c>
      <c r="AV232" s="100"/>
      <c r="AW232" s="80" t="str">
        <f ca="1"/>
        <v>-</v>
      </c>
      <c r="AX232" s="86" t="b">
        <v>0</v>
      </c>
      <c r="AY232" s="68" t="str">
        <f t="shared" si="0"/>
        <v/>
      </c>
      <c r="AZ232" s="69" t="str">
        <f t="shared" si="1"/>
        <v/>
      </c>
      <c r="BA232" s="70" t="str">
        <f t="shared" si="2"/>
        <v/>
      </c>
      <c r="BB232" s="68" t="str">
        <f t="shared" si="3"/>
        <v/>
      </c>
      <c r="BC232" s="69" t="str">
        <f>IFERROR(VLOOKUP($AQ232,'(勿動)組件目錄表'!$D$15:$R$1094,7,FALSE),"")</f>
        <v/>
      </c>
      <c r="BD232" s="69" t="str">
        <f>IFERROR(VLOOKUP($AQ232,'(勿動)組件目錄表'!$D$15:$R$1094,8,FALSE),"")</f>
        <v/>
      </c>
      <c r="BE232" s="69" t="str">
        <f>IFERROR(VLOOKUP($AQ232,'(勿動)組件目錄表'!$D$15:$R$1094,9,FALSE),"")</f>
        <v/>
      </c>
      <c r="BF232" s="69" t="str">
        <f>IFERROR(VLOOKUP($AQ232,'(勿動)組件目錄表'!$D$15:$R$1094,10,FALSE),"")</f>
        <v/>
      </c>
      <c r="BG232" s="69" t="str">
        <f>IFERROR(VLOOKUP($AQ232,'(勿動)組件目錄表'!$D$15:$R$1094,11,FALSE),"")</f>
        <v/>
      </c>
      <c r="BH232" s="69" t="str">
        <f>IFERROR(VLOOKUP($AQ232,'(勿動)組件目錄表'!$D$15:$R$1094,12,FALSE),"")</f>
        <v/>
      </c>
      <c r="BI232" s="69" t="str">
        <f>IFERROR(VLOOKUP($AQ232,'(勿動)組件目錄表'!$D$15:$R$1094,13,FALSE),"")</f>
        <v/>
      </c>
      <c r="BJ232" s="69" t="str">
        <f>IFERROR(VLOOKUP($AQ232,'(勿動)組件目錄表'!$D$15:$R$1094,14,FALSE),"")</f>
        <v/>
      </c>
      <c r="BK232" s="69" t="str">
        <f>IFERROR(VLOOKUP($AQ232,'(勿動)組件目錄表'!$D$15:$R$1094,15,FALSE),"")</f>
        <v/>
      </c>
      <c r="BL232" s="81">
        <f ca="1">IFERROR(__xludf.DUMMYFUNCTION("IFERROR(
  LET(
    rowData, FILTER('(勿動)組件目錄表'!J:Q, '(勿動)組件目錄表'!D:D=AQ232),
    IF(ROWS(rowData)=0, 0, 
      (
        IF(AND(BC232&lt;&gt;"""", INDEX(rowData,1,1)=BC232),1,0) +
        IF(AND(BD232&lt;&gt;"""", INDEX(rowData,1,2)=BD232),1,0) +
        IF(AND(BE232"&amp;"&lt;&gt;"""", INDEX(rowData,1,3)=BE232),1,0) +
        IF(AND(BF232&lt;&gt;"""", INDEX(rowData,1,4)=BF232),1,0) +
        IF(AND(BG232&lt;&gt;"""", INDEX(rowData,1,5)=BG232),1,0) +
        IF(AND(BH232&lt;&gt;"""", INDEX(rowData,1,6)=BH232),1,0) +
        IF(AND(BI232&lt;&gt;"""", IND"&amp;"EX(rowData,1,7)=BI232),1,0) +
        IF(AND(BJ232&lt;&gt;"""", INDEX(rowData,1,8)=BJ232),1,0)
      ) - COUNTIF(BC232:BJ232, ""-"")
        - COUNTIF(BC232:BJ232, ""固定格式，不需提供資訊"")
        - COUNTIF(BC232:BJ232, ""由MKT更新，此欄位固定格式，不需提供資訊
(Voucher CID：12917705872)"&amp;""")
        - COUNTIF(BC232:BJ232, ""text固定為以下：
※直播間僅支援手機版"")
        - COUNTIF(BC232:BJ232, ""text固定為以下：
※短影音僅支援手機版"")
    )
  ), 
  0
)
"),0)</f>
        <v>0</v>
      </c>
      <c r="BM232" s="77" t="b">
        <v>0</v>
      </c>
      <c r="BN232" s="85"/>
      <c r="BO232" s="85"/>
    </row>
    <row r="233" spans="1:67" ht="30" customHeight="1">
      <c r="A233" s="73" t="str">
        <f t="array" aca="1" ref="A233" ca="1">IFERROR(TRANSPOSE(INDIRECT('MS section版配(Old)'!$AO233)),"")</f>
        <v/>
      </c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8"/>
      <c r="P233" s="88"/>
      <c r="Q233" s="88"/>
      <c r="R233" s="88"/>
      <c r="S233" s="88"/>
      <c r="T233" s="88"/>
      <c r="U233" s="88"/>
      <c r="V233" s="88"/>
      <c r="W233" s="88"/>
      <c r="X233" s="88"/>
      <c r="Y233" s="88"/>
      <c r="Z233" s="88"/>
      <c r="AA233" s="88"/>
      <c r="AB233" s="88"/>
      <c r="AC233" s="88"/>
      <c r="AD233" s="88"/>
      <c r="AE233" s="397" t="str">
        <f>IFERROR(VLOOKUP($AQ233,'(勿動)組件目錄表'!$D$15:$R$1094,4,FALSE),"")</f>
        <v/>
      </c>
      <c r="AF233" s="384"/>
      <c r="AG233" s="384"/>
      <c r="AH233" s="384"/>
      <c r="AI233" s="384"/>
      <c r="AJ233" s="385"/>
      <c r="AK233" s="54" t="b">
        <v>0</v>
      </c>
      <c r="AL233" s="54" t="b">
        <v>0</v>
      </c>
      <c r="AM233" s="54"/>
      <c r="AN233" s="7" t="str">
        <v>225</v>
      </c>
      <c r="AO233" s="7"/>
      <c r="AP233" s="62"/>
      <c r="AQ233" s="75" t="str">
        <v/>
      </c>
      <c r="AR233" s="75" t="str">
        <v>-</v>
      </c>
      <c r="AS233" s="11"/>
      <c r="AT233" s="77" t="str">
        <v>-</v>
      </c>
      <c r="AU233" s="11" t="str">
        <v>-</v>
      </c>
      <c r="AV233" s="100"/>
      <c r="AW233" s="80" t="str">
        <f ca="1"/>
        <v>-</v>
      </c>
      <c r="AX233" s="86" t="b">
        <v>0</v>
      </c>
      <c r="AY233" s="68" t="str">
        <f t="shared" si="0"/>
        <v/>
      </c>
      <c r="AZ233" s="69" t="str">
        <f t="shared" si="1"/>
        <v/>
      </c>
      <c r="BA233" s="70" t="str">
        <f t="shared" si="2"/>
        <v/>
      </c>
      <c r="BB233" s="68" t="str">
        <f t="shared" si="3"/>
        <v/>
      </c>
      <c r="BC233" s="69" t="str">
        <f>IFERROR(VLOOKUP($AQ233,'(勿動)組件目錄表'!$D$15:$R$1094,7,FALSE),"")</f>
        <v/>
      </c>
      <c r="BD233" s="69" t="str">
        <f>IFERROR(VLOOKUP($AQ233,'(勿動)組件目錄表'!$D$15:$R$1094,8,FALSE),"")</f>
        <v/>
      </c>
      <c r="BE233" s="69" t="str">
        <f>IFERROR(VLOOKUP($AQ233,'(勿動)組件目錄表'!$D$15:$R$1094,9,FALSE),"")</f>
        <v/>
      </c>
      <c r="BF233" s="69" t="str">
        <f>IFERROR(VLOOKUP($AQ233,'(勿動)組件目錄表'!$D$15:$R$1094,10,FALSE),"")</f>
        <v/>
      </c>
      <c r="BG233" s="69" t="str">
        <f>IFERROR(VLOOKUP($AQ233,'(勿動)組件目錄表'!$D$15:$R$1094,11,FALSE),"")</f>
        <v/>
      </c>
      <c r="BH233" s="69" t="str">
        <f>IFERROR(VLOOKUP($AQ233,'(勿動)組件目錄表'!$D$15:$R$1094,12,FALSE),"")</f>
        <v/>
      </c>
      <c r="BI233" s="69" t="str">
        <f>IFERROR(VLOOKUP($AQ233,'(勿動)組件目錄表'!$D$15:$R$1094,13,FALSE),"")</f>
        <v/>
      </c>
      <c r="BJ233" s="69" t="str">
        <f>IFERROR(VLOOKUP($AQ233,'(勿動)組件目錄表'!$D$15:$R$1094,14,FALSE),"")</f>
        <v/>
      </c>
      <c r="BK233" s="69" t="str">
        <f>IFERROR(VLOOKUP($AQ233,'(勿動)組件目錄表'!$D$15:$R$1094,15,FALSE),"")</f>
        <v/>
      </c>
      <c r="BL233" s="81">
        <f ca="1">IFERROR(__xludf.DUMMYFUNCTION("IFERROR(
  LET(
    rowData, FILTER('(勿動)組件目錄表'!J:Q, '(勿動)組件目錄表'!D:D=AQ233),
    IF(ROWS(rowData)=0, 0, 
      (
        IF(AND(BC233&lt;&gt;"""", INDEX(rowData,1,1)=BC233),1,0) +
        IF(AND(BD233&lt;&gt;"""", INDEX(rowData,1,2)=BD233),1,0) +
        IF(AND(BE233"&amp;"&lt;&gt;"""", INDEX(rowData,1,3)=BE233),1,0) +
        IF(AND(BF233&lt;&gt;"""", INDEX(rowData,1,4)=BF233),1,0) +
        IF(AND(BG233&lt;&gt;"""", INDEX(rowData,1,5)=BG233),1,0) +
        IF(AND(BH233&lt;&gt;"""", INDEX(rowData,1,6)=BH233),1,0) +
        IF(AND(BI233&lt;&gt;"""", IND"&amp;"EX(rowData,1,7)=BI233),1,0) +
        IF(AND(BJ233&lt;&gt;"""", INDEX(rowData,1,8)=BJ233),1,0)
      ) - COUNTIF(BC233:BJ233, ""-"")
        - COUNTIF(BC233:BJ233, ""固定格式，不需提供資訊"")
        - COUNTIF(BC233:BJ233, ""由MKT更新，此欄位固定格式，不需提供資訊
(Voucher CID：12917705872)"&amp;""")
        - COUNTIF(BC233:BJ233, ""text固定為以下：
※直播間僅支援手機版"")
        - COUNTIF(BC233:BJ233, ""text固定為以下：
※短影音僅支援手機版"")
    )
  ), 
  0
)
"),0)</f>
        <v>0</v>
      </c>
      <c r="BM233" s="77" t="b">
        <v>0</v>
      </c>
      <c r="BN233" s="85"/>
      <c r="BO233" s="85"/>
    </row>
    <row r="234" spans="1:67" ht="30" customHeight="1">
      <c r="A234" s="73" t="str">
        <f t="array" aca="1" ref="A234" ca="1">IFERROR(TRANSPOSE(INDIRECT('MS section版配(Old)'!$AO234)),"")</f>
        <v/>
      </c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8"/>
      <c r="P234" s="88"/>
      <c r="Q234" s="88"/>
      <c r="R234" s="88"/>
      <c r="S234" s="88"/>
      <c r="T234" s="88"/>
      <c r="U234" s="88"/>
      <c r="V234" s="88"/>
      <c r="W234" s="88"/>
      <c r="X234" s="88"/>
      <c r="Y234" s="88"/>
      <c r="Z234" s="88"/>
      <c r="AA234" s="88"/>
      <c r="AB234" s="88"/>
      <c r="AC234" s="88"/>
      <c r="AD234" s="88"/>
      <c r="AE234" s="397" t="str">
        <f>IFERROR(VLOOKUP($AQ234,'(勿動)組件目錄表'!$D$15:$R$1094,4,FALSE),"")</f>
        <v/>
      </c>
      <c r="AF234" s="384"/>
      <c r="AG234" s="384"/>
      <c r="AH234" s="384"/>
      <c r="AI234" s="384"/>
      <c r="AJ234" s="385"/>
      <c r="AK234" s="54" t="b">
        <v>0</v>
      </c>
      <c r="AL234" s="54" t="b">
        <v>0</v>
      </c>
      <c r="AM234" s="54"/>
      <c r="AN234" s="7" t="str">
        <v>226</v>
      </c>
      <c r="AO234" s="7"/>
      <c r="AP234" s="62"/>
      <c r="AQ234" s="75" t="str">
        <v/>
      </c>
      <c r="AR234" s="75" t="str">
        <v>-</v>
      </c>
      <c r="AS234" s="11"/>
      <c r="AT234" s="77" t="str">
        <v>-</v>
      </c>
      <c r="AU234" s="11" t="str">
        <v>-</v>
      </c>
      <c r="AV234" s="100"/>
      <c r="AW234" s="80" t="str">
        <f ca="1"/>
        <v>-</v>
      </c>
      <c r="AX234" s="86" t="b">
        <v>0</v>
      </c>
      <c r="AY234" s="68" t="str">
        <f t="shared" si="0"/>
        <v/>
      </c>
      <c r="AZ234" s="69" t="str">
        <f t="shared" si="1"/>
        <v/>
      </c>
      <c r="BA234" s="70" t="str">
        <f t="shared" si="2"/>
        <v/>
      </c>
      <c r="BB234" s="68" t="str">
        <f t="shared" si="3"/>
        <v/>
      </c>
      <c r="BC234" s="69" t="str">
        <f>IFERROR(VLOOKUP($AQ234,'(勿動)組件目錄表'!$D$15:$R$1094,7,FALSE),"")</f>
        <v/>
      </c>
      <c r="BD234" s="69" t="str">
        <f>IFERROR(VLOOKUP($AQ234,'(勿動)組件目錄表'!$D$15:$R$1094,8,FALSE),"")</f>
        <v/>
      </c>
      <c r="BE234" s="69" t="str">
        <f>IFERROR(VLOOKUP($AQ234,'(勿動)組件目錄表'!$D$15:$R$1094,9,FALSE),"")</f>
        <v/>
      </c>
      <c r="BF234" s="69" t="str">
        <f>IFERROR(VLOOKUP($AQ234,'(勿動)組件目錄表'!$D$15:$R$1094,10,FALSE),"")</f>
        <v/>
      </c>
      <c r="BG234" s="69" t="str">
        <f>IFERROR(VLOOKUP($AQ234,'(勿動)組件目錄表'!$D$15:$R$1094,11,FALSE),"")</f>
        <v/>
      </c>
      <c r="BH234" s="69" t="str">
        <f>IFERROR(VLOOKUP($AQ234,'(勿動)組件目錄表'!$D$15:$R$1094,12,FALSE),"")</f>
        <v/>
      </c>
      <c r="BI234" s="69" t="str">
        <f>IFERROR(VLOOKUP($AQ234,'(勿動)組件目錄表'!$D$15:$R$1094,13,FALSE),"")</f>
        <v/>
      </c>
      <c r="BJ234" s="69" t="str">
        <f>IFERROR(VLOOKUP($AQ234,'(勿動)組件目錄表'!$D$15:$R$1094,14,FALSE),"")</f>
        <v/>
      </c>
      <c r="BK234" s="69" t="str">
        <f>IFERROR(VLOOKUP($AQ234,'(勿動)組件目錄表'!$D$15:$R$1094,15,FALSE),"")</f>
        <v/>
      </c>
      <c r="BL234" s="81">
        <f ca="1">IFERROR(__xludf.DUMMYFUNCTION("IFERROR(
  LET(
    rowData, FILTER('(勿動)組件目錄表'!J:Q, '(勿動)組件目錄表'!D:D=AQ234),
    IF(ROWS(rowData)=0, 0, 
      (
        IF(AND(BC234&lt;&gt;"""", INDEX(rowData,1,1)=BC234),1,0) +
        IF(AND(BD234&lt;&gt;"""", INDEX(rowData,1,2)=BD234),1,0) +
        IF(AND(BE234"&amp;"&lt;&gt;"""", INDEX(rowData,1,3)=BE234),1,0) +
        IF(AND(BF234&lt;&gt;"""", INDEX(rowData,1,4)=BF234),1,0) +
        IF(AND(BG234&lt;&gt;"""", INDEX(rowData,1,5)=BG234),1,0) +
        IF(AND(BH234&lt;&gt;"""", INDEX(rowData,1,6)=BH234),1,0) +
        IF(AND(BI234&lt;&gt;"""", IND"&amp;"EX(rowData,1,7)=BI234),1,0) +
        IF(AND(BJ234&lt;&gt;"""", INDEX(rowData,1,8)=BJ234),1,0)
      ) - COUNTIF(BC234:BJ234, ""-"")
        - COUNTIF(BC234:BJ234, ""固定格式，不需提供資訊"")
        - COUNTIF(BC234:BJ234, ""由MKT更新，此欄位固定格式，不需提供資訊
(Voucher CID：12917705872)"&amp;""")
        - COUNTIF(BC234:BJ234, ""text固定為以下：
※直播間僅支援手機版"")
        - COUNTIF(BC234:BJ234, ""text固定為以下：
※短影音僅支援手機版"")
    )
  ), 
  0
)
"),0)</f>
        <v>0</v>
      </c>
      <c r="BM234" s="77" t="b">
        <v>0</v>
      </c>
      <c r="BN234" s="85"/>
      <c r="BO234" s="85"/>
    </row>
    <row r="235" spans="1:67" ht="30" customHeight="1">
      <c r="A235" s="73" t="str">
        <f t="array" aca="1" ref="A235" ca="1">IFERROR(TRANSPOSE(INDIRECT('MS section版配(Old)'!$AO235)),"")</f>
        <v/>
      </c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8"/>
      <c r="P235" s="88"/>
      <c r="Q235" s="88"/>
      <c r="R235" s="88"/>
      <c r="S235" s="88"/>
      <c r="T235" s="88"/>
      <c r="U235" s="88"/>
      <c r="V235" s="88"/>
      <c r="W235" s="88"/>
      <c r="X235" s="88"/>
      <c r="Y235" s="88"/>
      <c r="Z235" s="88"/>
      <c r="AA235" s="88"/>
      <c r="AB235" s="88"/>
      <c r="AC235" s="88"/>
      <c r="AD235" s="88"/>
      <c r="AE235" s="397" t="str">
        <f>IFERROR(VLOOKUP($AQ235,'(勿動)組件目錄表'!$D$15:$R$1094,4,FALSE),"")</f>
        <v/>
      </c>
      <c r="AF235" s="384"/>
      <c r="AG235" s="384"/>
      <c r="AH235" s="384"/>
      <c r="AI235" s="384"/>
      <c r="AJ235" s="385"/>
      <c r="AK235" s="54" t="b">
        <v>0</v>
      </c>
      <c r="AL235" s="54" t="b">
        <v>0</v>
      </c>
      <c r="AM235" s="54"/>
      <c r="AN235" s="7" t="str">
        <v>227</v>
      </c>
      <c r="AO235" s="7"/>
      <c r="AP235" s="62"/>
      <c r="AQ235" s="75" t="str">
        <v/>
      </c>
      <c r="AR235" s="75" t="str">
        <v>-</v>
      </c>
      <c r="AS235" s="11"/>
      <c r="AT235" s="77" t="str">
        <v>-</v>
      </c>
      <c r="AU235" s="11" t="str">
        <v>-</v>
      </c>
      <c r="AV235" s="100"/>
      <c r="AW235" s="80" t="str">
        <f ca="1"/>
        <v>-</v>
      </c>
      <c r="AX235" s="86" t="b">
        <v>0</v>
      </c>
      <c r="AY235" s="68" t="str">
        <f t="shared" si="0"/>
        <v/>
      </c>
      <c r="AZ235" s="69" t="str">
        <f t="shared" si="1"/>
        <v/>
      </c>
      <c r="BA235" s="70" t="str">
        <f t="shared" si="2"/>
        <v/>
      </c>
      <c r="BB235" s="68" t="str">
        <f t="shared" si="3"/>
        <v/>
      </c>
      <c r="BC235" s="69" t="str">
        <f>IFERROR(VLOOKUP($AQ235,'(勿動)組件目錄表'!$D$15:$R$1094,7,FALSE),"")</f>
        <v/>
      </c>
      <c r="BD235" s="69" t="str">
        <f>IFERROR(VLOOKUP($AQ235,'(勿動)組件目錄表'!$D$15:$R$1094,8,FALSE),"")</f>
        <v/>
      </c>
      <c r="BE235" s="69" t="str">
        <f>IFERROR(VLOOKUP($AQ235,'(勿動)組件目錄表'!$D$15:$R$1094,9,FALSE),"")</f>
        <v/>
      </c>
      <c r="BF235" s="69" t="str">
        <f>IFERROR(VLOOKUP($AQ235,'(勿動)組件目錄表'!$D$15:$R$1094,10,FALSE),"")</f>
        <v/>
      </c>
      <c r="BG235" s="69" t="str">
        <f>IFERROR(VLOOKUP($AQ235,'(勿動)組件目錄表'!$D$15:$R$1094,11,FALSE),"")</f>
        <v/>
      </c>
      <c r="BH235" s="69" t="str">
        <f>IFERROR(VLOOKUP($AQ235,'(勿動)組件目錄表'!$D$15:$R$1094,12,FALSE),"")</f>
        <v/>
      </c>
      <c r="BI235" s="69" t="str">
        <f>IFERROR(VLOOKUP($AQ235,'(勿動)組件目錄表'!$D$15:$R$1094,13,FALSE),"")</f>
        <v/>
      </c>
      <c r="BJ235" s="69" t="str">
        <f>IFERROR(VLOOKUP($AQ235,'(勿動)組件目錄表'!$D$15:$R$1094,14,FALSE),"")</f>
        <v/>
      </c>
      <c r="BK235" s="69" t="str">
        <f>IFERROR(VLOOKUP($AQ235,'(勿動)組件目錄表'!$D$15:$R$1094,15,FALSE),"")</f>
        <v/>
      </c>
      <c r="BL235" s="81">
        <f ca="1">IFERROR(__xludf.DUMMYFUNCTION("IFERROR(
  LET(
    rowData, FILTER('(勿動)組件目錄表'!J:Q, '(勿動)組件目錄表'!D:D=AQ235),
    IF(ROWS(rowData)=0, 0, 
      (
        IF(AND(BC235&lt;&gt;"""", INDEX(rowData,1,1)=BC235),1,0) +
        IF(AND(BD235&lt;&gt;"""", INDEX(rowData,1,2)=BD235),1,0) +
        IF(AND(BE235"&amp;"&lt;&gt;"""", INDEX(rowData,1,3)=BE235),1,0) +
        IF(AND(BF235&lt;&gt;"""", INDEX(rowData,1,4)=BF235),1,0) +
        IF(AND(BG235&lt;&gt;"""", INDEX(rowData,1,5)=BG235),1,0) +
        IF(AND(BH235&lt;&gt;"""", INDEX(rowData,1,6)=BH235),1,0) +
        IF(AND(BI235&lt;&gt;"""", IND"&amp;"EX(rowData,1,7)=BI235),1,0) +
        IF(AND(BJ235&lt;&gt;"""", INDEX(rowData,1,8)=BJ235),1,0)
      ) - COUNTIF(BC235:BJ235, ""-"")
        - COUNTIF(BC235:BJ235, ""固定格式，不需提供資訊"")
        - COUNTIF(BC235:BJ235, ""由MKT更新，此欄位固定格式，不需提供資訊
(Voucher CID：12917705872)"&amp;""")
        - COUNTIF(BC235:BJ235, ""text固定為以下：
※直播間僅支援手機版"")
        - COUNTIF(BC235:BJ235, ""text固定為以下：
※短影音僅支援手機版"")
    )
  ), 
  0
)
"),0)</f>
        <v>0</v>
      </c>
      <c r="BM235" s="77" t="b">
        <v>0</v>
      </c>
      <c r="BN235" s="85"/>
      <c r="BO235" s="85"/>
    </row>
    <row r="236" spans="1:67" ht="30" customHeight="1">
      <c r="A236" s="73" t="str">
        <f t="array" aca="1" ref="A236" ca="1">IFERROR(TRANSPOSE(INDIRECT('MS section版配(Old)'!$AO236)),"")</f>
        <v/>
      </c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8"/>
      <c r="P236" s="88"/>
      <c r="Q236" s="88"/>
      <c r="R236" s="88"/>
      <c r="S236" s="88"/>
      <c r="T236" s="88"/>
      <c r="U236" s="88"/>
      <c r="V236" s="88"/>
      <c r="W236" s="88"/>
      <c r="X236" s="88"/>
      <c r="Y236" s="88"/>
      <c r="Z236" s="88"/>
      <c r="AA236" s="88"/>
      <c r="AB236" s="88"/>
      <c r="AC236" s="88"/>
      <c r="AD236" s="88"/>
      <c r="AE236" s="397" t="str">
        <f>IFERROR(VLOOKUP($AQ236,'(勿動)組件目錄表'!$D$15:$R$1094,4,FALSE),"")</f>
        <v/>
      </c>
      <c r="AF236" s="384"/>
      <c r="AG236" s="384"/>
      <c r="AH236" s="384"/>
      <c r="AI236" s="384"/>
      <c r="AJ236" s="385"/>
      <c r="AK236" s="54" t="b">
        <v>0</v>
      </c>
      <c r="AL236" s="54" t="b">
        <v>0</v>
      </c>
      <c r="AM236" s="54"/>
      <c r="AN236" s="7" t="str">
        <v>228</v>
      </c>
      <c r="AO236" s="7"/>
      <c r="AP236" s="62"/>
      <c r="AQ236" s="75" t="str">
        <v/>
      </c>
      <c r="AR236" s="75" t="str">
        <v>-</v>
      </c>
      <c r="AS236" s="11"/>
      <c r="AT236" s="77" t="str">
        <v>-</v>
      </c>
      <c r="AU236" s="11" t="str">
        <v>-</v>
      </c>
      <c r="AV236" s="100"/>
      <c r="AW236" s="80" t="str">
        <f ca="1"/>
        <v>-</v>
      </c>
      <c r="AX236" s="86" t="b">
        <v>0</v>
      </c>
      <c r="AY236" s="68" t="str">
        <f t="shared" si="0"/>
        <v/>
      </c>
      <c r="AZ236" s="69" t="str">
        <f t="shared" si="1"/>
        <v/>
      </c>
      <c r="BA236" s="70" t="str">
        <f t="shared" si="2"/>
        <v/>
      </c>
      <c r="BB236" s="68" t="str">
        <f t="shared" si="3"/>
        <v/>
      </c>
      <c r="BC236" s="69" t="str">
        <f>IFERROR(VLOOKUP($AQ236,'(勿動)組件目錄表'!$D$15:$R$1094,7,FALSE),"")</f>
        <v/>
      </c>
      <c r="BD236" s="69" t="str">
        <f>IFERROR(VLOOKUP($AQ236,'(勿動)組件目錄表'!$D$15:$R$1094,8,FALSE),"")</f>
        <v/>
      </c>
      <c r="BE236" s="69" t="str">
        <f>IFERROR(VLOOKUP($AQ236,'(勿動)組件目錄表'!$D$15:$R$1094,9,FALSE),"")</f>
        <v/>
      </c>
      <c r="BF236" s="69" t="str">
        <f>IFERROR(VLOOKUP($AQ236,'(勿動)組件目錄表'!$D$15:$R$1094,10,FALSE),"")</f>
        <v/>
      </c>
      <c r="BG236" s="69" t="str">
        <f>IFERROR(VLOOKUP($AQ236,'(勿動)組件目錄表'!$D$15:$R$1094,11,FALSE),"")</f>
        <v/>
      </c>
      <c r="BH236" s="69" t="str">
        <f>IFERROR(VLOOKUP($AQ236,'(勿動)組件目錄表'!$D$15:$R$1094,12,FALSE),"")</f>
        <v/>
      </c>
      <c r="BI236" s="69" t="str">
        <f>IFERROR(VLOOKUP($AQ236,'(勿動)組件目錄表'!$D$15:$R$1094,13,FALSE),"")</f>
        <v/>
      </c>
      <c r="BJ236" s="69" t="str">
        <f>IFERROR(VLOOKUP($AQ236,'(勿動)組件目錄表'!$D$15:$R$1094,14,FALSE),"")</f>
        <v/>
      </c>
      <c r="BK236" s="69" t="str">
        <f>IFERROR(VLOOKUP($AQ236,'(勿動)組件目錄表'!$D$15:$R$1094,15,FALSE),"")</f>
        <v/>
      </c>
      <c r="BL236" s="81">
        <f ca="1">IFERROR(__xludf.DUMMYFUNCTION("IFERROR(
  LET(
    rowData, FILTER('(勿動)組件目錄表'!J:Q, '(勿動)組件目錄表'!D:D=AQ236),
    IF(ROWS(rowData)=0, 0, 
      (
        IF(AND(BC236&lt;&gt;"""", INDEX(rowData,1,1)=BC236),1,0) +
        IF(AND(BD236&lt;&gt;"""", INDEX(rowData,1,2)=BD236),1,0) +
        IF(AND(BE236"&amp;"&lt;&gt;"""", INDEX(rowData,1,3)=BE236),1,0) +
        IF(AND(BF236&lt;&gt;"""", INDEX(rowData,1,4)=BF236),1,0) +
        IF(AND(BG236&lt;&gt;"""", INDEX(rowData,1,5)=BG236),1,0) +
        IF(AND(BH236&lt;&gt;"""", INDEX(rowData,1,6)=BH236),1,0) +
        IF(AND(BI236&lt;&gt;"""", IND"&amp;"EX(rowData,1,7)=BI236),1,0) +
        IF(AND(BJ236&lt;&gt;"""", INDEX(rowData,1,8)=BJ236),1,0)
      ) - COUNTIF(BC236:BJ236, ""-"")
        - COUNTIF(BC236:BJ236, ""固定格式，不需提供資訊"")
        - COUNTIF(BC236:BJ236, ""由MKT更新，此欄位固定格式，不需提供資訊
(Voucher CID：12917705872)"&amp;""")
        - COUNTIF(BC236:BJ236, ""text固定為以下：
※直播間僅支援手機版"")
        - COUNTIF(BC236:BJ236, ""text固定為以下：
※短影音僅支援手機版"")
    )
  ), 
  0
)
"),0)</f>
        <v>0</v>
      </c>
      <c r="BM236" s="77" t="b">
        <v>0</v>
      </c>
      <c r="BN236" s="85"/>
      <c r="BO236" s="85"/>
    </row>
    <row r="237" spans="1:67" ht="30" customHeight="1">
      <c r="A237" s="73" t="str">
        <f t="array" aca="1" ref="A237" ca="1">IFERROR(TRANSPOSE(INDIRECT('MS section版配(Old)'!$AO237)),"")</f>
        <v/>
      </c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8"/>
      <c r="P237" s="88"/>
      <c r="Q237" s="88"/>
      <c r="R237" s="88"/>
      <c r="S237" s="88"/>
      <c r="T237" s="88"/>
      <c r="U237" s="88"/>
      <c r="V237" s="88"/>
      <c r="W237" s="88"/>
      <c r="X237" s="88"/>
      <c r="Y237" s="88"/>
      <c r="Z237" s="88"/>
      <c r="AA237" s="88"/>
      <c r="AB237" s="88"/>
      <c r="AC237" s="88"/>
      <c r="AD237" s="88"/>
      <c r="AE237" s="397" t="str">
        <f>IFERROR(VLOOKUP($AQ237,'(勿動)組件目錄表'!$D$15:$R$1094,4,FALSE),"")</f>
        <v/>
      </c>
      <c r="AF237" s="384"/>
      <c r="AG237" s="384"/>
      <c r="AH237" s="384"/>
      <c r="AI237" s="384"/>
      <c r="AJ237" s="385"/>
      <c r="AK237" s="54" t="b">
        <v>0</v>
      </c>
      <c r="AL237" s="54" t="b">
        <v>0</v>
      </c>
      <c r="AM237" s="54"/>
      <c r="AN237" s="7" t="str">
        <v>229</v>
      </c>
      <c r="AO237" s="7"/>
      <c r="AP237" s="62"/>
      <c r="AQ237" s="75" t="str">
        <v/>
      </c>
      <c r="AR237" s="75" t="str">
        <v>-</v>
      </c>
      <c r="AS237" s="11"/>
      <c r="AT237" s="77" t="str">
        <v>-</v>
      </c>
      <c r="AU237" s="11" t="str">
        <v>-</v>
      </c>
      <c r="AV237" s="100"/>
      <c r="AW237" s="80" t="str">
        <f ca="1"/>
        <v>-</v>
      </c>
      <c r="AX237" s="86" t="b">
        <v>0</v>
      </c>
      <c r="AY237" s="68" t="str">
        <f t="shared" si="0"/>
        <v/>
      </c>
      <c r="AZ237" s="69" t="str">
        <f t="shared" si="1"/>
        <v/>
      </c>
      <c r="BA237" s="70" t="str">
        <f t="shared" si="2"/>
        <v/>
      </c>
      <c r="BB237" s="68" t="str">
        <f t="shared" si="3"/>
        <v/>
      </c>
      <c r="BC237" s="69" t="str">
        <f>IFERROR(VLOOKUP($AQ237,'(勿動)組件目錄表'!$D$15:$R$1094,7,FALSE),"")</f>
        <v/>
      </c>
      <c r="BD237" s="69" t="str">
        <f>IFERROR(VLOOKUP($AQ237,'(勿動)組件目錄表'!$D$15:$R$1094,8,FALSE),"")</f>
        <v/>
      </c>
      <c r="BE237" s="69" t="str">
        <f>IFERROR(VLOOKUP($AQ237,'(勿動)組件目錄表'!$D$15:$R$1094,9,FALSE),"")</f>
        <v/>
      </c>
      <c r="BF237" s="69" t="str">
        <f>IFERROR(VLOOKUP($AQ237,'(勿動)組件目錄表'!$D$15:$R$1094,10,FALSE),"")</f>
        <v/>
      </c>
      <c r="BG237" s="69" t="str">
        <f>IFERROR(VLOOKUP($AQ237,'(勿動)組件目錄表'!$D$15:$R$1094,11,FALSE),"")</f>
        <v/>
      </c>
      <c r="BH237" s="69" t="str">
        <f>IFERROR(VLOOKUP($AQ237,'(勿動)組件目錄表'!$D$15:$R$1094,12,FALSE),"")</f>
        <v/>
      </c>
      <c r="BI237" s="69" t="str">
        <f>IFERROR(VLOOKUP($AQ237,'(勿動)組件目錄表'!$D$15:$R$1094,13,FALSE),"")</f>
        <v/>
      </c>
      <c r="BJ237" s="69" t="str">
        <f>IFERROR(VLOOKUP($AQ237,'(勿動)組件目錄表'!$D$15:$R$1094,14,FALSE),"")</f>
        <v/>
      </c>
      <c r="BK237" s="69" t="str">
        <f>IFERROR(VLOOKUP($AQ237,'(勿動)組件目錄表'!$D$15:$R$1094,15,FALSE),"")</f>
        <v/>
      </c>
      <c r="BL237" s="81">
        <f ca="1">IFERROR(__xludf.DUMMYFUNCTION("IFERROR(
  LET(
    rowData, FILTER('(勿動)組件目錄表'!J:Q, '(勿動)組件目錄表'!D:D=AQ237),
    IF(ROWS(rowData)=0, 0, 
      (
        IF(AND(BC237&lt;&gt;"""", INDEX(rowData,1,1)=BC237),1,0) +
        IF(AND(BD237&lt;&gt;"""", INDEX(rowData,1,2)=BD237),1,0) +
        IF(AND(BE237"&amp;"&lt;&gt;"""", INDEX(rowData,1,3)=BE237),1,0) +
        IF(AND(BF237&lt;&gt;"""", INDEX(rowData,1,4)=BF237),1,0) +
        IF(AND(BG237&lt;&gt;"""", INDEX(rowData,1,5)=BG237),1,0) +
        IF(AND(BH237&lt;&gt;"""", INDEX(rowData,1,6)=BH237),1,0) +
        IF(AND(BI237&lt;&gt;"""", IND"&amp;"EX(rowData,1,7)=BI237),1,0) +
        IF(AND(BJ237&lt;&gt;"""", INDEX(rowData,1,8)=BJ237),1,0)
      ) - COUNTIF(BC237:BJ237, ""-"")
        - COUNTIF(BC237:BJ237, ""固定格式，不需提供資訊"")
        - COUNTIF(BC237:BJ237, ""由MKT更新，此欄位固定格式，不需提供資訊
(Voucher CID：12917705872)"&amp;""")
        - COUNTIF(BC237:BJ237, ""text固定為以下：
※直播間僅支援手機版"")
        - COUNTIF(BC237:BJ237, ""text固定為以下：
※短影音僅支援手機版"")
    )
  ), 
  0
)
"),0)</f>
        <v>0</v>
      </c>
      <c r="BM237" s="77" t="b">
        <v>0</v>
      </c>
      <c r="BN237" s="85"/>
      <c r="BO237" s="85"/>
    </row>
    <row r="238" spans="1:67" ht="30" customHeight="1">
      <c r="A238" s="73" t="str">
        <f t="array" aca="1" ref="A238" ca="1">IFERROR(TRANSPOSE(INDIRECT('MS section版配(Old)'!$AO238)),"")</f>
        <v/>
      </c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8"/>
      <c r="P238" s="88"/>
      <c r="Q238" s="88"/>
      <c r="R238" s="88"/>
      <c r="S238" s="88"/>
      <c r="T238" s="88"/>
      <c r="U238" s="88"/>
      <c r="V238" s="88"/>
      <c r="W238" s="88"/>
      <c r="X238" s="88"/>
      <c r="Y238" s="88"/>
      <c r="Z238" s="88"/>
      <c r="AA238" s="88"/>
      <c r="AB238" s="88"/>
      <c r="AC238" s="88"/>
      <c r="AD238" s="88"/>
      <c r="AE238" s="397" t="str">
        <f>IFERROR(VLOOKUP($AQ238,'(勿動)組件目錄表'!$D$15:$R$1094,4,FALSE),"")</f>
        <v/>
      </c>
      <c r="AF238" s="384"/>
      <c r="AG238" s="384"/>
      <c r="AH238" s="384"/>
      <c r="AI238" s="384"/>
      <c r="AJ238" s="385"/>
      <c r="AK238" s="54" t="b">
        <v>0</v>
      </c>
      <c r="AL238" s="54" t="b">
        <v>0</v>
      </c>
      <c r="AM238" s="54"/>
      <c r="AN238" s="7" t="str">
        <v>230</v>
      </c>
      <c r="AO238" s="7"/>
      <c r="AP238" s="62"/>
      <c r="AQ238" s="75" t="str">
        <v/>
      </c>
      <c r="AR238" s="75" t="str">
        <v>-</v>
      </c>
      <c r="AS238" s="11"/>
      <c r="AT238" s="77" t="str">
        <v>-</v>
      </c>
      <c r="AU238" s="11" t="str">
        <v>-</v>
      </c>
      <c r="AV238" s="100"/>
      <c r="AW238" s="80" t="str">
        <f ca="1"/>
        <v>-</v>
      </c>
      <c r="AX238" s="86" t="b">
        <v>0</v>
      </c>
      <c r="AY238" s="68" t="str">
        <f t="shared" si="0"/>
        <v/>
      </c>
      <c r="AZ238" s="69" t="str">
        <f t="shared" si="1"/>
        <v/>
      </c>
      <c r="BA238" s="70" t="str">
        <f t="shared" si="2"/>
        <v/>
      </c>
      <c r="BB238" s="68" t="str">
        <f t="shared" si="3"/>
        <v/>
      </c>
      <c r="BC238" s="69" t="str">
        <f>IFERROR(VLOOKUP($AQ238,'(勿動)組件目錄表'!$D$15:$R$1094,7,FALSE),"")</f>
        <v/>
      </c>
      <c r="BD238" s="69" t="str">
        <f>IFERROR(VLOOKUP($AQ238,'(勿動)組件目錄表'!$D$15:$R$1094,8,FALSE),"")</f>
        <v/>
      </c>
      <c r="BE238" s="69" t="str">
        <f>IFERROR(VLOOKUP($AQ238,'(勿動)組件目錄表'!$D$15:$R$1094,9,FALSE),"")</f>
        <v/>
      </c>
      <c r="BF238" s="69" t="str">
        <f>IFERROR(VLOOKUP($AQ238,'(勿動)組件目錄表'!$D$15:$R$1094,10,FALSE),"")</f>
        <v/>
      </c>
      <c r="BG238" s="69" t="str">
        <f>IFERROR(VLOOKUP($AQ238,'(勿動)組件目錄表'!$D$15:$R$1094,11,FALSE),"")</f>
        <v/>
      </c>
      <c r="BH238" s="69" t="str">
        <f>IFERROR(VLOOKUP($AQ238,'(勿動)組件目錄表'!$D$15:$R$1094,12,FALSE),"")</f>
        <v/>
      </c>
      <c r="BI238" s="69" t="str">
        <f>IFERROR(VLOOKUP($AQ238,'(勿動)組件目錄表'!$D$15:$R$1094,13,FALSE),"")</f>
        <v/>
      </c>
      <c r="BJ238" s="69" t="str">
        <f>IFERROR(VLOOKUP($AQ238,'(勿動)組件目錄表'!$D$15:$R$1094,14,FALSE),"")</f>
        <v/>
      </c>
      <c r="BK238" s="69" t="str">
        <f>IFERROR(VLOOKUP($AQ238,'(勿動)組件目錄表'!$D$15:$R$1094,15,FALSE),"")</f>
        <v/>
      </c>
      <c r="BL238" s="81">
        <f ca="1">IFERROR(__xludf.DUMMYFUNCTION("IFERROR(
  LET(
    rowData, FILTER('(勿動)組件目錄表'!J:Q, '(勿動)組件目錄表'!D:D=AQ238),
    IF(ROWS(rowData)=0, 0, 
      (
        IF(AND(BC238&lt;&gt;"""", INDEX(rowData,1,1)=BC238),1,0) +
        IF(AND(BD238&lt;&gt;"""", INDEX(rowData,1,2)=BD238),1,0) +
        IF(AND(BE238"&amp;"&lt;&gt;"""", INDEX(rowData,1,3)=BE238),1,0) +
        IF(AND(BF238&lt;&gt;"""", INDEX(rowData,1,4)=BF238),1,0) +
        IF(AND(BG238&lt;&gt;"""", INDEX(rowData,1,5)=BG238),1,0) +
        IF(AND(BH238&lt;&gt;"""", INDEX(rowData,1,6)=BH238),1,0) +
        IF(AND(BI238&lt;&gt;"""", IND"&amp;"EX(rowData,1,7)=BI238),1,0) +
        IF(AND(BJ238&lt;&gt;"""", INDEX(rowData,1,8)=BJ238),1,0)
      ) - COUNTIF(BC238:BJ238, ""-"")
        - COUNTIF(BC238:BJ238, ""固定格式，不需提供資訊"")
        - COUNTIF(BC238:BJ238, ""由MKT更新，此欄位固定格式，不需提供資訊
(Voucher CID：12917705872)"&amp;""")
        - COUNTIF(BC238:BJ238, ""text固定為以下：
※直播間僅支援手機版"")
        - COUNTIF(BC238:BJ238, ""text固定為以下：
※短影音僅支援手機版"")
    )
  ), 
  0
)
"),0)</f>
        <v>0</v>
      </c>
      <c r="BM238" s="77" t="b">
        <v>0</v>
      </c>
      <c r="BN238" s="85"/>
      <c r="BO238" s="85"/>
    </row>
    <row r="239" spans="1:67" ht="30" customHeight="1">
      <c r="A239" s="73" t="str">
        <f t="array" aca="1" ref="A239" ca="1">IFERROR(TRANSPOSE(INDIRECT('MS section版配(Old)'!$AO239)),"")</f>
        <v/>
      </c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8"/>
      <c r="P239" s="88"/>
      <c r="Q239" s="88"/>
      <c r="R239" s="88"/>
      <c r="S239" s="88"/>
      <c r="T239" s="88"/>
      <c r="U239" s="88"/>
      <c r="V239" s="88"/>
      <c r="W239" s="88"/>
      <c r="X239" s="88"/>
      <c r="Y239" s="88"/>
      <c r="Z239" s="88"/>
      <c r="AA239" s="88"/>
      <c r="AB239" s="88"/>
      <c r="AC239" s="88"/>
      <c r="AD239" s="88"/>
      <c r="AE239" s="397" t="str">
        <f>IFERROR(VLOOKUP($AQ239,'(勿動)組件目錄表'!$D$15:$R$1094,4,FALSE),"")</f>
        <v/>
      </c>
      <c r="AF239" s="384"/>
      <c r="AG239" s="384"/>
      <c r="AH239" s="384"/>
      <c r="AI239" s="384"/>
      <c r="AJ239" s="385"/>
      <c r="AK239" s="54" t="b">
        <v>0</v>
      </c>
      <c r="AL239" s="54" t="b">
        <v>0</v>
      </c>
      <c r="AM239" s="54"/>
      <c r="AN239" s="7" t="str">
        <v>231</v>
      </c>
      <c r="AO239" s="7"/>
      <c r="AP239" s="62"/>
      <c r="AQ239" s="75" t="str">
        <v/>
      </c>
      <c r="AR239" s="75" t="str">
        <v>-</v>
      </c>
      <c r="AS239" s="11"/>
      <c r="AT239" s="77" t="str">
        <v>-</v>
      </c>
      <c r="AU239" s="11" t="str">
        <v>-</v>
      </c>
      <c r="AV239" s="100"/>
      <c r="AW239" s="80" t="str">
        <f ca="1"/>
        <v>-</v>
      </c>
      <c r="AX239" s="86" t="b">
        <v>0</v>
      </c>
      <c r="AY239" s="68" t="str">
        <f t="shared" si="0"/>
        <v/>
      </c>
      <c r="AZ239" s="69" t="str">
        <f t="shared" si="1"/>
        <v/>
      </c>
      <c r="BA239" s="70" t="str">
        <f t="shared" si="2"/>
        <v/>
      </c>
      <c r="BB239" s="68" t="str">
        <f t="shared" si="3"/>
        <v/>
      </c>
      <c r="BC239" s="69" t="str">
        <f>IFERROR(VLOOKUP($AQ239,'(勿動)組件目錄表'!$D$15:$R$1094,7,FALSE),"")</f>
        <v/>
      </c>
      <c r="BD239" s="69" t="str">
        <f>IFERROR(VLOOKUP($AQ239,'(勿動)組件目錄表'!$D$15:$R$1094,8,FALSE),"")</f>
        <v/>
      </c>
      <c r="BE239" s="69" t="str">
        <f>IFERROR(VLOOKUP($AQ239,'(勿動)組件目錄表'!$D$15:$R$1094,9,FALSE),"")</f>
        <v/>
      </c>
      <c r="BF239" s="69" t="str">
        <f>IFERROR(VLOOKUP($AQ239,'(勿動)組件目錄表'!$D$15:$R$1094,10,FALSE),"")</f>
        <v/>
      </c>
      <c r="BG239" s="69" t="str">
        <f>IFERROR(VLOOKUP($AQ239,'(勿動)組件目錄表'!$D$15:$R$1094,11,FALSE),"")</f>
        <v/>
      </c>
      <c r="BH239" s="69" t="str">
        <f>IFERROR(VLOOKUP($AQ239,'(勿動)組件目錄表'!$D$15:$R$1094,12,FALSE),"")</f>
        <v/>
      </c>
      <c r="BI239" s="69" t="str">
        <f>IFERROR(VLOOKUP($AQ239,'(勿動)組件目錄表'!$D$15:$R$1094,13,FALSE),"")</f>
        <v/>
      </c>
      <c r="BJ239" s="69" t="str">
        <f>IFERROR(VLOOKUP($AQ239,'(勿動)組件目錄表'!$D$15:$R$1094,14,FALSE),"")</f>
        <v/>
      </c>
      <c r="BK239" s="69" t="str">
        <f>IFERROR(VLOOKUP($AQ239,'(勿動)組件目錄表'!$D$15:$R$1094,15,FALSE),"")</f>
        <v/>
      </c>
      <c r="BL239" s="81">
        <f ca="1">IFERROR(__xludf.DUMMYFUNCTION("IFERROR(
  LET(
    rowData, FILTER('(勿動)組件目錄表'!J:Q, '(勿動)組件目錄表'!D:D=AQ239),
    IF(ROWS(rowData)=0, 0, 
      (
        IF(AND(BC239&lt;&gt;"""", INDEX(rowData,1,1)=BC239),1,0) +
        IF(AND(BD239&lt;&gt;"""", INDEX(rowData,1,2)=BD239),1,0) +
        IF(AND(BE239"&amp;"&lt;&gt;"""", INDEX(rowData,1,3)=BE239),1,0) +
        IF(AND(BF239&lt;&gt;"""", INDEX(rowData,1,4)=BF239),1,0) +
        IF(AND(BG239&lt;&gt;"""", INDEX(rowData,1,5)=BG239),1,0) +
        IF(AND(BH239&lt;&gt;"""", INDEX(rowData,1,6)=BH239),1,0) +
        IF(AND(BI239&lt;&gt;"""", IND"&amp;"EX(rowData,1,7)=BI239),1,0) +
        IF(AND(BJ239&lt;&gt;"""", INDEX(rowData,1,8)=BJ239),1,0)
      ) - COUNTIF(BC239:BJ239, ""-"")
        - COUNTIF(BC239:BJ239, ""固定格式，不需提供資訊"")
        - COUNTIF(BC239:BJ239, ""由MKT更新，此欄位固定格式，不需提供資訊
(Voucher CID：12917705872)"&amp;""")
        - COUNTIF(BC239:BJ239, ""text固定為以下：
※直播間僅支援手機版"")
        - COUNTIF(BC239:BJ239, ""text固定為以下：
※短影音僅支援手機版"")
    )
  ), 
  0
)
"),0)</f>
        <v>0</v>
      </c>
      <c r="BM239" s="77" t="b">
        <v>0</v>
      </c>
      <c r="BN239" s="85"/>
      <c r="BO239" s="85"/>
    </row>
    <row r="240" spans="1:67" ht="30" customHeight="1">
      <c r="A240" s="73" t="str">
        <f t="array" aca="1" ref="A240" ca="1">IFERROR(TRANSPOSE(INDIRECT('MS section版配(Old)'!$AO240)),"")</f>
        <v/>
      </c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8"/>
      <c r="P240" s="88"/>
      <c r="Q240" s="88"/>
      <c r="R240" s="88"/>
      <c r="S240" s="88"/>
      <c r="T240" s="88"/>
      <c r="U240" s="88"/>
      <c r="V240" s="88"/>
      <c r="W240" s="88"/>
      <c r="X240" s="88"/>
      <c r="Y240" s="88"/>
      <c r="Z240" s="88"/>
      <c r="AA240" s="88"/>
      <c r="AB240" s="88"/>
      <c r="AC240" s="88"/>
      <c r="AD240" s="88"/>
      <c r="AE240" s="397" t="str">
        <f>IFERROR(VLOOKUP($AQ240,'(勿動)組件目錄表'!$D$15:$R$1094,4,FALSE),"")</f>
        <v/>
      </c>
      <c r="AF240" s="384"/>
      <c r="AG240" s="384"/>
      <c r="AH240" s="384"/>
      <c r="AI240" s="384"/>
      <c r="AJ240" s="385"/>
      <c r="AK240" s="54" t="b">
        <v>0</v>
      </c>
      <c r="AL240" s="54" t="b">
        <v>0</v>
      </c>
      <c r="AM240" s="54"/>
      <c r="AN240" s="7" t="str">
        <v>232</v>
      </c>
      <c r="AO240" s="7"/>
      <c r="AP240" s="62"/>
      <c r="AQ240" s="75" t="str">
        <v/>
      </c>
      <c r="AR240" s="75" t="str">
        <v>-</v>
      </c>
      <c r="AS240" s="11"/>
      <c r="AT240" s="77" t="str">
        <v>-</v>
      </c>
      <c r="AU240" s="11" t="str">
        <v>-</v>
      </c>
      <c r="AV240" s="100"/>
      <c r="AW240" s="80" t="str">
        <f ca="1"/>
        <v>-</v>
      </c>
      <c r="AX240" s="86" t="b">
        <v>0</v>
      </c>
      <c r="AY240" s="68" t="str">
        <f t="shared" si="0"/>
        <v/>
      </c>
      <c r="AZ240" s="69" t="str">
        <f t="shared" si="1"/>
        <v/>
      </c>
      <c r="BA240" s="70" t="str">
        <f t="shared" si="2"/>
        <v/>
      </c>
      <c r="BB240" s="68" t="str">
        <f t="shared" si="3"/>
        <v/>
      </c>
      <c r="BC240" s="69" t="str">
        <f>IFERROR(VLOOKUP($AQ240,'(勿動)組件目錄表'!$D$15:$R$1094,7,FALSE),"")</f>
        <v/>
      </c>
      <c r="BD240" s="69" t="str">
        <f>IFERROR(VLOOKUP($AQ240,'(勿動)組件目錄表'!$D$15:$R$1094,8,FALSE),"")</f>
        <v/>
      </c>
      <c r="BE240" s="69" t="str">
        <f>IFERROR(VLOOKUP($AQ240,'(勿動)組件目錄表'!$D$15:$R$1094,9,FALSE),"")</f>
        <v/>
      </c>
      <c r="BF240" s="69" t="str">
        <f>IFERROR(VLOOKUP($AQ240,'(勿動)組件目錄表'!$D$15:$R$1094,10,FALSE),"")</f>
        <v/>
      </c>
      <c r="BG240" s="69" t="str">
        <f>IFERROR(VLOOKUP($AQ240,'(勿動)組件目錄表'!$D$15:$R$1094,11,FALSE),"")</f>
        <v/>
      </c>
      <c r="BH240" s="69" t="str">
        <f>IFERROR(VLOOKUP($AQ240,'(勿動)組件目錄表'!$D$15:$R$1094,12,FALSE),"")</f>
        <v/>
      </c>
      <c r="BI240" s="69" t="str">
        <f>IFERROR(VLOOKUP($AQ240,'(勿動)組件目錄表'!$D$15:$R$1094,13,FALSE),"")</f>
        <v/>
      </c>
      <c r="BJ240" s="69" t="str">
        <f>IFERROR(VLOOKUP($AQ240,'(勿動)組件目錄表'!$D$15:$R$1094,14,FALSE),"")</f>
        <v/>
      </c>
      <c r="BK240" s="69" t="str">
        <f>IFERROR(VLOOKUP($AQ240,'(勿動)組件目錄表'!$D$15:$R$1094,15,FALSE),"")</f>
        <v/>
      </c>
      <c r="BL240" s="81">
        <f ca="1">IFERROR(__xludf.DUMMYFUNCTION("IFERROR(
  LET(
    rowData, FILTER('(勿動)組件目錄表'!J:Q, '(勿動)組件目錄表'!D:D=AQ240),
    IF(ROWS(rowData)=0, 0, 
      (
        IF(AND(BC240&lt;&gt;"""", INDEX(rowData,1,1)=BC240),1,0) +
        IF(AND(BD240&lt;&gt;"""", INDEX(rowData,1,2)=BD240),1,0) +
        IF(AND(BE240"&amp;"&lt;&gt;"""", INDEX(rowData,1,3)=BE240),1,0) +
        IF(AND(BF240&lt;&gt;"""", INDEX(rowData,1,4)=BF240),1,0) +
        IF(AND(BG240&lt;&gt;"""", INDEX(rowData,1,5)=BG240),1,0) +
        IF(AND(BH240&lt;&gt;"""", INDEX(rowData,1,6)=BH240),1,0) +
        IF(AND(BI240&lt;&gt;"""", IND"&amp;"EX(rowData,1,7)=BI240),1,0) +
        IF(AND(BJ240&lt;&gt;"""", INDEX(rowData,1,8)=BJ240),1,0)
      ) - COUNTIF(BC240:BJ240, ""-"")
        - COUNTIF(BC240:BJ240, ""固定格式，不需提供資訊"")
        - COUNTIF(BC240:BJ240, ""由MKT更新，此欄位固定格式，不需提供資訊
(Voucher CID：12917705872)"&amp;""")
        - COUNTIF(BC240:BJ240, ""text固定為以下：
※直播間僅支援手機版"")
        - COUNTIF(BC240:BJ240, ""text固定為以下：
※短影音僅支援手機版"")
    )
  ), 
  0
)
"),0)</f>
        <v>0</v>
      </c>
      <c r="BM240" s="77" t="b">
        <v>0</v>
      </c>
      <c r="BN240" s="85"/>
      <c r="BO240" s="85"/>
    </row>
    <row r="241" spans="1:67" ht="30" customHeight="1">
      <c r="A241" s="73" t="str">
        <f t="array" aca="1" ref="A241" ca="1">IFERROR(TRANSPOSE(INDIRECT('MS section版配(Old)'!$AO241)),"")</f>
        <v/>
      </c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8"/>
      <c r="P241" s="88"/>
      <c r="Q241" s="88"/>
      <c r="R241" s="88"/>
      <c r="S241" s="88"/>
      <c r="T241" s="88"/>
      <c r="U241" s="88"/>
      <c r="V241" s="88"/>
      <c r="W241" s="88"/>
      <c r="X241" s="88"/>
      <c r="Y241" s="88"/>
      <c r="Z241" s="88"/>
      <c r="AA241" s="88"/>
      <c r="AB241" s="88"/>
      <c r="AC241" s="88"/>
      <c r="AD241" s="88"/>
      <c r="AE241" s="397" t="str">
        <f>IFERROR(VLOOKUP($AQ241,'(勿動)組件目錄表'!$D$15:$R$1094,4,FALSE),"")</f>
        <v/>
      </c>
      <c r="AF241" s="384"/>
      <c r="AG241" s="384"/>
      <c r="AH241" s="384"/>
      <c r="AI241" s="384"/>
      <c r="AJ241" s="385"/>
      <c r="AK241" s="54" t="b">
        <v>0</v>
      </c>
      <c r="AL241" s="54" t="b">
        <v>0</v>
      </c>
      <c r="AM241" s="54"/>
      <c r="AN241" s="7" t="str">
        <v>233</v>
      </c>
      <c r="AO241" s="7"/>
      <c r="AP241" s="62"/>
      <c r="AQ241" s="75" t="str">
        <v/>
      </c>
      <c r="AR241" s="75" t="str">
        <v>-</v>
      </c>
      <c r="AS241" s="11"/>
      <c r="AT241" s="77" t="str">
        <v>-</v>
      </c>
      <c r="AU241" s="11" t="str">
        <v>-</v>
      </c>
      <c r="AV241" s="100"/>
      <c r="AW241" s="80" t="str">
        <f ca="1"/>
        <v>-</v>
      </c>
      <c r="AX241" s="86" t="b">
        <v>0</v>
      </c>
      <c r="AY241" s="68" t="str">
        <f t="shared" si="0"/>
        <v/>
      </c>
      <c r="AZ241" s="69" t="str">
        <f t="shared" si="1"/>
        <v/>
      </c>
      <c r="BA241" s="70" t="str">
        <f t="shared" si="2"/>
        <v/>
      </c>
      <c r="BB241" s="68" t="str">
        <f t="shared" si="3"/>
        <v/>
      </c>
      <c r="BC241" s="69" t="str">
        <f>IFERROR(VLOOKUP($AQ241,'(勿動)組件目錄表'!$D$15:$R$1094,7,FALSE),"")</f>
        <v/>
      </c>
      <c r="BD241" s="69" t="str">
        <f>IFERROR(VLOOKUP($AQ241,'(勿動)組件目錄表'!$D$15:$R$1094,8,FALSE),"")</f>
        <v/>
      </c>
      <c r="BE241" s="69" t="str">
        <f>IFERROR(VLOOKUP($AQ241,'(勿動)組件目錄表'!$D$15:$R$1094,9,FALSE),"")</f>
        <v/>
      </c>
      <c r="BF241" s="69" t="str">
        <f>IFERROR(VLOOKUP($AQ241,'(勿動)組件目錄表'!$D$15:$R$1094,10,FALSE),"")</f>
        <v/>
      </c>
      <c r="BG241" s="69" t="str">
        <f>IFERROR(VLOOKUP($AQ241,'(勿動)組件目錄表'!$D$15:$R$1094,11,FALSE),"")</f>
        <v/>
      </c>
      <c r="BH241" s="69" t="str">
        <f>IFERROR(VLOOKUP($AQ241,'(勿動)組件目錄表'!$D$15:$R$1094,12,FALSE),"")</f>
        <v/>
      </c>
      <c r="BI241" s="69" t="str">
        <f>IFERROR(VLOOKUP($AQ241,'(勿動)組件目錄表'!$D$15:$R$1094,13,FALSE),"")</f>
        <v/>
      </c>
      <c r="BJ241" s="69" t="str">
        <f>IFERROR(VLOOKUP($AQ241,'(勿動)組件目錄表'!$D$15:$R$1094,14,FALSE),"")</f>
        <v/>
      </c>
      <c r="BK241" s="69" t="str">
        <f>IFERROR(VLOOKUP($AQ241,'(勿動)組件目錄表'!$D$15:$R$1094,15,FALSE),"")</f>
        <v/>
      </c>
      <c r="BL241" s="81">
        <f ca="1">IFERROR(__xludf.DUMMYFUNCTION("IFERROR(
  LET(
    rowData, FILTER('(勿動)組件目錄表'!J:Q, '(勿動)組件目錄表'!D:D=AQ241),
    IF(ROWS(rowData)=0, 0, 
      (
        IF(AND(BC241&lt;&gt;"""", INDEX(rowData,1,1)=BC241),1,0) +
        IF(AND(BD241&lt;&gt;"""", INDEX(rowData,1,2)=BD241),1,0) +
        IF(AND(BE241"&amp;"&lt;&gt;"""", INDEX(rowData,1,3)=BE241),1,0) +
        IF(AND(BF241&lt;&gt;"""", INDEX(rowData,1,4)=BF241),1,0) +
        IF(AND(BG241&lt;&gt;"""", INDEX(rowData,1,5)=BG241),1,0) +
        IF(AND(BH241&lt;&gt;"""", INDEX(rowData,1,6)=BH241),1,0) +
        IF(AND(BI241&lt;&gt;"""", IND"&amp;"EX(rowData,1,7)=BI241),1,0) +
        IF(AND(BJ241&lt;&gt;"""", INDEX(rowData,1,8)=BJ241),1,0)
      ) - COUNTIF(BC241:BJ241, ""-"")
        - COUNTIF(BC241:BJ241, ""固定格式，不需提供資訊"")
        - COUNTIF(BC241:BJ241, ""由MKT更新，此欄位固定格式，不需提供資訊
(Voucher CID：12917705872)"&amp;""")
        - COUNTIF(BC241:BJ241, ""text固定為以下：
※直播間僅支援手機版"")
        - COUNTIF(BC241:BJ241, ""text固定為以下：
※短影音僅支援手機版"")
    )
  ), 
  0
)
"),0)</f>
        <v>0</v>
      </c>
      <c r="BM241" s="77" t="b">
        <v>0</v>
      </c>
      <c r="BN241" s="85"/>
      <c r="BO241" s="85"/>
    </row>
    <row r="242" spans="1:67" ht="30" customHeight="1">
      <c r="A242" s="73" t="str">
        <f t="array" aca="1" ref="A242" ca="1">IFERROR(TRANSPOSE(INDIRECT('MS section版配(Old)'!$AO242)),"")</f>
        <v/>
      </c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8"/>
      <c r="P242" s="88"/>
      <c r="Q242" s="88"/>
      <c r="R242" s="88"/>
      <c r="S242" s="88"/>
      <c r="T242" s="88"/>
      <c r="U242" s="88"/>
      <c r="V242" s="88"/>
      <c r="W242" s="88"/>
      <c r="X242" s="88"/>
      <c r="Y242" s="88"/>
      <c r="Z242" s="88"/>
      <c r="AA242" s="88"/>
      <c r="AB242" s="88"/>
      <c r="AC242" s="88"/>
      <c r="AD242" s="88"/>
      <c r="AE242" s="397" t="str">
        <f>IFERROR(VLOOKUP($AQ242,'(勿動)組件目錄表'!$D$15:$R$1094,4,FALSE),"")</f>
        <v/>
      </c>
      <c r="AF242" s="384"/>
      <c r="AG242" s="384"/>
      <c r="AH242" s="384"/>
      <c r="AI242" s="384"/>
      <c r="AJ242" s="385"/>
      <c r="AK242" s="54" t="b">
        <v>0</v>
      </c>
      <c r="AL242" s="54" t="b">
        <v>0</v>
      </c>
      <c r="AM242" s="54"/>
      <c r="AN242" s="7" t="str">
        <v>234</v>
      </c>
      <c r="AO242" s="7"/>
      <c r="AP242" s="62"/>
      <c r="AQ242" s="75" t="str">
        <v/>
      </c>
      <c r="AR242" s="75" t="str">
        <v>-</v>
      </c>
      <c r="AS242" s="11"/>
      <c r="AT242" s="77" t="str">
        <v>-</v>
      </c>
      <c r="AU242" s="11" t="str">
        <v>-</v>
      </c>
      <c r="AV242" s="100"/>
      <c r="AW242" s="80" t="str">
        <f ca="1"/>
        <v>-</v>
      </c>
      <c r="AX242" s="86" t="b">
        <v>0</v>
      </c>
      <c r="AY242" s="68" t="str">
        <f t="shared" si="0"/>
        <v/>
      </c>
      <c r="AZ242" s="69" t="str">
        <f t="shared" si="1"/>
        <v/>
      </c>
      <c r="BA242" s="70" t="str">
        <f t="shared" si="2"/>
        <v/>
      </c>
      <c r="BB242" s="68" t="str">
        <f t="shared" si="3"/>
        <v/>
      </c>
      <c r="BC242" s="69" t="str">
        <f>IFERROR(VLOOKUP($AQ242,'(勿動)組件目錄表'!$D$15:$R$1094,7,FALSE),"")</f>
        <v/>
      </c>
      <c r="BD242" s="69" t="str">
        <f>IFERROR(VLOOKUP($AQ242,'(勿動)組件目錄表'!$D$15:$R$1094,8,FALSE),"")</f>
        <v/>
      </c>
      <c r="BE242" s="69" t="str">
        <f>IFERROR(VLOOKUP($AQ242,'(勿動)組件目錄表'!$D$15:$R$1094,9,FALSE),"")</f>
        <v/>
      </c>
      <c r="BF242" s="69" t="str">
        <f>IFERROR(VLOOKUP($AQ242,'(勿動)組件目錄表'!$D$15:$R$1094,10,FALSE),"")</f>
        <v/>
      </c>
      <c r="BG242" s="69" t="str">
        <f>IFERROR(VLOOKUP($AQ242,'(勿動)組件目錄表'!$D$15:$R$1094,11,FALSE),"")</f>
        <v/>
      </c>
      <c r="BH242" s="69" t="str">
        <f>IFERROR(VLOOKUP($AQ242,'(勿動)組件目錄表'!$D$15:$R$1094,12,FALSE),"")</f>
        <v/>
      </c>
      <c r="BI242" s="69" t="str">
        <f>IFERROR(VLOOKUP($AQ242,'(勿動)組件目錄表'!$D$15:$R$1094,13,FALSE),"")</f>
        <v/>
      </c>
      <c r="BJ242" s="69" t="str">
        <f>IFERROR(VLOOKUP($AQ242,'(勿動)組件目錄表'!$D$15:$R$1094,14,FALSE),"")</f>
        <v/>
      </c>
      <c r="BK242" s="69" t="str">
        <f>IFERROR(VLOOKUP($AQ242,'(勿動)組件目錄表'!$D$15:$R$1094,15,FALSE),"")</f>
        <v/>
      </c>
      <c r="BL242" s="81">
        <f ca="1">IFERROR(__xludf.DUMMYFUNCTION("IFERROR(
  LET(
    rowData, FILTER('(勿動)組件目錄表'!J:Q, '(勿動)組件目錄表'!D:D=AQ242),
    IF(ROWS(rowData)=0, 0, 
      (
        IF(AND(BC242&lt;&gt;"""", INDEX(rowData,1,1)=BC242),1,0) +
        IF(AND(BD242&lt;&gt;"""", INDEX(rowData,1,2)=BD242),1,0) +
        IF(AND(BE242"&amp;"&lt;&gt;"""", INDEX(rowData,1,3)=BE242),1,0) +
        IF(AND(BF242&lt;&gt;"""", INDEX(rowData,1,4)=BF242),1,0) +
        IF(AND(BG242&lt;&gt;"""", INDEX(rowData,1,5)=BG242),1,0) +
        IF(AND(BH242&lt;&gt;"""", INDEX(rowData,1,6)=BH242),1,0) +
        IF(AND(BI242&lt;&gt;"""", IND"&amp;"EX(rowData,1,7)=BI242),1,0) +
        IF(AND(BJ242&lt;&gt;"""", INDEX(rowData,1,8)=BJ242),1,0)
      ) - COUNTIF(BC242:BJ242, ""-"")
        - COUNTIF(BC242:BJ242, ""固定格式，不需提供資訊"")
        - COUNTIF(BC242:BJ242, ""由MKT更新，此欄位固定格式，不需提供資訊
(Voucher CID：12917705872)"&amp;""")
        - COUNTIF(BC242:BJ242, ""text固定為以下：
※直播間僅支援手機版"")
        - COUNTIF(BC242:BJ242, ""text固定為以下：
※短影音僅支援手機版"")
    )
  ), 
  0
)
"),0)</f>
        <v>0</v>
      </c>
      <c r="BM242" s="77" t="b">
        <v>0</v>
      </c>
      <c r="BN242" s="85"/>
      <c r="BO242" s="85"/>
    </row>
    <row r="243" spans="1:67" ht="30" customHeight="1">
      <c r="A243" s="73" t="str">
        <f t="array" aca="1" ref="A243" ca="1">IFERROR(TRANSPOSE(INDIRECT('MS section版配(Old)'!$AO243)),"")</f>
        <v/>
      </c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8"/>
      <c r="P243" s="88"/>
      <c r="Q243" s="88"/>
      <c r="R243" s="88"/>
      <c r="S243" s="88"/>
      <c r="T243" s="88"/>
      <c r="U243" s="88"/>
      <c r="V243" s="88"/>
      <c r="W243" s="88"/>
      <c r="X243" s="88"/>
      <c r="Y243" s="88"/>
      <c r="Z243" s="88"/>
      <c r="AA243" s="88"/>
      <c r="AB243" s="88"/>
      <c r="AC243" s="88"/>
      <c r="AD243" s="88"/>
      <c r="AE243" s="397" t="str">
        <f>IFERROR(VLOOKUP($AQ243,'(勿動)組件目錄表'!$D$15:$R$1094,4,FALSE),"")</f>
        <v/>
      </c>
      <c r="AF243" s="384"/>
      <c r="AG243" s="384"/>
      <c r="AH243" s="384"/>
      <c r="AI243" s="384"/>
      <c r="AJ243" s="385"/>
      <c r="AK243" s="54" t="b">
        <v>0</v>
      </c>
      <c r="AL243" s="54" t="b">
        <v>0</v>
      </c>
      <c r="AM243" s="54"/>
      <c r="AN243" s="7" t="str">
        <v>235</v>
      </c>
      <c r="AO243" s="7"/>
      <c r="AP243" s="62"/>
      <c r="AQ243" s="75" t="str">
        <v/>
      </c>
      <c r="AR243" s="75" t="str">
        <v>-</v>
      </c>
      <c r="AS243" s="11"/>
      <c r="AT243" s="77" t="str">
        <v>-</v>
      </c>
      <c r="AU243" s="11" t="str">
        <v>-</v>
      </c>
      <c r="AV243" s="100"/>
      <c r="AW243" s="80" t="str">
        <f ca="1"/>
        <v>-</v>
      </c>
      <c r="AX243" s="86" t="b">
        <v>0</v>
      </c>
      <c r="AY243" s="68" t="str">
        <f t="shared" si="0"/>
        <v/>
      </c>
      <c r="AZ243" s="69" t="str">
        <f t="shared" si="1"/>
        <v/>
      </c>
      <c r="BA243" s="70" t="str">
        <f t="shared" si="2"/>
        <v/>
      </c>
      <c r="BB243" s="68" t="str">
        <f t="shared" si="3"/>
        <v/>
      </c>
      <c r="BC243" s="69" t="str">
        <f>IFERROR(VLOOKUP($AQ243,'(勿動)組件目錄表'!$D$15:$R$1094,7,FALSE),"")</f>
        <v/>
      </c>
      <c r="BD243" s="69" t="str">
        <f>IFERROR(VLOOKUP($AQ243,'(勿動)組件目錄表'!$D$15:$R$1094,8,FALSE),"")</f>
        <v/>
      </c>
      <c r="BE243" s="69" t="str">
        <f>IFERROR(VLOOKUP($AQ243,'(勿動)組件目錄表'!$D$15:$R$1094,9,FALSE),"")</f>
        <v/>
      </c>
      <c r="BF243" s="69" t="str">
        <f>IFERROR(VLOOKUP($AQ243,'(勿動)組件目錄表'!$D$15:$R$1094,10,FALSE),"")</f>
        <v/>
      </c>
      <c r="BG243" s="69" t="str">
        <f>IFERROR(VLOOKUP($AQ243,'(勿動)組件目錄表'!$D$15:$R$1094,11,FALSE),"")</f>
        <v/>
      </c>
      <c r="BH243" s="69" t="str">
        <f>IFERROR(VLOOKUP($AQ243,'(勿動)組件目錄表'!$D$15:$R$1094,12,FALSE),"")</f>
        <v/>
      </c>
      <c r="BI243" s="69" t="str">
        <f>IFERROR(VLOOKUP($AQ243,'(勿動)組件目錄表'!$D$15:$R$1094,13,FALSE),"")</f>
        <v/>
      </c>
      <c r="BJ243" s="69" t="str">
        <f>IFERROR(VLOOKUP($AQ243,'(勿動)組件目錄表'!$D$15:$R$1094,14,FALSE),"")</f>
        <v/>
      </c>
      <c r="BK243" s="69" t="str">
        <f>IFERROR(VLOOKUP($AQ243,'(勿動)組件目錄表'!$D$15:$R$1094,15,FALSE),"")</f>
        <v/>
      </c>
      <c r="BL243" s="81">
        <f ca="1">IFERROR(__xludf.DUMMYFUNCTION("IFERROR(
  LET(
    rowData, FILTER('(勿動)組件目錄表'!J:Q, '(勿動)組件目錄表'!D:D=AQ243),
    IF(ROWS(rowData)=0, 0, 
      (
        IF(AND(BC243&lt;&gt;"""", INDEX(rowData,1,1)=BC243),1,0) +
        IF(AND(BD243&lt;&gt;"""", INDEX(rowData,1,2)=BD243),1,0) +
        IF(AND(BE243"&amp;"&lt;&gt;"""", INDEX(rowData,1,3)=BE243),1,0) +
        IF(AND(BF243&lt;&gt;"""", INDEX(rowData,1,4)=BF243),1,0) +
        IF(AND(BG243&lt;&gt;"""", INDEX(rowData,1,5)=BG243),1,0) +
        IF(AND(BH243&lt;&gt;"""", INDEX(rowData,1,6)=BH243),1,0) +
        IF(AND(BI243&lt;&gt;"""", IND"&amp;"EX(rowData,1,7)=BI243),1,0) +
        IF(AND(BJ243&lt;&gt;"""", INDEX(rowData,1,8)=BJ243),1,0)
      ) - COUNTIF(BC243:BJ243, ""-"")
        - COUNTIF(BC243:BJ243, ""固定格式，不需提供資訊"")
        - COUNTIF(BC243:BJ243, ""由MKT更新，此欄位固定格式，不需提供資訊
(Voucher CID：12917705872)"&amp;""")
        - COUNTIF(BC243:BJ243, ""text固定為以下：
※直播間僅支援手機版"")
        - COUNTIF(BC243:BJ243, ""text固定為以下：
※短影音僅支援手機版"")
    )
  ), 
  0
)
"),0)</f>
        <v>0</v>
      </c>
      <c r="BM243" s="77" t="b">
        <v>0</v>
      </c>
      <c r="BN243" s="85"/>
      <c r="BO243" s="85"/>
    </row>
    <row r="244" spans="1:67" ht="30" customHeight="1">
      <c r="A244" s="73" t="str">
        <f t="array" aca="1" ref="A244" ca="1">IFERROR(TRANSPOSE(INDIRECT('MS section版配(Old)'!$AO244)),"")</f>
        <v/>
      </c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8"/>
      <c r="P244" s="88"/>
      <c r="Q244" s="88"/>
      <c r="R244" s="88"/>
      <c r="S244" s="88"/>
      <c r="T244" s="88"/>
      <c r="U244" s="88"/>
      <c r="V244" s="88"/>
      <c r="W244" s="88"/>
      <c r="X244" s="88"/>
      <c r="Y244" s="88"/>
      <c r="Z244" s="88"/>
      <c r="AA244" s="88"/>
      <c r="AB244" s="88"/>
      <c r="AC244" s="88"/>
      <c r="AD244" s="88"/>
      <c r="AE244" s="397" t="str">
        <f>IFERROR(VLOOKUP($AQ244,'(勿動)組件目錄表'!$D$15:$R$1094,4,FALSE),"")</f>
        <v/>
      </c>
      <c r="AF244" s="384"/>
      <c r="AG244" s="384"/>
      <c r="AH244" s="384"/>
      <c r="AI244" s="384"/>
      <c r="AJ244" s="385"/>
      <c r="AK244" s="54" t="b">
        <v>0</v>
      </c>
      <c r="AL244" s="54" t="b">
        <v>0</v>
      </c>
      <c r="AM244" s="54"/>
      <c r="AN244" s="7" t="str">
        <v>236</v>
      </c>
      <c r="AO244" s="7"/>
      <c r="AP244" s="62"/>
      <c r="AQ244" s="75" t="str">
        <v/>
      </c>
      <c r="AR244" s="75" t="str">
        <v>-</v>
      </c>
      <c r="AS244" s="11"/>
      <c r="AT244" s="77" t="str">
        <v>-</v>
      </c>
      <c r="AU244" s="11" t="str">
        <v>-</v>
      </c>
      <c r="AV244" s="100"/>
      <c r="AW244" s="80" t="str">
        <f ca="1"/>
        <v>-</v>
      </c>
      <c r="AX244" s="86" t="b">
        <v>0</v>
      </c>
      <c r="AY244" s="68" t="str">
        <f t="shared" si="0"/>
        <v/>
      </c>
      <c r="AZ244" s="69" t="str">
        <f t="shared" si="1"/>
        <v/>
      </c>
      <c r="BA244" s="70" t="str">
        <f t="shared" si="2"/>
        <v/>
      </c>
      <c r="BB244" s="68" t="str">
        <f t="shared" si="3"/>
        <v/>
      </c>
      <c r="BC244" s="69" t="str">
        <f>IFERROR(VLOOKUP($AQ244,'(勿動)組件目錄表'!$D$15:$R$1094,7,FALSE),"")</f>
        <v/>
      </c>
      <c r="BD244" s="69" t="str">
        <f>IFERROR(VLOOKUP($AQ244,'(勿動)組件目錄表'!$D$15:$R$1094,8,FALSE),"")</f>
        <v/>
      </c>
      <c r="BE244" s="69" t="str">
        <f>IFERROR(VLOOKUP($AQ244,'(勿動)組件目錄表'!$D$15:$R$1094,9,FALSE),"")</f>
        <v/>
      </c>
      <c r="BF244" s="69" t="str">
        <f>IFERROR(VLOOKUP($AQ244,'(勿動)組件目錄表'!$D$15:$R$1094,10,FALSE),"")</f>
        <v/>
      </c>
      <c r="BG244" s="69" t="str">
        <f>IFERROR(VLOOKUP($AQ244,'(勿動)組件目錄表'!$D$15:$R$1094,11,FALSE),"")</f>
        <v/>
      </c>
      <c r="BH244" s="69" t="str">
        <f>IFERROR(VLOOKUP($AQ244,'(勿動)組件目錄表'!$D$15:$R$1094,12,FALSE),"")</f>
        <v/>
      </c>
      <c r="BI244" s="69" t="str">
        <f>IFERROR(VLOOKUP($AQ244,'(勿動)組件目錄表'!$D$15:$R$1094,13,FALSE),"")</f>
        <v/>
      </c>
      <c r="BJ244" s="69" t="str">
        <f>IFERROR(VLOOKUP($AQ244,'(勿動)組件目錄表'!$D$15:$R$1094,14,FALSE),"")</f>
        <v/>
      </c>
      <c r="BK244" s="69" t="str">
        <f>IFERROR(VLOOKUP($AQ244,'(勿動)組件目錄表'!$D$15:$R$1094,15,FALSE),"")</f>
        <v/>
      </c>
      <c r="BL244" s="81">
        <f ca="1">IFERROR(__xludf.DUMMYFUNCTION("IFERROR(
  LET(
    rowData, FILTER('(勿動)組件目錄表'!J:Q, '(勿動)組件目錄表'!D:D=AQ244),
    IF(ROWS(rowData)=0, 0, 
      (
        IF(AND(BC244&lt;&gt;"""", INDEX(rowData,1,1)=BC244),1,0) +
        IF(AND(BD244&lt;&gt;"""", INDEX(rowData,1,2)=BD244),1,0) +
        IF(AND(BE244"&amp;"&lt;&gt;"""", INDEX(rowData,1,3)=BE244),1,0) +
        IF(AND(BF244&lt;&gt;"""", INDEX(rowData,1,4)=BF244),1,0) +
        IF(AND(BG244&lt;&gt;"""", INDEX(rowData,1,5)=BG244),1,0) +
        IF(AND(BH244&lt;&gt;"""", INDEX(rowData,1,6)=BH244),1,0) +
        IF(AND(BI244&lt;&gt;"""", IND"&amp;"EX(rowData,1,7)=BI244),1,0) +
        IF(AND(BJ244&lt;&gt;"""", INDEX(rowData,1,8)=BJ244),1,0)
      ) - COUNTIF(BC244:BJ244, ""-"")
        - COUNTIF(BC244:BJ244, ""固定格式，不需提供資訊"")
        - COUNTIF(BC244:BJ244, ""由MKT更新，此欄位固定格式，不需提供資訊
(Voucher CID：12917705872)"&amp;""")
        - COUNTIF(BC244:BJ244, ""text固定為以下：
※直播間僅支援手機版"")
        - COUNTIF(BC244:BJ244, ""text固定為以下：
※短影音僅支援手機版"")
    )
  ), 
  0
)
"),0)</f>
        <v>0</v>
      </c>
      <c r="BM244" s="77" t="b">
        <v>0</v>
      </c>
      <c r="BN244" s="85"/>
      <c r="BO244" s="85"/>
    </row>
    <row r="245" spans="1:67" ht="30" customHeight="1">
      <c r="A245" s="73" t="str">
        <f t="array" aca="1" ref="A245" ca="1">IFERROR(TRANSPOSE(INDIRECT('MS section版配(Old)'!$AO245)),"")</f>
        <v/>
      </c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8"/>
      <c r="P245" s="88"/>
      <c r="Q245" s="88"/>
      <c r="R245" s="88"/>
      <c r="S245" s="88"/>
      <c r="T245" s="88"/>
      <c r="U245" s="88"/>
      <c r="V245" s="88"/>
      <c r="W245" s="88"/>
      <c r="X245" s="88"/>
      <c r="Y245" s="88"/>
      <c r="Z245" s="88"/>
      <c r="AA245" s="88"/>
      <c r="AB245" s="88"/>
      <c r="AC245" s="88"/>
      <c r="AD245" s="88"/>
      <c r="AE245" s="397" t="str">
        <f>IFERROR(VLOOKUP($AQ245,'(勿動)組件目錄表'!$D$15:$R$1094,4,FALSE),"")</f>
        <v/>
      </c>
      <c r="AF245" s="384"/>
      <c r="AG245" s="384"/>
      <c r="AH245" s="384"/>
      <c r="AI245" s="384"/>
      <c r="AJ245" s="385"/>
      <c r="AK245" s="54" t="b">
        <v>0</v>
      </c>
      <c r="AL245" s="54" t="b">
        <v>0</v>
      </c>
      <c r="AM245" s="54"/>
      <c r="AN245" s="7" t="str">
        <v>237</v>
      </c>
      <c r="AO245" s="7"/>
      <c r="AP245" s="62"/>
      <c r="AQ245" s="75" t="str">
        <v/>
      </c>
      <c r="AR245" s="75" t="str">
        <v>-</v>
      </c>
      <c r="AS245" s="11"/>
      <c r="AT245" s="77" t="str">
        <v>-</v>
      </c>
      <c r="AU245" s="11" t="str">
        <v>-</v>
      </c>
      <c r="AV245" s="100"/>
      <c r="AW245" s="80" t="str">
        <f ca="1"/>
        <v>-</v>
      </c>
      <c r="AX245" s="86" t="b">
        <v>0</v>
      </c>
      <c r="AY245" s="68" t="str">
        <f t="shared" si="0"/>
        <v/>
      </c>
      <c r="AZ245" s="69" t="str">
        <f t="shared" si="1"/>
        <v/>
      </c>
      <c r="BA245" s="70" t="str">
        <f t="shared" si="2"/>
        <v/>
      </c>
      <c r="BB245" s="68" t="str">
        <f t="shared" si="3"/>
        <v/>
      </c>
      <c r="BC245" s="69" t="str">
        <f>IFERROR(VLOOKUP($AQ245,'(勿動)組件目錄表'!$D$15:$R$1094,7,FALSE),"")</f>
        <v/>
      </c>
      <c r="BD245" s="69" t="str">
        <f>IFERROR(VLOOKUP($AQ245,'(勿動)組件目錄表'!$D$15:$R$1094,8,FALSE),"")</f>
        <v/>
      </c>
      <c r="BE245" s="69" t="str">
        <f>IFERROR(VLOOKUP($AQ245,'(勿動)組件目錄表'!$D$15:$R$1094,9,FALSE),"")</f>
        <v/>
      </c>
      <c r="BF245" s="69" t="str">
        <f>IFERROR(VLOOKUP($AQ245,'(勿動)組件目錄表'!$D$15:$R$1094,10,FALSE),"")</f>
        <v/>
      </c>
      <c r="BG245" s="69" t="str">
        <f>IFERROR(VLOOKUP($AQ245,'(勿動)組件目錄表'!$D$15:$R$1094,11,FALSE),"")</f>
        <v/>
      </c>
      <c r="BH245" s="69" t="str">
        <f>IFERROR(VLOOKUP($AQ245,'(勿動)組件目錄表'!$D$15:$R$1094,12,FALSE),"")</f>
        <v/>
      </c>
      <c r="BI245" s="69" t="str">
        <f>IFERROR(VLOOKUP($AQ245,'(勿動)組件目錄表'!$D$15:$R$1094,13,FALSE),"")</f>
        <v/>
      </c>
      <c r="BJ245" s="69" t="str">
        <f>IFERROR(VLOOKUP($AQ245,'(勿動)組件目錄表'!$D$15:$R$1094,14,FALSE),"")</f>
        <v/>
      </c>
      <c r="BK245" s="69" t="str">
        <f>IFERROR(VLOOKUP($AQ245,'(勿動)組件目錄表'!$D$15:$R$1094,15,FALSE),"")</f>
        <v/>
      </c>
      <c r="BL245" s="81">
        <f ca="1">IFERROR(__xludf.DUMMYFUNCTION("IFERROR(
  LET(
    rowData, FILTER('(勿動)組件目錄表'!J:Q, '(勿動)組件目錄表'!D:D=AQ245),
    IF(ROWS(rowData)=0, 0, 
      (
        IF(AND(BC245&lt;&gt;"""", INDEX(rowData,1,1)=BC245),1,0) +
        IF(AND(BD245&lt;&gt;"""", INDEX(rowData,1,2)=BD245),1,0) +
        IF(AND(BE245"&amp;"&lt;&gt;"""", INDEX(rowData,1,3)=BE245),1,0) +
        IF(AND(BF245&lt;&gt;"""", INDEX(rowData,1,4)=BF245),1,0) +
        IF(AND(BG245&lt;&gt;"""", INDEX(rowData,1,5)=BG245),1,0) +
        IF(AND(BH245&lt;&gt;"""", INDEX(rowData,1,6)=BH245),1,0) +
        IF(AND(BI245&lt;&gt;"""", IND"&amp;"EX(rowData,1,7)=BI245),1,0) +
        IF(AND(BJ245&lt;&gt;"""", INDEX(rowData,1,8)=BJ245),1,0)
      ) - COUNTIF(BC245:BJ245, ""-"")
        - COUNTIF(BC245:BJ245, ""固定格式，不需提供資訊"")
        - COUNTIF(BC245:BJ245, ""由MKT更新，此欄位固定格式，不需提供資訊
(Voucher CID：12917705872)"&amp;""")
        - COUNTIF(BC245:BJ245, ""text固定為以下：
※直播間僅支援手機版"")
        - COUNTIF(BC245:BJ245, ""text固定為以下：
※短影音僅支援手機版"")
    )
  ), 
  0
)
"),0)</f>
        <v>0</v>
      </c>
      <c r="BM245" s="77" t="b">
        <v>0</v>
      </c>
      <c r="BN245" s="85"/>
      <c r="BO245" s="85"/>
    </row>
    <row r="246" spans="1:67" ht="30" customHeight="1">
      <c r="A246" s="73" t="str">
        <f t="array" aca="1" ref="A246" ca="1">IFERROR(TRANSPOSE(INDIRECT('MS section版配(Old)'!$AO246)),"")</f>
        <v/>
      </c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8"/>
      <c r="P246" s="88"/>
      <c r="Q246" s="88"/>
      <c r="R246" s="88"/>
      <c r="S246" s="88"/>
      <c r="T246" s="88"/>
      <c r="U246" s="88"/>
      <c r="V246" s="88"/>
      <c r="W246" s="88"/>
      <c r="X246" s="88"/>
      <c r="Y246" s="88"/>
      <c r="Z246" s="88"/>
      <c r="AA246" s="88"/>
      <c r="AB246" s="88"/>
      <c r="AC246" s="88"/>
      <c r="AD246" s="88"/>
      <c r="AE246" s="397" t="str">
        <f>IFERROR(VLOOKUP($AQ246,'(勿動)組件目錄表'!$D$15:$R$1094,4,FALSE),"")</f>
        <v/>
      </c>
      <c r="AF246" s="384"/>
      <c r="AG246" s="384"/>
      <c r="AH246" s="384"/>
      <c r="AI246" s="384"/>
      <c r="AJ246" s="385"/>
      <c r="AK246" s="54" t="b">
        <v>0</v>
      </c>
      <c r="AL246" s="54" t="b">
        <v>0</v>
      </c>
      <c r="AM246" s="54"/>
      <c r="AN246" s="7" t="str">
        <v>238</v>
      </c>
      <c r="AO246" s="7"/>
      <c r="AP246" s="62"/>
      <c r="AQ246" s="75" t="str">
        <v/>
      </c>
      <c r="AR246" s="75" t="str">
        <v>-</v>
      </c>
      <c r="AS246" s="11"/>
      <c r="AT246" s="77" t="str">
        <v>-</v>
      </c>
      <c r="AU246" s="11" t="str">
        <v>-</v>
      </c>
      <c r="AV246" s="100"/>
      <c r="AW246" s="80" t="str">
        <f ca="1"/>
        <v>-</v>
      </c>
      <c r="AX246" s="86" t="b">
        <v>0</v>
      </c>
      <c r="AY246" s="68" t="str">
        <f t="shared" si="0"/>
        <v/>
      </c>
      <c r="AZ246" s="69" t="str">
        <f t="shared" si="1"/>
        <v/>
      </c>
      <c r="BA246" s="70" t="str">
        <f t="shared" si="2"/>
        <v/>
      </c>
      <c r="BB246" s="68" t="str">
        <f t="shared" si="3"/>
        <v/>
      </c>
      <c r="BC246" s="69" t="str">
        <f>IFERROR(VLOOKUP($AQ246,'(勿動)組件目錄表'!$D$15:$R$1094,7,FALSE),"")</f>
        <v/>
      </c>
      <c r="BD246" s="69" t="str">
        <f>IFERROR(VLOOKUP($AQ246,'(勿動)組件目錄表'!$D$15:$R$1094,8,FALSE),"")</f>
        <v/>
      </c>
      <c r="BE246" s="69" t="str">
        <f>IFERROR(VLOOKUP($AQ246,'(勿動)組件目錄表'!$D$15:$R$1094,9,FALSE),"")</f>
        <v/>
      </c>
      <c r="BF246" s="69" t="str">
        <f>IFERROR(VLOOKUP($AQ246,'(勿動)組件目錄表'!$D$15:$R$1094,10,FALSE),"")</f>
        <v/>
      </c>
      <c r="BG246" s="69" t="str">
        <f>IFERROR(VLOOKUP($AQ246,'(勿動)組件目錄表'!$D$15:$R$1094,11,FALSE),"")</f>
        <v/>
      </c>
      <c r="BH246" s="69" t="str">
        <f>IFERROR(VLOOKUP($AQ246,'(勿動)組件目錄表'!$D$15:$R$1094,12,FALSE),"")</f>
        <v/>
      </c>
      <c r="BI246" s="69" t="str">
        <f>IFERROR(VLOOKUP($AQ246,'(勿動)組件目錄表'!$D$15:$R$1094,13,FALSE),"")</f>
        <v/>
      </c>
      <c r="BJ246" s="69" t="str">
        <f>IFERROR(VLOOKUP($AQ246,'(勿動)組件目錄表'!$D$15:$R$1094,14,FALSE),"")</f>
        <v/>
      </c>
      <c r="BK246" s="69" t="str">
        <f>IFERROR(VLOOKUP($AQ246,'(勿動)組件目錄表'!$D$15:$R$1094,15,FALSE),"")</f>
        <v/>
      </c>
      <c r="BL246" s="81">
        <f ca="1">IFERROR(__xludf.DUMMYFUNCTION("IFERROR(
  LET(
    rowData, FILTER('(勿動)組件目錄表'!J:Q, '(勿動)組件目錄表'!D:D=AQ246),
    IF(ROWS(rowData)=0, 0, 
      (
        IF(AND(BC246&lt;&gt;"""", INDEX(rowData,1,1)=BC246),1,0) +
        IF(AND(BD246&lt;&gt;"""", INDEX(rowData,1,2)=BD246),1,0) +
        IF(AND(BE246"&amp;"&lt;&gt;"""", INDEX(rowData,1,3)=BE246),1,0) +
        IF(AND(BF246&lt;&gt;"""", INDEX(rowData,1,4)=BF246),1,0) +
        IF(AND(BG246&lt;&gt;"""", INDEX(rowData,1,5)=BG246),1,0) +
        IF(AND(BH246&lt;&gt;"""", INDEX(rowData,1,6)=BH246),1,0) +
        IF(AND(BI246&lt;&gt;"""", IND"&amp;"EX(rowData,1,7)=BI246),1,0) +
        IF(AND(BJ246&lt;&gt;"""", INDEX(rowData,1,8)=BJ246),1,0)
      ) - COUNTIF(BC246:BJ246, ""-"")
        - COUNTIF(BC246:BJ246, ""固定格式，不需提供資訊"")
        - COUNTIF(BC246:BJ246, ""由MKT更新，此欄位固定格式，不需提供資訊
(Voucher CID：12917705872)"&amp;""")
        - COUNTIF(BC246:BJ246, ""text固定為以下：
※直播間僅支援手機版"")
        - COUNTIF(BC246:BJ246, ""text固定為以下：
※短影音僅支援手機版"")
    )
  ), 
  0
)
"),0)</f>
        <v>0</v>
      </c>
      <c r="BM246" s="77" t="b">
        <v>0</v>
      </c>
      <c r="BN246" s="85"/>
      <c r="BO246" s="85"/>
    </row>
    <row r="247" spans="1:67" ht="30" customHeight="1">
      <c r="A247" s="73" t="str">
        <f t="array" aca="1" ref="A247" ca="1">IFERROR(TRANSPOSE(INDIRECT('MS section版配(Old)'!$AO247)),"")</f>
        <v/>
      </c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8"/>
      <c r="P247" s="88"/>
      <c r="Q247" s="88"/>
      <c r="R247" s="88"/>
      <c r="S247" s="88"/>
      <c r="T247" s="88"/>
      <c r="U247" s="88"/>
      <c r="V247" s="88"/>
      <c r="W247" s="88"/>
      <c r="X247" s="88"/>
      <c r="Y247" s="88"/>
      <c r="Z247" s="88"/>
      <c r="AA247" s="88"/>
      <c r="AB247" s="88"/>
      <c r="AC247" s="88"/>
      <c r="AD247" s="88"/>
      <c r="AE247" s="397" t="str">
        <f>IFERROR(VLOOKUP($AQ247,'(勿動)組件目錄表'!$D$15:$R$1094,4,FALSE),"")</f>
        <v/>
      </c>
      <c r="AF247" s="384"/>
      <c r="AG247" s="384"/>
      <c r="AH247" s="384"/>
      <c r="AI247" s="384"/>
      <c r="AJ247" s="385"/>
      <c r="AK247" s="54" t="b">
        <v>0</v>
      </c>
      <c r="AL247" s="54" t="b">
        <v>0</v>
      </c>
      <c r="AM247" s="54"/>
      <c r="AN247" s="7" t="str">
        <v>239</v>
      </c>
      <c r="AO247" s="7"/>
      <c r="AP247" s="62"/>
      <c r="AQ247" s="75" t="str">
        <v/>
      </c>
      <c r="AR247" s="75" t="str">
        <v>-</v>
      </c>
      <c r="AS247" s="11"/>
      <c r="AT247" s="77" t="str">
        <v>-</v>
      </c>
      <c r="AU247" s="11" t="str">
        <v>-</v>
      </c>
      <c r="AV247" s="100"/>
      <c r="AW247" s="80" t="str">
        <f ca="1"/>
        <v>-</v>
      </c>
      <c r="AX247" s="86" t="b">
        <v>0</v>
      </c>
      <c r="AY247" s="68" t="str">
        <f t="shared" si="0"/>
        <v/>
      </c>
      <c r="AZ247" s="69" t="str">
        <f t="shared" si="1"/>
        <v/>
      </c>
      <c r="BA247" s="70" t="str">
        <f t="shared" si="2"/>
        <v/>
      </c>
      <c r="BB247" s="68" t="str">
        <f t="shared" si="3"/>
        <v/>
      </c>
      <c r="BC247" s="69" t="str">
        <f>IFERROR(VLOOKUP($AQ247,'(勿動)組件目錄表'!$D$15:$R$1094,7,FALSE),"")</f>
        <v/>
      </c>
      <c r="BD247" s="69" t="str">
        <f>IFERROR(VLOOKUP($AQ247,'(勿動)組件目錄表'!$D$15:$R$1094,8,FALSE),"")</f>
        <v/>
      </c>
      <c r="BE247" s="69" t="str">
        <f>IFERROR(VLOOKUP($AQ247,'(勿動)組件目錄表'!$D$15:$R$1094,9,FALSE),"")</f>
        <v/>
      </c>
      <c r="BF247" s="69" t="str">
        <f>IFERROR(VLOOKUP($AQ247,'(勿動)組件目錄表'!$D$15:$R$1094,10,FALSE),"")</f>
        <v/>
      </c>
      <c r="BG247" s="69" t="str">
        <f>IFERROR(VLOOKUP($AQ247,'(勿動)組件目錄表'!$D$15:$R$1094,11,FALSE),"")</f>
        <v/>
      </c>
      <c r="BH247" s="69" t="str">
        <f>IFERROR(VLOOKUP($AQ247,'(勿動)組件目錄表'!$D$15:$R$1094,12,FALSE),"")</f>
        <v/>
      </c>
      <c r="BI247" s="69" t="str">
        <f>IFERROR(VLOOKUP($AQ247,'(勿動)組件目錄表'!$D$15:$R$1094,13,FALSE),"")</f>
        <v/>
      </c>
      <c r="BJ247" s="69" t="str">
        <f>IFERROR(VLOOKUP($AQ247,'(勿動)組件目錄表'!$D$15:$R$1094,14,FALSE),"")</f>
        <v/>
      </c>
      <c r="BK247" s="69" t="str">
        <f>IFERROR(VLOOKUP($AQ247,'(勿動)組件目錄表'!$D$15:$R$1094,15,FALSE),"")</f>
        <v/>
      </c>
      <c r="BL247" s="81">
        <f ca="1">IFERROR(__xludf.DUMMYFUNCTION("IFERROR(
  LET(
    rowData, FILTER('(勿動)組件目錄表'!J:Q, '(勿動)組件目錄表'!D:D=AQ247),
    IF(ROWS(rowData)=0, 0, 
      (
        IF(AND(BC247&lt;&gt;"""", INDEX(rowData,1,1)=BC247),1,0) +
        IF(AND(BD247&lt;&gt;"""", INDEX(rowData,1,2)=BD247),1,0) +
        IF(AND(BE247"&amp;"&lt;&gt;"""", INDEX(rowData,1,3)=BE247),1,0) +
        IF(AND(BF247&lt;&gt;"""", INDEX(rowData,1,4)=BF247),1,0) +
        IF(AND(BG247&lt;&gt;"""", INDEX(rowData,1,5)=BG247),1,0) +
        IF(AND(BH247&lt;&gt;"""", INDEX(rowData,1,6)=BH247),1,0) +
        IF(AND(BI247&lt;&gt;"""", IND"&amp;"EX(rowData,1,7)=BI247),1,0) +
        IF(AND(BJ247&lt;&gt;"""", INDEX(rowData,1,8)=BJ247),1,0)
      ) - COUNTIF(BC247:BJ247, ""-"")
        - COUNTIF(BC247:BJ247, ""固定格式，不需提供資訊"")
        - COUNTIF(BC247:BJ247, ""由MKT更新，此欄位固定格式，不需提供資訊
(Voucher CID：12917705872)"&amp;""")
        - COUNTIF(BC247:BJ247, ""text固定為以下：
※直播間僅支援手機版"")
        - COUNTIF(BC247:BJ247, ""text固定為以下：
※短影音僅支援手機版"")
    )
  ), 
  0
)
"),0)</f>
        <v>0</v>
      </c>
      <c r="BM247" s="77" t="b">
        <v>0</v>
      </c>
      <c r="BN247" s="85"/>
      <c r="BO247" s="85"/>
    </row>
    <row r="248" spans="1:67" ht="30" customHeight="1">
      <c r="A248" s="73" t="str">
        <f t="array" aca="1" ref="A248" ca="1">IFERROR(TRANSPOSE(INDIRECT('MS section版配(Old)'!$AO248)),"")</f>
        <v/>
      </c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8"/>
      <c r="P248" s="88"/>
      <c r="Q248" s="88"/>
      <c r="R248" s="88"/>
      <c r="S248" s="88"/>
      <c r="T248" s="88"/>
      <c r="U248" s="88"/>
      <c r="V248" s="88"/>
      <c r="W248" s="88"/>
      <c r="X248" s="88"/>
      <c r="Y248" s="88"/>
      <c r="Z248" s="88"/>
      <c r="AA248" s="88"/>
      <c r="AB248" s="88"/>
      <c r="AC248" s="88"/>
      <c r="AD248" s="88"/>
      <c r="AE248" s="397" t="str">
        <f>IFERROR(VLOOKUP($AQ248,'(勿動)組件目錄表'!$D$15:$R$1094,4,FALSE),"")</f>
        <v/>
      </c>
      <c r="AF248" s="384"/>
      <c r="AG248" s="384"/>
      <c r="AH248" s="384"/>
      <c r="AI248" s="384"/>
      <c r="AJ248" s="385"/>
      <c r="AK248" s="54" t="b">
        <v>0</v>
      </c>
      <c r="AL248" s="54" t="b">
        <v>0</v>
      </c>
      <c r="AM248" s="54"/>
      <c r="AN248" s="7" t="str">
        <v>240</v>
      </c>
      <c r="AO248" s="7"/>
      <c r="AP248" s="62"/>
      <c r="AQ248" s="75" t="str">
        <v/>
      </c>
      <c r="AR248" s="75" t="str">
        <v>-</v>
      </c>
      <c r="AS248" s="11"/>
      <c r="AT248" s="77" t="str">
        <v>-</v>
      </c>
      <c r="AU248" s="11" t="str">
        <v>-</v>
      </c>
      <c r="AV248" s="100"/>
      <c r="AW248" s="80" t="str">
        <f ca="1"/>
        <v>-</v>
      </c>
      <c r="AX248" s="86" t="b">
        <v>0</v>
      </c>
      <c r="AY248" s="68" t="str">
        <f t="shared" si="0"/>
        <v/>
      </c>
      <c r="AZ248" s="69" t="str">
        <f t="shared" si="1"/>
        <v/>
      </c>
      <c r="BA248" s="70" t="str">
        <f t="shared" si="2"/>
        <v/>
      </c>
      <c r="BB248" s="68" t="str">
        <f t="shared" si="3"/>
        <v/>
      </c>
      <c r="BC248" s="69" t="str">
        <f>IFERROR(VLOOKUP($AQ248,'(勿動)組件目錄表'!$D$15:$R$1094,7,FALSE),"")</f>
        <v/>
      </c>
      <c r="BD248" s="69" t="str">
        <f>IFERROR(VLOOKUP($AQ248,'(勿動)組件目錄表'!$D$15:$R$1094,8,FALSE),"")</f>
        <v/>
      </c>
      <c r="BE248" s="69" t="str">
        <f>IFERROR(VLOOKUP($AQ248,'(勿動)組件目錄表'!$D$15:$R$1094,9,FALSE),"")</f>
        <v/>
      </c>
      <c r="BF248" s="69" t="str">
        <f>IFERROR(VLOOKUP($AQ248,'(勿動)組件目錄表'!$D$15:$R$1094,10,FALSE),"")</f>
        <v/>
      </c>
      <c r="BG248" s="69" t="str">
        <f>IFERROR(VLOOKUP($AQ248,'(勿動)組件目錄表'!$D$15:$R$1094,11,FALSE),"")</f>
        <v/>
      </c>
      <c r="BH248" s="69" t="str">
        <f>IFERROR(VLOOKUP($AQ248,'(勿動)組件目錄表'!$D$15:$R$1094,12,FALSE),"")</f>
        <v/>
      </c>
      <c r="BI248" s="69" t="str">
        <f>IFERROR(VLOOKUP($AQ248,'(勿動)組件目錄表'!$D$15:$R$1094,13,FALSE),"")</f>
        <v/>
      </c>
      <c r="BJ248" s="69" t="str">
        <f>IFERROR(VLOOKUP($AQ248,'(勿動)組件目錄表'!$D$15:$R$1094,14,FALSE),"")</f>
        <v/>
      </c>
      <c r="BK248" s="69" t="str">
        <f>IFERROR(VLOOKUP($AQ248,'(勿動)組件目錄表'!$D$15:$R$1094,15,FALSE),"")</f>
        <v/>
      </c>
      <c r="BL248" s="81">
        <f ca="1">IFERROR(__xludf.DUMMYFUNCTION("IFERROR(
  LET(
    rowData, FILTER('(勿動)組件目錄表'!J:Q, '(勿動)組件目錄表'!D:D=AQ248),
    IF(ROWS(rowData)=0, 0, 
      (
        IF(AND(BC248&lt;&gt;"""", INDEX(rowData,1,1)=BC248),1,0) +
        IF(AND(BD248&lt;&gt;"""", INDEX(rowData,1,2)=BD248),1,0) +
        IF(AND(BE248"&amp;"&lt;&gt;"""", INDEX(rowData,1,3)=BE248),1,0) +
        IF(AND(BF248&lt;&gt;"""", INDEX(rowData,1,4)=BF248),1,0) +
        IF(AND(BG248&lt;&gt;"""", INDEX(rowData,1,5)=BG248),1,0) +
        IF(AND(BH248&lt;&gt;"""", INDEX(rowData,1,6)=BH248),1,0) +
        IF(AND(BI248&lt;&gt;"""", IND"&amp;"EX(rowData,1,7)=BI248),1,0) +
        IF(AND(BJ248&lt;&gt;"""", INDEX(rowData,1,8)=BJ248),1,0)
      ) - COUNTIF(BC248:BJ248, ""-"")
        - COUNTIF(BC248:BJ248, ""固定格式，不需提供資訊"")
        - COUNTIF(BC248:BJ248, ""由MKT更新，此欄位固定格式，不需提供資訊
(Voucher CID：12917705872)"&amp;""")
        - COUNTIF(BC248:BJ248, ""text固定為以下：
※直播間僅支援手機版"")
        - COUNTIF(BC248:BJ248, ""text固定為以下：
※短影音僅支援手機版"")
    )
  ), 
  0
)
"),0)</f>
        <v>0</v>
      </c>
      <c r="BM248" s="77" t="b">
        <v>0</v>
      </c>
      <c r="BN248" s="85"/>
      <c r="BO248" s="85"/>
    </row>
    <row r="249" spans="1:67" ht="30" customHeight="1">
      <c r="A249" s="73" t="str">
        <f t="array" aca="1" ref="A249" ca="1">IFERROR(TRANSPOSE(INDIRECT('MS section版配(Old)'!$AO249)),"")</f>
        <v/>
      </c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8"/>
      <c r="P249" s="88"/>
      <c r="Q249" s="88"/>
      <c r="R249" s="88"/>
      <c r="S249" s="88"/>
      <c r="T249" s="88"/>
      <c r="U249" s="88"/>
      <c r="V249" s="88"/>
      <c r="W249" s="88"/>
      <c r="X249" s="88"/>
      <c r="Y249" s="88"/>
      <c r="Z249" s="88"/>
      <c r="AA249" s="88"/>
      <c r="AB249" s="88"/>
      <c r="AC249" s="88"/>
      <c r="AD249" s="88"/>
      <c r="AE249" s="397" t="str">
        <f>IFERROR(VLOOKUP($AQ249,'(勿動)組件目錄表'!$D$15:$R$1094,4,FALSE),"")</f>
        <v/>
      </c>
      <c r="AF249" s="384"/>
      <c r="AG249" s="384"/>
      <c r="AH249" s="384"/>
      <c r="AI249" s="384"/>
      <c r="AJ249" s="385"/>
      <c r="AK249" s="54" t="b">
        <v>0</v>
      </c>
      <c r="AL249" s="54" t="b">
        <v>0</v>
      </c>
      <c r="AM249" s="54"/>
      <c r="AN249" s="7" t="str">
        <v>241</v>
      </c>
      <c r="AO249" s="7"/>
      <c r="AP249" s="62"/>
      <c r="AQ249" s="75" t="str">
        <v/>
      </c>
      <c r="AR249" s="75" t="str">
        <v>-</v>
      </c>
      <c r="AS249" s="11"/>
      <c r="AT249" s="77" t="str">
        <v>-</v>
      </c>
      <c r="AU249" s="11" t="str">
        <v>-</v>
      </c>
      <c r="AV249" s="100"/>
      <c r="AW249" s="80" t="str">
        <f ca="1"/>
        <v>-</v>
      </c>
      <c r="AX249" s="86" t="b">
        <v>0</v>
      </c>
      <c r="AY249" s="68" t="str">
        <f t="shared" si="0"/>
        <v/>
      </c>
      <c r="AZ249" s="69" t="str">
        <f t="shared" si="1"/>
        <v/>
      </c>
      <c r="BA249" s="70" t="str">
        <f t="shared" si="2"/>
        <v/>
      </c>
      <c r="BB249" s="68" t="str">
        <f t="shared" si="3"/>
        <v/>
      </c>
      <c r="BC249" s="69" t="str">
        <f>IFERROR(VLOOKUP($AQ249,'(勿動)組件目錄表'!$D$15:$R$1094,7,FALSE),"")</f>
        <v/>
      </c>
      <c r="BD249" s="69" t="str">
        <f>IFERROR(VLOOKUP($AQ249,'(勿動)組件目錄表'!$D$15:$R$1094,8,FALSE),"")</f>
        <v/>
      </c>
      <c r="BE249" s="69" t="str">
        <f>IFERROR(VLOOKUP($AQ249,'(勿動)組件目錄表'!$D$15:$R$1094,9,FALSE),"")</f>
        <v/>
      </c>
      <c r="BF249" s="69" t="str">
        <f>IFERROR(VLOOKUP($AQ249,'(勿動)組件目錄表'!$D$15:$R$1094,10,FALSE),"")</f>
        <v/>
      </c>
      <c r="BG249" s="69" t="str">
        <f>IFERROR(VLOOKUP($AQ249,'(勿動)組件目錄表'!$D$15:$R$1094,11,FALSE),"")</f>
        <v/>
      </c>
      <c r="BH249" s="69" t="str">
        <f>IFERROR(VLOOKUP($AQ249,'(勿動)組件目錄表'!$D$15:$R$1094,12,FALSE),"")</f>
        <v/>
      </c>
      <c r="BI249" s="69" t="str">
        <f>IFERROR(VLOOKUP($AQ249,'(勿動)組件目錄表'!$D$15:$R$1094,13,FALSE),"")</f>
        <v/>
      </c>
      <c r="BJ249" s="69" t="str">
        <f>IFERROR(VLOOKUP($AQ249,'(勿動)組件目錄表'!$D$15:$R$1094,14,FALSE),"")</f>
        <v/>
      </c>
      <c r="BK249" s="69" t="str">
        <f>IFERROR(VLOOKUP($AQ249,'(勿動)組件目錄表'!$D$15:$R$1094,15,FALSE),"")</f>
        <v/>
      </c>
      <c r="BL249" s="81">
        <f ca="1">IFERROR(__xludf.DUMMYFUNCTION("IFERROR(
  LET(
    rowData, FILTER('(勿動)組件目錄表'!J:Q, '(勿動)組件目錄表'!D:D=AQ249),
    IF(ROWS(rowData)=0, 0, 
      (
        IF(AND(BC249&lt;&gt;"""", INDEX(rowData,1,1)=BC249),1,0) +
        IF(AND(BD249&lt;&gt;"""", INDEX(rowData,1,2)=BD249),1,0) +
        IF(AND(BE249"&amp;"&lt;&gt;"""", INDEX(rowData,1,3)=BE249),1,0) +
        IF(AND(BF249&lt;&gt;"""", INDEX(rowData,1,4)=BF249),1,0) +
        IF(AND(BG249&lt;&gt;"""", INDEX(rowData,1,5)=BG249),1,0) +
        IF(AND(BH249&lt;&gt;"""", INDEX(rowData,1,6)=BH249),1,0) +
        IF(AND(BI249&lt;&gt;"""", IND"&amp;"EX(rowData,1,7)=BI249),1,0) +
        IF(AND(BJ249&lt;&gt;"""", INDEX(rowData,1,8)=BJ249),1,0)
      ) - COUNTIF(BC249:BJ249, ""-"")
        - COUNTIF(BC249:BJ249, ""固定格式，不需提供資訊"")
        - COUNTIF(BC249:BJ249, ""由MKT更新，此欄位固定格式，不需提供資訊
(Voucher CID：12917705872)"&amp;""")
        - COUNTIF(BC249:BJ249, ""text固定為以下：
※直播間僅支援手機版"")
        - COUNTIF(BC249:BJ249, ""text固定為以下：
※短影音僅支援手機版"")
    )
  ), 
  0
)
"),0)</f>
        <v>0</v>
      </c>
      <c r="BM249" s="77" t="b">
        <v>0</v>
      </c>
      <c r="BN249" s="85"/>
      <c r="BO249" s="85"/>
    </row>
    <row r="250" spans="1:67" ht="30" customHeight="1">
      <c r="A250" s="73" t="str">
        <f t="array" aca="1" ref="A250" ca="1">IFERROR(TRANSPOSE(INDIRECT('MS section版配(Old)'!$AO250)),"")</f>
        <v/>
      </c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8"/>
      <c r="P250" s="88"/>
      <c r="Q250" s="88"/>
      <c r="R250" s="88"/>
      <c r="S250" s="88"/>
      <c r="T250" s="88"/>
      <c r="U250" s="88"/>
      <c r="V250" s="88"/>
      <c r="W250" s="88"/>
      <c r="X250" s="88"/>
      <c r="Y250" s="88"/>
      <c r="Z250" s="88"/>
      <c r="AA250" s="88"/>
      <c r="AB250" s="88"/>
      <c r="AC250" s="88"/>
      <c r="AD250" s="88"/>
      <c r="AE250" s="397" t="str">
        <f>IFERROR(VLOOKUP($AQ250,'(勿動)組件目錄表'!$D$15:$R$1094,4,FALSE),"")</f>
        <v/>
      </c>
      <c r="AF250" s="384"/>
      <c r="AG250" s="384"/>
      <c r="AH250" s="384"/>
      <c r="AI250" s="384"/>
      <c r="AJ250" s="385"/>
      <c r="AK250" s="54" t="b">
        <v>0</v>
      </c>
      <c r="AL250" s="54" t="b">
        <v>0</v>
      </c>
      <c r="AM250" s="54"/>
      <c r="AN250" s="7" t="str">
        <v>242</v>
      </c>
      <c r="AO250" s="7"/>
      <c r="AP250" s="62"/>
      <c r="AQ250" s="75" t="str">
        <v/>
      </c>
      <c r="AR250" s="75" t="str">
        <v>-</v>
      </c>
      <c r="AS250" s="11"/>
      <c r="AT250" s="77" t="str">
        <v>-</v>
      </c>
      <c r="AU250" s="11" t="str">
        <v>-</v>
      </c>
      <c r="AV250" s="100"/>
      <c r="AW250" s="80" t="str">
        <f ca="1"/>
        <v>-</v>
      </c>
      <c r="AX250" s="86" t="b">
        <v>0</v>
      </c>
      <c r="AY250" s="68" t="str">
        <f t="shared" si="0"/>
        <v/>
      </c>
      <c r="AZ250" s="69" t="str">
        <f t="shared" si="1"/>
        <v/>
      </c>
      <c r="BA250" s="70" t="str">
        <f t="shared" si="2"/>
        <v/>
      </c>
      <c r="BB250" s="68" t="str">
        <f t="shared" si="3"/>
        <v/>
      </c>
      <c r="BC250" s="69" t="str">
        <f>IFERROR(VLOOKUP($AQ250,'(勿動)組件目錄表'!$D$15:$R$1094,7,FALSE),"")</f>
        <v/>
      </c>
      <c r="BD250" s="69" t="str">
        <f>IFERROR(VLOOKUP($AQ250,'(勿動)組件目錄表'!$D$15:$R$1094,8,FALSE),"")</f>
        <v/>
      </c>
      <c r="BE250" s="69" t="str">
        <f>IFERROR(VLOOKUP($AQ250,'(勿動)組件目錄表'!$D$15:$R$1094,9,FALSE),"")</f>
        <v/>
      </c>
      <c r="BF250" s="69" t="str">
        <f>IFERROR(VLOOKUP($AQ250,'(勿動)組件目錄表'!$D$15:$R$1094,10,FALSE),"")</f>
        <v/>
      </c>
      <c r="BG250" s="69" t="str">
        <f>IFERROR(VLOOKUP($AQ250,'(勿動)組件目錄表'!$D$15:$R$1094,11,FALSE),"")</f>
        <v/>
      </c>
      <c r="BH250" s="69" t="str">
        <f>IFERROR(VLOOKUP($AQ250,'(勿動)組件目錄表'!$D$15:$R$1094,12,FALSE),"")</f>
        <v/>
      </c>
      <c r="BI250" s="69" t="str">
        <f>IFERROR(VLOOKUP($AQ250,'(勿動)組件目錄表'!$D$15:$R$1094,13,FALSE),"")</f>
        <v/>
      </c>
      <c r="BJ250" s="69" t="str">
        <f>IFERROR(VLOOKUP($AQ250,'(勿動)組件目錄表'!$D$15:$R$1094,14,FALSE),"")</f>
        <v/>
      </c>
      <c r="BK250" s="69" t="str">
        <f>IFERROR(VLOOKUP($AQ250,'(勿動)組件目錄表'!$D$15:$R$1094,15,FALSE),"")</f>
        <v/>
      </c>
      <c r="BL250" s="81">
        <f ca="1">IFERROR(__xludf.DUMMYFUNCTION("IFERROR(
  LET(
    rowData, FILTER('(勿動)組件目錄表'!J:Q, '(勿動)組件目錄表'!D:D=AQ250),
    IF(ROWS(rowData)=0, 0, 
      (
        IF(AND(BC250&lt;&gt;"""", INDEX(rowData,1,1)=BC250),1,0) +
        IF(AND(BD250&lt;&gt;"""", INDEX(rowData,1,2)=BD250),1,0) +
        IF(AND(BE250"&amp;"&lt;&gt;"""", INDEX(rowData,1,3)=BE250),1,0) +
        IF(AND(BF250&lt;&gt;"""", INDEX(rowData,1,4)=BF250),1,0) +
        IF(AND(BG250&lt;&gt;"""", INDEX(rowData,1,5)=BG250),1,0) +
        IF(AND(BH250&lt;&gt;"""", INDEX(rowData,1,6)=BH250),1,0) +
        IF(AND(BI250&lt;&gt;"""", IND"&amp;"EX(rowData,1,7)=BI250),1,0) +
        IF(AND(BJ250&lt;&gt;"""", INDEX(rowData,1,8)=BJ250),1,0)
      ) - COUNTIF(BC250:BJ250, ""-"")
        - COUNTIF(BC250:BJ250, ""固定格式，不需提供資訊"")
        - COUNTIF(BC250:BJ250, ""由MKT更新，此欄位固定格式，不需提供資訊
(Voucher CID：12917705872)"&amp;""")
        - COUNTIF(BC250:BJ250, ""text固定為以下：
※直播間僅支援手機版"")
        - COUNTIF(BC250:BJ250, ""text固定為以下：
※短影音僅支援手機版"")
    )
  ), 
  0
)
"),0)</f>
        <v>0</v>
      </c>
      <c r="BM250" s="77" t="b">
        <v>0</v>
      </c>
      <c r="BN250" s="85"/>
      <c r="BO250" s="85"/>
    </row>
    <row r="251" spans="1:67" ht="30" customHeight="1">
      <c r="A251" s="73" t="str">
        <f t="array" aca="1" ref="A251" ca="1">IFERROR(TRANSPOSE(INDIRECT('MS section版配(Old)'!$AO251)),"")</f>
        <v/>
      </c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8"/>
      <c r="P251" s="88"/>
      <c r="Q251" s="88"/>
      <c r="R251" s="88"/>
      <c r="S251" s="88"/>
      <c r="T251" s="88"/>
      <c r="U251" s="88"/>
      <c r="V251" s="88"/>
      <c r="W251" s="88"/>
      <c r="X251" s="88"/>
      <c r="Y251" s="88"/>
      <c r="Z251" s="88"/>
      <c r="AA251" s="88"/>
      <c r="AB251" s="88"/>
      <c r="AC251" s="88"/>
      <c r="AD251" s="88"/>
      <c r="AE251" s="397" t="str">
        <f>IFERROR(VLOOKUP($AQ251,'(勿動)組件目錄表'!$D$15:$R$1094,4,FALSE),"")</f>
        <v/>
      </c>
      <c r="AF251" s="384"/>
      <c r="AG251" s="384"/>
      <c r="AH251" s="384"/>
      <c r="AI251" s="384"/>
      <c r="AJ251" s="385"/>
      <c r="AK251" s="54" t="b">
        <v>0</v>
      </c>
      <c r="AL251" s="54" t="b">
        <v>0</v>
      </c>
      <c r="AM251" s="54"/>
      <c r="AN251" s="7" t="str">
        <v>243</v>
      </c>
      <c r="AO251" s="7"/>
      <c r="AP251" s="62"/>
      <c r="AQ251" s="75" t="str">
        <v/>
      </c>
      <c r="AR251" s="75" t="str">
        <v>-</v>
      </c>
      <c r="AS251" s="11"/>
      <c r="AT251" s="77" t="str">
        <v>-</v>
      </c>
      <c r="AU251" s="11" t="str">
        <v>-</v>
      </c>
      <c r="AV251" s="100"/>
      <c r="AW251" s="80" t="str">
        <f ca="1"/>
        <v>-</v>
      </c>
      <c r="AX251" s="86" t="b">
        <v>0</v>
      </c>
      <c r="AY251" s="68" t="str">
        <f t="shared" si="0"/>
        <v/>
      </c>
      <c r="AZ251" s="69" t="str">
        <f t="shared" si="1"/>
        <v/>
      </c>
      <c r="BA251" s="70" t="str">
        <f t="shared" si="2"/>
        <v/>
      </c>
      <c r="BB251" s="68" t="str">
        <f t="shared" si="3"/>
        <v/>
      </c>
      <c r="BC251" s="69" t="str">
        <f>IFERROR(VLOOKUP($AQ251,'(勿動)組件目錄表'!$D$15:$R$1094,7,FALSE),"")</f>
        <v/>
      </c>
      <c r="BD251" s="69" t="str">
        <f>IFERROR(VLOOKUP($AQ251,'(勿動)組件目錄表'!$D$15:$R$1094,8,FALSE),"")</f>
        <v/>
      </c>
      <c r="BE251" s="69" t="str">
        <f>IFERROR(VLOOKUP($AQ251,'(勿動)組件目錄表'!$D$15:$R$1094,9,FALSE),"")</f>
        <v/>
      </c>
      <c r="BF251" s="69" t="str">
        <f>IFERROR(VLOOKUP($AQ251,'(勿動)組件目錄表'!$D$15:$R$1094,10,FALSE),"")</f>
        <v/>
      </c>
      <c r="BG251" s="69" t="str">
        <f>IFERROR(VLOOKUP($AQ251,'(勿動)組件目錄表'!$D$15:$R$1094,11,FALSE),"")</f>
        <v/>
      </c>
      <c r="BH251" s="69" t="str">
        <f>IFERROR(VLOOKUP($AQ251,'(勿動)組件目錄表'!$D$15:$R$1094,12,FALSE),"")</f>
        <v/>
      </c>
      <c r="BI251" s="69" t="str">
        <f>IFERROR(VLOOKUP($AQ251,'(勿動)組件目錄表'!$D$15:$R$1094,13,FALSE),"")</f>
        <v/>
      </c>
      <c r="BJ251" s="69" t="str">
        <f>IFERROR(VLOOKUP($AQ251,'(勿動)組件目錄表'!$D$15:$R$1094,14,FALSE),"")</f>
        <v/>
      </c>
      <c r="BK251" s="69" t="str">
        <f>IFERROR(VLOOKUP($AQ251,'(勿動)組件目錄表'!$D$15:$R$1094,15,FALSE),"")</f>
        <v/>
      </c>
      <c r="BL251" s="81">
        <f ca="1">IFERROR(__xludf.DUMMYFUNCTION("IFERROR(
  LET(
    rowData, FILTER('(勿動)組件目錄表'!J:Q, '(勿動)組件目錄表'!D:D=AQ251),
    IF(ROWS(rowData)=0, 0, 
      (
        IF(AND(BC251&lt;&gt;"""", INDEX(rowData,1,1)=BC251),1,0) +
        IF(AND(BD251&lt;&gt;"""", INDEX(rowData,1,2)=BD251),1,0) +
        IF(AND(BE251"&amp;"&lt;&gt;"""", INDEX(rowData,1,3)=BE251),1,0) +
        IF(AND(BF251&lt;&gt;"""", INDEX(rowData,1,4)=BF251),1,0) +
        IF(AND(BG251&lt;&gt;"""", INDEX(rowData,1,5)=BG251),1,0) +
        IF(AND(BH251&lt;&gt;"""", INDEX(rowData,1,6)=BH251),1,0) +
        IF(AND(BI251&lt;&gt;"""", IND"&amp;"EX(rowData,1,7)=BI251),1,0) +
        IF(AND(BJ251&lt;&gt;"""", INDEX(rowData,1,8)=BJ251),1,0)
      ) - COUNTIF(BC251:BJ251, ""-"")
        - COUNTIF(BC251:BJ251, ""固定格式，不需提供資訊"")
        - COUNTIF(BC251:BJ251, ""由MKT更新，此欄位固定格式，不需提供資訊
(Voucher CID：12917705872)"&amp;""")
        - COUNTIF(BC251:BJ251, ""text固定為以下：
※直播間僅支援手機版"")
        - COUNTIF(BC251:BJ251, ""text固定為以下：
※短影音僅支援手機版"")
    )
  ), 
  0
)
"),0)</f>
        <v>0</v>
      </c>
      <c r="BM251" s="77" t="b">
        <v>0</v>
      </c>
      <c r="BN251" s="85"/>
      <c r="BO251" s="85"/>
    </row>
    <row r="252" spans="1:67" ht="30" customHeight="1">
      <c r="A252" s="73" t="str">
        <f t="array" aca="1" ref="A252" ca="1">IFERROR(TRANSPOSE(INDIRECT('MS section版配(Old)'!$AO252)),"")</f>
        <v/>
      </c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8"/>
      <c r="P252" s="88"/>
      <c r="Q252" s="88"/>
      <c r="R252" s="88"/>
      <c r="S252" s="88"/>
      <c r="T252" s="88"/>
      <c r="U252" s="88"/>
      <c r="V252" s="88"/>
      <c r="W252" s="88"/>
      <c r="X252" s="88"/>
      <c r="Y252" s="88"/>
      <c r="Z252" s="88"/>
      <c r="AA252" s="88"/>
      <c r="AB252" s="88"/>
      <c r="AC252" s="88"/>
      <c r="AD252" s="88"/>
      <c r="AE252" s="397" t="str">
        <f>IFERROR(VLOOKUP($AQ252,'(勿動)組件目錄表'!$D$15:$R$1094,4,FALSE),"")</f>
        <v/>
      </c>
      <c r="AF252" s="384"/>
      <c r="AG252" s="384"/>
      <c r="AH252" s="384"/>
      <c r="AI252" s="384"/>
      <c r="AJ252" s="385"/>
      <c r="AK252" s="54" t="b">
        <v>0</v>
      </c>
      <c r="AL252" s="54" t="b">
        <v>0</v>
      </c>
      <c r="AM252" s="54"/>
      <c r="AN252" s="7" t="str">
        <v>244</v>
      </c>
      <c r="AO252" s="7"/>
      <c r="AP252" s="62"/>
      <c r="AQ252" s="75" t="str">
        <v/>
      </c>
      <c r="AR252" s="75" t="str">
        <v>-</v>
      </c>
      <c r="AS252" s="11"/>
      <c r="AT252" s="77" t="str">
        <v>-</v>
      </c>
      <c r="AU252" s="11" t="str">
        <v>-</v>
      </c>
      <c r="AV252" s="100"/>
      <c r="AW252" s="80" t="str">
        <f ca="1"/>
        <v>-</v>
      </c>
      <c r="AX252" s="86" t="b">
        <v>0</v>
      </c>
      <c r="AY252" s="68" t="str">
        <f t="shared" si="0"/>
        <v/>
      </c>
      <c r="AZ252" s="69" t="str">
        <f t="shared" si="1"/>
        <v/>
      </c>
      <c r="BA252" s="70" t="str">
        <f t="shared" si="2"/>
        <v/>
      </c>
      <c r="BB252" s="68" t="str">
        <f t="shared" si="3"/>
        <v/>
      </c>
      <c r="BC252" s="69" t="str">
        <f>IFERROR(VLOOKUP($AQ252,'(勿動)組件目錄表'!$D$15:$R$1094,7,FALSE),"")</f>
        <v/>
      </c>
      <c r="BD252" s="69" t="str">
        <f>IFERROR(VLOOKUP($AQ252,'(勿動)組件目錄表'!$D$15:$R$1094,8,FALSE),"")</f>
        <v/>
      </c>
      <c r="BE252" s="69" t="str">
        <f>IFERROR(VLOOKUP($AQ252,'(勿動)組件目錄表'!$D$15:$R$1094,9,FALSE),"")</f>
        <v/>
      </c>
      <c r="BF252" s="69" t="str">
        <f>IFERROR(VLOOKUP($AQ252,'(勿動)組件目錄表'!$D$15:$R$1094,10,FALSE),"")</f>
        <v/>
      </c>
      <c r="BG252" s="69" t="str">
        <f>IFERROR(VLOOKUP($AQ252,'(勿動)組件目錄表'!$D$15:$R$1094,11,FALSE),"")</f>
        <v/>
      </c>
      <c r="BH252" s="69" t="str">
        <f>IFERROR(VLOOKUP($AQ252,'(勿動)組件目錄表'!$D$15:$R$1094,12,FALSE),"")</f>
        <v/>
      </c>
      <c r="BI252" s="69" t="str">
        <f>IFERROR(VLOOKUP($AQ252,'(勿動)組件目錄表'!$D$15:$R$1094,13,FALSE),"")</f>
        <v/>
      </c>
      <c r="BJ252" s="69" t="str">
        <f>IFERROR(VLOOKUP($AQ252,'(勿動)組件目錄表'!$D$15:$R$1094,14,FALSE),"")</f>
        <v/>
      </c>
      <c r="BK252" s="69" t="str">
        <f>IFERROR(VLOOKUP($AQ252,'(勿動)組件目錄表'!$D$15:$R$1094,15,FALSE),"")</f>
        <v/>
      </c>
      <c r="BL252" s="81">
        <f ca="1">IFERROR(__xludf.DUMMYFUNCTION("IFERROR(
  LET(
    rowData, FILTER('(勿動)組件目錄表'!J:Q, '(勿動)組件目錄表'!D:D=AQ252),
    IF(ROWS(rowData)=0, 0, 
      (
        IF(AND(BC252&lt;&gt;"""", INDEX(rowData,1,1)=BC252),1,0) +
        IF(AND(BD252&lt;&gt;"""", INDEX(rowData,1,2)=BD252),1,0) +
        IF(AND(BE252"&amp;"&lt;&gt;"""", INDEX(rowData,1,3)=BE252),1,0) +
        IF(AND(BF252&lt;&gt;"""", INDEX(rowData,1,4)=BF252),1,0) +
        IF(AND(BG252&lt;&gt;"""", INDEX(rowData,1,5)=BG252),1,0) +
        IF(AND(BH252&lt;&gt;"""", INDEX(rowData,1,6)=BH252),1,0) +
        IF(AND(BI252&lt;&gt;"""", IND"&amp;"EX(rowData,1,7)=BI252),1,0) +
        IF(AND(BJ252&lt;&gt;"""", INDEX(rowData,1,8)=BJ252),1,0)
      ) - COUNTIF(BC252:BJ252, ""-"")
        - COUNTIF(BC252:BJ252, ""固定格式，不需提供資訊"")
        - COUNTIF(BC252:BJ252, ""由MKT更新，此欄位固定格式，不需提供資訊
(Voucher CID：12917705872)"&amp;""")
        - COUNTIF(BC252:BJ252, ""text固定為以下：
※直播間僅支援手機版"")
        - COUNTIF(BC252:BJ252, ""text固定為以下：
※短影音僅支援手機版"")
    )
  ), 
  0
)
"),0)</f>
        <v>0</v>
      </c>
      <c r="BM252" s="77" t="b">
        <v>0</v>
      </c>
      <c r="BN252" s="85"/>
      <c r="BO252" s="85"/>
    </row>
    <row r="253" spans="1:67" ht="30" customHeight="1">
      <c r="A253" s="73" t="str">
        <f t="array" aca="1" ref="A253" ca="1">IFERROR(TRANSPOSE(INDIRECT('MS section版配(Old)'!$AO253)),"")</f>
        <v/>
      </c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8"/>
      <c r="P253" s="88"/>
      <c r="Q253" s="88"/>
      <c r="R253" s="88"/>
      <c r="S253" s="88"/>
      <c r="T253" s="88"/>
      <c r="U253" s="88"/>
      <c r="V253" s="88"/>
      <c r="W253" s="88"/>
      <c r="X253" s="88"/>
      <c r="Y253" s="88"/>
      <c r="Z253" s="88"/>
      <c r="AA253" s="88"/>
      <c r="AB253" s="88"/>
      <c r="AC253" s="88"/>
      <c r="AD253" s="88"/>
      <c r="AE253" s="397" t="str">
        <f>IFERROR(VLOOKUP($AQ253,'(勿動)組件目錄表'!$D$15:$R$1094,4,FALSE),"")</f>
        <v/>
      </c>
      <c r="AF253" s="384"/>
      <c r="AG253" s="384"/>
      <c r="AH253" s="384"/>
      <c r="AI253" s="384"/>
      <c r="AJ253" s="385"/>
      <c r="AK253" s="54" t="b">
        <v>0</v>
      </c>
      <c r="AL253" s="54" t="b">
        <v>0</v>
      </c>
      <c r="AM253" s="54"/>
      <c r="AN253" s="7" t="str">
        <v>245</v>
      </c>
      <c r="AO253" s="7"/>
      <c r="AP253" s="62"/>
      <c r="AQ253" s="75" t="str">
        <v/>
      </c>
      <c r="AR253" s="75" t="str">
        <v>-</v>
      </c>
      <c r="AS253" s="11"/>
      <c r="AT253" s="77" t="str">
        <v>-</v>
      </c>
      <c r="AU253" s="11" t="str">
        <v>-</v>
      </c>
      <c r="AV253" s="100"/>
      <c r="AW253" s="80" t="str">
        <f ca="1"/>
        <v>-</v>
      </c>
      <c r="AX253" s="86" t="b">
        <v>0</v>
      </c>
      <c r="AY253" s="68" t="str">
        <f t="shared" si="0"/>
        <v/>
      </c>
      <c r="AZ253" s="69" t="str">
        <f t="shared" si="1"/>
        <v/>
      </c>
      <c r="BA253" s="70" t="str">
        <f t="shared" si="2"/>
        <v/>
      </c>
      <c r="BB253" s="68" t="str">
        <f t="shared" si="3"/>
        <v/>
      </c>
      <c r="BC253" s="69" t="str">
        <f>IFERROR(VLOOKUP($AQ253,'(勿動)組件目錄表'!$D$15:$R$1094,7,FALSE),"")</f>
        <v/>
      </c>
      <c r="BD253" s="69" t="str">
        <f>IFERROR(VLOOKUP($AQ253,'(勿動)組件目錄表'!$D$15:$R$1094,8,FALSE),"")</f>
        <v/>
      </c>
      <c r="BE253" s="69" t="str">
        <f>IFERROR(VLOOKUP($AQ253,'(勿動)組件目錄表'!$D$15:$R$1094,9,FALSE),"")</f>
        <v/>
      </c>
      <c r="BF253" s="69" t="str">
        <f>IFERROR(VLOOKUP($AQ253,'(勿動)組件目錄表'!$D$15:$R$1094,10,FALSE),"")</f>
        <v/>
      </c>
      <c r="BG253" s="69" t="str">
        <f>IFERROR(VLOOKUP($AQ253,'(勿動)組件目錄表'!$D$15:$R$1094,11,FALSE),"")</f>
        <v/>
      </c>
      <c r="BH253" s="69" t="str">
        <f>IFERROR(VLOOKUP($AQ253,'(勿動)組件目錄表'!$D$15:$R$1094,12,FALSE),"")</f>
        <v/>
      </c>
      <c r="BI253" s="69" t="str">
        <f>IFERROR(VLOOKUP($AQ253,'(勿動)組件目錄表'!$D$15:$R$1094,13,FALSE),"")</f>
        <v/>
      </c>
      <c r="BJ253" s="69" t="str">
        <f>IFERROR(VLOOKUP($AQ253,'(勿動)組件目錄表'!$D$15:$R$1094,14,FALSE),"")</f>
        <v/>
      </c>
      <c r="BK253" s="69" t="str">
        <f>IFERROR(VLOOKUP($AQ253,'(勿動)組件目錄表'!$D$15:$R$1094,15,FALSE),"")</f>
        <v/>
      </c>
      <c r="BL253" s="81">
        <f ca="1">IFERROR(__xludf.DUMMYFUNCTION("IFERROR(
  LET(
    rowData, FILTER('(勿動)組件目錄表'!J:Q, '(勿動)組件目錄表'!D:D=AQ253),
    IF(ROWS(rowData)=0, 0, 
      (
        IF(AND(BC253&lt;&gt;"""", INDEX(rowData,1,1)=BC253),1,0) +
        IF(AND(BD253&lt;&gt;"""", INDEX(rowData,1,2)=BD253),1,0) +
        IF(AND(BE253"&amp;"&lt;&gt;"""", INDEX(rowData,1,3)=BE253),1,0) +
        IF(AND(BF253&lt;&gt;"""", INDEX(rowData,1,4)=BF253),1,0) +
        IF(AND(BG253&lt;&gt;"""", INDEX(rowData,1,5)=BG253),1,0) +
        IF(AND(BH253&lt;&gt;"""", INDEX(rowData,1,6)=BH253),1,0) +
        IF(AND(BI253&lt;&gt;"""", IND"&amp;"EX(rowData,1,7)=BI253),1,0) +
        IF(AND(BJ253&lt;&gt;"""", INDEX(rowData,1,8)=BJ253),1,0)
      ) - COUNTIF(BC253:BJ253, ""-"")
        - COUNTIF(BC253:BJ253, ""固定格式，不需提供資訊"")
        - COUNTIF(BC253:BJ253, ""由MKT更新，此欄位固定格式，不需提供資訊
(Voucher CID：12917705872)"&amp;""")
        - COUNTIF(BC253:BJ253, ""text固定為以下：
※直播間僅支援手機版"")
        - COUNTIF(BC253:BJ253, ""text固定為以下：
※短影音僅支援手機版"")
    )
  ), 
  0
)
"),0)</f>
        <v>0</v>
      </c>
      <c r="BM253" s="77" t="b">
        <v>0</v>
      </c>
      <c r="BN253" s="85"/>
      <c r="BO253" s="85"/>
    </row>
    <row r="254" spans="1:67" ht="30" customHeight="1">
      <c r="A254" s="73" t="str">
        <f t="array" aca="1" ref="A254" ca="1">IFERROR(TRANSPOSE(INDIRECT('MS section版配(Old)'!$AO254)),"")</f>
        <v/>
      </c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8"/>
      <c r="P254" s="88"/>
      <c r="Q254" s="88"/>
      <c r="R254" s="88"/>
      <c r="S254" s="88"/>
      <c r="T254" s="88"/>
      <c r="U254" s="88"/>
      <c r="V254" s="88"/>
      <c r="W254" s="88"/>
      <c r="X254" s="88"/>
      <c r="Y254" s="88"/>
      <c r="Z254" s="88"/>
      <c r="AA254" s="88"/>
      <c r="AB254" s="88"/>
      <c r="AC254" s="88"/>
      <c r="AD254" s="88"/>
      <c r="AE254" s="397" t="str">
        <f>IFERROR(VLOOKUP($AQ254,'(勿動)組件目錄表'!$D$15:$R$1094,4,FALSE),"")</f>
        <v/>
      </c>
      <c r="AF254" s="384"/>
      <c r="AG254" s="384"/>
      <c r="AH254" s="384"/>
      <c r="AI254" s="384"/>
      <c r="AJ254" s="385"/>
      <c r="AK254" s="54" t="b">
        <v>0</v>
      </c>
      <c r="AL254" s="54" t="b">
        <v>0</v>
      </c>
      <c r="AM254" s="54"/>
      <c r="AN254" s="7" t="str">
        <v>246</v>
      </c>
      <c r="AO254" s="7"/>
      <c r="AP254" s="62"/>
      <c r="AQ254" s="75" t="str">
        <v/>
      </c>
      <c r="AR254" s="75" t="str">
        <v>-</v>
      </c>
      <c r="AS254" s="11"/>
      <c r="AT254" s="77" t="str">
        <v>-</v>
      </c>
      <c r="AU254" s="11" t="str">
        <v>-</v>
      </c>
      <c r="AV254" s="100"/>
      <c r="AW254" s="80" t="str">
        <f ca="1"/>
        <v>-</v>
      </c>
      <c r="AX254" s="86" t="b">
        <v>0</v>
      </c>
      <c r="AY254" s="68" t="str">
        <f t="shared" si="0"/>
        <v/>
      </c>
      <c r="AZ254" s="69" t="str">
        <f t="shared" si="1"/>
        <v/>
      </c>
      <c r="BA254" s="70" t="str">
        <f t="shared" si="2"/>
        <v/>
      </c>
      <c r="BB254" s="68" t="str">
        <f t="shared" si="3"/>
        <v/>
      </c>
      <c r="BC254" s="69" t="str">
        <f>IFERROR(VLOOKUP($AQ254,'(勿動)組件目錄表'!$D$15:$R$1094,7,FALSE),"")</f>
        <v/>
      </c>
      <c r="BD254" s="69" t="str">
        <f>IFERROR(VLOOKUP($AQ254,'(勿動)組件目錄表'!$D$15:$R$1094,8,FALSE),"")</f>
        <v/>
      </c>
      <c r="BE254" s="69" t="str">
        <f>IFERROR(VLOOKUP($AQ254,'(勿動)組件目錄表'!$D$15:$R$1094,9,FALSE),"")</f>
        <v/>
      </c>
      <c r="BF254" s="69" t="str">
        <f>IFERROR(VLOOKUP($AQ254,'(勿動)組件目錄表'!$D$15:$R$1094,10,FALSE),"")</f>
        <v/>
      </c>
      <c r="BG254" s="69" t="str">
        <f>IFERROR(VLOOKUP($AQ254,'(勿動)組件目錄表'!$D$15:$R$1094,11,FALSE),"")</f>
        <v/>
      </c>
      <c r="BH254" s="69" t="str">
        <f>IFERROR(VLOOKUP($AQ254,'(勿動)組件目錄表'!$D$15:$R$1094,12,FALSE),"")</f>
        <v/>
      </c>
      <c r="BI254" s="69" t="str">
        <f>IFERROR(VLOOKUP($AQ254,'(勿動)組件目錄表'!$D$15:$R$1094,13,FALSE),"")</f>
        <v/>
      </c>
      <c r="BJ254" s="69" t="str">
        <f>IFERROR(VLOOKUP($AQ254,'(勿動)組件目錄表'!$D$15:$R$1094,14,FALSE),"")</f>
        <v/>
      </c>
      <c r="BK254" s="69" t="str">
        <f>IFERROR(VLOOKUP($AQ254,'(勿動)組件目錄表'!$D$15:$R$1094,15,FALSE),"")</f>
        <v/>
      </c>
      <c r="BL254" s="81">
        <f ca="1">IFERROR(__xludf.DUMMYFUNCTION("IFERROR(
  LET(
    rowData, FILTER('(勿動)組件目錄表'!J:Q, '(勿動)組件目錄表'!D:D=AQ254),
    IF(ROWS(rowData)=0, 0, 
      (
        IF(AND(BC254&lt;&gt;"""", INDEX(rowData,1,1)=BC254),1,0) +
        IF(AND(BD254&lt;&gt;"""", INDEX(rowData,1,2)=BD254),1,0) +
        IF(AND(BE254"&amp;"&lt;&gt;"""", INDEX(rowData,1,3)=BE254),1,0) +
        IF(AND(BF254&lt;&gt;"""", INDEX(rowData,1,4)=BF254),1,0) +
        IF(AND(BG254&lt;&gt;"""", INDEX(rowData,1,5)=BG254),1,0) +
        IF(AND(BH254&lt;&gt;"""", INDEX(rowData,1,6)=BH254),1,0) +
        IF(AND(BI254&lt;&gt;"""", IND"&amp;"EX(rowData,1,7)=BI254),1,0) +
        IF(AND(BJ254&lt;&gt;"""", INDEX(rowData,1,8)=BJ254),1,0)
      ) - COUNTIF(BC254:BJ254, ""-"")
        - COUNTIF(BC254:BJ254, ""固定格式，不需提供資訊"")
        - COUNTIF(BC254:BJ254, ""由MKT更新，此欄位固定格式，不需提供資訊
(Voucher CID：12917705872)"&amp;""")
        - COUNTIF(BC254:BJ254, ""text固定為以下：
※直播間僅支援手機版"")
        - COUNTIF(BC254:BJ254, ""text固定為以下：
※短影音僅支援手機版"")
    )
  ), 
  0
)
"),0)</f>
        <v>0</v>
      </c>
      <c r="BM254" s="77" t="b">
        <v>0</v>
      </c>
      <c r="BN254" s="85"/>
      <c r="BO254" s="85"/>
    </row>
    <row r="255" spans="1:67" ht="30" customHeight="1">
      <c r="A255" s="73" t="str">
        <f t="array" aca="1" ref="A255" ca="1">IFERROR(TRANSPOSE(INDIRECT('MS section版配(Old)'!$AO255)),"")</f>
        <v/>
      </c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8"/>
      <c r="P255" s="88"/>
      <c r="Q255" s="88"/>
      <c r="R255" s="88"/>
      <c r="S255" s="88"/>
      <c r="T255" s="88"/>
      <c r="U255" s="88"/>
      <c r="V255" s="88"/>
      <c r="W255" s="88"/>
      <c r="X255" s="88"/>
      <c r="Y255" s="88"/>
      <c r="Z255" s="88"/>
      <c r="AA255" s="88"/>
      <c r="AB255" s="88"/>
      <c r="AC255" s="88"/>
      <c r="AD255" s="88"/>
      <c r="AE255" s="397" t="str">
        <f>IFERROR(VLOOKUP($AQ255,'(勿動)組件目錄表'!$D$15:$R$1094,4,FALSE),"")</f>
        <v/>
      </c>
      <c r="AF255" s="384"/>
      <c r="AG255" s="384"/>
      <c r="AH255" s="384"/>
      <c r="AI255" s="384"/>
      <c r="AJ255" s="385"/>
      <c r="AK255" s="54" t="b">
        <v>0</v>
      </c>
      <c r="AL255" s="54" t="b">
        <v>0</v>
      </c>
      <c r="AM255" s="54"/>
      <c r="AN255" s="7" t="str">
        <v>247</v>
      </c>
      <c r="AO255" s="7"/>
      <c r="AP255" s="62"/>
      <c r="AQ255" s="75" t="str">
        <v/>
      </c>
      <c r="AR255" s="75" t="str">
        <v>-</v>
      </c>
      <c r="AS255" s="11"/>
      <c r="AT255" s="77" t="str">
        <v>-</v>
      </c>
      <c r="AU255" s="11" t="str">
        <v>-</v>
      </c>
      <c r="AV255" s="100"/>
      <c r="AW255" s="80" t="str">
        <f ca="1"/>
        <v>-</v>
      </c>
      <c r="AX255" s="86" t="b">
        <v>0</v>
      </c>
      <c r="AY255" s="68" t="str">
        <f t="shared" si="0"/>
        <v/>
      </c>
      <c r="AZ255" s="69" t="str">
        <f t="shared" si="1"/>
        <v/>
      </c>
      <c r="BA255" s="70" t="str">
        <f t="shared" si="2"/>
        <v/>
      </c>
      <c r="BB255" s="68" t="str">
        <f t="shared" si="3"/>
        <v/>
      </c>
      <c r="BC255" s="69" t="str">
        <f>IFERROR(VLOOKUP($AQ255,'(勿動)組件目錄表'!$D$15:$R$1094,7,FALSE),"")</f>
        <v/>
      </c>
      <c r="BD255" s="69" t="str">
        <f>IFERROR(VLOOKUP($AQ255,'(勿動)組件目錄表'!$D$15:$R$1094,8,FALSE),"")</f>
        <v/>
      </c>
      <c r="BE255" s="69" t="str">
        <f>IFERROR(VLOOKUP($AQ255,'(勿動)組件目錄表'!$D$15:$R$1094,9,FALSE),"")</f>
        <v/>
      </c>
      <c r="BF255" s="69" t="str">
        <f>IFERROR(VLOOKUP($AQ255,'(勿動)組件目錄表'!$D$15:$R$1094,10,FALSE),"")</f>
        <v/>
      </c>
      <c r="BG255" s="69" t="str">
        <f>IFERROR(VLOOKUP($AQ255,'(勿動)組件目錄表'!$D$15:$R$1094,11,FALSE),"")</f>
        <v/>
      </c>
      <c r="BH255" s="69" t="str">
        <f>IFERROR(VLOOKUP($AQ255,'(勿動)組件目錄表'!$D$15:$R$1094,12,FALSE),"")</f>
        <v/>
      </c>
      <c r="BI255" s="69" t="str">
        <f>IFERROR(VLOOKUP($AQ255,'(勿動)組件目錄表'!$D$15:$R$1094,13,FALSE),"")</f>
        <v/>
      </c>
      <c r="BJ255" s="69" t="str">
        <f>IFERROR(VLOOKUP($AQ255,'(勿動)組件目錄表'!$D$15:$R$1094,14,FALSE),"")</f>
        <v/>
      </c>
      <c r="BK255" s="69" t="str">
        <f>IFERROR(VLOOKUP($AQ255,'(勿動)組件目錄表'!$D$15:$R$1094,15,FALSE),"")</f>
        <v/>
      </c>
      <c r="BL255" s="81">
        <f ca="1">IFERROR(__xludf.DUMMYFUNCTION("IFERROR(
  LET(
    rowData, FILTER('(勿動)組件目錄表'!J:Q, '(勿動)組件目錄表'!D:D=AQ255),
    IF(ROWS(rowData)=0, 0, 
      (
        IF(AND(BC255&lt;&gt;"""", INDEX(rowData,1,1)=BC255),1,0) +
        IF(AND(BD255&lt;&gt;"""", INDEX(rowData,1,2)=BD255),1,0) +
        IF(AND(BE255"&amp;"&lt;&gt;"""", INDEX(rowData,1,3)=BE255),1,0) +
        IF(AND(BF255&lt;&gt;"""", INDEX(rowData,1,4)=BF255),1,0) +
        IF(AND(BG255&lt;&gt;"""", INDEX(rowData,1,5)=BG255),1,0) +
        IF(AND(BH255&lt;&gt;"""", INDEX(rowData,1,6)=BH255),1,0) +
        IF(AND(BI255&lt;&gt;"""", IND"&amp;"EX(rowData,1,7)=BI255),1,0) +
        IF(AND(BJ255&lt;&gt;"""", INDEX(rowData,1,8)=BJ255),1,0)
      ) - COUNTIF(BC255:BJ255, ""-"")
        - COUNTIF(BC255:BJ255, ""固定格式，不需提供資訊"")
        - COUNTIF(BC255:BJ255, ""由MKT更新，此欄位固定格式，不需提供資訊
(Voucher CID：12917705872)"&amp;""")
        - COUNTIF(BC255:BJ255, ""text固定為以下：
※直播間僅支援手機版"")
        - COUNTIF(BC255:BJ255, ""text固定為以下：
※短影音僅支援手機版"")
    )
  ), 
  0
)
"),0)</f>
        <v>0</v>
      </c>
      <c r="BM255" s="77" t="b">
        <v>0</v>
      </c>
      <c r="BN255" s="85"/>
      <c r="BO255" s="85"/>
    </row>
    <row r="256" spans="1:67" ht="30" customHeight="1">
      <c r="A256" s="73" t="str">
        <f t="array" aca="1" ref="A256" ca="1">IFERROR(TRANSPOSE(INDIRECT('MS section版配(Old)'!$AO256)),"")</f>
        <v/>
      </c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8"/>
      <c r="P256" s="88"/>
      <c r="Q256" s="88"/>
      <c r="R256" s="88"/>
      <c r="S256" s="88"/>
      <c r="T256" s="88"/>
      <c r="U256" s="88"/>
      <c r="V256" s="88"/>
      <c r="W256" s="88"/>
      <c r="X256" s="88"/>
      <c r="Y256" s="88"/>
      <c r="Z256" s="88"/>
      <c r="AA256" s="88"/>
      <c r="AB256" s="88"/>
      <c r="AC256" s="88"/>
      <c r="AD256" s="88"/>
      <c r="AE256" s="397" t="str">
        <f>IFERROR(VLOOKUP($AQ256,'(勿動)組件目錄表'!$D$15:$R$1094,4,FALSE),"")</f>
        <v/>
      </c>
      <c r="AF256" s="384"/>
      <c r="AG256" s="384"/>
      <c r="AH256" s="384"/>
      <c r="AI256" s="384"/>
      <c r="AJ256" s="385"/>
      <c r="AK256" s="54" t="b">
        <v>0</v>
      </c>
      <c r="AL256" s="54" t="b">
        <v>0</v>
      </c>
      <c r="AM256" s="54"/>
      <c r="AN256" s="7" t="str">
        <v>248</v>
      </c>
      <c r="AO256" s="7"/>
      <c r="AP256" s="62"/>
      <c r="AQ256" s="75" t="str">
        <v/>
      </c>
      <c r="AR256" s="75" t="str">
        <v>-</v>
      </c>
      <c r="AS256" s="11"/>
      <c r="AT256" s="77" t="str">
        <v>-</v>
      </c>
      <c r="AU256" s="11" t="str">
        <v>-</v>
      </c>
      <c r="AV256" s="100"/>
      <c r="AW256" s="80" t="str">
        <f ca="1"/>
        <v>-</v>
      </c>
      <c r="AX256" s="86" t="b">
        <v>0</v>
      </c>
      <c r="AY256" s="68" t="str">
        <f t="shared" si="0"/>
        <v/>
      </c>
      <c r="AZ256" s="69" t="str">
        <f t="shared" si="1"/>
        <v/>
      </c>
      <c r="BA256" s="70" t="str">
        <f t="shared" si="2"/>
        <v/>
      </c>
      <c r="BB256" s="68" t="str">
        <f t="shared" si="3"/>
        <v/>
      </c>
      <c r="BC256" s="69" t="str">
        <f>IFERROR(VLOOKUP($AQ256,'(勿動)組件目錄表'!$D$15:$R$1094,7,FALSE),"")</f>
        <v/>
      </c>
      <c r="BD256" s="69" t="str">
        <f>IFERROR(VLOOKUP($AQ256,'(勿動)組件目錄表'!$D$15:$R$1094,8,FALSE),"")</f>
        <v/>
      </c>
      <c r="BE256" s="69" t="str">
        <f>IFERROR(VLOOKUP($AQ256,'(勿動)組件目錄表'!$D$15:$R$1094,9,FALSE),"")</f>
        <v/>
      </c>
      <c r="BF256" s="69" t="str">
        <f>IFERROR(VLOOKUP($AQ256,'(勿動)組件目錄表'!$D$15:$R$1094,10,FALSE),"")</f>
        <v/>
      </c>
      <c r="BG256" s="69" t="str">
        <f>IFERROR(VLOOKUP($AQ256,'(勿動)組件目錄表'!$D$15:$R$1094,11,FALSE),"")</f>
        <v/>
      </c>
      <c r="BH256" s="69" t="str">
        <f>IFERROR(VLOOKUP($AQ256,'(勿動)組件目錄表'!$D$15:$R$1094,12,FALSE),"")</f>
        <v/>
      </c>
      <c r="BI256" s="69" t="str">
        <f>IFERROR(VLOOKUP($AQ256,'(勿動)組件目錄表'!$D$15:$R$1094,13,FALSE),"")</f>
        <v/>
      </c>
      <c r="BJ256" s="69" t="str">
        <f>IFERROR(VLOOKUP($AQ256,'(勿動)組件目錄表'!$D$15:$R$1094,14,FALSE),"")</f>
        <v/>
      </c>
      <c r="BK256" s="69" t="str">
        <f>IFERROR(VLOOKUP($AQ256,'(勿動)組件目錄表'!$D$15:$R$1094,15,FALSE),"")</f>
        <v/>
      </c>
      <c r="BL256" s="81">
        <f ca="1">IFERROR(__xludf.DUMMYFUNCTION("IFERROR(
  LET(
    rowData, FILTER('(勿動)組件目錄表'!J:Q, '(勿動)組件目錄表'!D:D=AQ256),
    IF(ROWS(rowData)=0, 0, 
      (
        IF(AND(BC256&lt;&gt;"""", INDEX(rowData,1,1)=BC256),1,0) +
        IF(AND(BD256&lt;&gt;"""", INDEX(rowData,1,2)=BD256),1,0) +
        IF(AND(BE256"&amp;"&lt;&gt;"""", INDEX(rowData,1,3)=BE256),1,0) +
        IF(AND(BF256&lt;&gt;"""", INDEX(rowData,1,4)=BF256),1,0) +
        IF(AND(BG256&lt;&gt;"""", INDEX(rowData,1,5)=BG256),1,0) +
        IF(AND(BH256&lt;&gt;"""", INDEX(rowData,1,6)=BH256),1,0) +
        IF(AND(BI256&lt;&gt;"""", IND"&amp;"EX(rowData,1,7)=BI256),1,0) +
        IF(AND(BJ256&lt;&gt;"""", INDEX(rowData,1,8)=BJ256),1,0)
      ) - COUNTIF(BC256:BJ256, ""-"")
        - COUNTIF(BC256:BJ256, ""固定格式，不需提供資訊"")
        - COUNTIF(BC256:BJ256, ""由MKT更新，此欄位固定格式，不需提供資訊
(Voucher CID：12917705872)"&amp;""")
        - COUNTIF(BC256:BJ256, ""text固定為以下：
※直播間僅支援手機版"")
        - COUNTIF(BC256:BJ256, ""text固定為以下：
※短影音僅支援手機版"")
    )
  ), 
  0
)
"),0)</f>
        <v>0</v>
      </c>
      <c r="BM256" s="77" t="b">
        <v>0</v>
      </c>
      <c r="BN256" s="85"/>
      <c r="BO256" s="85"/>
    </row>
    <row r="257" spans="1:67" ht="30" customHeight="1">
      <c r="A257" s="73" t="str">
        <f t="array" aca="1" ref="A257" ca="1">IFERROR(TRANSPOSE(INDIRECT('MS section版配(Old)'!$AO257)),"")</f>
        <v/>
      </c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8"/>
      <c r="P257" s="88"/>
      <c r="Q257" s="88"/>
      <c r="R257" s="88"/>
      <c r="S257" s="88"/>
      <c r="T257" s="88"/>
      <c r="U257" s="88"/>
      <c r="V257" s="88"/>
      <c r="W257" s="88"/>
      <c r="X257" s="88"/>
      <c r="Y257" s="88"/>
      <c r="Z257" s="88"/>
      <c r="AA257" s="88"/>
      <c r="AB257" s="88"/>
      <c r="AC257" s="88"/>
      <c r="AD257" s="88"/>
      <c r="AE257" s="397" t="str">
        <f>IFERROR(VLOOKUP($AQ257,'(勿動)組件目錄表'!$D$15:$R$1094,4,FALSE),"")</f>
        <v/>
      </c>
      <c r="AF257" s="384"/>
      <c r="AG257" s="384"/>
      <c r="AH257" s="384"/>
      <c r="AI257" s="384"/>
      <c r="AJ257" s="385"/>
      <c r="AK257" s="54" t="b">
        <v>0</v>
      </c>
      <c r="AL257" s="54" t="b">
        <v>0</v>
      </c>
      <c r="AM257" s="54"/>
      <c r="AN257" s="7" t="str">
        <v>249</v>
      </c>
      <c r="AO257" s="7"/>
      <c r="AP257" s="62"/>
      <c r="AQ257" s="75" t="str">
        <v/>
      </c>
      <c r="AR257" s="75" t="str">
        <v>-</v>
      </c>
      <c r="AS257" s="11"/>
      <c r="AT257" s="77" t="str">
        <v>-</v>
      </c>
      <c r="AU257" s="11" t="str">
        <v>-</v>
      </c>
      <c r="AV257" s="100"/>
      <c r="AW257" s="80" t="str">
        <f ca="1"/>
        <v>-</v>
      </c>
      <c r="AX257" s="86" t="b">
        <v>0</v>
      </c>
      <c r="AY257" s="68" t="str">
        <f t="shared" si="0"/>
        <v/>
      </c>
      <c r="AZ257" s="69" t="str">
        <f t="shared" si="1"/>
        <v/>
      </c>
      <c r="BA257" s="70" t="str">
        <f t="shared" si="2"/>
        <v/>
      </c>
      <c r="BB257" s="68" t="str">
        <f t="shared" si="3"/>
        <v/>
      </c>
      <c r="BC257" s="69" t="str">
        <f>IFERROR(VLOOKUP($AQ257,'(勿動)組件目錄表'!$D$15:$R$1094,7,FALSE),"")</f>
        <v/>
      </c>
      <c r="BD257" s="69" t="str">
        <f>IFERROR(VLOOKUP($AQ257,'(勿動)組件目錄表'!$D$15:$R$1094,8,FALSE),"")</f>
        <v/>
      </c>
      <c r="BE257" s="69" t="str">
        <f>IFERROR(VLOOKUP($AQ257,'(勿動)組件目錄表'!$D$15:$R$1094,9,FALSE),"")</f>
        <v/>
      </c>
      <c r="BF257" s="69" t="str">
        <f>IFERROR(VLOOKUP($AQ257,'(勿動)組件目錄表'!$D$15:$R$1094,10,FALSE),"")</f>
        <v/>
      </c>
      <c r="BG257" s="69" t="str">
        <f>IFERROR(VLOOKUP($AQ257,'(勿動)組件目錄表'!$D$15:$R$1094,11,FALSE),"")</f>
        <v/>
      </c>
      <c r="BH257" s="69" t="str">
        <f>IFERROR(VLOOKUP($AQ257,'(勿動)組件目錄表'!$D$15:$R$1094,12,FALSE),"")</f>
        <v/>
      </c>
      <c r="BI257" s="69" t="str">
        <f>IFERROR(VLOOKUP($AQ257,'(勿動)組件目錄表'!$D$15:$R$1094,13,FALSE),"")</f>
        <v/>
      </c>
      <c r="BJ257" s="69" t="str">
        <f>IFERROR(VLOOKUP($AQ257,'(勿動)組件目錄表'!$D$15:$R$1094,14,FALSE),"")</f>
        <v/>
      </c>
      <c r="BK257" s="69" t="str">
        <f>IFERROR(VLOOKUP($AQ257,'(勿動)組件目錄表'!$D$15:$R$1094,15,FALSE),"")</f>
        <v/>
      </c>
      <c r="BL257" s="81">
        <f ca="1">IFERROR(__xludf.DUMMYFUNCTION("IFERROR(
  LET(
    rowData, FILTER('(勿動)組件目錄表'!J:Q, '(勿動)組件目錄表'!D:D=AQ257),
    IF(ROWS(rowData)=0, 0, 
      (
        IF(AND(BC257&lt;&gt;"""", INDEX(rowData,1,1)=BC257),1,0) +
        IF(AND(BD257&lt;&gt;"""", INDEX(rowData,1,2)=BD257),1,0) +
        IF(AND(BE257"&amp;"&lt;&gt;"""", INDEX(rowData,1,3)=BE257),1,0) +
        IF(AND(BF257&lt;&gt;"""", INDEX(rowData,1,4)=BF257),1,0) +
        IF(AND(BG257&lt;&gt;"""", INDEX(rowData,1,5)=BG257),1,0) +
        IF(AND(BH257&lt;&gt;"""", INDEX(rowData,1,6)=BH257),1,0) +
        IF(AND(BI257&lt;&gt;"""", IND"&amp;"EX(rowData,1,7)=BI257),1,0) +
        IF(AND(BJ257&lt;&gt;"""", INDEX(rowData,1,8)=BJ257),1,0)
      ) - COUNTIF(BC257:BJ257, ""-"")
        - COUNTIF(BC257:BJ257, ""固定格式，不需提供資訊"")
        - COUNTIF(BC257:BJ257, ""由MKT更新，此欄位固定格式，不需提供資訊
(Voucher CID：12917705872)"&amp;""")
        - COUNTIF(BC257:BJ257, ""text固定為以下：
※直播間僅支援手機版"")
        - COUNTIF(BC257:BJ257, ""text固定為以下：
※短影音僅支援手機版"")
    )
  ), 
  0
)
"),0)</f>
        <v>0</v>
      </c>
      <c r="BM257" s="77" t="b">
        <v>0</v>
      </c>
      <c r="BN257" s="85"/>
      <c r="BO257" s="85"/>
    </row>
    <row r="258" spans="1:67" ht="30" customHeight="1">
      <c r="A258" s="73" t="str">
        <f t="array" aca="1" ref="A258" ca="1">IFERROR(TRANSPOSE(INDIRECT('MS section版配(Old)'!$AO258)),"")</f>
        <v/>
      </c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8"/>
      <c r="P258" s="88"/>
      <c r="Q258" s="88"/>
      <c r="R258" s="88"/>
      <c r="S258" s="88"/>
      <c r="T258" s="88"/>
      <c r="U258" s="88"/>
      <c r="V258" s="88"/>
      <c r="W258" s="88"/>
      <c r="X258" s="88"/>
      <c r="Y258" s="88"/>
      <c r="Z258" s="88"/>
      <c r="AA258" s="88"/>
      <c r="AB258" s="88"/>
      <c r="AC258" s="88"/>
      <c r="AD258" s="88"/>
      <c r="AE258" s="397" t="str">
        <f>IFERROR(VLOOKUP($AQ258,'(勿動)組件目錄表'!$D$15:$R$1094,4,FALSE),"")</f>
        <v/>
      </c>
      <c r="AF258" s="384"/>
      <c r="AG258" s="384"/>
      <c r="AH258" s="384"/>
      <c r="AI258" s="384"/>
      <c r="AJ258" s="385"/>
      <c r="AK258" s="54" t="b">
        <v>0</v>
      </c>
      <c r="AL258" s="54" t="b">
        <v>0</v>
      </c>
      <c r="AM258" s="54"/>
      <c r="AN258" s="7" t="str">
        <v>250</v>
      </c>
      <c r="AO258" s="7"/>
      <c r="AP258" s="62"/>
      <c r="AQ258" s="75" t="str">
        <v/>
      </c>
      <c r="AR258" s="75" t="str">
        <v>-</v>
      </c>
      <c r="AS258" s="11"/>
      <c r="AT258" s="77" t="str">
        <v>-</v>
      </c>
      <c r="AU258" s="11" t="str">
        <v>-</v>
      </c>
      <c r="AV258" s="100"/>
      <c r="AW258" s="80" t="str">
        <f ca="1"/>
        <v>-</v>
      </c>
      <c r="AX258" s="86" t="b">
        <v>0</v>
      </c>
      <c r="AY258" s="68" t="str">
        <f t="shared" si="0"/>
        <v/>
      </c>
      <c r="AZ258" s="69" t="str">
        <f t="shared" si="1"/>
        <v/>
      </c>
      <c r="BA258" s="70" t="str">
        <f t="shared" si="2"/>
        <v/>
      </c>
      <c r="BB258" s="68" t="str">
        <f t="shared" si="3"/>
        <v/>
      </c>
      <c r="BC258" s="69" t="str">
        <f>IFERROR(VLOOKUP($AQ258,'(勿動)組件目錄表'!$D$15:$R$1094,7,FALSE),"")</f>
        <v/>
      </c>
      <c r="BD258" s="69" t="str">
        <f>IFERROR(VLOOKUP($AQ258,'(勿動)組件目錄表'!$D$15:$R$1094,8,FALSE),"")</f>
        <v/>
      </c>
      <c r="BE258" s="69" t="str">
        <f>IFERROR(VLOOKUP($AQ258,'(勿動)組件目錄表'!$D$15:$R$1094,9,FALSE),"")</f>
        <v/>
      </c>
      <c r="BF258" s="69" t="str">
        <f>IFERROR(VLOOKUP($AQ258,'(勿動)組件目錄表'!$D$15:$R$1094,10,FALSE),"")</f>
        <v/>
      </c>
      <c r="BG258" s="69" t="str">
        <f>IFERROR(VLOOKUP($AQ258,'(勿動)組件目錄表'!$D$15:$R$1094,11,FALSE),"")</f>
        <v/>
      </c>
      <c r="BH258" s="69" t="str">
        <f>IFERROR(VLOOKUP($AQ258,'(勿動)組件目錄表'!$D$15:$R$1094,12,FALSE),"")</f>
        <v/>
      </c>
      <c r="BI258" s="69" t="str">
        <f>IFERROR(VLOOKUP($AQ258,'(勿動)組件目錄表'!$D$15:$R$1094,13,FALSE),"")</f>
        <v/>
      </c>
      <c r="BJ258" s="69" t="str">
        <f>IFERROR(VLOOKUP($AQ258,'(勿動)組件目錄表'!$D$15:$R$1094,14,FALSE),"")</f>
        <v/>
      </c>
      <c r="BK258" s="69" t="str">
        <f>IFERROR(VLOOKUP($AQ258,'(勿動)組件目錄表'!$D$15:$R$1094,15,FALSE),"")</f>
        <v/>
      </c>
      <c r="BL258" s="81">
        <f ca="1">IFERROR(__xludf.DUMMYFUNCTION("IFERROR(
  LET(
    rowData, FILTER('(勿動)組件目錄表'!J:Q, '(勿動)組件目錄表'!D:D=AQ258),
    IF(ROWS(rowData)=0, 0, 
      (
        IF(AND(BC258&lt;&gt;"""", INDEX(rowData,1,1)=BC258),1,0) +
        IF(AND(BD258&lt;&gt;"""", INDEX(rowData,1,2)=BD258),1,0) +
        IF(AND(BE258"&amp;"&lt;&gt;"""", INDEX(rowData,1,3)=BE258),1,0) +
        IF(AND(BF258&lt;&gt;"""", INDEX(rowData,1,4)=BF258),1,0) +
        IF(AND(BG258&lt;&gt;"""", INDEX(rowData,1,5)=BG258),1,0) +
        IF(AND(BH258&lt;&gt;"""", INDEX(rowData,1,6)=BH258),1,0) +
        IF(AND(BI258&lt;&gt;"""", IND"&amp;"EX(rowData,1,7)=BI258),1,0) +
        IF(AND(BJ258&lt;&gt;"""", INDEX(rowData,1,8)=BJ258),1,0)
      ) - COUNTIF(BC258:BJ258, ""-"")
        - COUNTIF(BC258:BJ258, ""固定格式，不需提供資訊"")
        - COUNTIF(BC258:BJ258, ""由MKT更新，此欄位固定格式，不需提供資訊
(Voucher CID：12917705872)"&amp;""")
        - COUNTIF(BC258:BJ258, ""text固定為以下：
※直播間僅支援手機版"")
        - COUNTIF(BC258:BJ258, ""text固定為以下：
※短影音僅支援手機版"")
    )
  ), 
  0
)
"),0)</f>
        <v>0</v>
      </c>
      <c r="BM258" s="77" t="b">
        <v>0</v>
      </c>
      <c r="BN258" s="85"/>
      <c r="BO258" s="85"/>
    </row>
    <row r="259" spans="1:67" ht="30" customHeight="1">
      <c r="A259" s="73" t="str">
        <f t="array" aca="1" ref="A259" ca="1">IFERROR(TRANSPOSE(INDIRECT('MS section版配(Old)'!$AO259)),"")</f>
        <v/>
      </c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8"/>
      <c r="P259" s="88"/>
      <c r="Q259" s="88"/>
      <c r="R259" s="88"/>
      <c r="S259" s="88"/>
      <c r="T259" s="88"/>
      <c r="U259" s="88"/>
      <c r="V259" s="88"/>
      <c r="W259" s="88"/>
      <c r="X259" s="88"/>
      <c r="Y259" s="88"/>
      <c r="Z259" s="88"/>
      <c r="AA259" s="88"/>
      <c r="AB259" s="88"/>
      <c r="AC259" s="88"/>
      <c r="AD259" s="88"/>
      <c r="AE259" s="397" t="str">
        <f>IFERROR(VLOOKUP($AQ259,'(勿動)組件目錄表'!$D$15:$R$1094,4,FALSE),"")</f>
        <v/>
      </c>
      <c r="AF259" s="384"/>
      <c r="AG259" s="384"/>
      <c r="AH259" s="384"/>
      <c r="AI259" s="384"/>
      <c r="AJ259" s="385"/>
      <c r="AK259" s="54" t="b">
        <v>0</v>
      </c>
      <c r="AL259" s="54" t="b">
        <v>0</v>
      </c>
      <c r="AM259" s="54"/>
      <c r="AN259" s="7" t="str">
        <v>251</v>
      </c>
      <c r="AO259" s="7"/>
      <c r="AP259" s="62"/>
      <c r="AQ259" s="75" t="str">
        <v/>
      </c>
      <c r="AR259" s="75" t="str">
        <v>-</v>
      </c>
      <c r="AS259" s="11"/>
      <c r="AT259" s="77" t="str">
        <v>-</v>
      </c>
      <c r="AU259" s="11" t="str">
        <v>-</v>
      </c>
      <c r="AV259" s="100"/>
      <c r="AW259" s="80" t="str">
        <f ca="1"/>
        <v>-</v>
      </c>
      <c r="AX259" s="86" t="b">
        <v>0</v>
      </c>
      <c r="AY259" s="68" t="str">
        <f t="shared" si="0"/>
        <v/>
      </c>
      <c r="AZ259" s="69" t="str">
        <f t="shared" si="1"/>
        <v/>
      </c>
      <c r="BA259" s="70" t="str">
        <f t="shared" si="2"/>
        <v/>
      </c>
      <c r="BB259" s="68" t="str">
        <f t="shared" si="3"/>
        <v/>
      </c>
      <c r="BC259" s="69" t="str">
        <f>IFERROR(VLOOKUP($AQ259,'(勿動)組件目錄表'!$D$15:$R$1094,7,FALSE),"")</f>
        <v/>
      </c>
      <c r="BD259" s="69" t="str">
        <f>IFERROR(VLOOKUP($AQ259,'(勿動)組件目錄表'!$D$15:$R$1094,8,FALSE),"")</f>
        <v/>
      </c>
      <c r="BE259" s="69" t="str">
        <f>IFERROR(VLOOKUP($AQ259,'(勿動)組件目錄表'!$D$15:$R$1094,9,FALSE),"")</f>
        <v/>
      </c>
      <c r="BF259" s="69" t="str">
        <f>IFERROR(VLOOKUP($AQ259,'(勿動)組件目錄表'!$D$15:$R$1094,10,FALSE),"")</f>
        <v/>
      </c>
      <c r="BG259" s="69" t="str">
        <f>IFERROR(VLOOKUP($AQ259,'(勿動)組件目錄表'!$D$15:$R$1094,11,FALSE),"")</f>
        <v/>
      </c>
      <c r="BH259" s="69" t="str">
        <f>IFERROR(VLOOKUP($AQ259,'(勿動)組件目錄表'!$D$15:$R$1094,12,FALSE),"")</f>
        <v/>
      </c>
      <c r="BI259" s="69" t="str">
        <f>IFERROR(VLOOKUP($AQ259,'(勿動)組件目錄表'!$D$15:$R$1094,13,FALSE),"")</f>
        <v/>
      </c>
      <c r="BJ259" s="69" t="str">
        <f>IFERROR(VLOOKUP($AQ259,'(勿動)組件目錄表'!$D$15:$R$1094,14,FALSE),"")</f>
        <v/>
      </c>
      <c r="BK259" s="69" t="str">
        <f>IFERROR(VLOOKUP($AQ259,'(勿動)組件目錄表'!$D$15:$R$1094,15,FALSE),"")</f>
        <v/>
      </c>
      <c r="BL259" s="81">
        <f ca="1">IFERROR(__xludf.DUMMYFUNCTION("IFERROR(
  LET(
    rowData, FILTER('(勿動)組件目錄表'!J:Q, '(勿動)組件目錄表'!D:D=AQ259),
    IF(ROWS(rowData)=0, 0, 
      (
        IF(AND(BC259&lt;&gt;"""", INDEX(rowData,1,1)=BC259),1,0) +
        IF(AND(BD259&lt;&gt;"""", INDEX(rowData,1,2)=BD259),1,0) +
        IF(AND(BE259"&amp;"&lt;&gt;"""", INDEX(rowData,1,3)=BE259),1,0) +
        IF(AND(BF259&lt;&gt;"""", INDEX(rowData,1,4)=BF259),1,0) +
        IF(AND(BG259&lt;&gt;"""", INDEX(rowData,1,5)=BG259),1,0) +
        IF(AND(BH259&lt;&gt;"""", INDEX(rowData,1,6)=BH259),1,0) +
        IF(AND(BI259&lt;&gt;"""", IND"&amp;"EX(rowData,1,7)=BI259),1,0) +
        IF(AND(BJ259&lt;&gt;"""", INDEX(rowData,1,8)=BJ259),1,0)
      ) - COUNTIF(BC259:BJ259, ""-"")
        - COUNTIF(BC259:BJ259, ""固定格式，不需提供資訊"")
        - COUNTIF(BC259:BJ259, ""由MKT更新，此欄位固定格式，不需提供資訊
(Voucher CID：12917705872)"&amp;""")
        - COUNTIF(BC259:BJ259, ""text固定為以下：
※直播間僅支援手機版"")
        - COUNTIF(BC259:BJ259, ""text固定為以下：
※短影音僅支援手機版"")
    )
  ), 
  0
)
"),0)</f>
        <v>0</v>
      </c>
      <c r="BM259" s="77" t="b">
        <v>0</v>
      </c>
      <c r="BN259" s="85"/>
      <c r="BO259" s="85"/>
    </row>
    <row r="260" spans="1:67" ht="30" customHeight="1">
      <c r="A260" s="73" t="str">
        <f t="array" aca="1" ref="A260" ca="1">IFERROR(TRANSPOSE(INDIRECT('MS section版配(Old)'!$AO260)),"")</f>
        <v/>
      </c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8"/>
      <c r="P260" s="88"/>
      <c r="Q260" s="88"/>
      <c r="R260" s="88"/>
      <c r="S260" s="88"/>
      <c r="T260" s="88"/>
      <c r="U260" s="88"/>
      <c r="V260" s="88"/>
      <c r="W260" s="88"/>
      <c r="X260" s="88"/>
      <c r="Y260" s="88"/>
      <c r="Z260" s="88"/>
      <c r="AA260" s="88"/>
      <c r="AB260" s="88"/>
      <c r="AC260" s="88"/>
      <c r="AD260" s="88"/>
      <c r="AE260" s="397" t="str">
        <f>IFERROR(VLOOKUP($AQ260,'(勿動)組件目錄表'!$D$15:$R$1094,4,FALSE),"")</f>
        <v/>
      </c>
      <c r="AF260" s="384"/>
      <c r="AG260" s="384"/>
      <c r="AH260" s="384"/>
      <c r="AI260" s="384"/>
      <c r="AJ260" s="385"/>
      <c r="AK260" s="54" t="b">
        <v>0</v>
      </c>
      <c r="AL260" s="54" t="b">
        <v>0</v>
      </c>
      <c r="AM260" s="54"/>
      <c r="AN260" s="7" t="str">
        <v>252</v>
      </c>
      <c r="AO260" s="7"/>
      <c r="AP260" s="62"/>
      <c r="AQ260" s="75" t="str">
        <v/>
      </c>
      <c r="AR260" s="75" t="str">
        <v>-</v>
      </c>
      <c r="AS260" s="11"/>
      <c r="AT260" s="77" t="str">
        <v>-</v>
      </c>
      <c r="AU260" s="11" t="str">
        <v>-</v>
      </c>
      <c r="AV260" s="100"/>
      <c r="AW260" s="80" t="str">
        <f ca="1"/>
        <v>-</v>
      </c>
      <c r="AX260" s="86" t="b">
        <v>0</v>
      </c>
      <c r="AY260" s="68" t="str">
        <f t="shared" si="0"/>
        <v/>
      </c>
      <c r="AZ260" s="69" t="str">
        <f t="shared" si="1"/>
        <v/>
      </c>
      <c r="BA260" s="70" t="str">
        <f t="shared" si="2"/>
        <v/>
      </c>
      <c r="BB260" s="68" t="str">
        <f t="shared" si="3"/>
        <v/>
      </c>
      <c r="BC260" s="69" t="str">
        <f>IFERROR(VLOOKUP($AQ260,'(勿動)組件目錄表'!$D$15:$R$1094,7,FALSE),"")</f>
        <v/>
      </c>
      <c r="BD260" s="69" t="str">
        <f>IFERROR(VLOOKUP($AQ260,'(勿動)組件目錄表'!$D$15:$R$1094,8,FALSE),"")</f>
        <v/>
      </c>
      <c r="BE260" s="69" t="str">
        <f>IFERROR(VLOOKUP($AQ260,'(勿動)組件目錄表'!$D$15:$R$1094,9,FALSE),"")</f>
        <v/>
      </c>
      <c r="BF260" s="69" t="str">
        <f>IFERROR(VLOOKUP($AQ260,'(勿動)組件目錄表'!$D$15:$R$1094,10,FALSE),"")</f>
        <v/>
      </c>
      <c r="BG260" s="69" t="str">
        <f>IFERROR(VLOOKUP($AQ260,'(勿動)組件目錄表'!$D$15:$R$1094,11,FALSE),"")</f>
        <v/>
      </c>
      <c r="BH260" s="69" t="str">
        <f>IFERROR(VLOOKUP($AQ260,'(勿動)組件目錄表'!$D$15:$R$1094,12,FALSE),"")</f>
        <v/>
      </c>
      <c r="BI260" s="69" t="str">
        <f>IFERROR(VLOOKUP($AQ260,'(勿動)組件目錄表'!$D$15:$R$1094,13,FALSE),"")</f>
        <v/>
      </c>
      <c r="BJ260" s="69" t="str">
        <f>IFERROR(VLOOKUP($AQ260,'(勿動)組件目錄表'!$D$15:$R$1094,14,FALSE),"")</f>
        <v/>
      </c>
      <c r="BK260" s="69" t="str">
        <f>IFERROR(VLOOKUP($AQ260,'(勿動)組件目錄表'!$D$15:$R$1094,15,FALSE),"")</f>
        <v/>
      </c>
      <c r="BL260" s="81">
        <f ca="1">IFERROR(__xludf.DUMMYFUNCTION("IFERROR(
  LET(
    rowData, FILTER('(勿動)組件目錄表'!J:Q, '(勿動)組件目錄表'!D:D=AQ260),
    IF(ROWS(rowData)=0, 0, 
      (
        IF(AND(BC260&lt;&gt;"""", INDEX(rowData,1,1)=BC260),1,0) +
        IF(AND(BD260&lt;&gt;"""", INDEX(rowData,1,2)=BD260),1,0) +
        IF(AND(BE260"&amp;"&lt;&gt;"""", INDEX(rowData,1,3)=BE260),1,0) +
        IF(AND(BF260&lt;&gt;"""", INDEX(rowData,1,4)=BF260),1,0) +
        IF(AND(BG260&lt;&gt;"""", INDEX(rowData,1,5)=BG260),1,0) +
        IF(AND(BH260&lt;&gt;"""", INDEX(rowData,1,6)=BH260),1,0) +
        IF(AND(BI260&lt;&gt;"""", IND"&amp;"EX(rowData,1,7)=BI260),1,0) +
        IF(AND(BJ260&lt;&gt;"""", INDEX(rowData,1,8)=BJ260),1,0)
      ) - COUNTIF(BC260:BJ260, ""-"")
        - COUNTIF(BC260:BJ260, ""固定格式，不需提供資訊"")
        - COUNTIF(BC260:BJ260, ""由MKT更新，此欄位固定格式，不需提供資訊
(Voucher CID：12917705872)"&amp;""")
        - COUNTIF(BC260:BJ260, ""text固定為以下：
※直播間僅支援手機版"")
        - COUNTIF(BC260:BJ260, ""text固定為以下：
※短影音僅支援手機版"")
    )
  ), 
  0
)
"),0)</f>
        <v>0</v>
      </c>
      <c r="BM260" s="77" t="b">
        <v>0</v>
      </c>
      <c r="BN260" s="85"/>
      <c r="BO260" s="85"/>
    </row>
    <row r="261" spans="1:67" ht="30" customHeight="1">
      <c r="A261" s="73" t="str">
        <f t="array" aca="1" ref="A261" ca="1">IFERROR(TRANSPOSE(INDIRECT('MS section版配(Old)'!$AO261)),"")</f>
        <v/>
      </c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8"/>
      <c r="P261" s="88"/>
      <c r="Q261" s="88"/>
      <c r="R261" s="88"/>
      <c r="S261" s="88"/>
      <c r="T261" s="88"/>
      <c r="U261" s="88"/>
      <c r="V261" s="88"/>
      <c r="W261" s="88"/>
      <c r="X261" s="88"/>
      <c r="Y261" s="88"/>
      <c r="Z261" s="88"/>
      <c r="AA261" s="88"/>
      <c r="AB261" s="88"/>
      <c r="AC261" s="88"/>
      <c r="AD261" s="88"/>
      <c r="AE261" s="397" t="str">
        <f>IFERROR(VLOOKUP($AQ261,'(勿動)組件目錄表'!$D$15:$R$1094,4,FALSE),"")</f>
        <v/>
      </c>
      <c r="AF261" s="384"/>
      <c r="AG261" s="384"/>
      <c r="AH261" s="384"/>
      <c r="AI261" s="384"/>
      <c r="AJ261" s="385"/>
      <c r="AK261" s="54" t="b">
        <v>0</v>
      </c>
      <c r="AL261" s="54" t="b">
        <v>0</v>
      </c>
      <c r="AM261" s="54"/>
      <c r="AN261" s="7" t="str">
        <v>253</v>
      </c>
      <c r="AO261" s="7"/>
      <c r="AP261" s="62"/>
      <c r="AQ261" s="75" t="str">
        <v/>
      </c>
      <c r="AR261" s="75" t="str">
        <v>-</v>
      </c>
      <c r="AS261" s="11"/>
      <c r="AT261" s="77" t="str">
        <v>-</v>
      </c>
      <c r="AU261" s="11" t="str">
        <v>-</v>
      </c>
      <c r="AV261" s="100"/>
      <c r="AW261" s="80" t="str">
        <f ca="1"/>
        <v>-</v>
      </c>
      <c r="AX261" s="86" t="b">
        <v>0</v>
      </c>
      <c r="AY261" s="68" t="str">
        <f t="shared" si="0"/>
        <v/>
      </c>
      <c r="AZ261" s="69" t="str">
        <f t="shared" si="1"/>
        <v/>
      </c>
      <c r="BA261" s="70" t="str">
        <f t="shared" si="2"/>
        <v/>
      </c>
      <c r="BB261" s="68" t="str">
        <f t="shared" si="3"/>
        <v/>
      </c>
      <c r="BC261" s="69" t="str">
        <f>IFERROR(VLOOKUP($AQ261,'(勿動)組件目錄表'!$D$15:$R$1094,7,FALSE),"")</f>
        <v/>
      </c>
      <c r="BD261" s="69" t="str">
        <f>IFERROR(VLOOKUP($AQ261,'(勿動)組件目錄表'!$D$15:$R$1094,8,FALSE),"")</f>
        <v/>
      </c>
      <c r="BE261" s="69" t="str">
        <f>IFERROR(VLOOKUP($AQ261,'(勿動)組件目錄表'!$D$15:$R$1094,9,FALSE),"")</f>
        <v/>
      </c>
      <c r="BF261" s="69" t="str">
        <f>IFERROR(VLOOKUP($AQ261,'(勿動)組件目錄表'!$D$15:$R$1094,10,FALSE),"")</f>
        <v/>
      </c>
      <c r="BG261" s="69" t="str">
        <f>IFERROR(VLOOKUP($AQ261,'(勿動)組件目錄表'!$D$15:$R$1094,11,FALSE),"")</f>
        <v/>
      </c>
      <c r="BH261" s="69" t="str">
        <f>IFERROR(VLOOKUP($AQ261,'(勿動)組件目錄表'!$D$15:$R$1094,12,FALSE),"")</f>
        <v/>
      </c>
      <c r="BI261" s="69" t="str">
        <f>IFERROR(VLOOKUP($AQ261,'(勿動)組件目錄表'!$D$15:$R$1094,13,FALSE),"")</f>
        <v/>
      </c>
      <c r="BJ261" s="69" t="str">
        <f>IFERROR(VLOOKUP($AQ261,'(勿動)組件目錄表'!$D$15:$R$1094,14,FALSE),"")</f>
        <v/>
      </c>
      <c r="BK261" s="69" t="str">
        <f>IFERROR(VLOOKUP($AQ261,'(勿動)組件目錄表'!$D$15:$R$1094,15,FALSE),"")</f>
        <v/>
      </c>
      <c r="BL261" s="81">
        <f ca="1">IFERROR(__xludf.DUMMYFUNCTION("IFERROR(
  LET(
    rowData, FILTER('(勿動)組件目錄表'!J:Q, '(勿動)組件目錄表'!D:D=AQ261),
    IF(ROWS(rowData)=0, 0, 
      (
        IF(AND(BC261&lt;&gt;"""", INDEX(rowData,1,1)=BC261),1,0) +
        IF(AND(BD261&lt;&gt;"""", INDEX(rowData,1,2)=BD261),1,0) +
        IF(AND(BE261"&amp;"&lt;&gt;"""", INDEX(rowData,1,3)=BE261),1,0) +
        IF(AND(BF261&lt;&gt;"""", INDEX(rowData,1,4)=BF261),1,0) +
        IF(AND(BG261&lt;&gt;"""", INDEX(rowData,1,5)=BG261),1,0) +
        IF(AND(BH261&lt;&gt;"""", INDEX(rowData,1,6)=BH261),1,0) +
        IF(AND(BI261&lt;&gt;"""", IND"&amp;"EX(rowData,1,7)=BI261),1,0) +
        IF(AND(BJ261&lt;&gt;"""", INDEX(rowData,1,8)=BJ261),1,0)
      ) - COUNTIF(BC261:BJ261, ""-"")
        - COUNTIF(BC261:BJ261, ""固定格式，不需提供資訊"")
        - COUNTIF(BC261:BJ261, ""由MKT更新，此欄位固定格式，不需提供資訊
(Voucher CID：12917705872)"&amp;""")
        - COUNTIF(BC261:BJ261, ""text固定為以下：
※直播間僅支援手機版"")
        - COUNTIF(BC261:BJ261, ""text固定為以下：
※短影音僅支援手機版"")
    )
  ), 
  0
)
"),0)</f>
        <v>0</v>
      </c>
      <c r="BM261" s="77" t="b">
        <v>0</v>
      </c>
      <c r="BN261" s="85"/>
      <c r="BO261" s="85"/>
    </row>
    <row r="262" spans="1:67" ht="30" customHeight="1">
      <c r="A262" s="73" t="str">
        <f t="array" aca="1" ref="A262" ca="1">IFERROR(TRANSPOSE(INDIRECT('MS section版配(Old)'!$AO262)),"")</f>
        <v/>
      </c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8"/>
      <c r="P262" s="88"/>
      <c r="Q262" s="88"/>
      <c r="R262" s="88"/>
      <c r="S262" s="88"/>
      <c r="T262" s="88"/>
      <c r="U262" s="88"/>
      <c r="V262" s="88"/>
      <c r="W262" s="88"/>
      <c r="X262" s="88"/>
      <c r="Y262" s="88"/>
      <c r="Z262" s="88"/>
      <c r="AA262" s="88"/>
      <c r="AB262" s="88"/>
      <c r="AC262" s="88"/>
      <c r="AD262" s="88"/>
      <c r="AE262" s="397" t="str">
        <f>IFERROR(VLOOKUP($AQ262,'(勿動)組件目錄表'!$D$15:$R$1094,4,FALSE),"")</f>
        <v/>
      </c>
      <c r="AF262" s="384"/>
      <c r="AG262" s="384"/>
      <c r="AH262" s="384"/>
      <c r="AI262" s="384"/>
      <c r="AJ262" s="385"/>
      <c r="AK262" s="54" t="b">
        <v>0</v>
      </c>
      <c r="AL262" s="54" t="b">
        <v>0</v>
      </c>
      <c r="AM262" s="54"/>
      <c r="AN262" s="7" t="str">
        <v>254</v>
      </c>
      <c r="AO262" s="7"/>
      <c r="AP262" s="62"/>
      <c r="AQ262" s="75" t="str">
        <v/>
      </c>
      <c r="AR262" s="75" t="str">
        <v>-</v>
      </c>
      <c r="AS262" s="11"/>
      <c r="AT262" s="77" t="str">
        <v>-</v>
      </c>
      <c r="AU262" s="11" t="str">
        <v>-</v>
      </c>
      <c r="AV262" s="100"/>
      <c r="AW262" s="80" t="str">
        <f ca="1"/>
        <v>-</v>
      </c>
      <c r="AX262" s="86" t="b">
        <v>0</v>
      </c>
      <c r="AY262" s="68" t="str">
        <f t="shared" si="0"/>
        <v/>
      </c>
      <c r="AZ262" s="69" t="str">
        <f t="shared" si="1"/>
        <v/>
      </c>
      <c r="BA262" s="70" t="str">
        <f t="shared" si="2"/>
        <v/>
      </c>
      <c r="BB262" s="68" t="str">
        <f t="shared" si="3"/>
        <v/>
      </c>
      <c r="BC262" s="69" t="str">
        <f>IFERROR(VLOOKUP($AQ262,'(勿動)組件目錄表'!$D$15:$R$1094,7,FALSE),"")</f>
        <v/>
      </c>
      <c r="BD262" s="69" t="str">
        <f>IFERROR(VLOOKUP($AQ262,'(勿動)組件目錄表'!$D$15:$R$1094,8,FALSE),"")</f>
        <v/>
      </c>
      <c r="BE262" s="69" t="str">
        <f>IFERROR(VLOOKUP($AQ262,'(勿動)組件目錄表'!$D$15:$R$1094,9,FALSE),"")</f>
        <v/>
      </c>
      <c r="BF262" s="69" t="str">
        <f>IFERROR(VLOOKUP($AQ262,'(勿動)組件目錄表'!$D$15:$R$1094,10,FALSE),"")</f>
        <v/>
      </c>
      <c r="BG262" s="69" t="str">
        <f>IFERROR(VLOOKUP($AQ262,'(勿動)組件目錄表'!$D$15:$R$1094,11,FALSE),"")</f>
        <v/>
      </c>
      <c r="BH262" s="69" t="str">
        <f>IFERROR(VLOOKUP($AQ262,'(勿動)組件目錄表'!$D$15:$R$1094,12,FALSE),"")</f>
        <v/>
      </c>
      <c r="BI262" s="69" t="str">
        <f>IFERROR(VLOOKUP($AQ262,'(勿動)組件目錄表'!$D$15:$R$1094,13,FALSE),"")</f>
        <v/>
      </c>
      <c r="BJ262" s="69" t="str">
        <f>IFERROR(VLOOKUP($AQ262,'(勿動)組件目錄表'!$D$15:$R$1094,14,FALSE),"")</f>
        <v/>
      </c>
      <c r="BK262" s="69" t="str">
        <f>IFERROR(VLOOKUP($AQ262,'(勿動)組件目錄表'!$D$15:$R$1094,15,FALSE),"")</f>
        <v/>
      </c>
      <c r="BL262" s="81">
        <f ca="1">IFERROR(__xludf.DUMMYFUNCTION("IFERROR(
  LET(
    rowData, FILTER('(勿動)組件目錄表'!J:Q, '(勿動)組件目錄表'!D:D=AQ262),
    IF(ROWS(rowData)=0, 0, 
      (
        IF(AND(BC262&lt;&gt;"""", INDEX(rowData,1,1)=BC262),1,0) +
        IF(AND(BD262&lt;&gt;"""", INDEX(rowData,1,2)=BD262),1,0) +
        IF(AND(BE262"&amp;"&lt;&gt;"""", INDEX(rowData,1,3)=BE262),1,0) +
        IF(AND(BF262&lt;&gt;"""", INDEX(rowData,1,4)=BF262),1,0) +
        IF(AND(BG262&lt;&gt;"""", INDEX(rowData,1,5)=BG262),1,0) +
        IF(AND(BH262&lt;&gt;"""", INDEX(rowData,1,6)=BH262),1,0) +
        IF(AND(BI262&lt;&gt;"""", IND"&amp;"EX(rowData,1,7)=BI262),1,0) +
        IF(AND(BJ262&lt;&gt;"""", INDEX(rowData,1,8)=BJ262),1,0)
      ) - COUNTIF(BC262:BJ262, ""-"")
        - COUNTIF(BC262:BJ262, ""固定格式，不需提供資訊"")
        - COUNTIF(BC262:BJ262, ""由MKT更新，此欄位固定格式，不需提供資訊
(Voucher CID：12917705872)"&amp;""")
        - COUNTIF(BC262:BJ262, ""text固定為以下：
※直播間僅支援手機版"")
        - COUNTIF(BC262:BJ262, ""text固定為以下：
※短影音僅支援手機版"")
    )
  ), 
  0
)
"),0)</f>
        <v>0</v>
      </c>
      <c r="BM262" s="77" t="b">
        <v>0</v>
      </c>
      <c r="BN262" s="85"/>
      <c r="BO262" s="85"/>
    </row>
    <row r="263" spans="1:67" ht="30" customHeight="1">
      <c r="A263" s="73" t="str">
        <f t="array" aca="1" ref="A263" ca="1">IFERROR(TRANSPOSE(INDIRECT('MS section版配(Old)'!$AO263)),"")</f>
        <v/>
      </c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8"/>
      <c r="P263" s="88"/>
      <c r="Q263" s="88"/>
      <c r="R263" s="88"/>
      <c r="S263" s="88"/>
      <c r="T263" s="88"/>
      <c r="U263" s="88"/>
      <c r="V263" s="88"/>
      <c r="W263" s="88"/>
      <c r="X263" s="88"/>
      <c r="Y263" s="88"/>
      <c r="Z263" s="88"/>
      <c r="AA263" s="88"/>
      <c r="AB263" s="88"/>
      <c r="AC263" s="88"/>
      <c r="AD263" s="88"/>
      <c r="AE263" s="397" t="str">
        <f>IFERROR(VLOOKUP($AQ263,'(勿動)組件目錄表'!$D$15:$R$1094,4,FALSE),"")</f>
        <v/>
      </c>
      <c r="AF263" s="384"/>
      <c r="AG263" s="384"/>
      <c r="AH263" s="384"/>
      <c r="AI263" s="384"/>
      <c r="AJ263" s="385"/>
      <c r="AK263" s="54" t="b">
        <v>0</v>
      </c>
      <c r="AL263" s="54" t="b">
        <v>0</v>
      </c>
      <c r="AM263" s="54"/>
      <c r="AN263" s="7" t="str">
        <v>255</v>
      </c>
      <c r="AO263" s="7"/>
      <c r="AP263" s="62"/>
      <c r="AQ263" s="75" t="str">
        <v/>
      </c>
      <c r="AR263" s="75" t="str">
        <v>-</v>
      </c>
      <c r="AS263" s="11"/>
      <c r="AT263" s="77" t="str">
        <v>-</v>
      </c>
      <c r="AU263" s="11" t="str">
        <v>-</v>
      </c>
      <c r="AV263" s="100"/>
      <c r="AW263" s="80" t="str">
        <f ca="1"/>
        <v>-</v>
      </c>
      <c r="AX263" s="86" t="b">
        <v>0</v>
      </c>
      <c r="AY263" s="68" t="str">
        <f t="shared" ref="AY263:AY517" si="4">IF(AX263=TRUE,"若AX欄有勾選則必填","")</f>
        <v/>
      </c>
      <c r="AZ263" s="69" t="str">
        <f t="shared" ref="AZ263:AZ517" si="5">IF(AY263="設隱形錨點","",IF(AX263=FALSE,"",IF(AX263=TRUE, SUBSTITUTE(AW263, "_", ""))))</f>
        <v/>
      </c>
      <c r="BA263" s="70" t="str">
        <f t="shared" ref="BA263:BA517" si="6">IFERROR(IF(TRIM(BC263)="", "", TEXT(DATEVALUE("2025/" &amp; LEFT(TRIM(BC263), FIND(" ", TRIM(BC263)) - 1)) + TIME(VALUE(MID(TRIM(BC263), FIND(" ", TRIM(BC263)) + 1, LEN(TRIM(BC263)) - FIND(" ", TRIM(BC263)))), 0, 0), "YYYY-MM-DD hh:mm:ss")),"")</f>
        <v/>
      </c>
      <c r="BB263" s="68" t="str">
        <f t="shared" ref="BB263:BB517" si="7">IFERROR(IF(TRIM(BD263)="", "", TEXT(DATEVALUE("2025/" &amp; LEFT(TRIM(BD263), FIND(" ", TRIM(BD263)) - 1)) + TIME(VALUE(MID(TRIM(BD263), FIND(" ", TRIM(BD263)) + 1, LEN(TRIM(BD263)) - FIND(" ", TRIM(BD263))))-1, 59, 59), "YYYY-MM-DD hh:mm:ss")),"")</f>
        <v/>
      </c>
      <c r="BC263" s="69" t="str">
        <f>IFERROR(VLOOKUP($AQ263,'(勿動)組件目錄表'!$D$15:$R$1094,7,FALSE),"")</f>
        <v/>
      </c>
      <c r="BD263" s="69" t="str">
        <f>IFERROR(VLOOKUP($AQ263,'(勿動)組件目錄表'!$D$15:$R$1094,8,FALSE),"")</f>
        <v/>
      </c>
      <c r="BE263" s="69" t="str">
        <f>IFERROR(VLOOKUP($AQ263,'(勿動)組件目錄表'!$D$15:$R$1094,9,FALSE),"")</f>
        <v/>
      </c>
      <c r="BF263" s="69" t="str">
        <f>IFERROR(VLOOKUP($AQ263,'(勿動)組件目錄表'!$D$15:$R$1094,10,FALSE),"")</f>
        <v/>
      </c>
      <c r="BG263" s="69" t="str">
        <f>IFERROR(VLOOKUP($AQ263,'(勿動)組件目錄表'!$D$15:$R$1094,11,FALSE),"")</f>
        <v/>
      </c>
      <c r="BH263" s="69" t="str">
        <f>IFERROR(VLOOKUP($AQ263,'(勿動)組件目錄表'!$D$15:$R$1094,12,FALSE),"")</f>
        <v/>
      </c>
      <c r="BI263" s="69" t="str">
        <f>IFERROR(VLOOKUP($AQ263,'(勿動)組件目錄表'!$D$15:$R$1094,13,FALSE),"")</f>
        <v/>
      </c>
      <c r="BJ263" s="69" t="str">
        <f>IFERROR(VLOOKUP($AQ263,'(勿動)組件目錄表'!$D$15:$R$1094,14,FALSE),"")</f>
        <v/>
      </c>
      <c r="BK263" s="69" t="str">
        <f>IFERROR(VLOOKUP($AQ263,'(勿動)組件目錄表'!$D$15:$R$1094,15,FALSE),"")</f>
        <v/>
      </c>
      <c r="BL263" s="81">
        <f ca="1">IFERROR(__xludf.DUMMYFUNCTION("IFERROR(
  LET(
    rowData, FILTER('(勿動)組件目錄表'!J:Q, '(勿動)組件目錄表'!D:D=AQ263),
    IF(ROWS(rowData)=0, 0, 
      (
        IF(AND(BC263&lt;&gt;"""", INDEX(rowData,1,1)=BC263),1,0) +
        IF(AND(BD263&lt;&gt;"""", INDEX(rowData,1,2)=BD263),1,0) +
        IF(AND(BE263"&amp;"&lt;&gt;"""", INDEX(rowData,1,3)=BE263),1,0) +
        IF(AND(BF263&lt;&gt;"""", INDEX(rowData,1,4)=BF263),1,0) +
        IF(AND(BG263&lt;&gt;"""", INDEX(rowData,1,5)=BG263),1,0) +
        IF(AND(BH263&lt;&gt;"""", INDEX(rowData,1,6)=BH263),1,0) +
        IF(AND(BI263&lt;&gt;"""", IND"&amp;"EX(rowData,1,7)=BI263),1,0) +
        IF(AND(BJ263&lt;&gt;"""", INDEX(rowData,1,8)=BJ263),1,0)
      ) - COUNTIF(BC263:BJ263, ""-"")
        - COUNTIF(BC263:BJ263, ""固定格式，不需提供資訊"")
        - COUNTIF(BC263:BJ263, ""由MKT更新，此欄位固定格式，不需提供資訊
(Voucher CID：12917705872)"&amp;""")
        - COUNTIF(BC263:BJ263, ""text固定為以下：
※直播間僅支援手機版"")
        - COUNTIF(BC263:BJ263, ""text固定為以下：
※短影音僅支援手機版"")
    )
  ), 
  0
)
"),0)</f>
        <v>0</v>
      </c>
      <c r="BM263" s="77" t="b">
        <v>0</v>
      </c>
      <c r="BN263" s="85"/>
      <c r="BO263" s="85"/>
    </row>
    <row r="264" spans="1:67" ht="30" customHeight="1">
      <c r="A264" s="73" t="str">
        <f t="array" aca="1" ref="A264" ca="1">IFERROR(TRANSPOSE(INDIRECT('MS section版配(Old)'!$AO264)),"")</f>
        <v/>
      </c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8"/>
      <c r="P264" s="88"/>
      <c r="Q264" s="88"/>
      <c r="R264" s="88"/>
      <c r="S264" s="88"/>
      <c r="T264" s="88"/>
      <c r="U264" s="88"/>
      <c r="V264" s="88"/>
      <c r="W264" s="88"/>
      <c r="X264" s="88"/>
      <c r="Y264" s="88"/>
      <c r="Z264" s="88"/>
      <c r="AA264" s="88"/>
      <c r="AB264" s="88"/>
      <c r="AC264" s="88"/>
      <c r="AD264" s="88"/>
      <c r="AE264" s="397" t="str">
        <f>IFERROR(VLOOKUP($AQ264,'(勿動)組件目錄表'!$D$15:$R$1094,4,FALSE),"")</f>
        <v/>
      </c>
      <c r="AF264" s="384"/>
      <c r="AG264" s="384"/>
      <c r="AH264" s="384"/>
      <c r="AI264" s="384"/>
      <c r="AJ264" s="385"/>
      <c r="AK264" s="54" t="b">
        <v>0</v>
      </c>
      <c r="AL264" s="54" t="b">
        <v>0</v>
      </c>
      <c r="AM264" s="54"/>
      <c r="AN264" s="7" t="str">
        <v>256</v>
      </c>
      <c r="AO264" s="7"/>
      <c r="AP264" s="62"/>
      <c r="AQ264" s="75" t="str">
        <v/>
      </c>
      <c r="AR264" s="75" t="str">
        <v>-</v>
      </c>
      <c r="AS264" s="11"/>
      <c r="AT264" s="77" t="str">
        <v>-</v>
      </c>
      <c r="AU264" s="11" t="str">
        <v>-</v>
      </c>
      <c r="AV264" s="100"/>
      <c r="AW264" s="80" t="str">
        <f ca="1"/>
        <v>-</v>
      </c>
      <c r="AX264" s="86" t="b">
        <v>0</v>
      </c>
      <c r="AY264" s="68" t="str">
        <f t="shared" si="4"/>
        <v/>
      </c>
      <c r="AZ264" s="69" t="str">
        <f t="shared" si="5"/>
        <v/>
      </c>
      <c r="BA264" s="70" t="str">
        <f t="shared" si="6"/>
        <v/>
      </c>
      <c r="BB264" s="68" t="str">
        <f t="shared" si="7"/>
        <v/>
      </c>
      <c r="BC264" s="69" t="str">
        <f>IFERROR(VLOOKUP($AQ264,'(勿動)組件目錄表'!$D$15:$R$1094,7,FALSE),"")</f>
        <v/>
      </c>
      <c r="BD264" s="69" t="str">
        <f>IFERROR(VLOOKUP($AQ264,'(勿動)組件目錄表'!$D$15:$R$1094,8,FALSE),"")</f>
        <v/>
      </c>
      <c r="BE264" s="69" t="str">
        <f>IFERROR(VLOOKUP($AQ264,'(勿動)組件目錄表'!$D$15:$R$1094,9,FALSE),"")</f>
        <v/>
      </c>
      <c r="BF264" s="69" t="str">
        <f>IFERROR(VLOOKUP($AQ264,'(勿動)組件目錄表'!$D$15:$R$1094,10,FALSE),"")</f>
        <v/>
      </c>
      <c r="BG264" s="69" t="str">
        <f>IFERROR(VLOOKUP($AQ264,'(勿動)組件目錄表'!$D$15:$R$1094,11,FALSE),"")</f>
        <v/>
      </c>
      <c r="BH264" s="69" t="str">
        <f>IFERROR(VLOOKUP($AQ264,'(勿動)組件目錄表'!$D$15:$R$1094,12,FALSE),"")</f>
        <v/>
      </c>
      <c r="BI264" s="69" t="str">
        <f>IFERROR(VLOOKUP($AQ264,'(勿動)組件目錄表'!$D$15:$R$1094,13,FALSE),"")</f>
        <v/>
      </c>
      <c r="BJ264" s="69" t="str">
        <f>IFERROR(VLOOKUP($AQ264,'(勿動)組件目錄表'!$D$15:$R$1094,14,FALSE),"")</f>
        <v/>
      </c>
      <c r="BK264" s="69" t="str">
        <f>IFERROR(VLOOKUP($AQ264,'(勿動)組件目錄表'!$D$15:$R$1094,15,FALSE),"")</f>
        <v/>
      </c>
      <c r="BL264" s="81">
        <f ca="1">IFERROR(__xludf.DUMMYFUNCTION("IFERROR(
  LET(
    rowData, FILTER('(勿動)組件目錄表'!J:Q, '(勿動)組件目錄表'!D:D=AQ264),
    IF(ROWS(rowData)=0, 0, 
      (
        IF(AND(BC264&lt;&gt;"""", INDEX(rowData,1,1)=BC264),1,0) +
        IF(AND(BD264&lt;&gt;"""", INDEX(rowData,1,2)=BD264),1,0) +
        IF(AND(BE264"&amp;"&lt;&gt;"""", INDEX(rowData,1,3)=BE264),1,0) +
        IF(AND(BF264&lt;&gt;"""", INDEX(rowData,1,4)=BF264),1,0) +
        IF(AND(BG264&lt;&gt;"""", INDEX(rowData,1,5)=BG264),1,0) +
        IF(AND(BH264&lt;&gt;"""", INDEX(rowData,1,6)=BH264),1,0) +
        IF(AND(BI264&lt;&gt;"""", IND"&amp;"EX(rowData,1,7)=BI264),1,0) +
        IF(AND(BJ264&lt;&gt;"""", INDEX(rowData,1,8)=BJ264),1,0)
      ) - COUNTIF(BC264:BJ264, ""-"")
        - COUNTIF(BC264:BJ264, ""固定格式，不需提供資訊"")
        - COUNTIF(BC264:BJ264, ""由MKT更新，此欄位固定格式，不需提供資訊
(Voucher CID：12917705872)"&amp;""")
        - COUNTIF(BC264:BJ264, ""text固定為以下：
※直播間僅支援手機版"")
        - COUNTIF(BC264:BJ264, ""text固定為以下：
※短影音僅支援手機版"")
    )
  ), 
  0
)
"),0)</f>
        <v>0</v>
      </c>
      <c r="BM264" s="77" t="b">
        <v>0</v>
      </c>
      <c r="BN264" s="85"/>
      <c r="BO264" s="85"/>
    </row>
    <row r="265" spans="1:67" ht="30" customHeight="1">
      <c r="A265" s="73" t="str">
        <f t="array" aca="1" ref="A265" ca="1">IFERROR(TRANSPOSE(INDIRECT('MS section版配(Old)'!$AO265)),"")</f>
        <v/>
      </c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8"/>
      <c r="P265" s="88"/>
      <c r="Q265" s="88"/>
      <c r="R265" s="88"/>
      <c r="S265" s="88"/>
      <c r="T265" s="88"/>
      <c r="U265" s="88"/>
      <c r="V265" s="88"/>
      <c r="W265" s="88"/>
      <c r="X265" s="88"/>
      <c r="Y265" s="88"/>
      <c r="Z265" s="88"/>
      <c r="AA265" s="88"/>
      <c r="AB265" s="88"/>
      <c r="AC265" s="88"/>
      <c r="AD265" s="88"/>
      <c r="AE265" s="397" t="str">
        <f>IFERROR(VLOOKUP($AQ265,'(勿動)組件目錄表'!$D$15:$R$1094,4,FALSE),"")</f>
        <v/>
      </c>
      <c r="AF265" s="384"/>
      <c r="AG265" s="384"/>
      <c r="AH265" s="384"/>
      <c r="AI265" s="384"/>
      <c r="AJ265" s="385"/>
      <c r="AK265" s="54" t="b">
        <v>0</v>
      </c>
      <c r="AL265" s="54" t="b">
        <v>0</v>
      </c>
      <c r="AM265" s="54"/>
      <c r="AN265" s="7" t="str">
        <v>257</v>
      </c>
      <c r="AO265" s="7"/>
      <c r="AP265" s="62"/>
      <c r="AQ265" s="75" t="str">
        <v/>
      </c>
      <c r="AR265" s="75" t="str">
        <v>-</v>
      </c>
      <c r="AS265" s="11"/>
      <c r="AT265" s="77" t="str">
        <v>-</v>
      </c>
      <c r="AU265" s="11" t="str">
        <v>-</v>
      </c>
      <c r="AV265" s="100"/>
      <c r="AW265" s="80" t="str">
        <f ca="1"/>
        <v>-</v>
      </c>
      <c r="AX265" s="86" t="b">
        <v>0</v>
      </c>
      <c r="AY265" s="68" t="str">
        <f t="shared" si="4"/>
        <v/>
      </c>
      <c r="AZ265" s="69" t="str">
        <f t="shared" si="5"/>
        <v/>
      </c>
      <c r="BA265" s="70" t="str">
        <f t="shared" si="6"/>
        <v/>
      </c>
      <c r="BB265" s="68" t="str">
        <f t="shared" si="7"/>
        <v/>
      </c>
      <c r="BC265" s="69" t="str">
        <f>IFERROR(VLOOKUP($AQ265,'(勿動)組件目錄表'!$D$15:$R$1094,7,FALSE),"")</f>
        <v/>
      </c>
      <c r="BD265" s="69" t="str">
        <f>IFERROR(VLOOKUP($AQ265,'(勿動)組件目錄表'!$D$15:$R$1094,8,FALSE),"")</f>
        <v/>
      </c>
      <c r="BE265" s="69" t="str">
        <f>IFERROR(VLOOKUP($AQ265,'(勿動)組件目錄表'!$D$15:$R$1094,9,FALSE),"")</f>
        <v/>
      </c>
      <c r="BF265" s="69" t="str">
        <f>IFERROR(VLOOKUP($AQ265,'(勿動)組件目錄表'!$D$15:$R$1094,10,FALSE),"")</f>
        <v/>
      </c>
      <c r="BG265" s="69" t="str">
        <f>IFERROR(VLOOKUP($AQ265,'(勿動)組件目錄表'!$D$15:$R$1094,11,FALSE),"")</f>
        <v/>
      </c>
      <c r="BH265" s="69" t="str">
        <f>IFERROR(VLOOKUP($AQ265,'(勿動)組件目錄表'!$D$15:$R$1094,12,FALSE),"")</f>
        <v/>
      </c>
      <c r="BI265" s="69" t="str">
        <f>IFERROR(VLOOKUP($AQ265,'(勿動)組件目錄表'!$D$15:$R$1094,13,FALSE),"")</f>
        <v/>
      </c>
      <c r="BJ265" s="69" t="str">
        <f>IFERROR(VLOOKUP($AQ265,'(勿動)組件目錄表'!$D$15:$R$1094,14,FALSE),"")</f>
        <v/>
      </c>
      <c r="BK265" s="69" t="str">
        <f>IFERROR(VLOOKUP($AQ265,'(勿動)組件目錄表'!$D$15:$R$1094,15,FALSE),"")</f>
        <v/>
      </c>
      <c r="BL265" s="81">
        <f ca="1">IFERROR(__xludf.DUMMYFUNCTION("IFERROR(
  LET(
    rowData, FILTER('(勿動)組件目錄表'!J:Q, '(勿動)組件目錄表'!D:D=AQ265),
    IF(ROWS(rowData)=0, 0, 
      (
        IF(AND(BC265&lt;&gt;"""", INDEX(rowData,1,1)=BC265),1,0) +
        IF(AND(BD265&lt;&gt;"""", INDEX(rowData,1,2)=BD265),1,0) +
        IF(AND(BE265"&amp;"&lt;&gt;"""", INDEX(rowData,1,3)=BE265),1,0) +
        IF(AND(BF265&lt;&gt;"""", INDEX(rowData,1,4)=BF265),1,0) +
        IF(AND(BG265&lt;&gt;"""", INDEX(rowData,1,5)=BG265),1,0) +
        IF(AND(BH265&lt;&gt;"""", INDEX(rowData,1,6)=BH265),1,0) +
        IF(AND(BI265&lt;&gt;"""", IND"&amp;"EX(rowData,1,7)=BI265),1,0) +
        IF(AND(BJ265&lt;&gt;"""", INDEX(rowData,1,8)=BJ265),1,0)
      ) - COUNTIF(BC265:BJ265, ""-"")
        - COUNTIF(BC265:BJ265, ""固定格式，不需提供資訊"")
        - COUNTIF(BC265:BJ265, ""由MKT更新，此欄位固定格式，不需提供資訊
(Voucher CID：12917705872)"&amp;""")
        - COUNTIF(BC265:BJ265, ""text固定為以下：
※直播間僅支援手機版"")
        - COUNTIF(BC265:BJ265, ""text固定為以下：
※短影音僅支援手機版"")
    )
  ), 
  0
)
"),0)</f>
        <v>0</v>
      </c>
      <c r="BM265" s="77" t="b">
        <v>0</v>
      </c>
      <c r="BN265" s="85"/>
      <c r="BO265" s="85"/>
    </row>
    <row r="266" spans="1:67" ht="30" customHeight="1">
      <c r="A266" s="73" t="str">
        <f t="array" aca="1" ref="A266" ca="1">IFERROR(TRANSPOSE(INDIRECT('MS section版配(Old)'!$AO266)),"")</f>
        <v/>
      </c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8"/>
      <c r="P266" s="88"/>
      <c r="Q266" s="88"/>
      <c r="R266" s="88"/>
      <c r="S266" s="88"/>
      <c r="T266" s="88"/>
      <c r="U266" s="88"/>
      <c r="V266" s="88"/>
      <c r="W266" s="88"/>
      <c r="X266" s="88"/>
      <c r="Y266" s="88"/>
      <c r="Z266" s="88"/>
      <c r="AA266" s="88"/>
      <c r="AB266" s="88"/>
      <c r="AC266" s="88"/>
      <c r="AD266" s="88"/>
      <c r="AE266" s="397" t="str">
        <f>IFERROR(VLOOKUP($AQ266,'(勿動)組件目錄表'!$D$15:$R$1094,4,FALSE),"")</f>
        <v/>
      </c>
      <c r="AF266" s="384"/>
      <c r="AG266" s="384"/>
      <c r="AH266" s="384"/>
      <c r="AI266" s="384"/>
      <c r="AJ266" s="385"/>
      <c r="AK266" s="54" t="b">
        <v>0</v>
      </c>
      <c r="AL266" s="54" t="b">
        <v>0</v>
      </c>
      <c r="AM266" s="54"/>
      <c r="AN266" s="7" t="str">
        <v>258</v>
      </c>
      <c r="AO266" s="7"/>
      <c r="AP266" s="62"/>
      <c r="AQ266" s="75" t="str">
        <v/>
      </c>
      <c r="AR266" s="75" t="str">
        <v>-</v>
      </c>
      <c r="AS266" s="11"/>
      <c r="AT266" s="77" t="str">
        <v>-</v>
      </c>
      <c r="AU266" s="11" t="str">
        <v>-</v>
      </c>
      <c r="AV266" s="100"/>
      <c r="AW266" s="80" t="str">
        <f ca="1"/>
        <v>-</v>
      </c>
      <c r="AX266" s="86" t="b">
        <v>0</v>
      </c>
      <c r="AY266" s="68" t="str">
        <f t="shared" si="4"/>
        <v/>
      </c>
      <c r="AZ266" s="69" t="str">
        <f t="shared" si="5"/>
        <v/>
      </c>
      <c r="BA266" s="70" t="str">
        <f t="shared" si="6"/>
        <v/>
      </c>
      <c r="BB266" s="68" t="str">
        <f t="shared" si="7"/>
        <v/>
      </c>
      <c r="BC266" s="69" t="str">
        <f>IFERROR(VLOOKUP($AQ266,'(勿動)組件目錄表'!$D$15:$R$1094,7,FALSE),"")</f>
        <v/>
      </c>
      <c r="BD266" s="69" t="str">
        <f>IFERROR(VLOOKUP($AQ266,'(勿動)組件目錄表'!$D$15:$R$1094,8,FALSE),"")</f>
        <v/>
      </c>
      <c r="BE266" s="69" t="str">
        <f>IFERROR(VLOOKUP($AQ266,'(勿動)組件目錄表'!$D$15:$R$1094,9,FALSE),"")</f>
        <v/>
      </c>
      <c r="BF266" s="69" t="str">
        <f>IFERROR(VLOOKUP($AQ266,'(勿動)組件目錄表'!$D$15:$R$1094,10,FALSE),"")</f>
        <v/>
      </c>
      <c r="BG266" s="69" t="str">
        <f>IFERROR(VLOOKUP($AQ266,'(勿動)組件目錄表'!$D$15:$R$1094,11,FALSE),"")</f>
        <v/>
      </c>
      <c r="BH266" s="69" t="str">
        <f>IFERROR(VLOOKUP($AQ266,'(勿動)組件目錄表'!$D$15:$R$1094,12,FALSE),"")</f>
        <v/>
      </c>
      <c r="BI266" s="69" t="str">
        <f>IFERROR(VLOOKUP($AQ266,'(勿動)組件目錄表'!$D$15:$R$1094,13,FALSE),"")</f>
        <v/>
      </c>
      <c r="BJ266" s="69" t="str">
        <f>IFERROR(VLOOKUP($AQ266,'(勿動)組件目錄表'!$D$15:$R$1094,14,FALSE),"")</f>
        <v/>
      </c>
      <c r="BK266" s="69" t="str">
        <f>IFERROR(VLOOKUP($AQ266,'(勿動)組件目錄表'!$D$15:$R$1094,15,FALSE),"")</f>
        <v/>
      </c>
      <c r="BL266" s="81">
        <f ca="1">IFERROR(__xludf.DUMMYFUNCTION("IFERROR(
  LET(
    rowData, FILTER('(勿動)組件目錄表'!J:Q, '(勿動)組件目錄表'!D:D=AQ266),
    IF(ROWS(rowData)=0, 0, 
      (
        IF(AND(BC266&lt;&gt;"""", INDEX(rowData,1,1)=BC266),1,0) +
        IF(AND(BD266&lt;&gt;"""", INDEX(rowData,1,2)=BD266),1,0) +
        IF(AND(BE266"&amp;"&lt;&gt;"""", INDEX(rowData,1,3)=BE266),1,0) +
        IF(AND(BF266&lt;&gt;"""", INDEX(rowData,1,4)=BF266),1,0) +
        IF(AND(BG266&lt;&gt;"""", INDEX(rowData,1,5)=BG266),1,0) +
        IF(AND(BH266&lt;&gt;"""", INDEX(rowData,1,6)=BH266),1,0) +
        IF(AND(BI266&lt;&gt;"""", IND"&amp;"EX(rowData,1,7)=BI266),1,0) +
        IF(AND(BJ266&lt;&gt;"""", INDEX(rowData,1,8)=BJ266),1,0)
      ) - COUNTIF(BC266:BJ266, ""-"")
        - COUNTIF(BC266:BJ266, ""固定格式，不需提供資訊"")
        - COUNTIF(BC266:BJ266, ""由MKT更新，此欄位固定格式，不需提供資訊
(Voucher CID：12917705872)"&amp;""")
        - COUNTIF(BC266:BJ266, ""text固定為以下：
※直播間僅支援手機版"")
        - COUNTIF(BC266:BJ266, ""text固定為以下：
※短影音僅支援手機版"")
    )
  ), 
  0
)
"),0)</f>
        <v>0</v>
      </c>
      <c r="BM266" s="77" t="b">
        <v>0</v>
      </c>
      <c r="BN266" s="85"/>
      <c r="BO266" s="85"/>
    </row>
    <row r="267" spans="1:67" ht="30" customHeight="1">
      <c r="A267" s="73" t="str">
        <f t="array" aca="1" ref="A267" ca="1">IFERROR(TRANSPOSE(INDIRECT('MS section版配(Old)'!$AO267)),"")</f>
        <v/>
      </c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8"/>
      <c r="P267" s="88"/>
      <c r="Q267" s="88"/>
      <c r="R267" s="88"/>
      <c r="S267" s="88"/>
      <c r="T267" s="88"/>
      <c r="U267" s="88"/>
      <c r="V267" s="88"/>
      <c r="W267" s="88"/>
      <c r="X267" s="88"/>
      <c r="Y267" s="88"/>
      <c r="Z267" s="88"/>
      <c r="AA267" s="88"/>
      <c r="AB267" s="88"/>
      <c r="AC267" s="88"/>
      <c r="AD267" s="88"/>
      <c r="AE267" s="397" t="str">
        <f>IFERROR(VLOOKUP($AQ267,'(勿動)組件目錄表'!$D$15:$R$1094,4,FALSE),"")</f>
        <v/>
      </c>
      <c r="AF267" s="384"/>
      <c r="AG267" s="384"/>
      <c r="AH267" s="384"/>
      <c r="AI267" s="384"/>
      <c r="AJ267" s="385"/>
      <c r="AK267" s="54" t="b">
        <v>0</v>
      </c>
      <c r="AL267" s="54" t="b">
        <v>0</v>
      </c>
      <c r="AM267" s="54"/>
      <c r="AN267" s="7" t="str">
        <v>259</v>
      </c>
      <c r="AO267" s="7"/>
      <c r="AP267" s="62"/>
      <c r="AQ267" s="75" t="str">
        <v/>
      </c>
      <c r="AR267" s="75" t="str">
        <v>-</v>
      </c>
      <c r="AS267" s="11"/>
      <c r="AT267" s="77" t="str">
        <v>-</v>
      </c>
      <c r="AU267" s="11" t="str">
        <v>-</v>
      </c>
      <c r="AV267" s="100"/>
      <c r="AW267" s="80" t="str">
        <f ca="1"/>
        <v>-</v>
      </c>
      <c r="AX267" s="86" t="b">
        <v>0</v>
      </c>
      <c r="AY267" s="68" t="str">
        <f t="shared" si="4"/>
        <v/>
      </c>
      <c r="AZ267" s="69" t="str">
        <f t="shared" si="5"/>
        <v/>
      </c>
      <c r="BA267" s="70" t="str">
        <f t="shared" si="6"/>
        <v/>
      </c>
      <c r="BB267" s="68" t="str">
        <f t="shared" si="7"/>
        <v/>
      </c>
      <c r="BC267" s="69" t="str">
        <f>IFERROR(VLOOKUP($AQ267,'(勿動)組件目錄表'!$D$15:$R$1094,7,FALSE),"")</f>
        <v/>
      </c>
      <c r="BD267" s="69" t="str">
        <f>IFERROR(VLOOKUP($AQ267,'(勿動)組件目錄表'!$D$15:$R$1094,8,FALSE),"")</f>
        <v/>
      </c>
      <c r="BE267" s="69" t="str">
        <f>IFERROR(VLOOKUP($AQ267,'(勿動)組件目錄表'!$D$15:$R$1094,9,FALSE),"")</f>
        <v/>
      </c>
      <c r="BF267" s="69" t="str">
        <f>IFERROR(VLOOKUP($AQ267,'(勿動)組件目錄表'!$D$15:$R$1094,10,FALSE),"")</f>
        <v/>
      </c>
      <c r="BG267" s="69" t="str">
        <f>IFERROR(VLOOKUP($AQ267,'(勿動)組件目錄表'!$D$15:$R$1094,11,FALSE),"")</f>
        <v/>
      </c>
      <c r="BH267" s="69" t="str">
        <f>IFERROR(VLOOKUP($AQ267,'(勿動)組件目錄表'!$D$15:$R$1094,12,FALSE),"")</f>
        <v/>
      </c>
      <c r="BI267" s="69" t="str">
        <f>IFERROR(VLOOKUP($AQ267,'(勿動)組件目錄表'!$D$15:$R$1094,13,FALSE),"")</f>
        <v/>
      </c>
      <c r="BJ267" s="69" t="str">
        <f>IFERROR(VLOOKUP($AQ267,'(勿動)組件目錄表'!$D$15:$R$1094,14,FALSE),"")</f>
        <v/>
      </c>
      <c r="BK267" s="69" t="str">
        <f>IFERROR(VLOOKUP($AQ267,'(勿動)組件目錄表'!$D$15:$R$1094,15,FALSE),"")</f>
        <v/>
      </c>
      <c r="BL267" s="81">
        <f ca="1">IFERROR(__xludf.DUMMYFUNCTION("IFERROR(
  LET(
    rowData, FILTER('(勿動)組件目錄表'!J:Q, '(勿動)組件目錄表'!D:D=AQ267),
    IF(ROWS(rowData)=0, 0, 
      (
        IF(AND(BC267&lt;&gt;"""", INDEX(rowData,1,1)=BC267),1,0) +
        IF(AND(BD267&lt;&gt;"""", INDEX(rowData,1,2)=BD267),1,0) +
        IF(AND(BE267"&amp;"&lt;&gt;"""", INDEX(rowData,1,3)=BE267),1,0) +
        IF(AND(BF267&lt;&gt;"""", INDEX(rowData,1,4)=BF267),1,0) +
        IF(AND(BG267&lt;&gt;"""", INDEX(rowData,1,5)=BG267),1,0) +
        IF(AND(BH267&lt;&gt;"""", INDEX(rowData,1,6)=BH267),1,0) +
        IF(AND(BI267&lt;&gt;"""", IND"&amp;"EX(rowData,1,7)=BI267),1,0) +
        IF(AND(BJ267&lt;&gt;"""", INDEX(rowData,1,8)=BJ267),1,0)
      ) - COUNTIF(BC267:BJ267, ""-"")
        - COUNTIF(BC267:BJ267, ""固定格式，不需提供資訊"")
        - COUNTIF(BC267:BJ267, ""由MKT更新，此欄位固定格式，不需提供資訊
(Voucher CID：12917705872)"&amp;""")
        - COUNTIF(BC267:BJ267, ""text固定為以下：
※直播間僅支援手機版"")
        - COUNTIF(BC267:BJ267, ""text固定為以下：
※短影音僅支援手機版"")
    )
  ), 
  0
)
"),0)</f>
        <v>0</v>
      </c>
      <c r="BM267" s="77" t="b">
        <v>0</v>
      </c>
      <c r="BN267" s="85"/>
      <c r="BO267" s="85"/>
    </row>
    <row r="268" spans="1:67" ht="30" customHeight="1">
      <c r="A268" s="73" t="str">
        <f t="array" aca="1" ref="A268" ca="1">IFERROR(TRANSPOSE(INDIRECT('MS section版配(Old)'!$AO268)),"")</f>
        <v/>
      </c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8"/>
      <c r="P268" s="88"/>
      <c r="Q268" s="88"/>
      <c r="R268" s="88"/>
      <c r="S268" s="88"/>
      <c r="T268" s="88"/>
      <c r="U268" s="88"/>
      <c r="V268" s="88"/>
      <c r="W268" s="88"/>
      <c r="X268" s="88"/>
      <c r="Y268" s="88"/>
      <c r="Z268" s="88"/>
      <c r="AA268" s="88"/>
      <c r="AB268" s="88"/>
      <c r="AC268" s="88"/>
      <c r="AD268" s="88"/>
      <c r="AE268" s="397" t="str">
        <f>IFERROR(VLOOKUP($AQ268,'(勿動)組件目錄表'!$D$15:$R$1094,4,FALSE),"")</f>
        <v/>
      </c>
      <c r="AF268" s="384"/>
      <c r="AG268" s="384"/>
      <c r="AH268" s="384"/>
      <c r="AI268" s="384"/>
      <c r="AJ268" s="385"/>
      <c r="AK268" s="54" t="b">
        <v>0</v>
      </c>
      <c r="AL268" s="54" t="b">
        <v>0</v>
      </c>
      <c r="AM268" s="54"/>
      <c r="AN268" s="7" t="str">
        <v>260</v>
      </c>
      <c r="AO268" s="7"/>
      <c r="AP268" s="62"/>
      <c r="AQ268" s="75" t="str">
        <v/>
      </c>
      <c r="AR268" s="75" t="str">
        <v>-</v>
      </c>
      <c r="AS268" s="11"/>
      <c r="AT268" s="77" t="str">
        <v>-</v>
      </c>
      <c r="AU268" s="11" t="str">
        <v>-</v>
      </c>
      <c r="AV268" s="100"/>
      <c r="AW268" s="80" t="str">
        <f ca="1"/>
        <v>-</v>
      </c>
      <c r="AX268" s="86" t="b">
        <v>0</v>
      </c>
      <c r="AY268" s="68" t="str">
        <f t="shared" si="4"/>
        <v/>
      </c>
      <c r="AZ268" s="69" t="str">
        <f t="shared" si="5"/>
        <v/>
      </c>
      <c r="BA268" s="70" t="str">
        <f t="shared" si="6"/>
        <v/>
      </c>
      <c r="BB268" s="68" t="str">
        <f t="shared" si="7"/>
        <v/>
      </c>
      <c r="BC268" s="69" t="str">
        <f>IFERROR(VLOOKUP($AQ268,'(勿動)組件目錄表'!$D$15:$R$1094,7,FALSE),"")</f>
        <v/>
      </c>
      <c r="BD268" s="69" t="str">
        <f>IFERROR(VLOOKUP($AQ268,'(勿動)組件目錄表'!$D$15:$R$1094,8,FALSE),"")</f>
        <v/>
      </c>
      <c r="BE268" s="69" t="str">
        <f>IFERROR(VLOOKUP($AQ268,'(勿動)組件目錄表'!$D$15:$R$1094,9,FALSE),"")</f>
        <v/>
      </c>
      <c r="BF268" s="69" t="str">
        <f>IFERROR(VLOOKUP($AQ268,'(勿動)組件目錄表'!$D$15:$R$1094,10,FALSE),"")</f>
        <v/>
      </c>
      <c r="BG268" s="69" t="str">
        <f>IFERROR(VLOOKUP($AQ268,'(勿動)組件目錄表'!$D$15:$R$1094,11,FALSE),"")</f>
        <v/>
      </c>
      <c r="BH268" s="69" t="str">
        <f>IFERROR(VLOOKUP($AQ268,'(勿動)組件目錄表'!$D$15:$R$1094,12,FALSE),"")</f>
        <v/>
      </c>
      <c r="BI268" s="69" t="str">
        <f>IFERROR(VLOOKUP($AQ268,'(勿動)組件目錄表'!$D$15:$R$1094,13,FALSE),"")</f>
        <v/>
      </c>
      <c r="BJ268" s="69" t="str">
        <f>IFERROR(VLOOKUP($AQ268,'(勿動)組件目錄表'!$D$15:$R$1094,14,FALSE),"")</f>
        <v/>
      </c>
      <c r="BK268" s="69" t="str">
        <f>IFERROR(VLOOKUP($AQ268,'(勿動)組件目錄表'!$D$15:$R$1094,15,FALSE),"")</f>
        <v/>
      </c>
      <c r="BL268" s="81">
        <f ca="1">IFERROR(__xludf.DUMMYFUNCTION("IFERROR(
  LET(
    rowData, FILTER('(勿動)組件目錄表'!J:Q, '(勿動)組件目錄表'!D:D=AQ268),
    IF(ROWS(rowData)=0, 0, 
      (
        IF(AND(BC268&lt;&gt;"""", INDEX(rowData,1,1)=BC268),1,0) +
        IF(AND(BD268&lt;&gt;"""", INDEX(rowData,1,2)=BD268),1,0) +
        IF(AND(BE268"&amp;"&lt;&gt;"""", INDEX(rowData,1,3)=BE268),1,0) +
        IF(AND(BF268&lt;&gt;"""", INDEX(rowData,1,4)=BF268),1,0) +
        IF(AND(BG268&lt;&gt;"""", INDEX(rowData,1,5)=BG268),1,0) +
        IF(AND(BH268&lt;&gt;"""", INDEX(rowData,1,6)=BH268),1,0) +
        IF(AND(BI268&lt;&gt;"""", IND"&amp;"EX(rowData,1,7)=BI268),1,0) +
        IF(AND(BJ268&lt;&gt;"""", INDEX(rowData,1,8)=BJ268),1,0)
      ) - COUNTIF(BC268:BJ268, ""-"")
        - COUNTIF(BC268:BJ268, ""固定格式，不需提供資訊"")
        - COUNTIF(BC268:BJ268, ""由MKT更新，此欄位固定格式，不需提供資訊
(Voucher CID：12917705872)"&amp;""")
        - COUNTIF(BC268:BJ268, ""text固定為以下：
※直播間僅支援手機版"")
        - COUNTIF(BC268:BJ268, ""text固定為以下：
※短影音僅支援手機版"")
    )
  ), 
  0
)
"),0)</f>
        <v>0</v>
      </c>
      <c r="BM268" s="77" t="b">
        <v>0</v>
      </c>
      <c r="BN268" s="85"/>
      <c r="BO268" s="85"/>
    </row>
    <row r="269" spans="1:67" ht="30" customHeight="1">
      <c r="A269" s="73" t="str">
        <f t="array" aca="1" ref="A269" ca="1">IFERROR(TRANSPOSE(INDIRECT('MS section版配(Old)'!$AO269)),"")</f>
        <v/>
      </c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8"/>
      <c r="P269" s="88"/>
      <c r="Q269" s="88"/>
      <c r="R269" s="88"/>
      <c r="S269" s="88"/>
      <c r="T269" s="88"/>
      <c r="U269" s="88"/>
      <c r="V269" s="88"/>
      <c r="W269" s="88"/>
      <c r="X269" s="88"/>
      <c r="Y269" s="88"/>
      <c r="Z269" s="88"/>
      <c r="AA269" s="88"/>
      <c r="AB269" s="88"/>
      <c r="AC269" s="88"/>
      <c r="AD269" s="88"/>
      <c r="AE269" s="397" t="str">
        <f>IFERROR(VLOOKUP($AQ269,'(勿動)組件目錄表'!$D$15:$R$1094,4,FALSE),"")</f>
        <v/>
      </c>
      <c r="AF269" s="384"/>
      <c r="AG269" s="384"/>
      <c r="AH269" s="384"/>
      <c r="AI269" s="384"/>
      <c r="AJ269" s="385"/>
      <c r="AK269" s="54" t="b">
        <v>0</v>
      </c>
      <c r="AL269" s="54" t="b">
        <v>0</v>
      </c>
      <c r="AM269" s="54"/>
      <c r="AN269" s="7" t="str">
        <v>261</v>
      </c>
      <c r="AO269" s="7"/>
      <c r="AP269" s="62"/>
      <c r="AQ269" s="75" t="str">
        <v/>
      </c>
      <c r="AR269" s="75" t="str">
        <v>-</v>
      </c>
      <c r="AS269" s="11"/>
      <c r="AT269" s="77" t="str">
        <v>-</v>
      </c>
      <c r="AU269" s="11" t="str">
        <v>-</v>
      </c>
      <c r="AV269" s="100"/>
      <c r="AW269" s="80" t="str">
        <f ca="1"/>
        <v>-</v>
      </c>
      <c r="AX269" s="86" t="b">
        <v>0</v>
      </c>
      <c r="AY269" s="68" t="str">
        <f t="shared" si="4"/>
        <v/>
      </c>
      <c r="AZ269" s="69" t="str">
        <f t="shared" si="5"/>
        <v/>
      </c>
      <c r="BA269" s="70" t="str">
        <f t="shared" si="6"/>
        <v/>
      </c>
      <c r="BB269" s="68" t="str">
        <f t="shared" si="7"/>
        <v/>
      </c>
      <c r="BC269" s="69" t="str">
        <f>IFERROR(VLOOKUP($AQ269,'(勿動)組件目錄表'!$D$15:$R$1094,7,FALSE),"")</f>
        <v/>
      </c>
      <c r="BD269" s="69" t="str">
        <f>IFERROR(VLOOKUP($AQ269,'(勿動)組件目錄表'!$D$15:$R$1094,8,FALSE),"")</f>
        <v/>
      </c>
      <c r="BE269" s="69" t="str">
        <f>IFERROR(VLOOKUP($AQ269,'(勿動)組件目錄表'!$D$15:$R$1094,9,FALSE),"")</f>
        <v/>
      </c>
      <c r="BF269" s="69" t="str">
        <f>IFERROR(VLOOKUP($AQ269,'(勿動)組件目錄表'!$D$15:$R$1094,10,FALSE),"")</f>
        <v/>
      </c>
      <c r="BG269" s="69" t="str">
        <f>IFERROR(VLOOKUP($AQ269,'(勿動)組件目錄表'!$D$15:$R$1094,11,FALSE),"")</f>
        <v/>
      </c>
      <c r="BH269" s="69" t="str">
        <f>IFERROR(VLOOKUP($AQ269,'(勿動)組件目錄表'!$D$15:$R$1094,12,FALSE),"")</f>
        <v/>
      </c>
      <c r="BI269" s="69" t="str">
        <f>IFERROR(VLOOKUP($AQ269,'(勿動)組件目錄表'!$D$15:$R$1094,13,FALSE),"")</f>
        <v/>
      </c>
      <c r="BJ269" s="69" t="str">
        <f>IFERROR(VLOOKUP($AQ269,'(勿動)組件目錄表'!$D$15:$R$1094,14,FALSE),"")</f>
        <v/>
      </c>
      <c r="BK269" s="69" t="str">
        <f>IFERROR(VLOOKUP($AQ269,'(勿動)組件目錄表'!$D$15:$R$1094,15,FALSE),"")</f>
        <v/>
      </c>
      <c r="BL269" s="81">
        <f ca="1">IFERROR(__xludf.DUMMYFUNCTION("IFERROR(
  LET(
    rowData, FILTER('(勿動)組件目錄表'!J:Q, '(勿動)組件目錄表'!D:D=AQ269),
    IF(ROWS(rowData)=0, 0, 
      (
        IF(AND(BC269&lt;&gt;"""", INDEX(rowData,1,1)=BC269),1,0) +
        IF(AND(BD269&lt;&gt;"""", INDEX(rowData,1,2)=BD269),1,0) +
        IF(AND(BE269"&amp;"&lt;&gt;"""", INDEX(rowData,1,3)=BE269),1,0) +
        IF(AND(BF269&lt;&gt;"""", INDEX(rowData,1,4)=BF269),1,0) +
        IF(AND(BG269&lt;&gt;"""", INDEX(rowData,1,5)=BG269),1,0) +
        IF(AND(BH269&lt;&gt;"""", INDEX(rowData,1,6)=BH269),1,0) +
        IF(AND(BI269&lt;&gt;"""", IND"&amp;"EX(rowData,1,7)=BI269),1,0) +
        IF(AND(BJ269&lt;&gt;"""", INDEX(rowData,1,8)=BJ269),1,0)
      ) - COUNTIF(BC269:BJ269, ""-"")
        - COUNTIF(BC269:BJ269, ""固定格式，不需提供資訊"")
        - COUNTIF(BC269:BJ269, ""由MKT更新，此欄位固定格式，不需提供資訊
(Voucher CID：12917705872)"&amp;""")
        - COUNTIF(BC269:BJ269, ""text固定為以下：
※直播間僅支援手機版"")
        - COUNTIF(BC269:BJ269, ""text固定為以下：
※短影音僅支援手機版"")
    )
  ), 
  0
)
"),0)</f>
        <v>0</v>
      </c>
      <c r="BM269" s="77" t="b">
        <v>0</v>
      </c>
      <c r="BN269" s="85"/>
      <c r="BO269" s="85"/>
    </row>
    <row r="270" spans="1:67" ht="30" customHeight="1">
      <c r="A270" s="73" t="str">
        <f t="array" aca="1" ref="A270" ca="1">IFERROR(TRANSPOSE(INDIRECT('MS section版配(Old)'!$AO270)),"")</f>
        <v/>
      </c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8"/>
      <c r="P270" s="88"/>
      <c r="Q270" s="88"/>
      <c r="R270" s="88"/>
      <c r="S270" s="88"/>
      <c r="T270" s="88"/>
      <c r="U270" s="88"/>
      <c r="V270" s="88"/>
      <c r="W270" s="88"/>
      <c r="X270" s="88"/>
      <c r="Y270" s="88"/>
      <c r="Z270" s="88"/>
      <c r="AA270" s="88"/>
      <c r="AB270" s="88"/>
      <c r="AC270" s="88"/>
      <c r="AD270" s="88"/>
      <c r="AE270" s="397" t="str">
        <f>IFERROR(VLOOKUP($AQ270,'(勿動)組件目錄表'!$D$15:$R$1094,4,FALSE),"")</f>
        <v/>
      </c>
      <c r="AF270" s="384"/>
      <c r="AG270" s="384"/>
      <c r="AH270" s="384"/>
      <c r="AI270" s="384"/>
      <c r="AJ270" s="385"/>
      <c r="AK270" s="54" t="b">
        <v>0</v>
      </c>
      <c r="AL270" s="54" t="b">
        <v>0</v>
      </c>
      <c r="AM270" s="54"/>
      <c r="AN270" s="7" t="str">
        <v>262</v>
      </c>
      <c r="AO270" s="7"/>
      <c r="AP270" s="62"/>
      <c r="AQ270" s="75" t="str">
        <v/>
      </c>
      <c r="AR270" s="75" t="str">
        <v>-</v>
      </c>
      <c r="AS270" s="11"/>
      <c r="AT270" s="77" t="str">
        <v>-</v>
      </c>
      <c r="AU270" s="11" t="str">
        <v>-</v>
      </c>
      <c r="AV270" s="100"/>
      <c r="AW270" s="80" t="str">
        <f ca="1"/>
        <v>-</v>
      </c>
      <c r="AX270" s="86" t="b">
        <v>0</v>
      </c>
      <c r="AY270" s="68" t="str">
        <f t="shared" si="4"/>
        <v/>
      </c>
      <c r="AZ270" s="69" t="str">
        <f t="shared" si="5"/>
        <v/>
      </c>
      <c r="BA270" s="70" t="str">
        <f t="shared" si="6"/>
        <v/>
      </c>
      <c r="BB270" s="68" t="str">
        <f t="shared" si="7"/>
        <v/>
      </c>
      <c r="BC270" s="69" t="str">
        <f>IFERROR(VLOOKUP($AQ270,'(勿動)組件目錄表'!$D$15:$R$1094,7,FALSE),"")</f>
        <v/>
      </c>
      <c r="BD270" s="69" t="str">
        <f>IFERROR(VLOOKUP($AQ270,'(勿動)組件目錄表'!$D$15:$R$1094,8,FALSE),"")</f>
        <v/>
      </c>
      <c r="BE270" s="69" t="str">
        <f>IFERROR(VLOOKUP($AQ270,'(勿動)組件目錄表'!$D$15:$R$1094,9,FALSE),"")</f>
        <v/>
      </c>
      <c r="BF270" s="69" t="str">
        <f>IFERROR(VLOOKUP($AQ270,'(勿動)組件目錄表'!$D$15:$R$1094,10,FALSE),"")</f>
        <v/>
      </c>
      <c r="BG270" s="69" t="str">
        <f>IFERROR(VLOOKUP($AQ270,'(勿動)組件目錄表'!$D$15:$R$1094,11,FALSE),"")</f>
        <v/>
      </c>
      <c r="BH270" s="69" t="str">
        <f>IFERROR(VLOOKUP($AQ270,'(勿動)組件目錄表'!$D$15:$R$1094,12,FALSE),"")</f>
        <v/>
      </c>
      <c r="BI270" s="69" t="str">
        <f>IFERROR(VLOOKUP($AQ270,'(勿動)組件目錄表'!$D$15:$R$1094,13,FALSE),"")</f>
        <v/>
      </c>
      <c r="BJ270" s="69" t="str">
        <f>IFERROR(VLOOKUP($AQ270,'(勿動)組件目錄表'!$D$15:$R$1094,14,FALSE),"")</f>
        <v/>
      </c>
      <c r="BK270" s="69" t="str">
        <f>IFERROR(VLOOKUP($AQ270,'(勿動)組件目錄表'!$D$15:$R$1094,15,FALSE),"")</f>
        <v/>
      </c>
      <c r="BL270" s="81">
        <f ca="1">IFERROR(__xludf.DUMMYFUNCTION("IFERROR(
  LET(
    rowData, FILTER('(勿動)組件目錄表'!J:Q, '(勿動)組件目錄表'!D:D=AQ270),
    IF(ROWS(rowData)=0, 0, 
      (
        IF(AND(BC270&lt;&gt;"""", INDEX(rowData,1,1)=BC270),1,0) +
        IF(AND(BD270&lt;&gt;"""", INDEX(rowData,1,2)=BD270),1,0) +
        IF(AND(BE270"&amp;"&lt;&gt;"""", INDEX(rowData,1,3)=BE270),1,0) +
        IF(AND(BF270&lt;&gt;"""", INDEX(rowData,1,4)=BF270),1,0) +
        IF(AND(BG270&lt;&gt;"""", INDEX(rowData,1,5)=BG270),1,0) +
        IF(AND(BH270&lt;&gt;"""", INDEX(rowData,1,6)=BH270),1,0) +
        IF(AND(BI270&lt;&gt;"""", IND"&amp;"EX(rowData,1,7)=BI270),1,0) +
        IF(AND(BJ270&lt;&gt;"""", INDEX(rowData,1,8)=BJ270),1,0)
      ) - COUNTIF(BC270:BJ270, ""-"")
        - COUNTIF(BC270:BJ270, ""固定格式，不需提供資訊"")
        - COUNTIF(BC270:BJ270, ""由MKT更新，此欄位固定格式，不需提供資訊
(Voucher CID：12917705872)"&amp;""")
        - COUNTIF(BC270:BJ270, ""text固定為以下：
※直播間僅支援手機版"")
        - COUNTIF(BC270:BJ270, ""text固定為以下：
※短影音僅支援手機版"")
    )
  ), 
  0
)
"),0)</f>
        <v>0</v>
      </c>
      <c r="BM270" s="77" t="b">
        <v>0</v>
      </c>
      <c r="BN270" s="85"/>
      <c r="BO270" s="85"/>
    </row>
    <row r="271" spans="1:67" ht="30" customHeight="1">
      <c r="A271" s="73" t="str">
        <f t="array" aca="1" ref="A271" ca="1">IFERROR(TRANSPOSE(INDIRECT('MS section版配(Old)'!$AO271)),"")</f>
        <v/>
      </c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8"/>
      <c r="P271" s="88"/>
      <c r="Q271" s="88"/>
      <c r="R271" s="88"/>
      <c r="S271" s="88"/>
      <c r="T271" s="88"/>
      <c r="U271" s="88"/>
      <c r="V271" s="88"/>
      <c r="W271" s="88"/>
      <c r="X271" s="88"/>
      <c r="Y271" s="88"/>
      <c r="Z271" s="88"/>
      <c r="AA271" s="88"/>
      <c r="AB271" s="88"/>
      <c r="AC271" s="88"/>
      <c r="AD271" s="88"/>
      <c r="AE271" s="397" t="str">
        <f>IFERROR(VLOOKUP($AQ271,'(勿動)組件目錄表'!$D$15:$R$1094,4,FALSE),"")</f>
        <v/>
      </c>
      <c r="AF271" s="384"/>
      <c r="AG271" s="384"/>
      <c r="AH271" s="384"/>
      <c r="AI271" s="384"/>
      <c r="AJ271" s="385"/>
      <c r="AK271" s="54" t="b">
        <v>0</v>
      </c>
      <c r="AL271" s="54" t="b">
        <v>0</v>
      </c>
      <c r="AM271" s="54"/>
      <c r="AN271" s="7" t="str">
        <v>263</v>
      </c>
      <c r="AO271" s="7"/>
      <c r="AP271" s="62"/>
      <c r="AQ271" s="75" t="str">
        <v/>
      </c>
      <c r="AR271" s="75" t="str">
        <v>-</v>
      </c>
      <c r="AS271" s="11"/>
      <c r="AT271" s="77" t="str">
        <v>-</v>
      </c>
      <c r="AU271" s="11" t="str">
        <v>-</v>
      </c>
      <c r="AV271" s="100"/>
      <c r="AW271" s="80" t="str">
        <f ca="1"/>
        <v>-</v>
      </c>
      <c r="AX271" s="86" t="b">
        <v>0</v>
      </c>
      <c r="AY271" s="68" t="str">
        <f t="shared" si="4"/>
        <v/>
      </c>
      <c r="AZ271" s="69" t="str">
        <f t="shared" si="5"/>
        <v/>
      </c>
      <c r="BA271" s="70" t="str">
        <f t="shared" si="6"/>
        <v/>
      </c>
      <c r="BB271" s="68" t="str">
        <f t="shared" si="7"/>
        <v/>
      </c>
      <c r="BC271" s="69" t="str">
        <f>IFERROR(VLOOKUP($AQ271,'(勿動)組件目錄表'!$D$15:$R$1094,7,FALSE),"")</f>
        <v/>
      </c>
      <c r="BD271" s="69" t="str">
        <f>IFERROR(VLOOKUP($AQ271,'(勿動)組件目錄表'!$D$15:$R$1094,8,FALSE),"")</f>
        <v/>
      </c>
      <c r="BE271" s="69" t="str">
        <f>IFERROR(VLOOKUP($AQ271,'(勿動)組件目錄表'!$D$15:$R$1094,9,FALSE),"")</f>
        <v/>
      </c>
      <c r="BF271" s="69" t="str">
        <f>IFERROR(VLOOKUP($AQ271,'(勿動)組件目錄表'!$D$15:$R$1094,10,FALSE),"")</f>
        <v/>
      </c>
      <c r="BG271" s="69" t="str">
        <f>IFERROR(VLOOKUP($AQ271,'(勿動)組件目錄表'!$D$15:$R$1094,11,FALSE),"")</f>
        <v/>
      </c>
      <c r="BH271" s="69" t="str">
        <f>IFERROR(VLOOKUP($AQ271,'(勿動)組件目錄表'!$D$15:$R$1094,12,FALSE),"")</f>
        <v/>
      </c>
      <c r="BI271" s="69" t="str">
        <f>IFERROR(VLOOKUP($AQ271,'(勿動)組件目錄表'!$D$15:$R$1094,13,FALSE),"")</f>
        <v/>
      </c>
      <c r="BJ271" s="69" t="str">
        <f>IFERROR(VLOOKUP($AQ271,'(勿動)組件目錄表'!$D$15:$R$1094,14,FALSE),"")</f>
        <v/>
      </c>
      <c r="BK271" s="69" t="str">
        <f>IFERROR(VLOOKUP($AQ271,'(勿動)組件目錄表'!$D$15:$R$1094,15,FALSE),"")</f>
        <v/>
      </c>
      <c r="BL271" s="81">
        <f ca="1">IFERROR(__xludf.DUMMYFUNCTION("IFERROR(
  LET(
    rowData, FILTER('(勿動)組件目錄表'!J:Q, '(勿動)組件目錄表'!D:D=AQ271),
    IF(ROWS(rowData)=0, 0, 
      (
        IF(AND(BC271&lt;&gt;"""", INDEX(rowData,1,1)=BC271),1,0) +
        IF(AND(BD271&lt;&gt;"""", INDEX(rowData,1,2)=BD271),1,0) +
        IF(AND(BE271"&amp;"&lt;&gt;"""", INDEX(rowData,1,3)=BE271),1,0) +
        IF(AND(BF271&lt;&gt;"""", INDEX(rowData,1,4)=BF271),1,0) +
        IF(AND(BG271&lt;&gt;"""", INDEX(rowData,1,5)=BG271),1,0) +
        IF(AND(BH271&lt;&gt;"""", INDEX(rowData,1,6)=BH271),1,0) +
        IF(AND(BI271&lt;&gt;"""", IND"&amp;"EX(rowData,1,7)=BI271),1,0) +
        IF(AND(BJ271&lt;&gt;"""", INDEX(rowData,1,8)=BJ271),1,0)
      ) - COUNTIF(BC271:BJ271, ""-"")
        - COUNTIF(BC271:BJ271, ""固定格式，不需提供資訊"")
        - COUNTIF(BC271:BJ271, ""由MKT更新，此欄位固定格式，不需提供資訊
(Voucher CID：12917705872)"&amp;""")
        - COUNTIF(BC271:BJ271, ""text固定為以下：
※直播間僅支援手機版"")
        - COUNTIF(BC271:BJ271, ""text固定為以下：
※短影音僅支援手機版"")
    )
  ), 
  0
)
"),0)</f>
        <v>0</v>
      </c>
      <c r="BM271" s="77" t="b">
        <v>0</v>
      </c>
      <c r="BN271" s="85"/>
      <c r="BO271" s="85"/>
    </row>
    <row r="272" spans="1:67" ht="30" customHeight="1">
      <c r="A272" s="73" t="str">
        <f t="array" aca="1" ref="A272" ca="1">IFERROR(TRANSPOSE(INDIRECT('MS section版配(Old)'!$AO272)),"")</f>
        <v/>
      </c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8"/>
      <c r="P272" s="88"/>
      <c r="Q272" s="88"/>
      <c r="R272" s="88"/>
      <c r="S272" s="88"/>
      <c r="T272" s="88"/>
      <c r="U272" s="88"/>
      <c r="V272" s="88"/>
      <c r="W272" s="88"/>
      <c r="X272" s="88"/>
      <c r="Y272" s="88"/>
      <c r="Z272" s="88"/>
      <c r="AA272" s="88"/>
      <c r="AB272" s="88"/>
      <c r="AC272" s="88"/>
      <c r="AD272" s="88"/>
      <c r="AE272" s="397" t="str">
        <f>IFERROR(VLOOKUP($AQ272,'(勿動)組件目錄表'!$D$15:$R$1094,4,FALSE),"")</f>
        <v/>
      </c>
      <c r="AF272" s="384"/>
      <c r="AG272" s="384"/>
      <c r="AH272" s="384"/>
      <c r="AI272" s="384"/>
      <c r="AJ272" s="385"/>
      <c r="AK272" s="54" t="b">
        <v>0</v>
      </c>
      <c r="AL272" s="54" t="b">
        <v>0</v>
      </c>
      <c r="AM272" s="54"/>
      <c r="AN272" s="7" t="str">
        <v>264</v>
      </c>
      <c r="AO272" s="7"/>
      <c r="AP272" s="62"/>
      <c r="AQ272" s="75" t="str">
        <v/>
      </c>
      <c r="AR272" s="75" t="str">
        <v>-</v>
      </c>
      <c r="AS272" s="11"/>
      <c r="AT272" s="77" t="str">
        <v>-</v>
      </c>
      <c r="AU272" s="11" t="str">
        <v>-</v>
      </c>
      <c r="AV272" s="100"/>
      <c r="AW272" s="80" t="str">
        <f ca="1"/>
        <v>-</v>
      </c>
      <c r="AX272" s="86" t="b">
        <v>0</v>
      </c>
      <c r="AY272" s="68" t="str">
        <f t="shared" si="4"/>
        <v/>
      </c>
      <c r="AZ272" s="69" t="str">
        <f t="shared" si="5"/>
        <v/>
      </c>
      <c r="BA272" s="70" t="str">
        <f t="shared" si="6"/>
        <v/>
      </c>
      <c r="BB272" s="68" t="str">
        <f t="shared" si="7"/>
        <v/>
      </c>
      <c r="BC272" s="69" t="str">
        <f>IFERROR(VLOOKUP($AQ272,'(勿動)組件目錄表'!$D$15:$R$1094,7,FALSE),"")</f>
        <v/>
      </c>
      <c r="BD272" s="69" t="str">
        <f>IFERROR(VLOOKUP($AQ272,'(勿動)組件目錄表'!$D$15:$R$1094,8,FALSE),"")</f>
        <v/>
      </c>
      <c r="BE272" s="69" t="str">
        <f>IFERROR(VLOOKUP($AQ272,'(勿動)組件目錄表'!$D$15:$R$1094,9,FALSE),"")</f>
        <v/>
      </c>
      <c r="BF272" s="69" t="str">
        <f>IFERROR(VLOOKUP($AQ272,'(勿動)組件目錄表'!$D$15:$R$1094,10,FALSE),"")</f>
        <v/>
      </c>
      <c r="BG272" s="69" t="str">
        <f>IFERROR(VLOOKUP($AQ272,'(勿動)組件目錄表'!$D$15:$R$1094,11,FALSE),"")</f>
        <v/>
      </c>
      <c r="BH272" s="69" t="str">
        <f>IFERROR(VLOOKUP($AQ272,'(勿動)組件目錄表'!$D$15:$R$1094,12,FALSE),"")</f>
        <v/>
      </c>
      <c r="BI272" s="69" t="str">
        <f>IFERROR(VLOOKUP($AQ272,'(勿動)組件目錄表'!$D$15:$R$1094,13,FALSE),"")</f>
        <v/>
      </c>
      <c r="BJ272" s="69" t="str">
        <f>IFERROR(VLOOKUP($AQ272,'(勿動)組件目錄表'!$D$15:$R$1094,14,FALSE),"")</f>
        <v/>
      </c>
      <c r="BK272" s="69" t="str">
        <f>IFERROR(VLOOKUP($AQ272,'(勿動)組件目錄表'!$D$15:$R$1094,15,FALSE),"")</f>
        <v/>
      </c>
      <c r="BL272" s="81">
        <f ca="1">IFERROR(__xludf.DUMMYFUNCTION("IFERROR(
  LET(
    rowData, FILTER('(勿動)組件目錄表'!J:Q, '(勿動)組件目錄表'!D:D=AQ272),
    IF(ROWS(rowData)=0, 0, 
      (
        IF(AND(BC272&lt;&gt;"""", INDEX(rowData,1,1)=BC272),1,0) +
        IF(AND(BD272&lt;&gt;"""", INDEX(rowData,1,2)=BD272),1,0) +
        IF(AND(BE272"&amp;"&lt;&gt;"""", INDEX(rowData,1,3)=BE272),1,0) +
        IF(AND(BF272&lt;&gt;"""", INDEX(rowData,1,4)=BF272),1,0) +
        IF(AND(BG272&lt;&gt;"""", INDEX(rowData,1,5)=BG272),1,0) +
        IF(AND(BH272&lt;&gt;"""", INDEX(rowData,1,6)=BH272),1,0) +
        IF(AND(BI272&lt;&gt;"""", IND"&amp;"EX(rowData,1,7)=BI272),1,0) +
        IF(AND(BJ272&lt;&gt;"""", INDEX(rowData,1,8)=BJ272),1,0)
      ) - COUNTIF(BC272:BJ272, ""-"")
        - COUNTIF(BC272:BJ272, ""固定格式，不需提供資訊"")
        - COUNTIF(BC272:BJ272, ""由MKT更新，此欄位固定格式，不需提供資訊
(Voucher CID：12917705872)"&amp;""")
        - COUNTIF(BC272:BJ272, ""text固定為以下：
※直播間僅支援手機版"")
        - COUNTIF(BC272:BJ272, ""text固定為以下：
※短影音僅支援手機版"")
    )
  ), 
  0
)
"),0)</f>
        <v>0</v>
      </c>
      <c r="BM272" s="77" t="b">
        <v>0</v>
      </c>
      <c r="BN272" s="85"/>
      <c r="BO272" s="85"/>
    </row>
    <row r="273" spans="1:67" ht="30" customHeight="1">
      <c r="A273" s="73" t="str">
        <f t="array" aca="1" ref="A273" ca="1">IFERROR(TRANSPOSE(INDIRECT('MS section版配(Old)'!$AO273)),"")</f>
        <v/>
      </c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8"/>
      <c r="P273" s="88"/>
      <c r="Q273" s="88"/>
      <c r="R273" s="88"/>
      <c r="S273" s="88"/>
      <c r="T273" s="88"/>
      <c r="U273" s="88"/>
      <c r="V273" s="88"/>
      <c r="W273" s="88"/>
      <c r="X273" s="88"/>
      <c r="Y273" s="88"/>
      <c r="Z273" s="88"/>
      <c r="AA273" s="88"/>
      <c r="AB273" s="88"/>
      <c r="AC273" s="88"/>
      <c r="AD273" s="88"/>
      <c r="AE273" s="397" t="str">
        <f>IFERROR(VLOOKUP($AQ273,'(勿動)組件目錄表'!$D$15:$R$1094,4,FALSE),"")</f>
        <v/>
      </c>
      <c r="AF273" s="384"/>
      <c r="AG273" s="384"/>
      <c r="AH273" s="384"/>
      <c r="AI273" s="384"/>
      <c r="AJ273" s="385"/>
      <c r="AK273" s="54" t="b">
        <v>0</v>
      </c>
      <c r="AL273" s="54" t="b">
        <v>0</v>
      </c>
      <c r="AM273" s="54"/>
      <c r="AN273" s="7" t="str">
        <v>265</v>
      </c>
      <c r="AO273" s="7"/>
      <c r="AP273" s="62"/>
      <c r="AQ273" s="75" t="str">
        <v/>
      </c>
      <c r="AR273" s="75" t="str">
        <v>-</v>
      </c>
      <c r="AS273" s="11"/>
      <c r="AT273" s="77" t="str">
        <v>-</v>
      </c>
      <c r="AU273" s="11" t="str">
        <v>-</v>
      </c>
      <c r="AV273" s="100"/>
      <c r="AW273" s="80" t="str">
        <f ca="1"/>
        <v>-</v>
      </c>
      <c r="AX273" s="86" t="b">
        <v>0</v>
      </c>
      <c r="AY273" s="68" t="str">
        <f t="shared" si="4"/>
        <v/>
      </c>
      <c r="AZ273" s="69" t="str">
        <f t="shared" si="5"/>
        <v/>
      </c>
      <c r="BA273" s="70" t="str">
        <f t="shared" si="6"/>
        <v/>
      </c>
      <c r="BB273" s="68" t="str">
        <f t="shared" si="7"/>
        <v/>
      </c>
      <c r="BC273" s="69" t="str">
        <f>IFERROR(VLOOKUP($AQ273,'(勿動)組件目錄表'!$D$15:$R$1094,7,FALSE),"")</f>
        <v/>
      </c>
      <c r="BD273" s="69" t="str">
        <f>IFERROR(VLOOKUP($AQ273,'(勿動)組件目錄表'!$D$15:$R$1094,8,FALSE),"")</f>
        <v/>
      </c>
      <c r="BE273" s="69" t="str">
        <f>IFERROR(VLOOKUP($AQ273,'(勿動)組件目錄表'!$D$15:$R$1094,9,FALSE),"")</f>
        <v/>
      </c>
      <c r="BF273" s="69" t="str">
        <f>IFERROR(VLOOKUP($AQ273,'(勿動)組件目錄表'!$D$15:$R$1094,10,FALSE),"")</f>
        <v/>
      </c>
      <c r="BG273" s="69" t="str">
        <f>IFERROR(VLOOKUP($AQ273,'(勿動)組件目錄表'!$D$15:$R$1094,11,FALSE),"")</f>
        <v/>
      </c>
      <c r="BH273" s="69" t="str">
        <f>IFERROR(VLOOKUP($AQ273,'(勿動)組件目錄表'!$D$15:$R$1094,12,FALSE),"")</f>
        <v/>
      </c>
      <c r="BI273" s="69" t="str">
        <f>IFERROR(VLOOKUP($AQ273,'(勿動)組件目錄表'!$D$15:$R$1094,13,FALSE),"")</f>
        <v/>
      </c>
      <c r="BJ273" s="69" t="str">
        <f>IFERROR(VLOOKUP($AQ273,'(勿動)組件目錄表'!$D$15:$R$1094,14,FALSE),"")</f>
        <v/>
      </c>
      <c r="BK273" s="69" t="str">
        <f>IFERROR(VLOOKUP($AQ273,'(勿動)組件目錄表'!$D$15:$R$1094,15,FALSE),"")</f>
        <v/>
      </c>
      <c r="BL273" s="81">
        <f ca="1">IFERROR(__xludf.DUMMYFUNCTION("IFERROR(
  LET(
    rowData, FILTER('(勿動)組件目錄表'!J:Q, '(勿動)組件目錄表'!D:D=AQ273),
    IF(ROWS(rowData)=0, 0, 
      (
        IF(AND(BC273&lt;&gt;"""", INDEX(rowData,1,1)=BC273),1,0) +
        IF(AND(BD273&lt;&gt;"""", INDEX(rowData,1,2)=BD273),1,0) +
        IF(AND(BE273"&amp;"&lt;&gt;"""", INDEX(rowData,1,3)=BE273),1,0) +
        IF(AND(BF273&lt;&gt;"""", INDEX(rowData,1,4)=BF273),1,0) +
        IF(AND(BG273&lt;&gt;"""", INDEX(rowData,1,5)=BG273),1,0) +
        IF(AND(BH273&lt;&gt;"""", INDEX(rowData,1,6)=BH273),1,0) +
        IF(AND(BI273&lt;&gt;"""", IND"&amp;"EX(rowData,1,7)=BI273),1,0) +
        IF(AND(BJ273&lt;&gt;"""", INDEX(rowData,1,8)=BJ273),1,0)
      ) - COUNTIF(BC273:BJ273, ""-"")
        - COUNTIF(BC273:BJ273, ""固定格式，不需提供資訊"")
        - COUNTIF(BC273:BJ273, ""由MKT更新，此欄位固定格式，不需提供資訊
(Voucher CID：12917705872)"&amp;""")
        - COUNTIF(BC273:BJ273, ""text固定為以下：
※直播間僅支援手機版"")
        - COUNTIF(BC273:BJ273, ""text固定為以下：
※短影音僅支援手機版"")
    )
  ), 
  0
)
"),0)</f>
        <v>0</v>
      </c>
      <c r="BM273" s="77" t="b">
        <v>0</v>
      </c>
      <c r="BN273" s="85"/>
      <c r="BO273" s="85"/>
    </row>
    <row r="274" spans="1:67" ht="30" customHeight="1">
      <c r="A274" s="73" t="str">
        <f t="array" aca="1" ref="A274" ca="1">IFERROR(TRANSPOSE(INDIRECT('MS section版配(Old)'!$AO274)),"")</f>
        <v/>
      </c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8"/>
      <c r="P274" s="88"/>
      <c r="Q274" s="88"/>
      <c r="R274" s="88"/>
      <c r="S274" s="88"/>
      <c r="T274" s="88"/>
      <c r="U274" s="88"/>
      <c r="V274" s="88"/>
      <c r="W274" s="88"/>
      <c r="X274" s="88"/>
      <c r="Y274" s="88"/>
      <c r="Z274" s="88"/>
      <c r="AA274" s="88"/>
      <c r="AB274" s="88"/>
      <c r="AC274" s="88"/>
      <c r="AD274" s="88"/>
      <c r="AE274" s="397" t="str">
        <f>IFERROR(VLOOKUP($AQ274,'(勿動)組件目錄表'!$D$15:$R$1094,4,FALSE),"")</f>
        <v/>
      </c>
      <c r="AF274" s="384"/>
      <c r="AG274" s="384"/>
      <c r="AH274" s="384"/>
      <c r="AI274" s="384"/>
      <c r="AJ274" s="385"/>
      <c r="AK274" s="54" t="b">
        <v>0</v>
      </c>
      <c r="AL274" s="54" t="b">
        <v>0</v>
      </c>
      <c r="AM274" s="54"/>
      <c r="AN274" s="7" t="str">
        <v>266</v>
      </c>
      <c r="AO274" s="7"/>
      <c r="AP274" s="62"/>
      <c r="AQ274" s="75" t="str">
        <v/>
      </c>
      <c r="AR274" s="75" t="str">
        <v>-</v>
      </c>
      <c r="AS274" s="11"/>
      <c r="AT274" s="77" t="str">
        <v>-</v>
      </c>
      <c r="AU274" s="11" t="str">
        <v>-</v>
      </c>
      <c r="AV274" s="100"/>
      <c r="AW274" s="80" t="str">
        <f ca="1"/>
        <v>-</v>
      </c>
      <c r="AX274" s="86" t="b">
        <v>0</v>
      </c>
      <c r="AY274" s="68" t="str">
        <f t="shared" si="4"/>
        <v/>
      </c>
      <c r="AZ274" s="69" t="str">
        <f t="shared" si="5"/>
        <v/>
      </c>
      <c r="BA274" s="70" t="str">
        <f t="shared" si="6"/>
        <v/>
      </c>
      <c r="BB274" s="68" t="str">
        <f t="shared" si="7"/>
        <v/>
      </c>
      <c r="BC274" s="69" t="str">
        <f>IFERROR(VLOOKUP($AQ274,'(勿動)組件目錄表'!$D$15:$R$1094,7,FALSE),"")</f>
        <v/>
      </c>
      <c r="BD274" s="69" t="str">
        <f>IFERROR(VLOOKUP($AQ274,'(勿動)組件目錄表'!$D$15:$R$1094,8,FALSE),"")</f>
        <v/>
      </c>
      <c r="BE274" s="69" t="str">
        <f>IFERROR(VLOOKUP($AQ274,'(勿動)組件目錄表'!$D$15:$R$1094,9,FALSE),"")</f>
        <v/>
      </c>
      <c r="BF274" s="69" t="str">
        <f>IFERROR(VLOOKUP($AQ274,'(勿動)組件目錄表'!$D$15:$R$1094,10,FALSE),"")</f>
        <v/>
      </c>
      <c r="BG274" s="69" t="str">
        <f>IFERROR(VLOOKUP($AQ274,'(勿動)組件目錄表'!$D$15:$R$1094,11,FALSE),"")</f>
        <v/>
      </c>
      <c r="BH274" s="69" t="str">
        <f>IFERROR(VLOOKUP($AQ274,'(勿動)組件目錄表'!$D$15:$R$1094,12,FALSE),"")</f>
        <v/>
      </c>
      <c r="BI274" s="69" t="str">
        <f>IFERROR(VLOOKUP($AQ274,'(勿動)組件目錄表'!$D$15:$R$1094,13,FALSE),"")</f>
        <v/>
      </c>
      <c r="BJ274" s="69" t="str">
        <f>IFERROR(VLOOKUP($AQ274,'(勿動)組件目錄表'!$D$15:$R$1094,14,FALSE),"")</f>
        <v/>
      </c>
      <c r="BK274" s="69" t="str">
        <f>IFERROR(VLOOKUP($AQ274,'(勿動)組件目錄表'!$D$15:$R$1094,15,FALSE),"")</f>
        <v/>
      </c>
      <c r="BL274" s="81">
        <f ca="1">IFERROR(__xludf.DUMMYFUNCTION("IFERROR(
  LET(
    rowData, FILTER('(勿動)組件目錄表'!J:Q, '(勿動)組件目錄表'!D:D=AQ274),
    IF(ROWS(rowData)=0, 0, 
      (
        IF(AND(BC274&lt;&gt;"""", INDEX(rowData,1,1)=BC274),1,0) +
        IF(AND(BD274&lt;&gt;"""", INDEX(rowData,1,2)=BD274),1,0) +
        IF(AND(BE274"&amp;"&lt;&gt;"""", INDEX(rowData,1,3)=BE274),1,0) +
        IF(AND(BF274&lt;&gt;"""", INDEX(rowData,1,4)=BF274),1,0) +
        IF(AND(BG274&lt;&gt;"""", INDEX(rowData,1,5)=BG274),1,0) +
        IF(AND(BH274&lt;&gt;"""", INDEX(rowData,1,6)=BH274),1,0) +
        IF(AND(BI274&lt;&gt;"""", IND"&amp;"EX(rowData,1,7)=BI274),1,0) +
        IF(AND(BJ274&lt;&gt;"""", INDEX(rowData,1,8)=BJ274),1,0)
      ) - COUNTIF(BC274:BJ274, ""-"")
        - COUNTIF(BC274:BJ274, ""固定格式，不需提供資訊"")
        - COUNTIF(BC274:BJ274, ""由MKT更新，此欄位固定格式，不需提供資訊
(Voucher CID：12917705872)"&amp;""")
        - COUNTIF(BC274:BJ274, ""text固定為以下：
※直播間僅支援手機版"")
        - COUNTIF(BC274:BJ274, ""text固定為以下：
※短影音僅支援手機版"")
    )
  ), 
  0
)
"),0)</f>
        <v>0</v>
      </c>
      <c r="BM274" s="77" t="b">
        <v>0</v>
      </c>
      <c r="BN274" s="85"/>
      <c r="BO274" s="85"/>
    </row>
    <row r="275" spans="1:67" ht="30" customHeight="1">
      <c r="A275" s="73" t="str">
        <f t="array" aca="1" ref="A275" ca="1">IFERROR(TRANSPOSE(INDIRECT('MS section版配(Old)'!$AO275)),"")</f>
        <v/>
      </c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8"/>
      <c r="P275" s="88"/>
      <c r="Q275" s="88"/>
      <c r="R275" s="88"/>
      <c r="S275" s="88"/>
      <c r="T275" s="88"/>
      <c r="U275" s="88"/>
      <c r="V275" s="88"/>
      <c r="W275" s="88"/>
      <c r="X275" s="88"/>
      <c r="Y275" s="88"/>
      <c r="Z275" s="88"/>
      <c r="AA275" s="88"/>
      <c r="AB275" s="88"/>
      <c r="AC275" s="88"/>
      <c r="AD275" s="88"/>
      <c r="AE275" s="397" t="str">
        <f>IFERROR(VLOOKUP($AQ275,'(勿動)組件目錄表'!$D$15:$R$1094,4,FALSE),"")</f>
        <v/>
      </c>
      <c r="AF275" s="384"/>
      <c r="AG275" s="384"/>
      <c r="AH275" s="384"/>
      <c r="AI275" s="384"/>
      <c r="AJ275" s="385"/>
      <c r="AK275" s="54" t="b">
        <v>0</v>
      </c>
      <c r="AL275" s="54" t="b">
        <v>0</v>
      </c>
      <c r="AM275" s="54"/>
      <c r="AN275" s="7" t="str">
        <v>267</v>
      </c>
      <c r="AO275" s="7"/>
      <c r="AP275" s="62"/>
      <c r="AQ275" s="75" t="str">
        <v/>
      </c>
      <c r="AR275" s="75" t="str">
        <v>-</v>
      </c>
      <c r="AS275" s="11"/>
      <c r="AT275" s="77" t="str">
        <v>-</v>
      </c>
      <c r="AU275" s="11" t="str">
        <v>-</v>
      </c>
      <c r="AV275" s="100"/>
      <c r="AW275" s="80" t="str">
        <f ca="1"/>
        <v>-</v>
      </c>
      <c r="AX275" s="86" t="b">
        <v>0</v>
      </c>
      <c r="AY275" s="68" t="str">
        <f t="shared" si="4"/>
        <v/>
      </c>
      <c r="AZ275" s="69" t="str">
        <f t="shared" si="5"/>
        <v/>
      </c>
      <c r="BA275" s="70" t="str">
        <f t="shared" si="6"/>
        <v/>
      </c>
      <c r="BB275" s="68" t="str">
        <f t="shared" si="7"/>
        <v/>
      </c>
      <c r="BC275" s="69" t="str">
        <f>IFERROR(VLOOKUP($AQ275,'(勿動)組件目錄表'!$D$15:$R$1094,7,FALSE),"")</f>
        <v/>
      </c>
      <c r="BD275" s="69" t="str">
        <f>IFERROR(VLOOKUP($AQ275,'(勿動)組件目錄表'!$D$15:$R$1094,8,FALSE),"")</f>
        <v/>
      </c>
      <c r="BE275" s="69" t="str">
        <f>IFERROR(VLOOKUP($AQ275,'(勿動)組件目錄表'!$D$15:$R$1094,9,FALSE),"")</f>
        <v/>
      </c>
      <c r="BF275" s="69" t="str">
        <f>IFERROR(VLOOKUP($AQ275,'(勿動)組件目錄表'!$D$15:$R$1094,10,FALSE),"")</f>
        <v/>
      </c>
      <c r="BG275" s="69" t="str">
        <f>IFERROR(VLOOKUP($AQ275,'(勿動)組件目錄表'!$D$15:$R$1094,11,FALSE),"")</f>
        <v/>
      </c>
      <c r="BH275" s="69" t="str">
        <f>IFERROR(VLOOKUP($AQ275,'(勿動)組件目錄表'!$D$15:$R$1094,12,FALSE),"")</f>
        <v/>
      </c>
      <c r="BI275" s="69" t="str">
        <f>IFERROR(VLOOKUP($AQ275,'(勿動)組件目錄表'!$D$15:$R$1094,13,FALSE),"")</f>
        <v/>
      </c>
      <c r="BJ275" s="69" t="str">
        <f>IFERROR(VLOOKUP($AQ275,'(勿動)組件目錄表'!$D$15:$R$1094,14,FALSE),"")</f>
        <v/>
      </c>
      <c r="BK275" s="69" t="str">
        <f>IFERROR(VLOOKUP($AQ275,'(勿動)組件目錄表'!$D$15:$R$1094,15,FALSE),"")</f>
        <v/>
      </c>
      <c r="BL275" s="81">
        <f ca="1">IFERROR(__xludf.DUMMYFUNCTION("IFERROR(
  LET(
    rowData, FILTER('(勿動)組件目錄表'!J:Q, '(勿動)組件目錄表'!D:D=AQ275),
    IF(ROWS(rowData)=0, 0, 
      (
        IF(AND(BC275&lt;&gt;"""", INDEX(rowData,1,1)=BC275),1,0) +
        IF(AND(BD275&lt;&gt;"""", INDEX(rowData,1,2)=BD275),1,0) +
        IF(AND(BE275"&amp;"&lt;&gt;"""", INDEX(rowData,1,3)=BE275),1,0) +
        IF(AND(BF275&lt;&gt;"""", INDEX(rowData,1,4)=BF275),1,0) +
        IF(AND(BG275&lt;&gt;"""", INDEX(rowData,1,5)=BG275),1,0) +
        IF(AND(BH275&lt;&gt;"""", INDEX(rowData,1,6)=BH275),1,0) +
        IF(AND(BI275&lt;&gt;"""", IND"&amp;"EX(rowData,1,7)=BI275),1,0) +
        IF(AND(BJ275&lt;&gt;"""", INDEX(rowData,1,8)=BJ275),1,0)
      ) - COUNTIF(BC275:BJ275, ""-"")
        - COUNTIF(BC275:BJ275, ""固定格式，不需提供資訊"")
        - COUNTIF(BC275:BJ275, ""由MKT更新，此欄位固定格式，不需提供資訊
(Voucher CID：12917705872)"&amp;""")
        - COUNTIF(BC275:BJ275, ""text固定為以下：
※直播間僅支援手機版"")
        - COUNTIF(BC275:BJ275, ""text固定為以下：
※短影音僅支援手機版"")
    )
  ), 
  0
)
"),0)</f>
        <v>0</v>
      </c>
      <c r="BM275" s="77" t="b">
        <v>0</v>
      </c>
      <c r="BN275" s="85"/>
      <c r="BO275" s="85"/>
    </row>
    <row r="276" spans="1:67" ht="30" customHeight="1">
      <c r="A276" s="73" t="str">
        <f t="array" aca="1" ref="A276" ca="1">IFERROR(TRANSPOSE(INDIRECT('MS section版配(Old)'!$AO276)),"")</f>
        <v/>
      </c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8"/>
      <c r="P276" s="88"/>
      <c r="Q276" s="88"/>
      <c r="R276" s="88"/>
      <c r="S276" s="88"/>
      <c r="T276" s="88"/>
      <c r="U276" s="88"/>
      <c r="V276" s="88"/>
      <c r="W276" s="88"/>
      <c r="X276" s="88"/>
      <c r="Y276" s="88"/>
      <c r="Z276" s="88"/>
      <c r="AA276" s="88"/>
      <c r="AB276" s="88"/>
      <c r="AC276" s="88"/>
      <c r="AD276" s="88"/>
      <c r="AE276" s="397" t="str">
        <f>IFERROR(VLOOKUP($AQ276,'(勿動)組件目錄表'!$D$15:$R$1094,4,FALSE),"")</f>
        <v/>
      </c>
      <c r="AF276" s="384"/>
      <c r="AG276" s="384"/>
      <c r="AH276" s="384"/>
      <c r="AI276" s="384"/>
      <c r="AJ276" s="385"/>
      <c r="AK276" s="54" t="b">
        <v>0</v>
      </c>
      <c r="AL276" s="54" t="b">
        <v>0</v>
      </c>
      <c r="AM276" s="54"/>
      <c r="AN276" s="7" t="str">
        <v>268</v>
      </c>
      <c r="AO276" s="7"/>
      <c r="AP276" s="62"/>
      <c r="AQ276" s="75" t="str">
        <v/>
      </c>
      <c r="AR276" s="75" t="str">
        <v>-</v>
      </c>
      <c r="AS276" s="11"/>
      <c r="AT276" s="77" t="str">
        <v>-</v>
      </c>
      <c r="AU276" s="11" t="str">
        <v>-</v>
      </c>
      <c r="AV276" s="100"/>
      <c r="AW276" s="80" t="str">
        <f ca="1"/>
        <v>-</v>
      </c>
      <c r="AX276" s="86" t="b">
        <v>0</v>
      </c>
      <c r="AY276" s="68" t="str">
        <f t="shared" si="4"/>
        <v/>
      </c>
      <c r="AZ276" s="69" t="str">
        <f t="shared" si="5"/>
        <v/>
      </c>
      <c r="BA276" s="70" t="str">
        <f t="shared" si="6"/>
        <v/>
      </c>
      <c r="BB276" s="68" t="str">
        <f t="shared" si="7"/>
        <v/>
      </c>
      <c r="BC276" s="69" t="str">
        <f>IFERROR(VLOOKUP($AQ276,'(勿動)組件目錄表'!$D$15:$R$1094,7,FALSE),"")</f>
        <v/>
      </c>
      <c r="BD276" s="69" t="str">
        <f>IFERROR(VLOOKUP($AQ276,'(勿動)組件目錄表'!$D$15:$R$1094,8,FALSE),"")</f>
        <v/>
      </c>
      <c r="BE276" s="69" t="str">
        <f>IFERROR(VLOOKUP($AQ276,'(勿動)組件目錄表'!$D$15:$R$1094,9,FALSE),"")</f>
        <v/>
      </c>
      <c r="BF276" s="69" t="str">
        <f>IFERROR(VLOOKUP($AQ276,'(勿動)組件目錄表'!$D$15:$R$1094,10,FALSE),"")</f>
        <v/>
      </c>
      <c r="BG276" s="69" t="str">
        <f>IFERROR(VLOOKUP($AQ276,'(勿動)組件目錄表'!$D$15:$R$1094,11,FALSE),"")</f>
        <v/>
      </c>
      <c r="BH276" s="69" t="str">
        <f>IFERROR(VLOOKUP($AQ276,'(勿動)組件目錄表'!$D$15:$R$1094,12,FALSE),"")</f>
        <v/>
      </c>
      <c r="BI276" s="69" t="str">
        <f>IFERROR(VLOOKUP($AQ276,'(勿動)組件目錄表'!$D$15:$R$1094,13,FALSE),"")</f>
        <v/>
      </c>
      <c r="BJ276" s="69" t="str">
        <f>IFERROR(VLOOKUP($AQ276,'(勿動)組件目錄表'!$D$15:$R$1094,14,FALSE),"")</f>
        <v/>
      </c>
      <c r="BK276" s="69" t="str">
        <f>IFERROR(VLOOKUP($AQ276,'(勿動)組件目錄表'!$D$15:$R$1094,15,FALSE),"")</f>
        <v/>
      </c>
      <c r="BL276" s="81">
        <f ca="1">IFERROR(__xludf.DUMMYFUNCTION("IFERROR(
  LET(
    rowData, FILTER('(勿動)組件目錄表'!J:Q, '(勿動)組件目錄表'!D:D=AQ276),
    IF(ROWS(rowData)=0, 0, 
      (
        IF(AND(BC276&lt;&gt;"""", INDEX(rowData,1,1)=BC276),1,0) +
        IF(AND(BD276&lt;&gt;"""", INDEX(rowData,1,2)=BD276),1,0) +
        IF(AND(BE276"&amp;"&lt;&gt;"""", INDEX(rowData,1,3)=BE276),1,0) +
        IF(AND(BF276&lt;&gt;"""", INDEX(rowData,1,4)=BF276),1,0) +
        IF(AND(BG276&lt;&gt;"""", INDEX(rowData,1,5)=BG276),1,0) +
        IF(AND(BH276&lt;&gt;"""", INDEX(rowData,1,6)=BH276),1,0) +
        IF(AND(BI276&lt;&gt;"""", IND"&amp;"EX(rowData,1,7)=BI276),1,0) +
        IF(AND(BJ276&lt;&gt;"""", INDEX(rowData,1,8)=BJ276),1,0)
      ) - COUNTIF(BC276:BJ276, ""-"")
        - COUNTIF(BC276:BJ276, ""固定格式，不需提供資訊"")
        - COUNTIF(BC276:BJ276, ""由MKT更新，此欄位固定格式，不需提供資訊
(Voucher CID：12917705872)"&amp;""")
        - COUNTIF(BC276:BJ276, ""text固定為以下：
※直播間僅支援手機版"")
        - COUNTIF(BC276:BJ276, ""text固定為以下：
※短影音僅支援手機版"")
    )
  ), 
  0
)
"),0)</f>
        <v>0</v>
      </c>
      <c r="BM276" s="77" t="b">
        <v>0</v>
      </c>
      <c r="BN276" s="85"/>
      <c r="BO276" s="85"/>
    </row>
    <row r="277" spans="1:67" ht="30" customHeight="1">
      <c r="A277" s="73" t="str">
        <f t="array" aca="1" ref="A277" ca="1">IFERROR(TRANSPOSE(INDIRECT('MS section版配(Old)'!$AO277)),"")</f>
        <v/>
      </c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8"/>
      <c r="P277" s="88"/>
      <c r="Q277" s="88"/>
      <c r="R277" s="88"/>
      <c r="S277" s="88"/>
      <c r="T277" s="88"/>
      <c r="U277" s="88"/>
      <c r="V277" s="88"/>
      <c r="W277" s="88"/>
      <c r="X277" s="88"/>
      <c r="Y277" s="88"/>
      <c r="Z277" s="88"/>
      <c r="AA277" s="88"/>
      <c r="AB277" s="88"/>
      <c r="AC277" s="88"/>
      <c r="AD277" s="88"/>
      <c r="AE277" s="397" t="str">
        <f>IFERROR(VLOOKUP($AQ277,'(勿動)組件目錄表'!$D$15:$R$1094,4,FALSE),"")</f>
        <v/>
      </c>
      <c r="AF277" s="384"/>
      <c r="AG277" s="384"/>
      <c r="AH277" s="384"/>
      <c r="AI277" s="384"/>
      <c r="AJ277" s="385"/>
      <c r="AK277" s="54" t="b">
        <v>0</v>
      </c>
      <c r="AL277" s="54" t="b">
        <v>0</v>
      </c>
      <c r="AM277" s="54"/>
      <c r="AN277" s="7" t="str">
        <v>269</v>
      </c>
      <c r="AO277" s="7"/>
      <c r="AP277" s="62"/>
      <c r="AQ277" s="75" t="str">
        <v/>
      </c>
      <c r="AR277" s="75" t="str">
        <v>-</v>
      </c>
      <c r="AS277" s="11"/>
      <c r="AT277" s="77" t="str">
        <v>-</v>
      </c>
      <c r="AU277" s="11" t="str">
        <v>-</v>
      </c>
      <c r="AV277" s="100"/>
      <c r="AW277" s="80" t="str">
        <f ca="1"/>
        <v>-</v>
      </c>
      <c r="AX277" s="86" t="b">
        <v>0</v>
      </c>
      <c r="AY277" s="68" t="str">
        <f t="shared" si="4"/>
        <v/>
      </c>
      <c r="AZ277" s="69" t="str">
        <f t="shared" si="5"/>
        <v/>
      </c>
      <c r="BA277" s="70" t="str">
        <f t="shared" si="6"/>
        <v/>
      </c>
      <c r="BB277" s="68" t="str">
        <f t="shared" si="7"/>
        <v/>
      </c>
      <c r="BC277" s="69" t="str">
        <f>IFERROR(VLOOKUP($AQ277,'(勿動)組件目錄表'!$D$15:$R$1094,7,FALSE),"")</f>
        <v/>
      </c>
      <c r="BD277" s="69" t="str">
        <f>IFERROR(VLOOKUP($AQ277,'(勿動)組件目錄表'!$D$15:$R$1094,8,FALSE),"")</f>
        <v/>
      </c>
      <c r="BE277" s="69" t="str">
        <f>IFERROR(VLOOKUP($AQ277,'(勿動)組件目錄表'!$D$15:$R$1094,9,FALSE),"")</f>
        <v/>
      </c>
      <c r="BF277" s="69" t="str">
        <f>IFERROR(VLOOKUP($AQ277,'(勿動)組件目錄表'!$D$15:$R$1094,10,FALSE),"")</f>
        <v/>
      </c>
      <c r="BG277" s="69" t="str">
        <f>IFERROR(VLOOKUP($AQ277,'(勿動)組件目錄表'!$D$15:$R$1094,11,FALSE),"")</f>
        <v/>
      </c>
      <c r="BH277" s="69" t="str">
        <f>IFERROR(VLOOKUP($AQ277,'(勿動)組件目錄表'!$D$15:$R$1094,12,FALSE),"")</f>
        <v/>
      </c>
      <c r="BI277" s="69" t="str">
        <f>IFERROR(VLOOKUP($AQ277,'(勿動)組件目錄表'!$D$15:$R$1094,13,FALSE),"")</f>
        <v/>
      </c>
      <c r="BJ277" s="69" t="str">
        <f>IFERROR(VLOOKUP($AQ277,'(勿動)組件目錄表'!$D$15:$R$1094,14,FALSE),"")</f>
        <v/>
      </c>
      <c r="BK277" s="69" t="str">
        <f>IFERROR(VLOOKUP($AQ277,'(勿動)組件目錄表'!$D$15:$R$1094,15,FALSE),"")</f>
        <v/>
      </c>
      <c r="BL277" s="81">
        <f ca="1">IFERROR(__xludf.DUMMYFUNCTION("IFERROR(
  LET(
    rowData, FILTER('(勿動)組件目錄表'!J:Q, '(勿動)組件目錄表'!D:D=AQ277),
    IF(ROWS(rowData)=0, 0, 
      (
        IF(AND(BC277&lt;&gt;"""", INDEX(rowData,1,1)=BC277),1,0) +
        IF(AND(BD277&lt;&gt;"""", INDEX(rowData,1,2)=BD277),1,0) +
        IF(AND(BE277"&amp;"&lt;&gt;"""", INDEX(rowData,1,3)=BE277),1,0) +
        IF(AND(BF277&lt;&gt;"""", INDEX(rowData,1,4)=BF277),1,0) +
        IF(AND(BG277&lt;&gt;"""", INDEX(rowData,1,5)=BG277),1,0) +
        IF(AND(BH277&lt;&gt;"""", INDEX(rowData,1,6)=BH277),1,0) +
        IF(AND(BI277&lt;&gt;"""", IND"&amp;"EX(rowData,1,7)=BI277),1,0) +
        IF(AND(BJ277&lt;&gt;"""", INDEX(rowData,1,8)=BJ277),1,0)
      ) - COUNTIF(BC277:BJ277, ""-"")
        - COUNTIF(BC277:BJ277, ""固定格式，不需提供資訊"")
        - COUNTIF(BC277:BJ277, ""由MKT更新，此欄位固定格式，不需提供資訊
(Voucher CID：12917705872)"&amp;""")
        - COUNTIF(BC277:BJ277, ""text固定為以下：
※直播間僅支援手機版"")
        - COUNTIF(BC277:BJ277, ""text固定為以下：
※短影音僅支援手機版"")
    )
  ), 
  0
)
"),0)</f>
        <v>0</v>
      </c>
      <c r="BM277" s="77" t="b">
        <v>0</v>
      </c>
      <c r="BN277" s="85"/>
      <c r="BO277" s="85"/>
    </row>
    <row r="278" spans="1:67" ht="30" customHeight="1">
      <c r="A278" s="73" t="str">
        <f t="array" aca="1" ref="A278" ca="1">IFERROR(TRANSPOSE(INDIRECT('MS section版配(Old)'!$AO278)),"")</f>
        <v/>
      </c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8"/>
      <c r="P278" s="88"/>
      <c r="Q278" s="88"/>
      <c r="R278" s="88"/>
      <c r="S278" s="88"/>
      <c r="T278" s="88"/>
      <c r="U278" s="88"/>
      <c r="V278" s="88"/>
      <c r="W278" s="88"/>
      <c r="X278" s="88"/>
      <c r="Y278" s="88"/>
      <c r="Z278" s="88"/>
      <c r="AA278" s="88"/>
      <c r="AB278" s="88"/>
      <c r="AC278" s="88"/>
      <c r="AD278" s="88"/>
      <c r="AE278" s="397" t="str">
        <f>IFERROR(VLOOKUP($AQ278,'(勿動)組件目錄表'!$D$15:$R$1094,4,FALSE),"")</f>
        <v/>
      </c>
      <c r="AF278" s="384"/>
      <c r="AG278" s="384"/>
      <c r="AH278" s="384"/>
      <c r="AI278" s="384"/>
      <c r="AJ278" s="385"/>
      <c r="AK278" s="54" t="b">
        <v>0</v>
      </c>
      <c r="AL278" s="54" t="b">
        <v>0</v>
      </c>
      <c r="AM278" s="54"/>
      <c r="AN278" s="7" t="str">
        <v>270</v>
      </c>
      <c r="AO278" s="7"/>
      <c r="AP278" s="62"/>
      <c r="AQ278" s="75" t="str">
        <v/>
      </c>
      <c r="AR278" s="75" t="str">
        <v>-</v>
      </c>
      <c r="AS278" s="11"/>
      <c r="AT278" s="77" t="str">
        <v>-</v>
      </c>
      <c r="AU278" s="11" t="str">
        <v>-</v>
      </c>
      <c r="AV278" s="100"/>
      <c r="AW278" s="80" t="str">
        <f ca="1"/>
        <v>-</v>
      </c>
      <c r="AX278" s="86" t="b">
        <v>0</v>
      </c>
      <c r="AY278" s="68" t="str">
        <f t="shared" si="4"/>
        <v/>
      </c>
      <c r="AZ278" s="69" t="str">
        <f t="shared" si="5"/>
        <v/>
      </c>
      <c r="BA278" s="70" t="str">
        <f t="shared" si="6"/>
        <v/>
      </c>
      <c r="BB278" s="68" t="str">
        <f t="shared" si="7"/>
        <v/>
      </c>
      <c r="BC278" s="69" t="str">
        <f>IFERROR(VLOOKUP($AQ278,'(勿動)組件目錄表'!$D$15:$R$1094,7,FALSE),"")</f>
        <v/>
      </c>
      <c r="BD278" s="69" t="str">
        <f>IFERROR(VLOOKUP($AQ278,'(勿動)組件目錄表'!$D$15:$R$1094,8,FALSE),"")</f>
        <v/>
      </c>
      <c r="BE278" s="69" t="str">
        <f>IFERROR(VLOOKUP($AQ278,'(勿動)組件目錄表'!$D$15:$R$1094,9,FALSE),"")</f>
        <v/>
      </c>
      <c r="BF278" s="69" t="str">
        <f>IFERROR(VLOOKUP($AQ278,'(勿動)組件目錄表'!$D$15:$R$1094,10,FALSE),"")</f>
        <v/>
      </c>
      <c r="BG278" s="69" t="str">
        <f>IFERROR(VLOOKUP($AQ278,'(勿動)組件目錄表'!$D$15:$R$1094,11,FALSE),"")</f>
        <v/>
      </c>
      <c r="BH278" s="69" t="str">
        <f>IFERROR(VLOOKUP($AQ278,'(勿動)組件目錄表'!$D$15:$R$1094,12,FALSE),"")</f>
        <v/>
      </c>
      <c r="BI278" s="69" t="str">
        <f>IFERROR(VLOOKUP($AQ278,'(勿動)組件目錄表'!$D$15:$R$1094,13,FALSE),"")</f>
        <v/>
      </c>
      <c r="BJ278" s="69" t="str">
        <f>IFERROR(VLOOKUP($AQ278,'(勿動)組件目錄表'!$D$15:$R$1094,14,FALSE),"")</f>
        <v/>
      </c>
      <c r="BK278" s="69" t="str">
        <f>IFERROR(VLOOKUP($AQ278,'(勿動)組件目錄表'!$D$15:$R$1094,15,FALSE),"")</f>
        <v/>
      </c>
      <c r="BL278" s="81">
        <f ca="1">IFERROR(__xludf.DUMMYFUNCTION("IFERROR(
  LET(
    rowData, FILTER('(勿動)組件目錄表'!J:Q, '(勿動)組件目錄表'!D:D=AQ278),
    IF(ROWS(rowData)=0, 0, 
      (
        IF(AND(BC278&lt;&gt;"""", INDEX(rowData,1,1)=BC278),1,0) +
        IF(AND(BD278&lt;&gt;"""", INDEX(rowData,1,2)=BD278),1,0) +
        IF(AND(BE278"&amp;"&lt;&gt;"""", INDEX(rowData,1,3)=BE278),1,0) +
        IF(AND(BF278&lt;&gt;"""", INDEX(rowData,1,4)=BF278),1,0) +
        IF(AND(BG278&lt;&gt;"""", INDEX(rowData,1,5)=BG278),1,0) +
        IF(AND(BH278&lt;&gt;"""", INDEX(rowData,1,6)=BH278),1,0) +
        IF(AND(BI278&lt;&gt;"""", IND"&amp;"EX(rowData,1,7)=BI278),1,0) +
        IF(AND(BJ278&lt;&gt;"""", INDEX(rowData,1,8)=BJ278),1,0)
      ) - COUNTIF(BC278:BJ278, ""-"")
        - COUNTIF(BC278:BJ278, ""固定格式，不需提供資訊"")
        - COUNTIF(BC278:BJ278, ""由MKT更新，此欄位固定格式，不需提供資訊
(Voucher CID：12917705872)"&amp;""")
        - COUNTIF(BC278:BJ278, ""text固定為以下：
※直播間僅支援手機版"")
        - COUNTIF(BC278:BJ278, ""text固定為以下：
※短影音僅支援手機版"")
    )
  ), 
  0
)
"),0)</f>
        <v>0</v>
      </c>
      <c r="BM278" s="77" t="b">
        <v>0</v>
      </c>
      <c r="BN278" s="85"/>
      <c r="BO278" s="85"/>
    </row>
    <row r="279" spans="1:67" ht="30" customHeight="1">
      <c r="A279" s="73" t="str">
        <f t="array" aca="1" ref="A279" ca="1">IFERROR(TRANSPOSE(INDIRECT('MS section版配(Old)'!$AO279)),"")</f>
        <v/>
      </c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8"/>
      <c r="P279" s="88"/>
      <c r="Q279" s="88"/>
      <c r="R279" s="88"/>
      <c r="S279" s="88"/>
      <c r="T279" s="88"/>
      <c r="U279" s="88"/>
      <c r="V279" s="88"/>
      <c r="W279" s="88"/>
      <c r="X279" s="88"/>
      <c r="Y279" s="88"/>
      <c r="Z279" s="88"/>
      <c r="AA279" s="88"/>
      <c r="AB279" s="88"/>
      <c r="AC279" s="88"/>
      <c r="AD279" s="88"/>
      <c r="AE279" s="397" t="str">
        <f>IFERROR(VLOOKUP($AQ279,'(勿動)組件目錄表'!$D$15:$R$1094,4,FALSE),"")</f>
        <v/>
      </c>
      <c r="AF279" s="384"/>
      <c r="AG279" s="384"/>
      <c r="AH279" s="384"/>
      <c r="AI279" s="384"/>
      <c r="AJ279" s="385"/>
      <c r="AK279" s="54" t="b">
        <v>0</v>
      </c>
      <c r="AL279" s="54" t="b">
        <v>0</v>
      </c>
      <c r="AM279" s="54"/>
      <c r="AN279" s="7" t="str">
        <v>271</v>
      </c>
      <c r="AO279" s="7"/>
      <c r="AP279" s="62"/>
      <c r="AQ279" s="75" t="str">
        <v/>
      </c>
      <c r="AR279" s="75" t="str">
        <v>-</v>
      </c>
      <c r="AS279" s="11"/>
      <c r="AT279" s="77" t="str">
        <v>-</v>
      </c>
      <c r="AU279" s="11" t="str">
        <v>-</v>
      </c>
      <c r="AV279" s="100"/>
      <c r="AW279" s="80" t="str">
        <f ca="1"/>
        <v>-</v>
      </c>
      <c r="AX279" s="86" t="b">
        <v>0</v>
      </c>
      <c r="AY279" s="68" t="str">
        <f t="shared" si="4"/>
        <v/>
      </c>
      <c r="AZ279" s="69" t="str">
        <f t="shared" si="5"/>
        <v/>
      </c>
      <c r="BA279" s="70" t="str">
        <f t="shared" si="6"/>
        <v/>
      </c>
      <c r="BB279" s="68" t="str">
        <f t="shared" si="7"/>
        <v/>
      </c>
      <c r="BC279" s="69" t="str">
        <f>IFERROR(VLOOKUP($AQ279,'(勿動)組件目錄表'!$D$15:$R$1094,7,FALSE),"")</f>
        <v/>
      </c>
      <c r="BD279" s="69" t="str">
        <f>IFERROR(VLOOKUP($AQ279,'(勿動)組件目錄表'!$D$15:$R$1094,8,FALSE),"")</f>
        <v/>
      </c>
      <c r="BE279" s="69" t="str">
        <f>IFERROR(VLOOKUP($AQ279,'(勿動)組件目錄表'!$D$15:$R$1094,9,FALSE),"")</f>
        <v/>
      </c>
      <c r="BF279" s="69" t="str">
        <f>IFERROR(VLOOKUP($AQ279,'(勿動)組件目錄表'!$D$15:$R$1094,10,FALSE),"")</f>
        <v/>
      </c>
      <c r="BG279" s="69" t="str">
        <f>IFERROR(VLOOKUP($AQ279,'(勿動)組件目錄表'!$D$15:$R$1094,11,FALSE),"")</f>
        <v/>
      </c>
      <c r="BH279" s="69" t="str">
        <f>IFERROR(VLOOKUP($AQ279,'(勿動)組件目錄表'!$D$15:$R$1094,12,FALSE),"")</f>
        <v/>
      </c>
      <c r="BI279" s="69" t="str">
        <f>IFERROR(VLOOKUP($AQ279,'(勿動)組件目錄表'!$D$15:$R$1094,13,FALSE),"")</f>
        <v/>
      </c>
      <c r="BJ279" s="69" t="str">
        <f>IFERROR(VLOOKUP($AQ279,'(勿動)組件目錄表'!$D$15:$R$1094,14,FALSE),"")</f>
        <v/>
      </c>
      <c r="BK279" s="69" t="str">
        <f>IFERROR(VLOOKUP($AQ279,'(勿動)組件目錄表'!$D$15:$R$1094,15,FALSE),"")</f>
        <v/>
      </c>
      <c r="BL279" s="81">
        <f ca="1">IFERROR(__xludf.DUMMYFUNCTION("IFERROR(
  LET(
    rowData, FILTER('(勿動)組件目錄表'!J:Q, '(勿動)組件目錄表'!D:D=AQ279),
    IF(ROWS(rowData)=0, 0, 
      (
        IF(AND(BC279&lt;&gt;"""", INDEX(rowData,1,1)=BC279),1,0) +
        IF(AND(BD279&lt;&gt;"""", INDEX(rowData,1,2)=BD279),1,0) +
        IF(AND(BE279"&amp;"&lt;&gt;"""", INDEX(rowData,1,3)=BE279),1,0) +
        IF(AND(BF279&lt;&gt;"""", INDEX(rowData,1,4)=BF279),1,0) +
        IF(AND(BG279&lt;&gt;"""", INDEX(rowData,1,5)=BG279),1,0) +
        IF(AND(BH279&lt;&gt;"""", INDEX(rowData,1,6)=BH279),1,0) +
        IF(AND(BI279&lt;&gt;"""", IND"&amp;"EX(rowData,1,7)=BI279),1,0) +
        IF(AND(BJ279&lt;&gt;"""", INDEX(rowData,1,8)=BJ279),1,0)
      ) - COUNTIF(BC279:BJ279, ""-"")
        - COUNTIF(BC279:BJ279, ""固定格式，不需提供資訊"")
        - COUNTIF(BC279:BJ279, ""由MKT更新，此欄位固定格式，不需提供資訊
(Voucher CID：12917705872)"&amp;""")
        - COUNTIF(BC279:BJ279, ""text固定為以下：
※直播間僅支援手機版"")
        - COUNTIF(BC279:BJ279, ""text固定為以下：
※短影音僅支援手機版"")
    )
  ), 
  0
)
"),0)</f>
        <v>0</v>
      </c>
      <c r="BM279" s="77" t="b">
        <v>0</v>
      </c>
      <c r="BN279" s="85"/>
      <c r="BO279" s="85"/>
    </row>
    <row r="280" spans="1:67" ht="30" customHeight="1">
      <c r="A280" s="73" t="str">
        <f t="array" aca="1" ref="A280" ca="1">IFERROR(TRANSPOSE(INDIRECT('MS section版配(Old)'!$AO280)),"")</f>
        <v/>
      </c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8"/>
      <c r="P280" s="88"/>
      <c r="Q280" s="88"/>
      <c r="R280" s="88"/>
      <c r="S280" s="88"/>
      <c r="T280" s="88"/>
      <c r="U280" s="88"/>
      <c r="V280" s="88"/>
      <c r="W280" s="88"/>
      <c r="X280" s="88"/>
      <c r="Y280" s="88"/>
      <c r="Z280" s="88"/>
      <c r="AA280" s="88"/>
      <c r="AB280" s="88"/>
      <c r="AC280" s="88"/>
      <c r="AD280" s="88"/>
      <c r="AE280" s="397" t="str">
        <f>IFERROR(VLOOKUP($AQ280,'(勿動)組件目錄表'!$D$15:$R$1094,4,FALSE),"")</f>
        <v/>
      </c>
      <c r="AF280" s="384"/>
      <c r="AG280" s="384"/>
      <c r="AH280" s="384"/>
      <c r="AI280" s="384"/>
      <c r="AJ280" s="385"/>
      <c r="AK280" s="54" t="b">
        <v>0</v>
      </c>
      <c r="AL280" s="54" t="b">
        <v>0</v>
      </c>
      <c r="AM280" s="54"/>
      <c r="AN280" s="7" t="str">
        <v>272</v>
      </c>
      <c r="AO280" s="7"/>
      <c r="AP280" s="62"/>
      <c r="AQ280" s="75" t="str">
        <v/>
      </c>
      <c r="AR280" s="75" t="str">
        <v>-</v>
      </c>
      <c r="AS280" s="11"/>
      <c r="AT280" s="77" t="str">
        <v>-</v>
      </c>
      <c r="AU280" s="11" t="str">
        <v>-</v>
      </c>
      <c r="AV280" s="100"/>
      <c r="AW280" s="80" t="str">
        <f ca="1"/>
        <v>-</v>
      </c>
      <c r="AX280" s="86" t="b">
        <v>0</v>
      </c>
      <c r="AY280" s="68" t="str">
        <f t="shared" si="4"/>
        <v/>
      </c>
      <c r="AZ280" s="69" t="str">
        <f t="shared" si="5"/>
        <v/>
      </c>
      <c r="BA280" s="70" t="str">
        <f t="shared" si="6"/>
        <v/>
      </c>
      <c r="BB280" s="68" t="str">
        <f t="shared" si="7"/>
        <v/>
      </c>
      <c r="BC280" s="69" t="str">
        <f>IFERROR(VLOOKUP($AQ280,'(勿動)組件目錄表'!$D$15:$R$1094,7,FALSE),"")</f>
        <v/>
      </c>
      <c r="BD280" s="69" t="str">
        <f>IFERROR(VLOOKUP($AQ280,'(勿動)組件目錄表'!$D$15:$R$1094,8,FALSE),"")</f>
        <v/>
      </c>
      <c r="BE280" s="69" t="str">
        <f>IFERROR(VLOOKUP($AQ280,'(勿動)組件目錄表'!$D$15:$R$1094,9,FALSE),"")</f>
        <v/>
      </c>
      <c r="BF280" s="69" t="str">
        <f>IFERROR(VLOOKUP($AQ280,'(勿動)組件目錄表'!$D$15:$R$1094,10,FALSE),"")</f>
        <v/>
      </c>
      <c r="BG280" s="69" t="str">
        <f>IFERROR(VLOOKUP($AQ280,'(勿動)組件目錄表'!$D$15:$R$1094,11,FALSE),"")</f>
        <v/>
      </c>
      <c r="BH280" s="69" t="str">
        <f>IFERROR(VLOOKUP($AQ280,'(勿動)組件目錄表'!$D$15:$R$1094,12,FALSE),"")</f>
        <v/>
      </c>
      <c r="BI280" s="69" t="str">
        <f>IFERROR(VLOOKUP($AQ280,'(勿動)組件目錄表'!$D$15:$R$1094,13,FALSE),"")</f>
        <v/>
      </c>
      <c r="BJ280" s="69" t="str">
        <f>IFERROR(VLOOKUP($AQ280,'(勿動)組件目錄表'!$D$15:$R$1094,14,FALSE),"")</f>
        <v/>
      </c>
      <c r="BK280" s="69" t="str">
        <f>IFERROR(VLOOKUP($AQ280,'(勿動)組件目錄表'!$D$15:$R$1094,15,FALSE),"")</f>
        <v/>
      </c>
      <c r="BL280" s="81">
        <f ca="1">IFERROR(__xludf.DUMMYFUNCTION("IFERROR(
  LET(
    rowData, FILTER('(勿動)組件目錄表'!J:Q, '(勿動)組件目錄表'!D:D=AQ280),
    IF(ROWS(rowData)=0, 0, 
      (
        IF(AND(BC280&lt;&gt;"""", INDEX(rowData,1,1)=BC280),1,0) +
        IF(AND(BD280&lt;&gt;"""", INDEX(rowData,1,2)=BD280),1,0) +
        IF(AND(BE280"&amp;"&lt;&gt;"""", INDEX(rowData,1,3)=BE280),1,0) +
        IF(AND(BF280&lt;&gt;"""", INDEX(rowData,1,4)=BF280),1,0) +
        IF(AND(BG280&lt;&gt;"""", INDEX(rowData,1,5)=BG280),1,0) +
        IF(AND(BH280&lt;&gt;"""", INDEX(rowData,1,6)=BH280),1,0) +
        IF(AND(BI280&lt;&gt;"""", IND"&amp;"EX(rowData,1,7)=BI280),1,0) +
        IF(AND(BJ280&lt;&gt;"""", INDEX(rowData,1,8)=BJ280),1,0)
      ) - COUNTIF(BC280:BJ280, ""-"")
        - COUNTIF(BC280:BJ280, ""固定格式，不需提供資訊"")
        - COUNTIF(BC280:BJ280, ""由MKT更新，此欄位固定格式，不需提供資訊
(Voucher CID：12917705872)"&amp;""")
        - COUNTIF(BC280:BJ280, ""text固定為以下：
※直播間僅支援手機版"")
        - COUNTIF(BC280:BJ280, ""text固定為以下：
※短影音僅支援手機版"")
    )
  ), 
  0
)
"),0)</f>
        <v>0</v>
      </c>
      <c r="BM280" s="77" t="b">
        <v>0</v>
      </c>
      <c r="BN280" s="85"/>
      <c r="BO280" s="85"/>
    </row>
    <row r="281" spans="1:67" ht="30" customHeight="1">
      <c r="A281" s="73" t="str">
        <f t="array" aca="1" ref="A281" ca="1">IFERROR(TRANSPOSE(INDIRECT('MS section版配(Old)'!$AO281)),"")</f>
        <v/>
      </c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8"/>
      <c r="P281" s="88"/>
      <c r="Q281" s="88"/>
      <c r="R281" s="88"/>
      <c r="S281" s="88"/>
      <c r="T281" s="88"/>
      <c r="U281" s="88"/>
      <c r="V281" s="88"/>
      <c r="W281" s="88"/>
      <c r="X281" s="88"/>
      <c r="Y281" s="88"/>
      <c r="Z281" s="88"/>
      <c r="AA281" s="88"/>
      <c r="AB281" s="88"/>
      <c r="AC281" s="88"/>
      <c r="AD281" s="88"/>
      <c r="AE281" s="397" t="str">
        <f>IFERROR(VLOOKUP($AQ281,'(勿動)組件目錄表'!$D$15:$R$1094,4,FALSE),"")</f>
        <v/>
      </c>
      <c r="AF281" s="384"/>
      <c r="AG281" s="384"/>
      <c r="AH281" s="384"/>
      <c r="AI281" s="384"/>
      <c r="AJ281" s="385"/>
      <c r="AK281" s="54" t="b">
        <v>0</v>
      </c>
      <c r="AL281" s="54" t="b">
        <v>0</v>
      </c>
      <c r="AM281" s="54"/>
      <c r="AN281" s="7" t="str">
        <v>273</v>
      </c>
      <c r="AO281" s="7"/>
      <c r="AP281" s="62"/>
      <c r="AQ281" s="75" t="str">
        <v/>
      </c>
      <c r="AR281" s="75" t="str">
        <v>-</v>
      </c>
      <c r="AS281" s="11"/>
      <c r="AT281" s="77" t="str">
        <v>-</v>
      </c>
      <c r="AU281" s="11" t="str">
        <v>-</v>
      </c>
      <c r="AV281" s="100"/>
      <c r="AW281" s="80" t="str">
        <f ca="1"/>
        <v>-</v>
      </c>
      <c r="AX281" s="86" t="b">
        <v>0</v>
      </c>
      <c r="AY281" s="68" t="str">
        <f t="shared" si="4"/>
        <v/>
      </c>
      <c r="AZ281" s="69" t="str">
        <f t="shared" si="5"/>
        <v/>
      </c>
      <c r="BA281" s="70" t="str">
        <f t="shared" si="6"/>
        <v/>
      </c>
      <c r="BB281" s="68" t="str">
        <f t="shared" si="7"/>
        <v/>
      </c>
      <c r="BC281" s="69" t="str">
        <f>IFERROR(VLOOKUP($AQ281,'(勿動)組件目錄表'!$D$15:$R$1094,7,FALSE),"")</f>
        <v/>
      </c>
      <c r="BD281" s="69" t="str">
        <f>IFERROR(VLOOKUP($AQ281,'(勿動)組件目錄表'!$D$15:$R$1094,8,FALSE),"")</f>
        <v/>
      </c>
      <c r="BE281" s="69" t="str">
        <f>IFERROR(VLOOKUP($AQ281,'(勿動)組件目錄表'!$D$15:$R$1094,9,FALSE),"")</f>
        <v/>
      </c>
      <c r="BF281" s="69" t="str">
        <f>IFERROR(VLOOKUP($AQ281,'(勿動)組件目錄表'!$D$15:$R$1094,10,FALSE),"")</f>
        <v/>
      </c>
      <c r="BG281" s="69" t="str">
        <f>IFERROR(VLOOKUP($AQ281,'(勿動)組件目錄表'!$D$15:$R$1094,11,FALSE),"")</f>
        <v/>
      </c>
      <c r="BH281" s="69" t="str">
        <f>IFERROR(VLOOKUP($AQ281,'(勿動)組件目錄表'!$D$15:$R$1094,12,FALSE),"")</f>
        <v/>
      </c>
      <c r="BI281" s="69" t="str">
        <f>IFERROR(VLOOKUP($AQ281,'(勿動)組件目錄表'!$D$15:$R$1094,13,FALSE),"")</f>
        <v/>
      </c>
      <c r="BJ281" s="69" t="str">
        <f>IFERROR(VLOOKUP($AQ281,'(勿動)組件目錄表'!$D$15:$R$1094,14,FALSE),"")</f>
        <v/>
      </c>
      <c r="BK281" s="69" t="str">
        <f>IFERROR(VLOOKUP($AQ281,'(勿動)組件目錄表'!$D$15:$R$1094,15,FALSE),"")</f>
        <v/>
      </c>
      <c r="BL281" s="81">
        <f ca="1">IFERROR(__xludf.DUMMYFUNCTION("IFERROR(
  LET(
    rowData, FILTER('(勿動)組件目錄表'!J:Q, '(勿動)組件目錄表'!D:D=AQ281),
    IF(ROWS(rowData)=0, 0, 
      (
        IF(AND(BC281&lt;&gt;"""", INDEX(rowData,1,1)=BC281),1,0) +
        IF(AND(BD281&lt;&gt;"""", INDEX(rowData,1,2)=BD281),1,0) +
        IF(AND(BE281"&amp;"&lt;&gt;"""", INDEX(rowData,1,3)=BE281),1,0) +
        IF(AND(BF281&lt;&gt;"""", INDEX(rowData,1,4)=BF281),1,0) +
        IF(AND(BG281&lt;&gt;"""", INDEX(rowData,1,5)=BG281),1,0) +
        IF(AND(BH281&lt;&gt;"""", INDEX(rowData,1,6)=BH281),1,0) +
        IF(AND(BI281&lt;&gt;"""", IND"&amp;"EX(rowData,1,7)=BI281),1,0) +
        IF(AND(BJ281&lt;&gt;"""", INDEX(rowData,1,8)=BJ281),1,0)
      ) - COUNTIF(BC281:BJ281, ""-"")
        - COUNTIF(BC281:BJ281, ""固定格式，不需提供資訊"")
        - COUNTIF(BC281:BJ281, ""由MKT更新，此欄位固定格式，不需提供資訊
(Voucher CID：12917705872)"&amp;""")
        - COUNTIF(BC281:BJ281, ""text固定為以下：
※直播間僅支援手機版"")
        - COUNTIF(BC281:BJ281, ""text固定為以下：
※短影音僅支援手機版"")
    )
  ), 
  0
)
"),0)</f>
        <v>0</v>
      </c>
      <c r="BM281" s="77" t="b">
        <v>0</v>
      </c>
      <c r="BN281" s="85"/>
      <c r="BO281" s="85"/>
    </row>
    <row r="282" spans="1:67" ht="30" customHeight="1">
      <c r="A282" s="73" t="str">
        <f t="array" aca="1" ref="A282" ca="1">IFERROR(TRANSPOSE(INDIRECT('MS section版配(Old)'!$AO282)),"")</f>
        <v/>
      </c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8"/>
      <c r="P282" s="88"/>
      <c r="Q282" s="88"/>
      <c r="R282" s="88"/>
      <c r="S282" s="88"/>
      <c r="T282" s="88"/>
      <c r="U282" s="88"/>
      <c r="V282" s="88"/>
      <c r="W282" s="88"/>
      <c r="X282" s="88"/>
      <c r="Y282" s="88"/>
      <c r="Z282" s="88"/>
      <c r="AA282" s="88"/>
      <c r="AB282" s="88"/>
      <c r="AC282" s="88"/>
      <c r="AD282" s="88"/>
      <c r="AE282" s="397" t="str">
        <f>IFERROR(VLOOKUP($AQ282,'(勿動)組件目錄表'!$D$15:$R$1094,4,FALSE),"")</f>
        <v/>
      </c>
      <c r="AF282" s="384"/>
      <c r="AG282" s="384"/>
      <c r="AH282" s="384"/>
      <c r="AI282" s="384"/>
      <c r="AJ282" s="385"/>
      <c r="AK282" s="54" t="b">
        <v>0</v>
      </c>
      <c r="AL282" s="54" t="b">
        <v>0</v>
      </c>
      <c r="AM282" s="54"/>
      <c r="AN282" s="7" t="str">
        <v>274</v>
      </c>
      <c r="AO282" s="7"/>
      <c r="AP282" s="62"/>
      <c r="AQ282" s="75" t="str">
        <v/>
      </c>
      <c r="AR282" s="75" t="str">
        <v>-</v>
      </c>
      <c r="AS282" s="11"/>
      <c r="AT282" s="77" t="str">
        <v>-</v>
      </c>
      <c r="AU282" s="11" t="str">
        <v>-</v>
      </c>
      <c r="AV282" s="100"/>
      <c r="AW282" s="80" t="str">
        <f ca="1"/>
        <v>-</v>
      </c>
      <c r="AX282" s="86" t="b">
        <v>0</v>
      </c>
      <c r="AY282" s="68" t="str">
        <f t="shared" si="4"/>
        <v/>
      </c>
      <c r="AZ282" s="69" t="str">
        <f t="shared" si="5"/>
        <v/>
      </c>
      <c r="BA282" s="70" t="str">
        <f t="shared" si="6"/>
        <v/>
      </c>
      <c r="BB282" s="68" t="str">
        <f t="shared" si="7"/>
        <v/>
      </c>
      <c r="BC282" s="69" t="str">
        <f>IFERROR(VLOOKUP($AQ282,'(勿動)組件目錄表'!$D$15:$R$1094,7,FALSE),"")</f>
        <v/>
      </c>
      <c r="BD282" s="69" t="str">
        <f>IFERROR(VLOOKUP($AQ282,'(勿動)組件目錄表'!$D$15:$R$1094,8,FALSE),"")</f>
        <v/>
      </c>
      <c r="BE282" s="69" t="str">
        <f>IFERROR(VLOOKUP($AQ282,'(勿動)組件目錄表'!$D$15:$R$1094,9,FALSE),"")</f>
        <v/>
      </c>
      <c r="BF282" s="69" t="str">
        <f>IFERROR(VLOOKUP($AQ282,'(勿動)組件目錄表'!$D$15:$R$1094,10,FALSE),"")</f>
        <v/>
      </c>
      <c r="BG282" s="69" t="str">
        <f>IFERROR(VLOOKUP($AQ282,'(勿動)組件目錄表'!$D$15:$R$1094,11,FALSE),"")</f>
        <v/>
      </c>
      <c r="BH282" s="69" t="str">
        <f>IFERROR(VLOOKUP($AQ282,'(勿動)組件目錄表'!$D$15:$R$1094,12,FALSE),"")</f>
        <v/>
      </c>
      <c r="BI282" s="69" t="str">
        <f>IFERROR(VLOOKUP($AQ282,'(勿動)組件目錄表'!$D$15:$R$1094,13,FALSE),"")</f>
        <v/>
      </c>
      <c r="BJ282" s="69" t="str">
        <f>IFERROR(VLOOKUP($AQ282,'(勿動)組件目錄表'!$D$15:$R$1094,14,FALSE),"")</f>
        <v/>
      </c>
      <c r="BK282" s="69" t="str">
        <f>IFERROR(VLOOKUP($AQ282,'(勿動)組件目錄表'!$D$15:$R$1094,15,FALSE),"")</f>
        <v/>
      </c>
      <c r="BL282" s="81">
        <f ca="1">IFERROR(__xludf.DUMMYFUNCTION("IFERROR(
  LET(
    rowData, FILTER('(勿動)組件目錄表'!J:Q, '(勿動)組件目錄表'!D:D=AQ282),
    IF(ROWS(rowData)=0, 0, 
      (
        IF(AND(BC282&lt;&gt;"""", INDEX(rowData,1,1)=BC282),1,0) +
        IF(AND(BD282&lt;&gt;"""", INDEX(rowData,1,2)=BD282),1,0) +
        IF(AND(BE282"&amp;"&lt;&gt;"""", INDEX(rowData,1,3)=BE282),1,0) +
        IF(AND(BF282&lt;&gt;"""", INDEX(rowData,1,4)=BF282),1,0) +
        IF(AND(BG282&lt;&gt;"""", INDEX(rowData,1,5)=BG282),1,0) +
        IF(AND(BH282&lt;&gt;"""", INDEX(rowData,1,6)=BH282),1,0) +
        IF(AND(BI282&lt;&gt;"""", IND"&amp;"EX(rowData,1,7)=BI282),1,0) +
        IF(AND(BJ282&lt;&gt;"""", INDEX(rowData,1,8)=BJ282),1,0)
      ) - COUNTIF(BC282:BJ282, ""-"")
        - COUNTIF(BC282:BJ282, ""固定格式，不需提供資訊"")
        - COUNTIF(BC282:BJ282, ""由MKT更新，此欄位固定格式，不需提供資訊
(Voucher CID：12917705872)"&amp;""")
        - COUNTIF(BC282:BJ282, ""text固定為以下：
※直播間僅支援手機版"")
        - COUNTIF(BC282:BJ282, ""text固定為以下：
※短影音僅支援手機版"")
    )
  ), 
  0
)
"),0)</f>
        <v>0</v>
      </c>
      <c r="BM282" s="77" t="b">
        <v>0</v>
      </c>
      <c r="BN282" s="85"/>
      <c r="BO282" s="85"/>
    </row>
    <row r="283" spans="1:67" ht="30" customHeight="1">
      <c r="A283" s="73" t="str">
        <f t="array" aca="1" ref="A283" ca="1">IFERROR(TRANSPOSE(INDIRECT('MS section版配(Old)'!$AO283)),"")</f>
        <v/>
      </c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8"/>
      <c r="P283" s="88"/>
      <c r="Q283" s="88"/>
      <c r="R283" s="88"/>
      <c r="S283" s="88"/>
      <c r="T283" s="88"/>
      <c r="U283" s="88"/>
      <c r="V283" s="88"/>
      <c r="W283" s="88"/>
      <c r="X283" s="88"/>
      <c r="Y283" s="88"/>
      <c r="Z283" s="88"/>
      <c r="AA283" s="88"/>
      <c r="AB283" s="88"/>
      <c r="AC283" s="88"/>
      <c r="AD283" s="88"/>
      <c r="AE283" s="397" t="str">
        <f>IFERROR(VLOOKUP($AQ283,'(勿動)組件目錄表'!$D$15:$R$1094,4,FALSE),"")</f>
        <v/>
      </c>
      <c r="AF283" s="384"/>
      <c r="AG283" s="384"/>
      <c r="AH283" s="384"/>
      <c r="AI283" s="384"/>
      <c r="AJ283" s="385"/>
      <c r="AK283" s="54" t="b">
        <v>0</v>
      </c>
      <c r="AL283" s="54" t="b">
        <v>0</v>
      </c>
      <c r="AM283" s="54"/>
      <c r="AN283" s="7" t="str">
        <v>275</v>
      </c>
      <c r="AO283" s="7"/>
      <c r="AP283" s="62"/>
      <c r="AQ283" s="75" t="str">
        <v/>
      </c>
      <c r="AR283" s="75" t="str">
        <v>-</v>
      </c>
      <c r="AS283" s="11"/>
      <c r="AT283" s="77" t="str">
        <v>-</v>
      </c>
      <c r="AU283" s="11" t="str">
        <v>-</v>
      </c>
      <c r="AV283" s="100"/>
      <c r="AW283" s="80" t="str">
        <f ca="1"/>
        <v>-</v>
      </c>
      <c r="AX283" s="86" t="b">
        <v>0</v>
      </c>
      <c r="AY283" s="68" t="str">
        <f t="shared" si="4"/>
        <v/>
      </c>
      <c r="AZ283" s="69" t="str">
        <f t="shared" si="5"/>
        <v/>
      </c>
      <c r="BA283" s="70" t="str">
        <f t="shared" si="6"/>
        <v/>
      </c>
      <c r="BB283" s="68" t="str">
        <f t="shared" si="7"/>
        <v/>
      </c>
      <c r="BC283" s="69" t="str">
        <f>IFERROR(VLOOKUP($AQ283,'(勿動)組件目錄表'!$D$15:$R$1094,7,FALSE),"")</f>
        <v/>
      </c>
      <c r="BD283" s="69" t="str">
        <f>IFERROR(VLOOKUP($AQ283,'(勿動)組件目錄表'!$D$15:$R$1094,8,FALSE),"")</f>
        <v/>
      </c>
      <c r="BE283" s="69" t="str">
        <f>IFERROR(VLOOKUP($AQ283,'(勿動)組件目錄表'!$D$15:$R$1094,9,FALSE),"")</f>
        <v/>
      </c>
      <c r="BF283" s="69" t="str">
        <f>IFERROR(VLOOKUP($AQ283,'(勿動)組件目錄表'!$D$15:$R$1094,10,FALSE),"")</f>
        <v/>
      </c>
      <c r="BG283" s="69" t="str">
        <f>IFERROR(VLOOKUP($AQ283,'(勿動)組件目錄表'!$D$15:$R$1094,11,FALSE),"")</f>
        <v/>
      </c>
      <c r="BH283" s="69" t="str">
        <f>IFERROR(VLOOKUP($AQ283,'(勿動)組件目錄表'!$D$15:$R$1094,12,FALSE),"")</f>
        <v/>
      </c>
      <c r="BI283" s="69" t="str">
        <f>IFERROR(VLOOKUP($AQ283,'(勿動)組件目錄表'!$D$15:$R$1094,13,FALSE),"")</f>
        <v/>
      </c>
      <c r="BJ283" s="69" t="str">
        <f>IFERROR(VLOOKUP($AQ283,'(勿動)組件目錄表'!$D$15:$R$1094,14,FALSE),"")</f>
        <v/>
      </c>
      <c r="BK283" s="69" t="str">
        <f>IFERROR(VLOOKUP($AQ283,'(勿動)組件目錄表'!$D$15:$R$1094,15,FALSE),"")</f>
        <v/>
      </c>
      <c r="BL283" s="81">
        <f ca="1">IFERROR(__xludf.DUMMYFUNCTION("IFERROR(
  LET(
    rowData, FILTER('(勿動)組件目錄表'!J:Q, '(勿動)組件目錄表'!D:D=AQ283),
    IF(ROWS(rowData)=0, 0, 
      (
        IF(AND(BC283&lt;&gt;"""", INDEX(rowData,1,1)=BC283),1,0) +
        IF(AND(BD283&lt;&gt;"""", INDEX(rowData,1,2)=BD283),1,0) +
        IF(AND(BE283"&amp;"&lt;&gt;"""", INDEX(rowData,1,3)=BE283),1,0) +
        IF(AND(BF283&lt;&gt;"""", INDEX(rowData,1,4)=BF283),1,0) +
        IF(AND(BG283&lt;&gt;"""", INDEX(rowData,1,5)=BG283),1,0) +
        IF(AND(BH283&lt;&gt;"""", INDEX(rowData,1,6)=BH283),1,0) +
        IF(AND(BI283&lt;&gt;"""", IND"&amp;"EX(rowData,1,7)=BI283),1,0) +
        IF(AND(BJ283&lt;&gt;"""", INDEX(rowData,1,8)=BJ283),1,0)
      ) - COUNTIF(BC283:BJ283, ""-"")
        - COUNTIF(BC283:BJ283, ""固定格式，不需提供資訊"")
        - COUNTIF(BC283:BJ283, ""由MKT更新，此欄位固定格式，不需提供資訊
(Voucher CID：12917705872)"&amp;""")
        - COUNTIF(BC283:BJ283, ""text固定為以下：
※直播間僅支援手機版"")
        - COUNTIF(BC283:BJ283, ""text固定為以下：
※短影音僅支援手機版"")
    )
  ), 
  0
)
"),0)</f>
        <v>0</v>
      </c>
      <c r="BM283" s="77" t="b">
        <v>0</v>
      </c>
      <c r="BN283" s="85"/>
      <c r="BO283" s="85"/>
    </row>
    <row r="284" spans="1:67" ht="30" customHeight="1">
      <c r="A284" s="73" t="str">
        <f t="array" aca="1" ref="A284" ca="1">IFERROR(TRANSPOSE(INDIRECT('MS section版配(Old)'!$AO284)),"")</f>
        <v/>
      </c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8"/>
      <c r="P284" s="88"/>
      <c r="Q284" s="88"/>
      <c r="R284" s="88"/>
      <c r="S284" s="88"/>
      <c r="T284" s="88"/>
      <c r="U284" s="88"/>
      <c r="V284" s="88"/>
      <c r="W284" s="88"/>
      <c r="X284" s="88"/>
      <c r="Y284" s="88"/>
      <c r="Z284" s="88"/>
      <c r="AA284" s="88"/>
      <c r="AB284" s="88"/>
      <c r="AC284" s="88"/>
      <c r="AD284" s="88"/>
      <c r="AE284" s="397" t="str">
        <f>IFERROR(VLOOKUP($AQ284,'(勿動)組件目錄表'!$D$15:$R$1094,4,FALSE),"")</f>
        <v/>
      </c>
      <c r="AF284" s="384"/>
      <c r="AG284" s="384"/>
      <c r="AH284" s="384"/>
      <c r="AI284" s="384"/>
      <c r="AJ284" s="385"/>
      <c r="AK284" s="54" t="b">
        <v>0</v>
      </c>
      <c r="AL284" s="54" t="b">
        <v>0</v>
      </c>
      <c r="AM284" s="54"/>
      <c r="AN284" s="7" t="str">
        <v>276</v>
      </c>
      <c r="AO284" s="7"/>
      <c r="AP284" s="62"/>
      <c r="AQ284" s="75" t="str">
        <v/>
      </c>
      <c r="AR284" s="75" t="str">
        <v>-</v>
      </c>
      <c r="AS284" s="11"/>
      <c r="AT284" s="77" t="str">
        <v>-</v>
      </c>
      <c r="AU284" s="11" t="str">
        <v>-</v>
      </c>
      <c r="AV284" s="100"/>
      <c r="AW284" s="80" t="str">
        <f ca="1"/>
        <v>-</v>
      </c>
      <c r="AX284" s="86" t="b">
        <v>0</v>
      </c>
      <c r="AY284" s="68" t="str">
        <f t="shared" si="4"/>
        <v/>
      </c>
      <c r="AZ284" s="69" t="str">
        <f t="shared" si="5"/>
        <v/>
      </c>
      <c r="BA284" s="70" t="str">
        <f t="shared" si="6"/>
        <v/>
      </c>
      <c r="BB284" s="68" t="str">
        <f t="shared" si="7"/>
        <v/>
      </c>
      <c r="BC284" s="69" t="str">
        <f>IFERROR(VLOOKUP($AQ284,'(勿動)組件目錄表'!$D$15:$R$1094,7,FALSE),"")</f>
        <v/>
      </c>
      <c r="BD284" s="69" t="str">
        <f>IFERROR(VLOOKUP($AQ284,'(勿動)組件目錄表'!$D$15:$R$1094,8,FALSE),"")</f>
        <v/>
      </c>
      <c r="BE284" s="69" t="str">
        <f>IFERROR(VLOOKUP($AQ284,'(勿動)組件目錄表'!$D$15:$R$1094,9,FALSE),"")</f>
        <v/>
      </c>
      <c r="BF284" s="69" t="str">
        <f>IFERROR(VLOOKUP($AQ284,'(勿動)組件目錄表'!$D$15:$R$1094,10,FALSE),"")</f>
        <v/>
      </c>
      <c r="BG284" s="69" t="str">
        <f>IFERROR(VLOOKUP($AQ284,'(勿動)組件目錄表'!$D$15:$R$1094,11,FALSE),"")</f>
        <v/>
      </c>
      <c r="BH284" s="69" t="str">
        <f>IFERROR(VLOOKUP($AQ284,'(勿動)組件目錄表'!$D$15:$R$1094,12,FALSE),"")</f>
        <v/>
      </c>
      <c r="BI284" s="69" t="str">
        <f>IFERROR(VLOOKUP($AQ284,'(勿動)組件目錄表'!$D$15:$R$1094,13,FALSE),"")</f>
        <v/>
      </c>
      <c r="BJ284" s="69" t="str">
        <f>IFERROR(VLOOKUP($AQ284,'(勿動)組件目錄表'!$D$15:$R$1094,14,FALSE),"")</f>
        <v/>
      </c>
      <c r="BK284" s="69" t="str">
        <f>IFERROR(VLOOKUP($AQ284,'(勿動)組件目錄表'!$D$15:$R$1094,15,FALSE),"")</f>
        <v/>
      </c>
      <c r="BL284" s="81">
        <f ca="1">IFERROR(__xludf.DUMMYFUNCTION("IFERROR(
  LET(
    rowData, FILTER('(勿動)組件目錄表'!J:Q, '(勿動)組件目錄表'!D:D=AQ284),
    IF(ROWS(rowData)=0, 0, 
      (
        IF(AND(BC284&lt;&gt;"""", INDEX(rowData,1,1)=BC284),1,0) +
        IF(AND(BD284&lt;&gt;"""", INDEX(rowData,1,2)=BD284),1,0) +
        IF(AND(BE284"&amp;"&lt;&gt;"""", INDEX(rowData,1,3)=BE284),1,0) +
        IF(AND(BF284&lt;&gt;"""", INDEX(rowData,1,4)=BF284),1,0) +
        IF(AND(BG284&lt;&gt;"""", INDEX(rowData,1,5)=BG284),1,0) +
        IF(AND(BH284&lt;&gt;"""", INDEX(rowData,1,6)=BH284),1,0) +
        IF(AND(BI284&lt;&gt;"""", IND"&amp;"EX(rowData,1,7)=BI284),1,0) +
        IF(AND(BJ284&lt;&gt;"""", INDEX(rowData,1,8)=BJ284),1,0)
      ) - COUNTIF(BC284:BJ284, ""-"")
        - COUNTIF(BC284:BJ284, ""固定格式，不需提供資訊"")
        - COUNTIF(BC284:BJ284, ""由MKT更新，此欄位固定格式，不需提供資訊
(Voucher CID：12917705872)"&amp;""")
        - COUNTIF(BC284:BJ284, ""text固定為以下：
※直播間僅支援手機版"")
        - COUNTIF(BC284:BJ284, ""text固定為以下：
※短影音僅支援手機版"")
    )
  ), 
  0
)
"),0)</f>
        <v>0</v>
      </c>
      <c r="BM284" s="77" t="b">
        <v>0</v>
      </c>
      <c r="BN284" s="85"/>
      <c r="BO284" s="85"/>
    </row>
    <row r="285" spans="1:67" ht="30" customHeight="1">
      <c r="A285" s="73" t="str">
        <f t="array" aca="1" ref="A285" ca="1">IFERROR(TRANSPOSE(INDIRECT('MS section版配(Old)'!$AO285)),"")</f>
        <v/>
      </c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8"/>
      <c r="P285" s="88"/>
      <c r="Q285" s="88"/>
      <c r="R285" s="88"/>
      <c r="S285" s="88"/>
      <c r="T285" s="88"/>
      <c r="U285" s="88"/>
      <c r="V285" s="88"/>
      <c r="W285" s="88"/>
      <c r="X285" s="88"/>
      <c r="Y285" s="88"/>
      <c r="Z285" s="88"/>
      <c r="AA285" s="88"/>
      <c r="AB285" s="88"/>
      <c r="AC285" s="88"/>
      <c r="AD285" s="88"/>
      <c r="AE285" s="397" t="str">
        <f>IFERROR(VLOOKUP($AQ285,'(勿動)組件目錄表'!$D$15:$R$1094,4,FALSE),"")</f>
        <v/>
      </c>
      <c r="AF285" s="384"/>
      <c r="AG285" s="384"/>
      <c r="AH285" s="384"/>
      <c r="AI285" s="384"/>
      <c r="AJ285" s="385"/>
      <c r="AK285" s="54" t="b">
        <v>0</v>
      </c>
      <c r="AL285" s="54" t="b">
        <v>0</v>
      </c>
      <c r="AM285" s="54"/>
      <c r="AN285" s="7" t="str">
        <v>277</v>
      </c>
      <c r="AO285" s="7"/>
      <c r="AP285" s="62"/>
      <c r="AQ285" s="75" t="str">
        <v/>
      </c>
      <c r="AR285" s="75" t="str">
        <v>-</v>
      </c>
      <c r="AS285" s="11"/>
      <c r="AT285" s="77" t="str">
        <v>-</v>
      </c>
      <c r="AU285" s="11" t="str">
        <v>-</v>
      </c>
      <c r="AV285" s="100"/>
      <c r="AW285" s="80" t="str">
        <f ca="1"/>
        <v>-</v>
      </c>
      <c r="AX285" s="86" t="b">
        <v>0</v>
      </c>
      <c r="AY285" s="68" t="str">
        <f t="shared" si="4"/>
        <v/>
      </c>
      <c r="AZ285" s="69" t="str">
        <f t="shared" si="5"/>
        <v/>
      </c>
      <c r="BA285" s="70" t="str">
        <f t="shared" si="6"/>
        <v/>
      </c>
      <c r="BB285" s="68" t="str">
        <f t="shared" si="7"/>
        <v/>
      </c>
      <c r="BC285" s="69" t="str">
        <f>IFERROR(VLOOKUP($AQ285,'(勿動)組件目錄表'!$D$15:$R$1094,7,FALSE),"")</f>
        <v/>
      </c>
      <c r="BD285" s="69" t="str">
        <f>IFERROR(VLOOKUP($AQ285,'(勿動)組件目錄表'!$D$15:$R$1094,8,FALSE),"")</f>
        <v/>
      </c>
      <c r="BE285" s="69" t="str">
        <f>IFERROR(VLOOKUP($AQ285,'(勿動)組件目錄表'!$D$15:$R$1094,9,FALSE),"")</f>
        <v/>
      </c>
      <c r="BF285" s="69" t="str">
        <f>IFERROR(VLOOKUP($AQ285,'(勿動)組件目錄表'!$D$15:$R$1094,10,FALSE),"")</f>
        <v/>
      </c>
      <c r="BG285" s="69" t="str">
        <f>IFERROR(VLOOKUP($AQ285,'(勿動)組件目錄表'!$D$15:$R$1094,11,FALSE),"")</f>
        <v/>
      </c>
      <c r="BH285" s="69" t="str">
        <f>IFERROR(VLOOKUP($AQ285,'(勿動)組件目錄表'!$D$15:$R$1094,12,FALSE),"")</f>
        <v/>
      </c>
      <c r="BI285" s="69" t="str">
        <f>IFERROR(VLOOKUP($AQ285,'(勿動)組件目錄表'!$D$15:$R$1094,13,FALSE),"")</f>
        <v/>
      </c>
      <c r="BJ285" s="69" t="str">
        <f>IFERROR(VLOOKUP($AQ285,'(勿動)組件目錄表'!$D$15:$R$1094,14,FALSE),"")</f>
        <v/>
      </c>
      <c r="BK285" s="69" t="str">
        <f>IFERROR(VLOOKUP($AQ285,'(勿動)組件目錄表'!$D$15:$R$1094,15,FALSE),"")</f>
        <v/>
      </c>
      <c r="BL285" s="81">
        <f ca="1">IFERROR(__xludf.DUMMYFUNCTION("IFERROR(
  LET(
    rowData, FILTER('(勿動)組件目錄表'!J:Q, '(勿動)組件目錄表'!D:D=AQ285),
    IF(ROWS(rowData)=0, 0, 
      (
        IF(AND(BC285&lt;&gt;"""", INDEX(rowData,1,1)=BC285),1,0) +
        IF(AND(BD285&lt;&gt;"""", INDEX(rowData,1,2)=BD285),1,0) +
        IF(AND(BE285"&amp;"&lt;&gt;"""", INDEX(rowData,1,3)=BE285),1,0) +
        IF(AND(BF285&lt;&gt;"""", INDEX(rowData,1,4)=BF285),1,0) +
        IF(AND(BG285&lt;&gt;"""", INDEX(rowData,1,5)=BG285),1,0) +
        IF(AND(BH285&lt;&gt;"""", INDEX(rowData,1,6)=BH285),1,0) +
        IF(AND(BI285&lt;&gt;"""", IND"&amp;"EX(rowData,1,7)=BI285),1,0) +
        IF(AND(BJ285&lt;&gt;"""", INDEX(rowData,1,8)=BJ285),1,0)
      ) - COUNTIF(BC285:BJ285, ""-"")
        - COUNTIF(BC285:BJ285, ""固定格式，不需提供資訊"")
        - COUNTIF(BC285:BJ285, ""由MKT更新，此欄位固定格式，不需提供資訊
(Voucher CID：12917705872)"&amp;""")
        - COUNTIF(BC285:BJ285, ""text固定為以下：
※直播間僅支援手機版"")
        - COUNTIF(BC285:BJ285, ""text固定為以下：
※短影音僅支援手機版"")
    )
  ), 
  0
)
"),0)</f>
        <v>0</v>
      </c>
      <c r="BM285" s="77" t="b">
        <v>0</v>
      </c>
      <c r="BN285" s="85"/>
      <c r="BO285" s="85"/>
    </row>
    <row r="286" spans="1:67" ht="30" customHeight="1">
      <c r="A286" s="73" t="str">
        <f t="array" aca="1" ref="A286" ca="1">IFERROR(TRANSPOSE(INDIRECT('MS section版配(Old)'!$AO286)),"")</f>
        <v/>
      </c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8"/>
      <c r="P286" s="88"/>
      <c r="Q286" s="88"/>
      <c r="R286" s="88"/>
      <c r="S286" s="88"/>
      <c r="T286" s="88"/>
      <c r="U286" s="88"/>
      <c r="V286" s="88"/>
      <c r="W286" s="88"/>
      <c r="X286" s="88"/>
      <c r="Y286" s="88"/>
      <c r="Z286" s="88"/>
      <c r="AA286" s="88"/>
      <c r="AB286" s="88"/>
      <c r="AC286" s="88"/>
      <c r="AD286" s="88"/>
      <c r="AE286" s="397" t="str">
        <f>IFERROR(VLOOKUP($AQ286,'(勿動)組件目錄表'!$D$15:$R$1094,4,FALSE),"")</f>
        <v/>
      </c>
      <c r="AF286" s="384"/>
      <c r="AG286" s="384"/>
      <c r="AH286" s="384"/>
      <c r="AI286" s="384"/>
      <c r="AJ286" s="385"/>
      <c r="AK286" s="54" t="b">
        <v>0</v>
      </c>
      <c r="AL286" s="54" t="b">
        <v>0</v>
      </c>
      <c r="AM286" s="54"/>
      <c r="AN286" s="7" t="str">
        <v>278</v>
      </c>
      <c r="AO286" s="7"/>
      <c r="AP286" s="62"/>
      <c r="AQ286" s="75" t="str">
        <v/>
      </c>
      <c r="AR286" s="75" t="str">
        <v>-</v>
      </c>
      <c r="AS286" s="11"/>
      <c r="AT286" s="77" t="str">
        <v>-</v>
      </c>
      <c r="AU286" s="11" t="str">
        <v>-</v>
      </c>
      <c r="AV286" s="100"/>
      <c r="AW286" s="80" t="str">
        <f ca="1"/>
        <v>-</v>
      </c>
      <c r="AX286" s="86" t="b">
        <v>0</v>
      </c>
      <c r="AY286" s="68" t="str">
        <f t="shared" si="4"/>
        <v/>
      </c>
      <c r="AZ286" s="69" t="str">
        <f t="shared" si="5"/>
        <v/>
      </c>
      <c r="BA286" s="70" t="str">
        <f t="shared" si="6"/>
        <v/>
      </c>
      <c r="BB286" s="68" t="str">
        <f t="shared" si="7"/>
        <v/>
      </c>
      <c r="BC286" s="69" t="str">
        <f>IFERROR(VLOOKUP($AQ286,'(勿動)組件目錄表'!$D$15:$R$1094,7,FALSE),"")</f>
        <v/>
      </c>
      <c r="BD286" s="69" t="str">
        <f>IFERROR(VLOOKUP($AQ286,'(勿動)組件目錄表'!$D$15:$R$1094,8,FALSE),"")</f>
        <v/>
      </c>
      <c r="BE286" s="69" t="str">
        <f>IFERROR(VLOOKUP($AQ286,'(勿動)組件目錄表'!$D$15:$R$1094,9,FALSE),"")</f>
        <v/>
      </c>
      <c r="BF286" s="69" t="str">
        <f>IFERROR(VLOOKUP($AQ286,'(勿動)組件目錄表'!$D$15:$R$1094,10,FALSE),"")</f>
        <v/>
      </c>
      <c r="BG286" s="69" t="str">
        <f>IFERROR(VLOOKUP($AQ286,'(勿動)組件目錄表'!$D$15:$R$1094,11,FALSE),"")</f>
        <v/>
      </c>
      <c r="BH286" s="69" t="str">
        <f>IFERROR(VLOOKUP($AQ286,'(勿動)組件目錄表'!$D$15:$R$1094,12,FALSE),"")</f>
        <v/>
      </c>
      <c r="BI286" s="69" t="str">
        <f>IFERROR(VLOOKUP($AQ286,'(勿動)組件目錄表'!$D$15:$R$1094,13,FALSE),"")</f>
        <v/>
      </c>
      <c r="BJ286" s="69" t="str">
        <f>IFERROR(VLOOKUP($AQ286,'(勿動)組件目錄表'!$D$15:$R$1094,14,FALSE),"")</f>
        <v/>
      </c>
      <c r="BK286" s="69" t="str">
        <f>IFERROR(VLOOKUP($AQ286,'(勿動)組件目錄表'!$D$15:$R$1094,15,FALSE),"")</f>
        <v/>
      </c>
      <c r="BL286" s="81">
        <f ca="1">IFERROR(__xludf.DUMMYFUNCTION("IFERROR(
  LET(
    rowData, FILTER('(勿動)組件目錄表'!J:Q, '(勿動)組件目錄表'!D:D=AQ286),
    IF(ROWS(rowData)=0, 0, 
      (
        IF(AND(BC286&lt;&gt;"""", INDEX(rowData,1,1)=BC286),1,0) +
        IF(AND(BD286&lt;&gt;"""", INDEX(rowData,1,2)=BD286),1,0) +
        IF(AND(BE286"&amp;"&lt;&gt;"""", INDEX(rowData,1,3)=BE286),1,0) +
        IF(AND(BF286&lt;&gt;"""", INDEX(rowData,1,4)=BF286),1,0) +
        IF(AND(BG286&lt;&gt;"""", INDEX(rowData,1,5)=BG286),1,0) +
        IF(AND(BH286&lt;&gt;"""", INDEX(rowData,1,6)=BH286),1,0) +
        IF(AND(BI286&lt;&gt;"""", IND"&amp;"EX(rowData,1,7)=BI286),1,0) +
        IF(AND(BJ286&lt;&gt;"""", INDEX(rowData,1,8)=BJ286),1,0)
      ) - COUNTIF(BC286:BJ286, ""-"")
        - COUNTIF(BC286:BJ286, ""固定格式，不需提供資訊"")
        - COUNTIF(BC286:BJ286, ""由MKT更新，此欄位固定格式，不需提供資訊
(Voucher CID：12917705872)"&amp;""")
        - COUNTIF(BC286:BJ286, ""text固定為以下：
※直播間僅支援手機版"")
        - COUNTIF(BC286:BJ286, ""text固定為以下：
※短影音僅支援手機版"")
    )
  ), 
  0
)
"),0)</f>
        <v>0</v>
      </c>
      <c r="BM286" s="77" t="b">
        <v>0</v>
      </c>
      <c r="BN286" s="85"/>
      <c r="BO286" s="85"/>
    </row>
    <row r="287" spans="1:67" ht="30" customHeight="1">
      <c r="A287" s="73" t="str">
        <f t="array" aca="1" ref="A287" ca="1">IFERROR(TRANSPOSE(INDIRECT('MS section版配(Old)'!$AO287)),"")</f>
        <v/>
      </c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8"/>
      <c r="P287" s="88"/>
      <c r="Q287" s="88"/>
      <c r="R287" s="88"/>
      <c r="S287" s="88"/>
      <c r="T287" s="88"/>
      <c r="U287" s="88"/>
      <c r="V287" s="88"/>
      <c r="W287" s="88"/>
      <c r="X287" s="88"/>
      <c r="Y287" s="88"/>
      <c r="Z287" s="88"/>
      <c r="AA287" s="88"/>
      <c r="AB287" s="88"/>
      <c r="AC287" s="88"/>
      <c r="AD287" s="88"/>
      <c r="AE287" s="397" t="str">
        <f>IFERROR(VLOOKUP($AQ287,'(勿動)組件目錄表'!$D$15:$R$1094,4,FALSE),"")</f>
        <v/>
      </c>
      <c r="AF287" s="384"/>
      <c r="AG287" s="384"/>
      <c r="AH287" s="384"/>
      <c r="AI287" s="384"/>
      <c r="AJ287" s="385"/>
      <c r="AK287" s="54" t="b">
        <v>0</v>
      </c>
      <c r="AL287" s="54" t="b">
        <v>0</v>
      </c>
      <c r="AM287" s="54"/>
      <c r="AN287" s="7" t="str">
        <v>279</v>
      </c>
      <c r="AO287" s="7"/>
      <c r="AP287" s="62"/>
      <c r="AQ287" s="75" t="str">
        <v/>
      </c>
      <c r="AR287" s="75" t="str">
        <v>-</v>
      </c>
      <c r="AS287" s="11"/>
      <c r="AT287" s="77" t="str">
        <v>-</v>
      </c>
      <c r="AU287" s="11" t="str">
        <v>-</v>
      </c>
      <c r="AV287" s="100"/>
      <c r="AW287" s="80" t="str">
        <f ca="1"/>
        <v>-</v>
      </c>
      <c r="AX287" s="86" t="b">
        <v>0</v>
      </c>
      <c r="AY287" s="68" t="str">
        <f t="shared" si="4"/>
        <v/>
      </c>
      <c r="AZ287" s="69" t="str">
        <f t="shared" si="5"/>
        <v/>
      </c>
      <c r="BA287" s="70" t="str">
        <f t="shared" si="6"/>
        <v/>
      </c>
      <c r="BB287" s="68" t="str">
        <f t="shared" si="7"/>
        <v/>
      </c>
      <c r="BC287" s="69" t="str">
        <f>IFERROR(VLOOKUP($AQ287,'(勿動)組件目錄表'!$D$15:$R$1094,7,FALSE),"")</f>
        <v/>
      </c>
      <c r="BD287" s="69" t="str">
        <f>IFERROR(VLOOKUP($AQ287,'(勿動)組件目錄表'!$D$15:$R$1094,8,FALSE),"")</f>
        <v/>
      </c>
      <c r="BE287" s="69" t="str">
        <f>IFERROR(VLOOKUP($AQ287,'(勿動)組件目錄表'!$D$15:$R$1094,9,FALSE),"")</f>
        <v/>
      </c>
      <c r="BF287" s="69" t="str">
        <f>IFERROR(VLOOKUP($AQ287,'(勿動)組件目錄表'!$D$15:$R$1094,10,FALSE),"")</f>
        <v/>
      </c>
      <c r="BG287" s="69" t="str">
        <f>IFERROR(VLOOKUP($AQ287,'(勿動)組件目錄表'!$D$15:$R$1094,11,FALSE),"")</f>
        <v/>
      </c>
      <c r="BH287" s="69" t="str">
        <f>IFERROR(VLOOKUP($AQ287,'(勿動)組件目錄表'!$D$15:$R$1094,12,FALSE),"")</f>
        <v/>
      </c>
      <c r="BI287" s="69" t="str">
        <f>IFERROR(VLOOKUP($AQ287,'(勿動)組件目錄表'!$D$15:$R$1094,13,FALSE),"")</f>
        <v/>
      </c>
      <c r="BJ287" s="69" t="str">
        <f>IFERROR(VLOOKUP($AQ287,'(勿動)組件目錄表'!$D$15:$R$1094,14,FALSE),"")</f>
        <v/>
      </c>
      <c r="BK287" s="69" t="str">
        <f>IFERROR(VLOOKUP($AQ287,'(勿動)組件目錄表'!$D$15:$R$1094,15,FALSE),"")</f>
        <v/>
      </c>
      <c r="BL287" s="81">
        <f ca="1">IFERROR(__xludf.DUMMYFUNCTION("IFERROR(
  LET(
    rowData, FILTER('(勿動)組件目錄表'!J:Q, '(勿動)組件目錄表'!D:D=AQ287),
    IF(ROWS(rowData)=0, 0, 
      (
        IF(AND(BC287&lt;&gt;"""", INDEX(rowData,1,1)=BC287),1,0) +
        IF(AND(BD287&lt;&gt;"""", INDEX(rowData,1,2)=BD287),1,0) +
        IF(AND(BE287"&amp;"&lt;&gt;"""", INDEX(rowData,1,3)=BE287),1,0) +
        IF(AND(BF287&lt;&gt;"""", INDEX(rowData,1,4)=BF287),1,0) +
        IF(AND(BG287&lt;&gt;"""", INDEX(rowData,1,5)=BG287),1,0) +
        IF(AND(BH287&lt;&gt;"""", INDEX(rowData,1,6)=BH287),1,0) +
        IF(AND(BI287&lt;&gt;"""", IND"&amp;"EX(rowData,1,7)=BI287),1,0) +
        IF(AND(BJ287&lt;&gt;"""", INDEX(rowData,1,8)=BJ287),1,0)
      ) - COUNTIF(BC287:BJ287, ""-"")
        - COUNTIF(BC287:BJ287, ""固定格式，不需提供資訊"")
        - COUNTIF(BC287:BJ287, ""由MKT更新，此欄位固定格式，不需提供資訊
(Voucher CID：12917705872)"&amp;""")
        - COUNTIF(BC287:BJ287, ""text固定為以下：
※直播間僅支援手機版"")
        - COUNTIF(BC287:BJ287, ""text固定為以下：
※短影音僅支援手機版"")
    )
  ), 
  0
)
"),0)</f>
        <v>0</v>
      </c>
      <c r="BM287" s="77" t="b">
        <v>0</v>
      </c>
      <c r="BN287" s="85"/>
      <c r="BO287" s="85"/>
    </row>
    <row r="288" spans="1:67" ht="30" customHeight="1">
      <c r="A288" s="73" t="str">
        <f t="array" aca="1" ref="A288" ca="1">IFERROR(TRANSPOSE(INDIRECT('MS section版配(Old)'!$AO288)),"")</f>
        <v/>
      </c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8"/>
      <c r="P288" s="88"/>
      <c r="Q288" s="88"/>
      <c r="R288" s="88"/>
      <c r="S288" s="88"/>
      <c r="T288" s="88"/>
      <c r="U288" s="88"/>
      <c r="V288" s="88"/>
      <c r="W288" s="88"/>
      <c r="X288" s="88"/>
      <c r="Y288" s="88"/>
      <c r="Z288" s="88"/>
      <c r="AA288" s="88"/>
      <c r="AB288" s="88"/>
      <c r="AC288" s="88"/>
      <c r="AD288" s="88"/>
      <c r="AE288" s="397" t="str">
        <f>IFERROR(VLOOKUP($AQ288,'(勿動)組件目錄表'!$D$15:$R$1094,4,FALSE),"")</f>
        <v/>
      </c>
      <c r="AF288" s="384"/>
      <c r="AG288" s="384"/>
      <c r="AH288" s="384"/>
      <c r="AI288" s="384"/>
      <c r="AJ288" s="385"/>
      <c r="AK288" s="54" t="b">
        <v>0</v>
      </c>
      <c r="AL288" s="54" t="b">
        <v>0</v>
      </c>
      <c r="AM288" s="54"/>
      <c r="AN288" s="7" t="str">
        <v>280</v>
      </c>
      <c r="AO288" s="7"/>
      <c r="AP288" s="62"/>
      <c r="AQ288" s="75" t="str">
        <v/>
      </c>
      <c r="AR288" s="75" t="str">
        <v>-</v>
      </c>
      <c r="AS288" s="11"/>
      <c r="AT288" s="77" t="str">
        <v>-</v>
      </c>
      <c r="AU288" s="11" t="str">
        <v>-</v>
      </c>
      <c r="AV288" s="100"/>
      <c r="AW288" s="80" t="str">
        <f ca="1"/>
        <v>-</v>
      </c>
      <c r="AX288" s="86" t="b">
        <v>0</v>
      </c>
      <c r="AY288" s="68" t="str">
        <f t="shared" si="4"/>
        <v/>
      </c>
      <c r="AZ288" s="69" t="str">
        <f t="shared" si="5"/>
        <v/>
      </c>
      <c r="BA288" s="70" t="str">
        <f t="shared" si="6"/>
        <v/>
      </c>
      <c r="BB288" s="68" t="str">
        <f t="shared" si="7"/>
        <v/>
      </c>
      <c r="BC288" s="69" t="str">
        <f>IFERROR(VLOOKUP($AQ288,'(勿動)組件目錄表'!$D$15:$R$1094,7,FALSE),"")</f>
        <v/>
      </c>
      <c r="BD288" s="69" t="str">
        <f>IFERROR(VLOOKUP($AQ288,'(勿動)組件目錄表'!$D$15:$R$1094,8,FALSE),"")</f>
        <v/>
      </c>
      <c r="BE288" s="69" t="str">
        <f>IFERROR(VLOOKUP($AQ288,'(勿動)組件目錄表'!$D$15:$R$1094,9,FALSE),"")</f>
        <v/>
      </c>
      <c r="BF288" s="69" t="str">
        <f>IFERROR(VLOOKUP($AQ288,'(勿動)組件目錄表'!$D$15:$R$1094,10,FALSE),"")</f>
        <v/>
      </c>
      <c r="BG288" s="69" t="str">
        <f>IFERROR(VLOOKUP($AQ288,'(勿動)組件目錄表'!$D$15:$R$1094,11,FALSE),"")</f>
        <v/>
      </c>
      <c r="BH288" s="69" t="str">
        <f>IFERROR(VLOOKUP($AQ288,'(勿動)組件目錄表'!$D$15:$R$1094,12,FALSE),"")</f>
        <v/>
      </c>
      <c r="BI288" s="69" t="str">
        <f>IFERROR(VLOOKUP($AQ288,'(勿動)組件目錄表'!$D$15:$R$1094,13,FALSE),"")</f>
        <v/>
      </c>
      <c r="BJ288" s="69" t="str">
        <f>IFERROR(VLOOKUP($AQ288,'(勿動)組件目錄表'!$D$15:$R$1094,14,FALSE),"")</f>
        <v/>
      </c>
      <c r="BK288" s="69" t="str">
        <f>IFERROR(VLOOKUP($AQ288,'(勿動)組件目錄表'!$D$15:$R$1094,15,FALSE),"")</f>
        <v/>
      </c>
      <c r="BL288" s="81">
        <f ca="1">IFERROR(__xludf.DUMMYFUNCTION("IFERROR(
  LET(
    rowData, FILTER('(勿動)組件目錄表'!J:Q, '(勿動)組件目錄表'!D:D=AQ288),
    IF(ROWS(rowData)=0, 0, 
      (
        IF(AND(BC288&lt;&gt;"""", INDEX(rowData,1,1)=BC288),1,0) +
        IF(AND(BD288&lt;&gt;"""", INDEX(rowData,1,2)=BD288),1,0) +
        IF(AND(BE288"&amp;"&lt;&gt;"""", INDEX(rowData,1,3)=BE288),1,0) +
        IF(AND(BF288&lt;&gt;"""", INDEX(rowData,1,4)=BF288),1,0) +
        IF(AND(BG288&lt;&gt;"""", INDEX(rowData,1,5)=BG288),1,0) +
        IF(AND(BH288&lt;&gt;"""", INDEX(rowData,1,6)=BH288),1,0) +
        IF(AND(BI288&lt;&gt;"""", IND"&amp;"EX(rowData,1,7)=BI288),1,0) +
        IF(AND(BJ288&lt;&gt;"""", INDEX(rowData,1,8)=BJ288),1,0)
      ) - COUNTIF(BC288:BJ288, ""-"")
        - COUNTIF(BC288:BJ288, ""固定格式，不需提供資訊"")
        - COUNTIF(BC288:BJ288, ""由MKT更新，此欄位固定格式，不需提供資訊
(Voucher CID：12917705872)"&amp;""")
        - COUNTIF(BC288:BJ288, ""text固定為以下：
※直播間僅支援手機版"")
        - COUNTIF(BC288:BJ288, ""text固定為以下：
※短影音僅支援手機版"")
    )
  ), 
  0
)
"),0)</f>
        <v>0</v>
      </c>
      <c r="BM288" s="77" t="b">
        <v>0</v>
      </c>
      <c r="BN288" s="85"/>
      <c r="BO288" s="85"/>
    </row>
    <row r="289" spans="1:67" ht="30" customHeight="1">
      <c r="A289" s="73" t="str">
        <f t="array" aca="1" ref="A289" ca="1">IFERROR(TRANSPOSE(INDIRECT('MS section版配(Old)'!$AO289)),"")</f>
        <v/>
      </c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  <c r="AA289" s="88"/>
      <c r="AB289" s="88"/>
      <c r="AC289" s="88"/>
      <c r="AD289" s="88"/>
      <c r="AE289" s="397" t="str">
        <f>IFERROR(VLOOKUP($AQ289,'(勿動)組件目錄表'!$D$15:$R$1094,4,FALSE),"")</f>
        <v/>
      </c>
      <c r="AF289" s="384"/>
      <c r="AG289" s="384"/>
      <c r="AH289" s="384"/>
      <c r="AI289" s="384"/>
      <c r="AJ289" s="385"/>
      <c r="AK289" s="54" t="b">
        <v>0</v>
      </c>
      <c r="AL289" s="54" t="b">
        <v>0</v>
      </c>
      <c r="AM289" s="54"/>
      <c r="AN289" s="7" t="str">
        <v>281</v>
      </c>
      <c r="AO289" s="7"/>
      <c r="AP289" s="62"/>
      <c r="AQ289" s="75" t="str">
        <v/>
      </c>
      <c r="AR289" s="75" t="str">
        <v>-</v>
      </c>
      <c r="AS289" s="11"/>
      <c r="AT289" s="77" t="str">
        <v>-</v>
      </c>
      <c r="AU289" s="11" t="str">
        <v>-</v>
      </c>
      <c r="AV289" s="100"/>
      <c r="AW289" s="80" t="str">
        <f ca="1"/>
        <v>-</v>
      </c>
      <c r="AX289" s="86" t="b">
        <v>0</v>
      </c>
      <c r="AY289" s="68" t="str">
        <f t="shared" si="4"/>
        <v/>
      </c>
      <c r="AZ289" s="69" t="str">
        <f t="shared" si="5"/>
        <v/>
      </c>
      <c r="BA289" s="70" t="str">
        <f t="shared" si="6"/>
        <v/>
      </c>
      <c r="BB289" s="68" t="str">
        <f t="shared" si="7"/>
        <v/>
      </c>
      <c r="BC289" s="69" t="str">
        <f>IFERROR(VLOOKUP($AQ289,'(勿動)組件目錄表'!$D$15:$R$1094,7,FALSE),"")</f>
        <v/>
      </c>
      <c r="BD289" s="69" t="str">
        <f>IFERROR(VLOOKUP($AQ289,'(勿動)組件目錄表'!$D$15:$R$1094,8,FALSE),"")</f>
        <v/>
      </c>
      <c r="BE289" s="69" t="str">
        <f>IFERROR(VLOOKUP($AQ289,'(勿動)組件目錄表'!$D$15:$R$1094,9,FALSE),"")</f>
        <v/>
      </c>
      <c r="BF289" s="69" t="str">
        <f>IFERROR(VLOOKUP($AQ289,'(勿動)組件目錄表'!$D$15:$R$1094,10,FALSE),"")</f>
        <v/>
      </c>
      <c r="BG289" s="69" t="str">
        <f>IFERROR(VLOOKUP($AQ289,'(勿動)組件目錄表'!$D$15:$R$1094,11,FALSE),"")</f>
        <v/>
      </c>
      <c r="BH289" s="69" t="str">
        <f>IFERROR(VLOOKUP($AQ289,'(勿動)組件目錄表'!$D$15:$R$1094,12,FALSE),"")</f>
        <v/>
      </c>
      <c r="BI289" s="69" t="str">
        <f>IFERROR(VLOOKUP($AQ289,'(勿動)組件目錄表'!$D$15:$R$1094,13,FALSE),"")</f>
        <v/>
      </c>
      <c r="BJ289" s="69" t="str">
        <f>IFERROR(VLOOKUP($AQ289,'(勿動)組件目錄表'!$D$15:$R$1094,14,FALSE),"")</f>
        <v/>
      </c>
      <c r="BK289" s="69" t="str">
        <f>IFERROR(VLOOKUP($AQ289,'(勿動)組件目錄表'!$D$15:$R$1094,15,FALSE),"")</f>
        <v/>
      </c>
      <c r="BL289" s="81">
        <f ca="1">IFERROR(__xludf.DUMMYFUNCTION("IFERROR(
  LET(
    rowData, FILTER('(勿動)組件目錄表'!J:Q, '(勿動)組件目錄表'!D:D=AQ289),
    IF(ROWS(rowData)=0, 0, 
      (
        IF(AND(BC289&lt;&gt;"""", INDEX(rowData,1,1)=BC289),1,0) +
        IF(AND(BD289&lt;&gt;"""", INDEX(rowData,1,2)=BD289),1,0) +
        IF(AND(BE289"&amp;"&lt;&gt;"""", INDEX(rowData,1,3)=BE289),1,0) +
        IF(AND(BF289&lt;&gt;"""", INDEX(rowData,1,4)=BF289),1,0) +
        IF(AND(BG289&lt;&gt;"""", INDEX(rowData,1,5)=BG289),1,0) +
        IF(AND(BH289&lt;&gt;"""", INDEX(rowData,1,6)=BH289),1,0) +
        IF(AND(BI289&lt;&gt;"""", IND"&amp;"EX(rowData,1,7)=BI289),1,0) +
        IF(AND(BJ289&lt;&gt;"""", INDEX(rowData,1,8)=BJ289),1,0)
      ) - COUNTIF(BC289:BJ289, ""-"")
        - COUNTIF(BC289:BJ289, ""固定格式，不需提供資訊"")
        - COUNTIF(BC289:BJ289, ""由MKT更新，此欄位固定格式，不需提供資訊
(Voucher CID：12917705872)"&amp;""")
        - COUNTIF(BC289:BJ289, ""text固定為以下：
※直播間僅支援手機版"")
        - COUNTIF(BC289:BJ289, ""text固定為以下：
※短影音僅支援手機版"")
    )
  ), 
  0
)
"),0)</f>
        <v>0</v>
      </c>
      <c r="BM289" s="77" t="b">
        <v>0</v>
      </c>
      <c r="BN289" s="85"/>
      <c r="BO289" s="85"/>
    </row>
    <row r="290" spans="1:67" ht="30" customHeight="1">
      <c r="A290" s="73" t="str">
        <f t="array" aca="1" ref="A290" ca="1">IFERROR(TRANSPOSE(INDIRECT('MS section版配(Old)'!$AO290)),"")</f>
        <v/>
      </c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  <c r="AA290" s="88"/>
      <c r="AB290" s="88"/>
      <c r="AC290" s="88"/>
      <c r="AD290" s="88"/>
      <c r="AE290" s="397" t="str">
        <f>IFERROR(VLOOKUP($AQ290,'(勿動)組件目錄表'!$D$15:$R$1094,4,FALSE),"")</f>
        <v/>
      </c>
      <c r="AF290" s="384"/>
      <c r="AG290" s="384"/>
      <c r="AH290" s="384"/>
      <c r="AI290" s="384"/>
      <c r="AJ290" s="385"/>
      <c r="AK290" s="54" t="b">
        <v>0</v>
      </c>
      <c r="AL290" s="54" t="b">
        <v>0</v>
      </c>
      <c r="AM290" s="54"/>
      <c r="AN290" s="7" t="str">
        <v>282</v>
      </c>
      <c r="AO290" s="7"/>
      <c r="AP290" s="62"/>
      <c r="AQ290" s="75" t="str">
        <v/>
      </c>
      <c r="AR290" s="75" t="str">
        <v>-</v>
      </c>
      <c r="AS290" s="11"/>
      <c r="AT290" s="77" t="str">
        <v>-</v>
      </c>
      <c r="AU290" s="11" t="str">
        <v>-</v>
      </c>
      <c r="AV290" s="100"/>
      <c r="AW290" s="80" t="str">
        <f ca="1"/>
        <v>-</v>
      </c>
      <c r="AX290" s="86" t="b">
        <v>0</v>
      </c>
      <c r="AY290" s="68" t="str">
        <f t="shared" si="4"/>
        <v/>
      </c>
      <c r="AZ290" s="69" t="str">
        <f t="shared" si="5"/>
        <v/>
      </c>
      <c r="BA290" s="70" t="str">
        <f t="shared" si="6"/>
        <v/>
      </c>
      <c r="BB290" s="68" t="str">
        <f t="shared" si="7"/>
        <v/>
      </c>
      <c r="BC290" s="69" t="str">
        <f>IFERROR(VLOOKUP($AQ290,'(勿動)組件目錄表'!$D$15:$R$1094,7,FALSE),"")</f>
        <v/>
      </c>
      <c r="BD290" s="69" t="str">
        <f>IFERROR(VLOOKUP($AQ290,'(勿動)組件目錄表'!$D$15:$R$1094,8,FALSE),"")</f>
        <v/>
      </c>
      <c r="BE290" s="69" t="str">
        <f>IFERROR(VLOOKUP($AQ290,'(勿動)組件目錄表'!$D$15:$R$1094,9,FALSE),"")</f>
        <v/>
      </c>
      <c r="BF290" s="69" t="str">
        <f>IFERROR(VLOOKUP($AQ290,'(勿動)組件目錄表'!$D$15:$R$1094,10,FALSE),"")</f>
        <v/>
      </c>
      <c r="BG290" s="69" t="str">
        <f>IFERROR(VLOOKUP($AQ290,'(勿動)組件目錄表'!$D$15:$R$1094,11,FALSE),"")</f>
        <v/>
      </c>
      <c r="BH290" s="69" t="str">
        <f>IFERROR(VLOOKUP($AQ290,'(勿動)組件目錄表'!$D$15:$R$1094,12,FALSE),"")</f>
        <v/>
      </c>
      <c r="BI290" s="69" t="str">
        <f>IFERROR(VLOOKUP($AQ290,'(勿動)組件目錄表'!$D$15:$R$1094,13,FALSE),"")</f>
        <v/>
      </c>
      <c r="BJ290" s="69" t="str">
        <f>IFERROR(VLOOKUP($AQ290,'(勿動)組件目錄表'!$D$15:$R$1094,14,FALSE),"")</f>
        <v/>
      </c>
      <c r="BK290" s="69" t="str">
        <f>IFERROR(VLOOKUP($AQ290,'(勿動)組件目錄表'!$D$15:$R$1094,15,FALSE),"")</f>
        <v/>
      </c>
      <c r="BL290" s="81">
        <f ca="1">IFERROR(__xludf.DUMMYFUNCTION("IFERROR(
  LET(
    rowData, FILTER('(勿動)組件目錄表'!J:Q, '(勿動)組件目錄表'!D:D=AQ290),
    IF(ROWS(rowData)=0, 0, 
      (
        IF(AND(BC290&lt;&gt;"""", INDEX(rowData,1,1)=BC290),1,0) +
        IF(AND(BD290&lt;&gt;"""", INDEX(rowData,1,2)=BD290),1,0) +
        IF(AND(BE290"&amp;"&lt;&gt;"""", INDEX(rowData,1,3)=BE290),1,0) +
        IF(AND(BF290&lt;&gt;"""", INDEX(rowData,1,4)=BF290),1,0) +
        IF(AND(BG290&lt;&gt;"""", INDEX(rowData,1,5)=BG290),1,0) +
        IF(AND(BH290&lt;&gt;"""", INDEX(rowData,1,6)=BH290),1,0) +
        IF(AND(BI290&lt;&gt;"""", IND"&amp;"EX(rowData,1,7)=BI290),1,0) +
        IF(AND(BJ290&lt;&gt;"""", INDEX(rowData,1,8)=BJ290),1,0)
      ) - COUNTIF(BC290:BJ290, ""-"")
        - COUNTIF(BC290:BJ290, ""固定格式，不需提供資訊"")
        - COUNTIF(BC290:BJ290, ""由MKT更新，此欄位固定格式，不需提供資訊
(Voucher CID：12917705872)"&amp;""")
        - COUNTIF(BC290:BJ290, ""text固定為以下：
※直播間僅支援手機版"")
        - COUNTIF(BC290:BJ290, ""text固定為以下：
※短影音僅支援手機版"")
    )
  ), 
  0
)
"),0)</f>
        <v>0</v>
      </c>
      <c r="BM290" s="77" t="b">
        <v>0</v>
      </c>
      <c r="BN290" s="85"/>
      <c r="BO290" s="85"/>
    </row>
    <row r="291" spans="1:67" ht="30" customHeight="1">
      <c r="A291" s="73" t="str">
        <f t="array" aca="1" ref="A291" ca="1">IFERROR(TRANSPOSE(INDIRECT('MS section版配(Old)'!$AO291)),"")</f>
        <v/>
      </c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  <c r="AA291" s="88"/>
      <c r="AB291" s="88"/>
      <c r="AC291" s="88"/>
      <c r="AD291" s="88"/>
      <c r="AE291" s="397" t="str">
        <f>IFERROR(VLOOKUP($AQ291,'(勿動)組件目錄表'!$D$15:$R$1094,4,FALSE),"")</f>
        <v/>
      </c>
      <c r="AF291" s="384"/>
      <c r="AG291" s="384"/>
      <c r="AH291" s="384"/>
      <c r="AI291" s="384"/>
      <c r="AJ291" s="385"/>
      <c r="AK291" s="54" t="b">
        <v>0</v>
      </c>
      <c r="AL291" s="54" t="b">
        <v>0</v>
      </c>
      <c r="AM291" s="54"/>
      <c r="AN291" s="7" t="str">
        <v>283</v>
      </c>
      <c r="AO291" s="7"/>
      <c r="AP291" s="62"/>
      <c r="AQ291" s="75" t="str">
        <v/>
      </c>
      <c r="AR291" s="75" t="str">
        <v>-</v>
      </c>
      <c r="AS291" s="11"/>
      <c r="AT291" s="77" t="str">
        <v>-</v>
      </c>
      <c r="AU291" s="11" t="str">
        <v>-</v>
      </c>
      <c r="AV291" s="100"/>
      <c r="AW291" s="80" t="str">
        <f ca="1"/>
        <v>-</v>
      </c>
      <c r="AX291" s="86" t="b">
        <v>0</v>
      </c>
      <c r="AY291" s="68" t="str">
        <f t="shared" si="4"/>
        <v/>
      </c>
      <c r="AZ291" s="69" t="str">
        <f t="shared" si="5"/>
        <v/>
      </c>
      <c r="BA291" s="70" t="str">
        <f t="shared" si="6"/>
        <v/>
      </c>
      <c r="BB291" s="68" t="str">
        <f t="shared" si="7"/>
        <v/>
      </c>
      <c r="BC291" s="69" t="str">
        <f>IFERROR(VLOOKUP($AQ291,'(勿動)組件目錄表'!$D$15:$R$1094,7,FALSE),"")</f>
        <v/>
      </c>
      <c r="BD291" s="69" t="str">
        <f>IFERROR(VLOOKUP($AQ291,'(勿動)組件目錄表'!$D$15:$R$1094,8,FALSE),"")</f>
        <v/>
      </c>
      <c r="BE291" s="69" t="str">
        <f>IFERROR(VLOOKUP($AQ291,'(勿動)組件目錄表'!$D$15:$R$1094,9,FALSE),"")</f>
        <v/>
      </c>
      <c r="BF291" s="69" t="str">
        <f>IFERROR(VLOOKUP($AQ291,'(勿動)組件目錄表'!$D$15:$R$1094,10,FALSE),"")</f>
        <v/>
      </c>
      <c r="BG291" s="69" t="str">
        <f>IFERROR(VLOOKUP($AQ291,'(勿動)組件目錄表'!$D$15:$R$1094,11,FALSE),"")</f>
        <v/>
      </c>
      <c r="BH291" s="69" t="str">
        <f>IFERROR(VLOOKUP($AQ291,'(勿動)組件目錄表'!$D$15:$R$1094,12,FALSE),"")</f>
        <v/>
      </c>
      <c r="BI291" s="69" t="str">
        <f>IFERROR(VLOOKUP($AQ291,'(勿動)組件目錄表'!$D$15:$R$1094,13,FALSE),"")</f>
        <v/>
      </c>
      <c r="BJ291" s="69" t="str">
        <f>IFERROR(VLOOKUP($AQ291,'(勿動)組件目錄表'!$D$15:$R$1094,14,FALSE),"")</f>
        <v/>
      </c>
      <c r="BK291" s="69" t="str">
        <f>IFERROR(VLOOKUP($AQ291,'(勿動)組件目錄表'!$D$15:$R$1094,15,FALSE),"")</f>
        <v/>
      </c>
      <c r="BL291" s="81">
        <f ca="1">IFERROR(__xludf.DUMMYFUNCTION("IFERROR(
  LET(
    rowData, FILTER('(勿動)組件目錄表'!J:Q, '(勿動)組件目錄表'!D:D=AQ291),
    IF(ROWS(rowData)=0, 0, 
      (
        IF(AND(BC291&lt;&gt;"""", INDEX(rowData,1,1)=BC291),1,0) +
        IF(AND(BD291&lt;&gt;"""", INDEX(rowData,1,2)=BD291),1,0) +
        IF(AND(BE291"&amp;"&lt;&gt;"""", INDEX(rowData,1,3)=BE291),1,0) +
        IF(AND(BF291&lt;&gt;"""", INDEX(rowData,1,4)=BF291),1,0) +
        IF(AND(BG291&lt;&gt;"""", INDEX(rowData,1,5)=BG291),1,0) +
        IF(AND(BH291&lt;&gt;"""", INDEX(rowData,1,6)=BH291),1,0) +
        IF(AND(BI291&lt;&gt;"""", IND"&amp;"EX(rowData,1,7)=BI291),1,0) +
        IF(AND(BJ291&lt;&gt;"""", INDEX(rowData,1,8)=BJ291),1,0)
      ) - COUNTIF(BC291:BJ291, ""-"")
        - COUNTIF(BC291:BJ291, ""固定格式，不需提供資訊"")
        - COUNTIF(BC291:BJ291, ""由MKT更新，此欄位固定格式，不需提供資訊
(Voucher CID：12917705872)"&amp;""")
        - COUNTIF(BC291:BJ291, ""text固定為以下：
※直播間僅支援手機版"")
        - COUNTIF(BC291:BJ291, ""text固定為以下：
※短影音僅支援手機版"")
    )
  ), 
  0
)
"),0)</f>
        <v>0</v>
      </c>
      <c r="BM291" s="77" t="b">
        <v>0</v>
      </c>
      <c r="BN291" s="85"/>
      <c r="BO291" s="85"/>
    </row>
    <row r="292" spans="1:67" ht="30" customHeight="1">
      <c r="A292" s="73" t="str">
        <f t="array" aca="1" ref="A292" ca="1">IFERROR(TRANSPOSE(INDIRECT('MS section版配(Old)'!$AO292)),"")</f>
        <v/>
      </c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8"/>
      <c r="P292" s="88"/>
      <c r="Q292" s="88"/>
      <c r="R292" s="88"/>
      <c r="S292" s="88"/>
      <c r="T292" s="88"/>
      <c r="U292" s="88"/>
      <c r="V292" s="88"/>
      <c r="W292" s="88"/>
      <c r="X292" s="88"/>
      <c r="Y292" s="88"/>
      <c r="Z292" s="88"/>
      <c r="AA292" s="88"/>
      <c r="AB292" s="88"/>
      <c r="AC292" s="88"/>
      <c r="AD292" s="88"/>
      <c r="AE292" s="397" t="str">
        <f>IFERROR(VLOOKUP($AQ292,'(勿動)組件目錄表'!$D$15:$R$1094,4,FALSE),"")</f>
        <v/>
      </c>
      <c r="AF292" s="384"/>
      <c r="AG292" s="384"/>
      <c r="AH292" s="384"/>
      <c r="AI292" s="384"/>
      <c r="AJ292" s="385"/>
      <c r="AK292" s="54" t="b">
        <v>0</v>
      </c>
      <c r="AL292" s="54" t="b">
        <v>0</v>
      </c>
      <c r="AM292" s="54"/>
      <c r="AN292" s="7" t="str">
        <v>284</v>
      </c>
      <c r="AO292" s="7"/>
      <c r="AP292" s="62"/>
      <c r="AQ292" s="75" t="str">
        <v/>
      </c>
      <c r="AR292" s="75" t="str">
        <v>-</v>
      </c>
      <c r="AS292" s="11"/>
      <c r="AT292" s="77" t="str">
        <v>-</v>
      </c>
      <c r="AU292" s="11" t="str">
        <v>-</v>
      </c>
      <c r="AV292" s="100"/>
      <c r="AW292" s="80" t="str">
        <f ca="1"/>
        <v>-</v>
      </c>
      <c r="AX292" s="86" t="b">
        <v>0</v>
      </c>
      <c r="AY292" s="68" t="str">
        <f t="shared" si="4"/>
        <v/>
      </c>
      <c r="AZ292" s="69" t="str">
        <f t="shared" si="5"/>
        <v/>
      </c>
      <c r="BA292" s="70" t="str">
        <f t="shared" si="6"/>
        <v/>
      </c>
      <c r="BB292" s="68" t="str">
        <f t="shared" si="7"/>
        <v/>
      </c>
      <c r="BC292" s="69" t="str">
        <f>IFERROR(VLOOKUP($AQ292,'(勿動)組件目錄表'!$D$15:$R$1094,7,FALSE),"")</f>
        <v/>
      </c>
      <c r="BD292" s="69" t="str">
        <f>IFERROR(VLOOKUP($AQ292,'(勿動)組件目錄表'!$D$15:$R$1094,8,FALSE),"")</f>
        <v/>
      </c>
      <c r="BE292" s="69" t="str">
        <f>IFERROR(VLOOKUP($AQ292,'(勿動)組件目錄表'!$D$15:$R$1094,9,FALSE),"")</f>
        <v/>
      </c>
      <c r="BF292" s="69" t="str">
        <f>IFERROR(VLOOKUP($AQ292,'(勿動)組件目錄表'!$D$15:$R$1094,10,FALSE),"")</f>
        <v/>
      </c>
      <c r="BG292" s="69" t="str">
        <f>IFERROR(VLOOKUP($AQ292,'(勿動)組件目錄表'!$D$15:$R$1094,11,FALSE),"")</f>
        <v/>
      </c>
      <c r="BH292" s="69" t="str">
        <f>IFERROR(VLOOKUP($AQ292,'(勿動)組件目錄表'!$D$15:$R$1094,12,FALSE),"")</f>
        <v/>
      </c>
      <c r="BI292" s="69" t="str">
        <f>IFERROR(VLOOKUP($AQ292,'(勿動)組件目錄表'!$D$15:$R$1094,13,FALSE),"")</f>
        <v/>
      </c>
      <c r="BJ292" s="69" t="str">
        <f>IFERROR(VLOOKUP($AQ292,'(勿動)組件目錄表'!$D$15:$R$1094,14,FALSE),"")</f>
        <v/>
      </c>
      <c r="BK292" s="69" t="str">
        <f>IFERROR(VLOOKUP($AQ292,'(勿動)組件目錄表'!$D$15:$R$1094,15,FALSE),"")</f>
        <v/>
      </c>
      <c r="BL292" s="81">
        <f ca="1">IFERROR(__xludf.DUMMYFUNCTION("IFERROR(
  LET(
    rowData, FILTER('(勿動)組件目錄表'!J:Q, '(勿動)組件目錄表'!D:D=AQ292),
    IF(ROWS(rowData)=0, 0, 
      (
        IF(AND(BC292&lt;&gt;"""", INDEX(rowData,1,1)=BC292),1,0) +
        IF(AND(BD292&lt;&gt;"""", INDEX(rowData,1,2)=BD292),1,0) +
        IF(AND(BE292"&amp;"&lt;&gt;"""", INDEX(rowData,1,3)=BE292),1,0) +
        IF(AND(BF292&lt;&gt;"""", INDEX(rowData,1,4)=BF292),1,0) +
        IF(AND(BG292&lt;&gt;"""", INDEX(rowData,1,5)=BG292),1,0) +
        IF(AND(BH292&lt;&gt;"""", INDEX(rowData,1,6)=BH292),1,0) +
        IF(AND(BI292&lt;&gt;"""", IND"&amp;"EX(rowData,1,7)=BI292),1,0) +
        IF(AND(BJ292&lt;&gt;"""", INDEX(rowData,1,8)=BJ292),1,0)
      ) - COUNTIF(BC292:BJ292, ""-"")
        - COUNTIF(BC292:BJ292, ""固定格式，不需提供資訊"")
        - COUNTIF(BC292:BJ292, ""由MKT更新，此欄位固定格式，不需提供資訊
(Voucher CID：12917705872)"&amp;""")
        - COUNTIF(BC292:BJ292, ""text固定為以下：
※直播間僅支援手機版"")
        - COUNTIF(BC292:BJ292, ""text固定為以下：
※短影音僅支援手機版"")
    )
  ), 
  0
)
"),0)</f>
        <v>0</v>
      </c>
      <c r="BM292" s="77" t="b">
        <v>0</v>
      </c>
      <c r="BN292" s="85"/>
      <c r="BO292" s="85"/>
    </row>
    <row r="293" spans="1:67" ht="30" customHeight="1">
      <c r="A293" s="73" t="str">
        <f t="array" aca="1" ref="A293" ca="1">IFERROR(TRANSPOSE(INDIRECT('MS section版配(Old)'!$AO293)),"")</f>
        <v/>
      </c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8"/>
      <c r="P293" s="88"/>
      <c r="Q293" s="88"/>
      <c r="R293" s="88"/>
      <c r="S293" s="88"/>
      <c r="T293" s="88"/>
      <c r="U293" s="88"/>
      <c r="V293" s="88"/>
      <c r="W293" s="88"/>
      <c r="X293" s="88"/>
      <c r="Y293" s="88"/>
      <c r="Z293" s="88"/>
      <c r="AA293" s="88"/>
      <c r="AB293" s="88"/>
      <c r="AC293" s="88"/>
      <c r="AD293" s="88"/>
      <c r="AE293" s="397" t="str">
        <f>IFERROR(VLOOKUP($AQ293,'(勿動)組件目錄表'!$D$15:$R$1094,4,FALSE),"")</f>
        <v/>
      </c>
      <c r="AF293" s="384"/>
      <c r="AG293" s="384"/>
      <c r="AH293" s="384"/>
      <c r="AI293" s="384"/>
      <c r="AJ293" s="385"/>
      <c r="AK293" s="54" t="b">
        <v>0</v>
      </c>
      <c r="AL293" s="54" t="b">
        <v>0</v>
      </c>
      <c r="AM293" s="54"/>
      <c r="AN293" s="7" t="str">
        <v>285</v>
      </c>
      <c r="AO293" s="7"/>
      <c r="AP293" s="62"/>
      <c r="AQ293" s="75" t="str">
        <v/>
      </c>
      <c r="AR293" s="75" t="str">
        <v>-</v>
      </c>
      <c r="AS293" s="11"/>
      <c r="AT293" s="77" t="str">
        <v>-</v>
      </c>
      <c r="AU293" s="11" t="str">
        <v>-</v>
      </c>
      <c r="AV293" s="100"/>
      <c r="AW293" s="80" t="str">
        <f ca="1"/>
        <v>-</v>
      </c>
      <c r="AX293" s="86" t="b">
        <v>0</v>
      </c>
      <c r="AY293" s="68" t="str">
        <f t="shared" si="4"/>
        <v/>
      </c>
      <c r="AZ293" s="69" t="str">
        <f t="shared" si="5"/>
        <v/>
      </c>
      <c r="BA293" s="70" t="str">
        <f t="shared" si="6"/>
        <v/>
      </c>
      <c r="BB293" s="68" t="str">
        <f t="shared" si="7"/>
        <v/>
      </c>
      <c r="BC293" s="69" t="str">
        <f>IFERROR(VLOOKUP($AQ293,'(勿動)組件目錄表'!$D$15:$R$1094,7,FALSE),"")</f>
        <v/>
      </c>
      <c r="BD293" s="69" t="str">
        <f>IFERROR(VLOOKUP($AQ293,'(勿動)組件目錄表'!$D$15:$R$1094,8,FALSE),"")</f>
        <v/>
      </c>
      <c r="BE293" s="69" t="str">
        <f>IFERROR(VLOOKUP($AQ293,'(勿動)組件目錄表'!$D$15:$R$1094,9,FALSE),"")</f>
        <v/>
      </c>
      <c r="BF293" s="69" t="str">
        <f>IFERROR(VLOOKUP($AQ293,'(勿動)組件目錄表'!$D$15:$R$1094,10,FALSE),"")</f>
        <v/>
      </c>
      <c r="BG293" s="69" t="str">
        <f>IFERROR(VLOOKUP($AQ293,'(勿動)組件目錄表'!$D$15:$R$1094,11,FALSE),"")</f>
        <v/>
      </c>
      <c r="BH293" s="69" t="str">
        <f>IFERROR(VLOOKUP($AQ293,'(勿動)組件目錄表'!$D$15:$R$1094,12,FALSE),"")</f>
        <v/>
      </c>
      <c r="BI293" s="69" t="str">
        <f>IFERROR(VLOOKUP($AQ293,'(勿動)組件目錄表'!$D$15:$R$1094,13,FALSE),"")</f>
        <v/>
      </c>
      <c r="BJ293" s="69" t="str">
        <f>IFERROR(VLOOKUP($AQ293,'(勿動)組件目錄表'!$D$15:$R$1094,14,FALSE),"")</f>
        <v/>
      </c>
      <c r="BK293" s="69" t="str">
        <f>IFERROR(VLOOKUP($AQ293,'(勿動)組件目錄表'!$D$15:$R$1094,15,FALSE),"")</f>
        <v/>
      </c>
      <c r="BL293" s="81">
        <f ca="1">IFERROR(__xludf.DUMMYFUNCTION("IFERROR(
  LET(
    rowData, FILTER('(勿動)組件目錄表'!J:Q, '(勿動)組件目錄表'!D:D=AQ293),
    IF(ROWS(rowData)=0, 0, 
      (
        IF(AND(BC293&lt;&gt;"""", INDEX(rowData,1,1)=BC293),1,0) +
        IF(AND(BD293&lt;&gt;"""", INDEX(rowData,1,2)=BD293),1,0) +
        IF(AND(BE293"&amp;"&lt;&gt;"""", INDEX(rowData,1,3)=BE293),1,0) +
        IF(AND(BF293&lt;&gt;"""", INDEX(rowData,1,4)=BF293),1,0) +
        IF(AND(BG293&lt;&gt;"""", INDEX(rowData,1,5)=BG293),1,0) +
        IF(AND(BH293&lt;&gt;"""", INDEX(rowData,1,6)=BH293),1,0) +
        IF(AND(BI293&lt;&gt;"""", IND"&amp;"EX(rowData,1,7)=BI293),1,0) +
        IF(AND(BJ293&lt;&gt;"""", INDEX(rowData,1,8)=BJ293),1,0)
      ) - COUNTIF(BC293:BJ293, ""-"")
        - COUNTIF(BC293:BJ293, ""固定格式，不需提供資訊"")
        - COUNTIF(BC293:BJ293, ""由MKT更新，此欄位固定格式，不需提供資訊
(Voucher CID：12917705872)"&amp;""")
        - COUNTIF(BC293:BJ293, ""text固定為以下：
※直播間僅支援手機版"")
        - COUNTIF(BC293:BJ293, ""text固定為以下：
※短影音僅支援手機版"")
    )
  ), 
  0
)
"),0)</f>
        <v>0</v>
      </c>
      <c r="BM293" s="77" t="b">
        <v>0</v>
      </c>
      <c r="BN293" s="85"/>
      <c r="BO293" s="85"/>
    </row>
    <row r="294" spans="1:67" ht="30" customHeight="1">
      <c r="A294" s="73" t="str">
        <f t="array" aca="1" ref="A294" ca="1">IFERROR(TRANSPOSE(INDIRECT('MS section版配(Old)'!$AO294)),"")</f>
        <v/>
      </c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8"/>
      <c r="P294" s="88"/>
      <c r="Q294" s="88"/>
      <c r="R294" s="88"/>
      <c r="S294" s="88"/>
      <c r="T294" s="88"/>
      <c r="U294" s="88"/>
      <c r="V294" s="88"/>
      <c r="W294" s="88"/>
      <c r="X294" s="88"/>
      <c r="Y294" s="88"/>
      <c r="Z294" s="88"/>
      <c r="AA294" s="88"/>
      <c r="AB294" s="88"/>
      <c r="AC294" s="88"/>
      <c r="AD294" s="88"/>
      <c r="AE294" s="397" t="str">
        <f>IFERROR(VLOOKUP($AQ294,'(勿動)組件目錄表'!$D$15:$R$1094,4,FALSE),"")</f>
        <v/>
      </c>
      <c r="AF294" s="384"/>
      <c r="AG294" s="384"/>
      <c r="AH294" s="384"/>
      <c r="AI294" s="384"/>
      <c r="AJ294" s="385"/>
      <c r="AK294" s="54" t="b">
        <v>0</v>
      </c>
      <c r="AL294" s="54" t="b">
        <v>0</v>
      </c>
      <c r="AM294" s="54"/>
      <c r="AN294" s="7" t="str">
        <v>286</v>
      </c>
      <c r="AO294" s="7"/>
      <c r="AP294" s="62"/>
      <c r="AQ294" s="75" t="str">
        <v/>
      </c>
      <c r="AR294" s="75" t="str">
        <v>-</v>
      </c>
      <c r="AS294" s="11"/>
      <c r="AT294" s="77" t="str">
        <v>-</v>
      </c>
      <c r="AU294" s="11" t="str">
        <v>-</v>
      </c>
      <c r="AV294" s="100"/>
      <c r="AW294" s="80" t="str">
        <f ca="1"/>
        <v>-</v>
      </c>
      <c r="AX294" s="86" t="b">
        <v>0</v>
      </c>
      <c r="AY294" s="68" t="str">
        <f t="shared" si="4"/>
        <v/>
      </c>
      <c r="AZ294" s="69" t="str">
        <f t="shared" si="5"/>
        <v/>
      </c>
      <c r="BA294" s="70" t="str">
        <f t="shared" si="6"/>
        <v/>
      </c>
      <c r="BB294" s="68" t="str">
        <f t="shared" si="7"/>
        <v/>
      </c>
      <c r="BC294" s="69" t="str">
        <f>IFERROR(VLOOKUP($AQ294,'(勿動)組件目錄表'!$D$15:$R$1094,7,FALSE),"")</f>
        <v/>
      </c>
      <c r="BD294" s="69" t="str">
        <f>IFERROR(VLOOKUP($AQ294,'(勿動)組件目錄表'!$D$15:$R$1094,8,FALSE),"")</f>
        <v/>
      </c>
      <c r="BE294" s="69" t="str">
        <f>IFERROR(VLOOKUP($AQ294,'(勿動)組件目錄表'!$D$15:$R$1094,9,FALSE),"")</f>
        <v/>
      </c>
      <c r="BF294" s="69" t="str">
        <f>IFERROR(VLOOKUP($AQ294,'(勿動)組件目錄表'!$D$15:$R$1094,10,FALSE),"")</f>
        <v/>
      </c>
      <c r="BG294" s="69" t="str">
        <f>IFERROR(VLOOKUP($AQ294,'(勿動)組件目錄表'!$D$15:$R$1094,11,FALSE),"")</f>
        <v/>
      </c>
      <c r="BH294" s="69" t="str">
        <f>IFERROR(VLOOKUP($AQ294,'(勿動)組件目錄表'!$D$15:$R$1094,12,FALSE),"")</f>
        <v/>
      </c>
      <c r="BI294" s="69" t="str">
        <f>IFERROR(VLOOKUP($AQ294,'(勿動)組件目錄表'!$D$15:$R$1094,13,FALSE),"")</f>
        <v/>
      </c>
      <c r="BJ294" s="69" t="str">
        <f>IFERROR(VLOOKUP($AQ294,'(勿動)組件目錄表'!$D$15:$R$1094,14,FALSE),"")</f>
        <v/>
      </c>
      <c r="BK294" s="69" t="str">
        <f>IFERROR(VLOOKUP($AQ294,'(勿動)組件目錄表'!$D$15:$R$1094,15,FALSE),"")</f>
        <v/>
      </c>
      <c r="BL294" s="81">
        <f ca="1">IFERROR(__xludf.DUMMYFUNCTION("IFERROR(
  LET(
    rowData, FILTER('(勿動)組件目錄表'!J:Q, '(勿動)組件目錄表'!D:D=AQ294),
    IF(ROWS(rowData)=0, 0, 
      (
        IF(AND(BC294&lt;&gt;"""", INDEX(rowData,1,1)=BC294),1,0) +
        IF(AND(BD294&lt;&gt;"""", INDEX(rowData,1,2)=BD294),1,0) +
        IF(AND(BE294"&amp;"&lt;&gt;"""", INDEX(rowData,1,3)=BE294),1,0) +
        IF(AND(BF294&lt;&gt;"""", INDEX(rowData,1,4)=BF294),1,0) +
        IF(AND(BG294&lt;&gt;"""", INDEX(rowData,1,5)=BG294),1,0) +
        IF(AND(BH294&lt;&gt;"""", INDEX(rowData,1,6)=BH294),1,0) +
        IF(AND(BI294&lt;&gt;"""", IND"&amp;"EX(rowData,1,7)=BI294),1,0) +
        IF(AND(BJ294&lt;&gt;"""", INDEX(rowData,1,8)=BJ294),1,0)
      ) - COUNTIF(BC294:BJ294, ""-"")
        - COUNTIF(BC294:BJ294, ""固定格式，不需提供資訊"")
        - COUNTIF(BC294:BJ294, ""由MKT更新，此欄位固定格式，不需提供資訊
(Voucher CID：12917705872)"&amp;""")
        - COUNTIF(BC294:BJ294, ""text固定為以下：
※直播間僅支援手機版"")
        - COUNTIF(BC294:BJ294, ""text固定為以下：
※短影音僅支援手機版"")
    )
  ), 
  0
)
"),0)</f>
        <v>0</v>
      </c>
      <c r="BM294" s="77" t="b">
        <v>0</v>
      </c>
      <c r="BN294" s="85"/>
      <c r="BO294" s="85"/>
    </row>
    <row r="295" spans="1:67" ht="30" customHeight="1">
      <c r="A295" s="73" t="str">
        <f t="array" aca="1" ref="A295" ca="1">IFERROR(TRANSPOSE(INDIRECT('MS section版配(Old)'!$AO295)),"")</f>
        <v/>
      </c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8"/>
      <c r="P295" s="88"/>
      <c r="Q295" s="88"/>
      <c r="R295" s="88"/>
      <c r="S295" s="88"/>
      <c r="T295" s="88"/>
      <c r="U295" s="88"/>
      <c r="V295" s="88"/>
      <c r="W295" s="88"/>
      <c r="X295" s="88"/>
      <c r="Y295" s="88"/>
      <c r="Z295" s="88"/>
      <c r="AA295" s="88"/>
      <c r="AB295" s="88"/>
      <c r="AC295" s="88"/>
      <c r="AD295" s="88"/>
      <c r="AE295" s="397" t="str">
        <f>IFERROR(VLOOKUP($AQ295,'(勿動)組件目錄表'!$D$15:$R$1094,4,FALSE),"")</f>
        <v/>
      </c>
      <c r="AF295" s="384"/>
      <c r="AG295" s="384"/>
      <c r="AH295" s="384"/>
      <c r="AI295" s="384"/>
      <c r="AJ295" s="385"/>
      <c r="AK295" s="54" t="b">
        <v>0</v>
      </c>
      <c r="AL295" s="54" t="b">
        <v>0</v>
      </c>
      <c r="AM295" s="54"/>
      <c r="AN295" s="7" t="str">
        <v>287</v>
      </c>
      <c r="AO295" s="7"/>
      <c r="AP295" s="62"/>
      <c r="AQ295" s="75" t="str">
        <v/>
      </c>
      <c r="AR295" s="75" t="str">
        <v>-</v>
      </c>
      <c r="AS295" s="11"/>
      <c r="AT295" s="77" t="str">
        <v>-</v>
      </c>
      <c r="AU295" s="11" t="str">
        <v>-</v>
      </c>
      <c r="AV295" s="100"/>
      <c r="AW295" s="80" t="str">
        <f ca="1"/>
        <v>-</v>
      </c>
      <c r="AX295" s="86" t="b">
        <v>0</v>
      </c>
      <c r="AY295" s="68" t="str">
        <f t="shared" si="4"/>
        <v/>
      </c>
      <c r="AZ295" s="69" t="str">
        <f t="shared" si="5"/>
        <v/>
      </c>
      <c r="BA295" s="70" t="str">
        <f t="shared" si="6"/>
        <v/>
      </c>
      <c r="BB295" s="68" t="str">
        <f t="shared" si="7"/>
        <v/>
      </c>
      <c r="BC295" s="69" t="str">
        <f>IFERROR(VLOOKUP($AQ295,'(勿動)組件目錄表'!$D$15:$R$1094,7,FALSE),"")</f>
        <v/>
      </c>
      <c r="BD295" s="69" t="str">
        <f>IFERROR(VLOOKUP($AQ295,'(勿動)組件目錄表'!$D$15:$R$1094,8,FALSE),"")</f>
        <v/>
      </c>
      <c r="BE295" s="69" t="str">
        <f>IFERROR(VLOOKUP($AQ295,'(勿動)組件目錄表'!$D$15:$R$1094,9,FALSE),"")</f>
        <v/>
      </c>
      <c r="BF295" s="69" t="str">
        <f>IFERROR(VLOOKUP($AQ295,'(勿動)組件目錄表'!$D$15:$R$1094,10,FALSE),"")</f>
        <v/>
      </c>
      <c r="BG295" s="69" t="str">
        <f>IFERROR(VLOOKUP($AQ295,'(勿動)組件目錄表'!$D$15:$R$1094,11,FALSE),"")</f>
        <v/>
      </c>
      <c r="BH295" s="69" t="str">
        <f>IFERROR(VLOOKUP($AQ295,'(勿動)組件目錄表'!$D$15:$R$1094,12,FALSE),"")</f>
        <v/>
      </c>
      <c r="BI295" s="69" t="str">
        <f>IFERROR(VLOOKUP($AQ295,'(勿動)組件目錄表'!$D$15:$R$1094,13,FALSE),"")</f>
        <v/>
      </c>
      <c r="BJ295" s="69" t="str">
        <f>IFERROR(VLOOKUP($AQ295,'(勿動)組件目錄表'!$D$15:$R$1094,14,FALSE),"")</f>
        <v/>
      </c>
      <c r="BK295" s="69" t="str">
        <f>IFERROR(VLOOKUP($AQ295,'(勿動)組件目錄表'!$D$15:$R$1094,15,FALSE),"")</f>
        <v/>
      </c>
      <c r="BL295" s="81">
        <f ca="1">IFERROR(__xludf.DUMMYFUNCTION("IFERROR(
  LET(
    rowData, FILTER('(勿動)組件目錄表'!J:Q, '(勿動)組件目錄表'!D:D=AQ295),
    IF(ROWS(rowData)=0, 0, 
      (
        IF(AND(BC295&lt;&gt;"""", INDEX(rowData,1,1)=BC295),1,0) +
        IF(AND(BD295&lt;&gt;"""", INDEX(rowData,1,2)=BD295),1,0) +
        IF(AND(BE295"&amp;"&lt;&gt;"""", INDEX(rowData,1,3)=BE295),1,0) +
        IF(AND(BF295&lt;&gt;"""", INDEX(rowData,1,4)=BF295),1,0) +
        IF(AND(BG295&lt;&gt;"""", INDEX(rowData,1,5)=BG295),1,0) +
        IF(AND(BH295&lt;&gt;"""", INDEX(rowData,1,6)=BH295),1,0) +
        IF(AND(BI295&lt;&gt;"""", IND"&amp;"EX(rowData,1,7)=BI295),1,0) +
        IF(AND(BJ295&lt;&gt;"""", INDEX(rowData,1,8)=BJ295),1,0)
      ) - COUNTIF(BC295:BJ295, ""-"")
        - COUNTIF(BC295:BJ295, ""固定格式，不需提供資訊"")
        - COUNTIF(BC295:BJ295, ""由MKT更新，此欄位固定格式，不需提供資訊
(Voucher CID：12917705872)"&amp;""")
        - COUNTIF(BC295:BJ295, ""text固定為以下：
※直播間僅支援手機版"")
        - COUNTIF(BC295:BJ295, ""text固定為以下：
※短影音僅支援手機版"")
    )
  ), 
  0
)
"),0)</f>
        <v>0</v>
      </c>
      <c r="BM295" s="77" t="b">
        <v>0</v>
      </c>
      <c r="BN295" s="85"/>
      <c r="BO295" s="85"/>
    </row>
    <row r="296" spans="1:67" ht="30" customHeight="1">
      <c r="A296" s="73" t="str">
        <f t="array" aca="1" ref="A296" ca="1">IFERROR(TRANSPOSE(INDIRECT('MS section版配(Old)'!$AO296)),"")</f>
        <v/>
      </c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8"/>
      <c r="P296" s="88"/>
      <c r="Q296" s="88"/>
      <c r="R296" s="88"/>
      <c r="S296" s="88"/>
      <c r="T296" s="88"/>
      <c r="U296" s="88"/>
      <c r="V296" s="88"/>
      <c r="W296" s="88"/>
      <c r="X296" s="88"/>
      <c r="Y296" s="88"/>
      <c r="Z296" s="88"/>
      <c r="AA296" s="88"/>
      <c r="AB296" s="88"/>
      <c r="AC296" s="88"/>
      <c r="AD296" s="88"/>
      <c r="AE296" s="397" t="str">
        <f>IFERROR(VLOOKUP($AQ296,'(勿動)組件目錄表'!$D$15:$R$1094,4,FALSE),"")</f>
        <v/>
      </c>
      <c r="AF296" s="384"/>
      <c r="AG296" s="384"/>
      <c r="AH296" s="384"/>
      <c r="AI296" s="384"/>
      <c r="AJ296" s="385"/>
      <c r="AK296" s="54" t="b">
        <v>0</v>
      </c>
      <c r="AL296" s="54" t="b">
        <v>0</v>
      </c>
      <c r="AM296" s="54"/>
      <c r="AN296" s="7" t="str">
        <v>288</v>
      </c>
      <c r="AO296" s="7"/>
      <c r="AP296" s="62"/>
      <c r="AQ296" s="75" t="str">
        <v/>
      </c>
      <c r="AR296" s="75" t="str">
        <v>-</v>
      </c>
      <c r="AS296" s="11"/>
      <c r="AT296" s="77" t="str">
        <v>-</v>
      </c>
      <c r="AU296" s="11" t="str">
        <v>-</v>
      </c>
      <c r="AV296" s="100"/>
      <c r="AW296" s="80" t="str">
        <f ca="1"/>
        <v>-</v>
      </c>
      <c r="AX296" s="86" t="b">
        <v>0</v>
      </c>
      <c r="AY296" s="68" t="str">
        <f t="shared" si="4"/>
        <v/>
      </c>
      <c r="AZ296" s="69" t="str">
        <f t="shared" si="5"/>
        <v/>
      </c>
      <c r="BA296" s="70" t="str">
        <f t="shared" si="6"/>
        <v/>
      </c>
      <c r="BB296" s="68" t="str">
        <f t="shared" si="7"/>
        <v/>
      </c>
      <c r="BC296" s="69" t="str">
        <f>IFERROR(VLOOKUP($AQ296,'(勿動)組件目錄表'!$D$15:$R$1094,7,FALSE),"")</f>
        <v/>
      </c>
      <c r="BD296" s="69" t="str">
        <f>IFERROR(VLOOKUP($AQ296,'(勿動)組件目錄表'!$D$15:$R$1094,8,FALSE),"")</f>
        <v/>
      </c>
      <c r="BE296" s="69" t="str">
        <f>IFERROR(VLOOKUP($AQ296,'(勿動)組件目錄表'!$D$15:$R$1094,9,FALSE),"")</f>
        <v/>
      </c>
      <c r="BF296" s="69" t="str">
        <f>IFERROR(VLOOKUP($AQ296,'(勿動)組件目錄表'!$D$15:$R$1094,10,FALSE),"")</f>
        <v/>
      </c>
      <c r="BG296" s="69" t="str">
        <f>IFERROR(VLOOKUP($AQ296,'(勿動)組件目錄表'!$D$15:$R$1094,11,FALSE),"")</f>
        <v/>
      </c>
      <c r="BH296" s="69" t="str">
        <f>IFERROR(VLOOKUP($AQ296,'(勿動)組件目錄表'!$D$15:$R$1094,12,FALSE),"")</f>
        <v/>
      </c>
      <c r="BI296" s="69" t="str">
        <f>IFERROR(VLOOKUP($AQ296,'(勿動)組件目錄表'!$D$15:$R$1094,13,FALSE),"")</f>
        <v/>
      </c>
      <c r="BJ296" s="69" t="str">
        <f>IFERROR(VLOOKUP($AQ296,'(勿動)組件目錄表'!$D$15:$R$1094,14,FALSE),"")</f>
        <v/>
      </c>
      <c r="BK296" s="69" t="str">
        <f>IFERROR(VLOOKUP($AQ296,'(勿動)組件目錄表'!$D$15:$R$1094,15,FALSE),"")</f>
        <v/>
      </c>
      <c r="BL296" s="81">
        <f ca="1">IFERROR(__xludf.DUMMYFUNCTION("IFERROR(
  LET(
    rowData, FILTER('(勿動)組件目錄表'!J:Q, '(勿動)組件目錄表'!D:D=AQ296),
    IF(ROWS(rowData)=0, 0, 
      (
        IF(AND(BC296&lt;&gt;"""", INDEX(rowData,1,1)=BC296),1,0) +
        IF(AND(BD296&lt;&gt;"""", INDEX(rowData,1,2)=BD296),1,0) +
        IF(AND(BE296"&amp;"&lt;&gt;"""", INDEX(rowData,1,3)=BE296),1,0) +
        IF(AND(BF296&lt;&gt;"""", INDEX(rowData,1,4)=BF296),1,0) +
        IF(AND(BG296&lt;&gt;"""", INDEX(rowData,1,5)=BG296),1,0) +
        IF(AND(BH296&lt;&gt;"""", INDEX(rowData,1,6)=BH296),1,0) +
        IF(AND(BI296&lt;&gt;"""", IND"&amp;"EX(rowData,1,7)=BI296),1,0) +
        IF(AND(BJ296&lt;&gt;"""", INDEX(rowData,1,8)=BJ296),1,0)
      ) - COUNTIF(BC296:BJ296, ""-"")
        - COUNTIF(BC296:BJ296, ""固定格式，不需提供資訊"")
        - COUNTIF(BC296:BJ296, ""由MKT更新，此欄位固定格式，不需提供資訊
(Voucher CID：12917705872)"&amp;""")
        - COUNTIF(BC296:BJ296, ""text固定為以下：
※直播間僅支援手機版"")
        - COUNTIF(BC296:BJ296, ""text固定為以下：
※短影音僅支援手機版"")
    )
  ), 
  0
)
"),0)</f>
        <v>0</v>
      </c>
      <c r="BM296" s="77" t="b">
        <v>0</v>
      </c>
      <c r="BN296" s="85"/>
      <c r="BO296" s="85"/>
    </row>
    <row r="297" spans="1:67" ht="30" customHeight="1">
      <c r="A297" s="73" t="str">
        <f t="array" aca="1" ref="A297" ca="1">IFERROR(TRANSPOSE(INDIRECT('MS section版配(Old)'!$AO297)),"")</f>
        <v/>
      </c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8"/>
      <c r="P297" s="88"/>
      <c r="Q297" s="88"/>
      <c r="R297" s="88"/>
      <c r="S297" s="88"/>
      <c r="T297" s="88"/>
      <c r="U297" s="88"/>
      <c r="V297" s="88"/>
      <c r="W297" s="88"/>
      <c r="X297" s="88"/>
      <c r="Y297" s="88"/>
      <c r="Z297" s="88"/>
      <c r="AA297" s="88"/>
      <c r="AB297" s="88"/>
      <c r="AC297" s="88"/>
      <c r="AD297" s="88"/>
      <c r="AE297" s="397" t="str">
        <f>IFERROR(VLOOKUP($AQ297,'(勿動)組件目錄表'!$D$15:$R$1094,4,FALSE),"")</f>
        <v/>
      </c>
      <c r="AF297" s="384"/>
      <c r="AG297" s="384"/>
      <c r="AH297" s="384"/>
      <c r="AI297" s="384"/>
      <c r="AJ297" s="385"/>
      <c r="AK297" s="54" t="b">
        <v>0</v>
      </c>
      <c r="AL297" s="54" t="b">
        <v>0</v>
      </c>
      <c r="AM297" s="54"/>
      <c r="AN297" s="7" t="str">
        <v>289</v>
      </c>
      <c r="AO297" s="7"/>
      <c r="AP297" s="62"/>
      <c r="AQ297" s="75" t="str">
        <v/>
      </c>
      <c r="AR297" s="75" t="str">
        <v>-</v>
      </c>
      <c r="AS297" s="11"/>
      <c r="AT297" s="77" t="str">
        <v>-</v>
      </c>
      <c r="AU297" s="11" t="str">
        <v>-</v>
      </c>
      <c r="AV297" s="100"/>
      <c r="AW297" s="80" t="str">
        <f ca="1"/>
        <v>-</v>
      </c>
      <c r="AX297" s="86" t="b">
        <v>0</v>
      </c>
      <c r="AY297" s="68" t="str">
        <f t="shared" si="4"/>
        <v/>
      </c>
      <c r="AZ297" s="69" t="str">
        <f t="shared" si="5"/>
        <v/>
      </c>
      <c r="BA297" s="70" t="str">
        <f t="shared" si="6"/>
        <v/>
      </c>
      <c r="BB297" s="68" t="str">
        <f t="shared" si="7"/>
        <v/>
      </c>
      <c r="BC297" s="69" t="str">
        <f>IFERROR(VLOOKUP($AQ297,'(勿動)組件目錄表'!$D$15:$R$1094,7,FALSE),"")</f>
        <v/>
      </c>
      <c r="BD297" s="69" t="str">
        <f>IFERROR(VLOOKUP($AQ297,'(勿動)組件目錄表'!$D$15:$R$1094,8,FALSE),"")</f>
        <v/>
      </c>
      <c r="BE297" s="69" t="str">
        <f>IFERROR(VLOOKUP($AQ297,'(勿動)組件目錄表'!$D$15:$R$1094,9,FALSE),"")</f>
        <v/>
      </c>
      <c r="BF297" s="69" t="str">
        <f>IFERROR(VLOOKUP($AQ297,'(勿動)組件目錄表'!$D$15:$R$1094,10,FALSE),"")</f>
        <v/>
      </c>
      <c r="BG297" s="69" t="str">
        <f>IFERROR(VLOOKUP($AQ297,'(勿動)組件目錄表'!$D$15:$R$1094,11,FALSE),"")</f>
        <v/>
      </c>
      <c r="BH297" s="69" t="str">
        <f>IFERROR(VLOOKUP($AQ297,'(勿動)組件目錄表'!$D$15:$R$1094,12,FALSE),"")</f>
        <v/>
      </c>
      <c r="BI297" s="69" t="str">
        <f>IFERROR(VLOOKUP($AQ297,'(勿動)組件目錄表'!$D$15:$R$1094,13,FALSE),"")</f>
        <v/>
      </c>
      <c r="BJ297" s="69" t="str">
        <f>IFERROR(VLOOKUP($AQ297,'(勿動)組件目錄表'!$D$15:$R$1094,14,FALSE),"")</f>
        <v/>
      </c>
      <c r="BK297" s="69" t="str">
        <f>IFERROR(VLOOKUP($AQ297,'(勿動)組件目錄表'!$D$15:$R$1094,15,FALSE),"")</f>
        <v/>
      </c>
      <c r="BL297" s="81">
        <f ca="1">IFERROR(__xludf.DUMMYFUNCTION("IFERROR(
  LET(
    rowData, FILTER('(勿動)組件目錄表'!J:Q, '(勿動)組件目錄表'!D:D=AQ297),
    IF(ROWS(rowData)=0, 0, 
      (
        IF(AND(BC297&lt;&gt;"""", INDEX(rowData,1,1)=BC297),1,0) +
        IF(AND(BD297&lt;&gt;"""", INDEX(rowData,1,2)=BD297),1,0) +
        IF(AND(BE297"&amp;"&lt;&gt;"""", INDEX(rowData,1,3)=BE297),1,0) +
        IF(AND(BF297&lt;&gt;"""", INDEX(rowData,1,4)=BF297),1,0) +
        IF(AND(BG297&lt;&gt;"""", INDEX(rowData,1,5)=BG297),1,0) +
        IF(AND(BH297&lt;&gt;"""", INDEX(rowData,1,6)=BH297),1,0) +
        IF(AND(BI297&lt;&gt;"""", IND"&amp;"EX(rowData,1,7)=BI297),1,0) +
        IF(AND(BJ297&lt;&gt;"""", INDEX(rowData,1,8)=BJ297),1,0)
      ) - COUNTIF(BC297:BJ297, ""-"")
        - COUNTIF(BC297:BJ297, ""固定格式，不需提供資訊"")
        - COUNTIF(BC297:BJ297, ""由MKT更新，此欄位固定格式，不需提供資訊
(Voucher CID：12917705872)"&amp;""")
        - COUNTIF(BC297:BJ297, ""text固定為以下：
※直播間僅支援手機版"")
        - COUNTIF(BC297:BJ297, ""text固定為以下：
※短影音僅支援手機版"")
    )
  ), 
  0
)
"),0)</f>
        <v>0</v>
      </c>
      <c r="BM297" s="77" t="b">
        <v>0</v>
      </c>
      <c r="BN297" s="85"/>
      <c r="BO297" s="85"/>
    </row>
    <row r="298" spans="1:67" ht="30" customHeight="1">
      <c r="A298" s="73" t="str">
        <f t="array" aca="1" ref="A298" ca="1">IFERROR(TRANSPOSE(INDIRECT('MS section版配(Old)'!$AO298)),"")</f>
        <v/>
      </c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8"/>
      <c r="P298" s="88"/>
      <c r="Q298" s="88"/>
      <c r="R298" s="88"/>
      <c r="S298" s="88"/>
      <c r="T298" s="88"/>
      <c r="U298" s="88"/>
      <c r="V298" s="88"/>
      <c r="W298" s="88"/>
      <c r="X298" s="88"/>
      <c r="Y298" s="88"/>
      <c r="Z298" s="88"/>
      <c r="AA298" s="88"/>
      <c r="AB298" s="88"/>
      <c r="AC298" s="88"/>
      <c r="AD298" s="88"/>
      <c r="AE298" s="397" t="str">
        <f>IFERROR(VLOOKUP($AQ298,'(勿動)組件目錄表'!$D$15:$R$1094,4,FALSE),"")</f>
        <v/>
      </c>
      <c r="AF298" s="384"/>
      <c r="AG298" s="384"/>
      <c r="AH298" s="384"/>
      <c r="AI298" s="384"/>
      <c r="AJ298" s="385"/>
      <c r="AK298" s="54" t="b">
        <v>0</v>
      </c>
      <c r="AL298" s="54" t="b">
        <v>0</v>
      </c>
      <c r="AM298" s="54"/>
      <c r="AN298" s="7" t="str">
        <v>290</v>
      </c>
      <c r="AO298" s="7"/>
      <c r="AP298" s="62"/>
      <c r="AQ298" s="75" t="str">
        <v/>
      </c>
      <c r="AR298" s="75" t="str">
        <v>-</v>
      </c>
      <c r="AS298" s="11"/>
      <c r="AT298" s="77" t="str">
        <v>-</v>
      </c>
      <c r="AU298" s="11" t="str">
        <v>-</v>
      </c>
      <c r="AV298" s="100"/>
      <c r="AW298" s="80" t="str">
        <f ca="1"/>
        <v>-</v>
      </c>
      <c r="AX298" s="86" t="b">
        <v>0</v>
      </c>
      <c r="AY298" s="68" t="str">
        <f t="shared" si="4"/>
        <v/>
      </c>
      <c r="AZ298" s="69" t="str">
        <f t="shared" si="5"/>
        <v/>
      </c>
      <c r="BA298" s="70" t="str">
        <f t="shared" si="6"/>
        <v/>
      </c>
      <c r="BB298" s="68" t="str">
        <f t="shared" si="7"/>
        <v/>
      </c>
      <c r="BC298" s="69" t="str">
        <f>IFERROR(VLOOKUP($AQ298,'(勿動)組件目錄表'!$D$15:$R$1094,7,FALSE),"")</f>
        <v/>
      </c>
      <c r="BD298" s="69" t="str">
        <f>IFERROR(VLOOKUP($AQ298,'(勿動)組件目錄表'!$D$15:$R$1094,8,FALSE),"")</f>
        <v/>
      </c>
      <c r="BE298" s="69" t="str">
        <f>IFERROR(VLOOKUP($AQ298,'(勿動)組件目錄表'!$D$15:$R$1094,9,FALSE),"")</f>
        <v/>
      </c>
      <c r="BF298" s="69" t="str">
        <f>IFERROR(VLOOKUP($AQ298,'(勿動)組件目錄表'!$D$15:$R$1094,10,FALSE),"")</f>
        <v/>
      </c>
      <c r="BG298" s="69" t="str">
        <f>IFERROR(VLOOKUP($AQ298,'(勿動)組件目錄表'!$D$15:$R$1094,11,FALSE),"")</f>
        <v/>
      </c>
      <c r="BH298" s="69" t="str">
        <f>IFERROR(VLOOKUP($AQ298,'(勿動)組件目錄表'!$D$15:$R$1094,12,FALSE),"")</f>
        <v/>
      </c>
      <c r="BI298" s="69" t="str">
        <f>IFERROR(VLOOKUP($AQ298,'(勿動)組件目錄表'!$D$15:$R$1094,13,FALSE),"")</f>
        <v/>
      </c>
      <c r="BJ298" s="69" t="str">
        <f>IFERROR(VLOOKUP($AQ298,'(勿動)組件目錄表'!$D$15:$R$1094,14,FALSE),"")</f>
        <v/>
      </c>
      <c r="BK298" s="69" t="str">
        <f>IFERROR(VLOOKUP($AQ298,'(勿動)組件目錄表'!$D$15:$R$1094,15,FALSE),"")</f>
        <v/>
      </c>
      <c r="BL298" s="81">
        <f ca="1">IFERROR(__xludf.DUMMYFUNCTION("IFERROR(
  LET(
    rowData, FILTER('(勿動)組件目錄表'!J:Q, '(勿動)組件目錄表'!D:D=AQ298),
    IF(ROWS(rowData)=0, 0, 
      (
        IF(AND(BC298&lt;&gt;"""", INDEX(rowData,1,1)=BC298),1,0) +
        IF(AND(BD298&lt;&gt;"""", INDEX(rowData,1,2)=BD298),1,0) +
        IF(AND(BE298"&amp;"&lt;&gt;"""", INDEX(rowData,1,3)=BE298),1,0) +
        IF(AND(BF298&lt;&gt;"""", INDEX(rowData,1,4)=BF298),1,0) +
        IF(AND(BG298&lt;&gt;"""", INDEX(rowData,1,5)=BG298),1,0) +
        IF(AND(BH298&lt;&gt;"""", INDEX(rowData,1,6)=BH298),1,0) +
        IF(AND(BI298&lt;&gt;"""", IND"&amp;"EX(rowData,1,7)=BI298),1,0) +
        IF(AND(BJ298&lt;&gt;"""", INDEX(rowData,1,8)=BJ298),1,0)
      ) - COUNTIF(BC298:BJ298, ""-"")
        - COUNTIF(BC298:BJ298, ""固定格式，不需提供資訊"")
        - COUNTIF(BC298:BJ298, ""由MKT更新，此欄位固定格式，不需提供資訊
(Voucher CID：12917705872)"&amp;""")
        - COUNTIF(BC298:BJ298, ""text固定為以下：
※直播間僅支援手機版"")
        - COUNTIF(BC298:BJ298, ""text固定為以下：
※短影音僅支援手機版"")
    )
  ), 
  0
)
"),0)</f>
        <v>0</v>
      </c>
      <c r="BM298" s="77" t="b">
        <v>0</v>
      </c>
      <c r="BN298" s="85"/>
      <c r="BO298" s="85"/>
    </row>
    <row r="299" spans="1:67" ht="30" customHeight="1">
      <c r="A299" s="73" t="str">
        <f t="array" aca="1" ref="A299" ca="1">IFERROR(TRANSPOSE(INDIRECT('MS section版配(Old)'!$AO299)),"")</f>
        <v/>
      </c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8"/>
      <c r="P299" s="88"/>
      <c r="Q299" s="88"/>
      <c r="R299" s="88"/>
      <c r="S299" s="88"/>
      <c r="T299" s="88"/>
      <c r="U299" s="88"/>
      <c r="V299" s="88"/>
      <c r="W299" s="88"/>
      <c r="X299" s="88"/>
      <c r="Y299" s="88"/>
      <c r="Z299" s="88"/>
      <c r="AA299" s="88"/>
      <c r="AB299" s="88"/>
      <c r="AC299" s="88"/>
      <c r="AD299" s="88"/>
      <c r="AE299" s="397" t="str">
        <f>IFERROR(VLOOKUP($AQ299,'(勿動)組件目錄表'!$D$15:$R$1094,4,FALSE),"")</f>
        <v/>
      </c>
      <c r="AF299" s="384"/>
      <c r="AG299" s="384"/>
      <c r="AH299" s="384"/>
      <c r="AI299" s="384"/>
      <c r="AJ299" s="385"/>
      <c r="AK299" s="54" t="b">
        <v>0</v>
      </c>
      <c r="AL299" s="54" t="b">
        <v>0</v>
      </c>
      <c r="AM299" s="54"/>
      <c r="AN299" s="7" t="str">
        <v>291</v>
      </c>
      <c r="AO299" s="7"/>
      <c r="AP299" s="62"/>
      <c r="AQ299" s="75" t="str">
        <v/>
      </c>
      <c r="AR299" s="75" t="str">
        <v>-</v>
      </c>
      <c r="AS299" s="11"/>
      <c r="AT299" s="77" t="str">
        <v>-</v>
      </c>
      <c r="AU299" s="11" t="str">
        <v>-</v>
      </c>
      <c r="AV299" s="100"/>
      <c r="AW299" s="80" t="str">
        <f ca="1"/>
        <v>-</v>
      </c>
      <c r="AX299" s="86" t="b">
        <v>0</v>
      </c>
      <c r="AY299" s="68" t="str">
        <f t="shared" si="4"/>
        <v/>
      </c>
      <c r="AZ299" s="69" t="str">
        <f t="shared" si="5"/>
        <v/>
      </c>
      <c r="BA299" s="70" t="str">
        <f t="shared" si="6"/>
        <v/>
      </c>
      <c r="BB299" s="68" t="str">
        <f t="shared" si="7"/>
        <v/>
      </c>
      <c r="BC299" s="69" t="str">
        <f>IFERROR(VLOOKUP($AQ299,'(勿動)組件目錄表'!$D$15:$R$1094,7,FALSE),"")</f>
        <v/>
      </c>
      <c r="BD299" s="69" t="str">
        <f>IFERROR(VLOOKUP($AQ299,'(勿動)組件目錄表'!$D$15:$R$1094,8,FALSE),"")</f>
        <v/>
      </c>
      <c r="BE299" s="69" t="str">
        <f>IFERROR(VLOOKUP($AQ299,'(勿動)組件目錄表'!$D$15:$R$1094,9,FALSE),"")</f>
        <v/>
      </c>
      <c r="BF299" s="69" t="str">
        <f>IFERROR(VLOOKUP($AQ299,'(勿動)組件目錄表'!$D$15:$R$1094,10,FALSE),"")</f>
        <v/>
      </c>
      <c r="BG299" s="69" t="str">
        <f>IFERROR(VLOOKUP($AQ299,'(勿動)組件目錄表'!$D$15:$R$1094,11,FALSE),"")</f>
        <v/>
      </c>
      <c r="BH299" s="69" t="str">
        <f>IFERROR(VLOOKUP($AQ299,'(勿動)組件目錄表'!$D$15:$R$1094,12,FALSE),"")</f>
        <v/>
      </c>
      <c r="BI299" s="69" t="str">
        <f>IFERROR(VLOOKUP($AQ299,'(勿動)組件目錄表'!$D$15:$R$1094,13,FALSE),"")</f>
        <v/>
      </c>
      <c r="BJ299" s="69" t="str">
        <f>IFERROR(VLOOKUP($AQ299,'(勿動)組件目錄表'!$D$15:$R$1094,14,FALSE),"")</f>
        <v/>
      </c>
      <c r="BK299" s="69" t="str">
        <f>IFERROR(VLOOKUP($AQ299,'(勿動)組件目錄表'!$D$15:$R$1094,15,FALSE),"")</f>
        <v/>
      </c>
      <c r="BL299" s="81">
        <f ca="1">IFERROR(__xludf.DUMMYFUNCTION("IFERROR(
  LET(
    rowData, FILTER('(勿動)組件目錄表'!J:Q, '(勿動)組件目錄表'!D:D=AQ299),
    IF(ROWS(rowData)=0, 0, 
      (
        IF(AND(BC299&lt;&gt;"""", INDEX(rowData,1,1)=BC299),1,0) +
        IF(AND(BD299&lt;&gt;"""", INDEX(rowData,1,2)=BD299),1,0) +
        IF(AND(BE299"&amp;"&lt;&gt;"""", INDEX(rowData,1,3)=BE299),1,0) +
        IF(AND(BF299&lt;&gt;"""", INDEX(rowData,1,4)=BF299),1,0) +
        IF(AND(BG299&lt;&gt;"""", INDEX(rowData,1,5)=BG299),1,0) +
        IF(AND(BH299&lt;&gt;"""", INDEX(rowData,1,6)=BH299),1,0) +
        IF(AND(BI299&lt;&gt;"""", IND"&amp;"EX(rowData,1,7)=BI299),1,0) +
        IF(AND(BJ299&lt;&gt;"""", INDEX(rowData,1,8)=BJ299),1,0)
      ) - COUNTIF(BC299:BJ299, ""-"")
        - COUNTIF(BC299:BJ299, ""固定格式，不需提供資訊"")
        - COUNTIF(BC299:BJ299, ""由MKT更新，此欄位固定格式，不需提供資訊
(Voucher CID：12917705872)"&amp;""")
        - COUNTIF(BC299:BJ299, ""text固定為以下：
※直播間僅支援手機版"")
        - COUNTIF(BC299:BJ299, ""text固定為以下：
※短影音僅支援手機版"")
    )
  ), 
  0
)
"),0)</f>
        <v>0</v>
      </c>
      <c r="BM299" s="77" t="b">
        <v>0</v>
      </c>
      <c r="BN299" s="85"/>
      <c r="BO299" s="85"/>
    </row>
    <row r="300" spans="1:67" ht="30" customHeight="1">
      <c r="A300" s="73" t="str">
        <f t="array" aca="1" ref="A300" ca="1">IFERROR(TRANSPOSE(INDIRECT('MS section版配(Old)'!$AO300)),"")</f>
        <v/>
      </c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8"/>
      <c r="P300" s="88"/>
      <c r="Q300" s="88"/>
      <c r="R300" s="88"/>
      <c r="S300" s="88"/>
      <c r="T300" s="88"/>
      <c r="U300" s="88"/>
      <c r="V300" s="88"/>
      <c r="W300" s="88"/>
      <c r="X300" s="88"/>
      <c r="Y300" s="88"/>
      <c r="Z300" s="88"/>
      <c r="AA300" s="88"/>
      <c r="AB300" s="88"/>
      <c r="AC300" s="88"/>
      <c r="AD300" s="88"/>
      <c r="AE300" s="397" t="str">
        <f>IFERROR(VLOOKUP($AQ300,'(勿動)組件目錄表'!$D$15:$R$1094,4,FALSE),"")</f>
        <v/>
      </c>
      <c r="AF300" s="384"/>
      <c r="AG300" s="384"/>
      <c r="AH300" s="384"/>
      <c r="AI300" s="384"/>
      <c r="AJ300" s="385"/>
      <c r="AK300" s="54" t="b">
        <v>0</v>
      </c>
      <c r="AL300" s="54" t="b">
        <v>0</v>
      </c>
      <c r="AM300" s="54"/>
      <c r="AN300" s="7" t="str">
        <v>292</v>
      </c>
      <c r="AO300" s="7"/>
      <c r="AP300" s="62"/>
      <c r="AQ300" s="75" t="str">
        <v/>
      </c>
      <c r="AR300" s="75" t="str">
        <v>-</v>
      </c>
      <c r="AS300" s="11"/>
      <c r="AT300" s="77" t="str">
        <v>-</v>
      </c>
      <c r="AU300" s="11" t="str">
        <v>-</v>
      </c>
      <c r="AV300" s="100"/>
      <c r="AW300" s="80" t="str">
        <f ca="1"/>
        <v>-</v>
      </c>
      <c r="AX300" s="86" t="b">
        <v>0</v>
      </c>
      <c r="AY300" s="68" t="str">
        <f t="shared" si="4"/>
        <v/>
      </c>
      <c r="AZ300" s="69" t="str">
        <f t="shared" si="5"/>
        <v/>
      </c>
      <c r="BA300" s="70" t="str">
        <f t="shared" si="6"/>
        <v/>
      </c>
      <c r="BB300" s="68" t="str">
        <f t="shared" si="7"/>
        <v/>
      </c>
      <c r="BC300" s="69" t="str">
        <f>IFERROR(VLOOKUP($AQ300,'(勿動)組件目錄表'!$D$15:$R$1094,7,FALSE),"")</f>
        <v/>
      </c>
      <c r="BD300" s="69" t="str">
        <f>IFERROR(VLOOKUP($AQ300,'(勿動)組件目錄表'!$D$15:$R$1094,8,FALSE),"")</f>
        <v/>
      </c>
      <c r="BE300" s="69" t="str">
        <f>IFERROR(VLOOKUP($AQ300,'(勿動)組件目錄表'!$D$15:$R$1094,9,FALSE),"")</f>
        <v/>
      </c>
      <c r="BF300" s="69" t="str">
        <f>IFERROR(VLOOKUP($AQ300,'(勿動)組件目錄表'!$D$15:$R$1094,10,FALSE),"")</f>
        <v/>
      </c>
      <c r="BG300" s="69" t="str">
        <f>IFERROR(VLOOKUP($AQ300,'(勿動)組件目錄表'!$D$15:$R$1094,11,FALSE),"")</f>
        <v/>
      </c>
      <c r="BH300" s="69" t="str">
        <f>IFERROR(VLOOKUP($AQ300,'(勿動)組件目錄表'!$D$15:$R$1094,12,FALSE),"")</f>
        <v/>
      </c>
      <c r="BI300" s="69" t="str">
        <f>IFERROR(VLOOKUP($AQ300,'(勿動)組件目錄表'!$D$15:$R$1094,13,FALSE),"")</f>
        <v/>
      </c>
      <c r="BJ300" s="69" t="str">
        <f>IFERROR(VLOOKUP($AQ300,'(勿動)組件目錄表'!$D$15:$R$1094,14,FALSE),"")</f>
        <v/>
      </c>
      <c r="BK300" s="69" t="str">
        <f>IFERROR(VLOOKUP($AQ300,'(勿動)組件目錄表'!$D$15:$R$1094,15,FALSE),"")</f>
        <v/>
      </c>
      <c r="BL300" s="81">
        <f ca="1">IFERROR(__xludf.DUMMYFUNCTION("IFERROR(
  LET(
    rowData, FILTER('(勿動)組件目錄表'!J:Q, '(勿動)組件目錄表'!D:D=AQ300),
    IF(ROWS(rowData)=0, 0, 
      (
        IF(AND(BC300&lt;&gt;"""", INDEX(rowData,1,1)=BC300),1,0) +
        IF(AND(BD300&lt;&gt;"""", INDEX(rowData,1,2)=BD300),1,0) +
        IF(AND(BE300"&amp;"&lt;&gt;"""", INDEX(rowData,1,3)=BE300),1,0) +
        IF(AND(BF300&lt;&gt;"""", INDEX(rowData,1,4)=BF300),1,0) +
        IF(AND(BG300&lt;&gt;"""", INDEX(rowData,1,5)=BG300),1,0) +
        IF(AND(BH300&lt;&gt;"""", INDEX(rowData,1,6)=BH300),1,0) +
        IF(AND(BI300&lt;&gt;"""", IND"&amp;"EX(rowData,1,7)=BI300),1,0) +
        IF(AND(BJ300&lt;&gt;"""", INDEX(rowData,1,8)=BJ300),1,0)
      ) - COUNTIF(BC300:BJ300, ""-"")
        - COUNTIF(BC300:BJ300, ""固定格式，不需提供資訊"")
        - COUNTIF(BC300:BJ300, ""由MKT更新，此欄位固定格式，不需提供資訊
(Voucher CID：12917705872)"&amp;""")
        - COUNTIF(BC300:BJ300, ""text固定為以下：
※直播間僅支援手機版"")
        - COUNTIF(BC300:BJ300, ""text固定為以下：
※短影音僅支援手機版"")
    )
  ), 
  0
)
"),0)</f>
        <v>0</v>
      </c>
      <c r="BM300" s="77" t="b">
        <v>0</v>
      </c>
      <c r="BN300" s="85"/>
      <c r="BO300" s="85"/>
    </row>
    <row r="301" spans="1:67" ht="30" customHeight="1">
      <c r="A301" s="73" t="str">
        <f t="array" aca="1" ref="A301" ca="1">IFERROR(TRANSPOSE(INDIRECT('MS section版配(Old)'!$AO301)),"")</f>
        <v/>
      </c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8"/>
      <c r="P301" s="88"/>
      <c r="Q301" s="88"/>
      <c r="R301" s="88"/>
      <c r="S301" s="88"/>
      <c r="T301" s="88"/>
      <c r="U301" s="88"/>
      <c r="V301" s="88"/>
      <c r="W301" s="88"/>
      <c r="X301" s="88"/>
      <c r="Y301" s="88"/>
      <c r="Z301" s="88"/>
      <c r="AA301" s="88"/>
      <c r="AB301" s="88"/>
      <c r="AC301" s="88"/>
      <c r="AD301" s="88"/>
      <c r="AE301" s="397" t="str">
        <f>IFERROR(VLOOKUP($AQ301,'(勿動)組件目錄表'!$D$15:$R$1094,4,FALSE),"")</f>
        <v/>
      </c>
      <c r="AF301" s="384"/>
      <c r="AG301" s="384"/>
      <c r="AH301" s="384"/>
      <c r="AI301" s="384"/>
      <c r="AJ301" s="385"/>
      <c r="AK301" s="54" t="b">
        <v>0</v>
      </c>
      <c r="AL301" s="54" t="b">
        <v>0</v>
      </c>
      <c r="AM301" s="54"/>
      <c r="AN301" s="7" t="str">
        <v>293</v>
      </c>
      <c r="AO301" s="7"/>
      <c r="AP301" s="62"/>
      <c r="AQ301" s="75" t="str">
        <v/>
      </c>
      <c r="AR301" s="75" t="str">
        <v>-</v>
      </c>
      <c r="AS301" s="11"/>
      <c r="AT301" s="77" t="str">
        <v>-</v>
      </c>
      <c r="AU301" s="11" t="str">
        <v>-</v>
      </c>
      <c r="AV301" s="100"/>
      <c r="AW301" s="80" t="str">
        <f ca="1"/>
        <v>-</v>
      </c>
      <c r="AX301" s="86" t="b">
        <v>0</v>
      </c>
      <c r="AY301" s="68" t="str">
        <f t="shared" si="4"/>
        <v/>
      </c>
      <c r="AZ301" s="69" t="str">
        <f t="shared" si="5"/>
        <v/>
      </c>
      <c r="BA301" s="70" t="str">
        <f t="shared" si="6"/>
        <v/>
      </c>
      <c r="BB301" s="68" t="str">
        <f t="shared" si="7"/>
        <v/>
      </c>
      <c r="BC301" s="69" t="str">
        <f>IFERROR(VLOOKUP($AQ301,'(勿動)組件目錄表'!$D$15:$R$1094,7,FALSE),"")</f>
        <v/>
      </c>
      <c r="BD301" s="69" t="str">
        <f>IFERROR(VLOOKUP($AQ301,'(勿動)組件目錄表'!$D$15:$R$1094,8,FALSE),"")</f>
        <v/>
      </c>
      <c r="BE301" s="69" t="str">
        <f>IFERROR(VLOOKUP($AQ301,'(勿動)組件目錄表'!$D$15:$R$1094,9,FALSE),"")</f>
        <v/>
      </c>
      <c r="BF301" s="69" t="str">
        <f>IFERROR(VLOOKUP($AQ301,'(勿動)組件目錄表'!$D$15:$R$1094,10,FALSE),"")</f>
        <v/>
      </c>
      <c r="BG301" s="69" t="str">
        <f>IFERROR(VLOOKUP($AQ301,'(勿動)組件目錄表'!$D$15:$R$1094,11,FALSE),"")</f>
        <v/>
      </c>
      <c r="BH301" s="69" t="str">
        <f>IFERROR(VLOOKUP($AQ301,'(勿動)組件目錄表'!$D$15:$R$1094,12,FALSE),"")</f>
        <v/>
      </c>
      <c r="BI301" s="69" t="str">
        <f>IFERROR(VLOOKUP($AQ301,'(勿動)組件目錄表'!$D$15:$R$1094,13,FALSE),"")</f>
        <v/>
      </c>
      <c r="BJ301" s="69" t="str">
        <f>IFERROR(VLOOKUP($AQ301,'(勿動)組件目錄表'!$D$15:$R$1094,14,FALSE),"")</f>
        <v/>
      </c>
      <c r="BK301" s="69" t="str">
        <f>IFERROR(VLOOKUP($AQ301,'(勿動)組件目錄表'!$D$15:$R$1094,15,FALSE),"")</f>
        <v/>
      </c>
      <c r="BL301" s="81">
        <f ca="1">IFERROR(__xludf.DUMMYFUNCTION("IFERROR(
  LET(
    rowData, FILTER('(勿動)組件目錄表'!J:Q, '(勿動)組件目錄表'!D:D=AQ301),
    IF(ROWS(rowData)=0, 0, 
      (
        IF(AND(BC301&lt;&gt;"""", INDEX(rowData,1,1)=BC301),1,0) +
        IF(AND(BD301&lt;&gt;"""", INDEX(rowData,1,2)=BD301),1,0) +
        IF(AND(BE301"&amp;"&lt;&gt;"""", INDEX(rowData,1,3)=BE301),1,0) +
        IF(AND(BF301&lt;&gt;"""", INDEX(rowData,1,4)=BF301),1,0) +
        IF(AND(BG301&lt;&gt;"""", INDEX(rowData,1,5)=BG301),1,0) +
        IF(AND(BH301&lt;&gt;"""", INDEX(rowData,1,6)=BH301),1,0) +
        IF(AND(BI301&lt;&gt;"""", IND"&amp;"EX(rowData,1,7)=BI301),1,0) +
        IF(AND(BJ301&lt;&gt;"""", INDEX(rowData,1,8)=BJ301),1,0)
      ) - COUNTIF(BC301:BJ301, ""-"")
        - COUNTIF(BC301:BJ301, ""固定格式，不需提供資訊"")
        - COUNTIF(BC301:BJ301, ""由MKT更新，此欄位固定格式，不需提供資訊
(Voucher CID：12917705872)"&amp;""")
        - COUNTIF(BC301:BJ301, ""text固定為以下：
※直播間僅支援手機版"")
        - COUNTIF(BC301:BJ301, ""text固定為以下：
※短影音僅支援手機版"")
    )
  ), 
  0
)
"),0)</f>
        <v>0</v>
      </c>
      <c r="BM301" s="77" t="b">
        <v>0</v>
      </c>
      <c r="BN301" s="85"/>
      <c r="BO301" s="85"/>
    </row>
    <row r="302" spans="1:67" ht="30" customHeight="1">
      <c r="A302" s="73" t="str">
        <f t="array" aca="1" ref="A302" ca="1">IFERROR(TRANSPOSE(INDIRECT('MS section版配(Old)'!$AO302)),"")</f>
        <v/>
      </c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  <c r="AA302" s="88"/>
      <c r="AB302" s="88"/>
      <c r="AC302" s="88"/>
      <c r="AD302" s="88"/>
      <c r="AE302" s="397" t="str">
        <f>IFERROR(VLOOKUP($AQ302,'(勿動)組件目錄表'!$D$15:$R$1094,4,FALSE),"")</f>
        <v/>
      </c>
      <c r="AF302" s="384"/>
      <c r="AG302" s="384"/>
      <c r="AH302" s="384"/>
      <c r="AI302" s="384"/>
      <c r="AJ302" s="385"/>
      <c r="AK302" s="54" t="b">
        <v>0</v>
      </c>
      <c r="AL302" s="54" t="b">
        <v>0</v>
      </c>
      <c r="AM302" s="54"/>
      <c r="AN302" s="7" t="str">
        <v>294</v>
      </c>
      <c r="AO302" s="7"/>
      <c r="AP302" s="62"/>
      <c r="AQ302" s="75" t="str">
        <v/>
      </c>
      <c r="AR302" s="75" t="str">
        <v>-</v>
      </c>
      <c r="AS302" s="11"/>
      <c r="AT302" s="77" t="str">
        <v>-</v>
      </c>
      <c r="AU302" s="11" t="str">
        <v>-</v>
      </c>
      <c r="AV302" s="100"/>
      <c r="AW302" s="80" t="str">
        <f ca="1"/>
        <v>-</v>
      </c>
      <c r="AX302" s="86" t="b">
        <v>0</v>
      </c>
      <c r="AY302" s="68" t="str">
        <f t="shared" si="4"/>
        <v/>
      </c>
      <c r="AZ302" s="69" t="str">
        <f t="shared" si="5"/>
        <v/>
      </c>
      <c r="BA302" s="70" t="str">
        <f t="shared" si="6"/>
        <v/>
      </c>
      <c r="BB302" s="68" t="str">
        <f t="shared" si="7"/>
        <v/>
      </c>
      <c r="BC302" s="69" t="str">
        <f>IFERROR(VLOOKUP($AQ302,'(勿動)組件目錄表'!$D$15:$R$1094,7,FALSE),"")</f>
        <v/>
      </c>
      <c r="BD302" s="69" t="str">
        <f>IFERROR(VLOOKUP($AQ302,'(勿動)組件目錄表'!$D$15:$R$1094,8,FALSE),"")</f>
        <v/>
      </c>
      <c r="BE302" s="69" t="str">
        <f>IFERROR(VLOOKUP($AQ302,'(勿動)組件目錄表'!$D$15:$R$1094,9,FALSE),"")</f>
        <v/>
      </c>
      <c r="BF302" s="69" t="str">
        <f>IFERROR(VLOOKUP($AQ302,'(勿動)組件目錄表'!$D$15:$R$1094,10,FALSE),"")</f>
        <v/>
      </c>
      <c r="BG302" s="69" t="str">
        <f>IFERROR(VLOOKUP($AQ302,'(勿動)組件目錄表'!$D$15:$R$1094,11,FALSE),"")</f>
        <v/>
      </c>
      <c r="BH302" s="69" t="str">
        <f>IFERROR(VLOOKUP($AQ302,'(勿動)組件目錄表'!$D$15:$R$1094,12,FALSE),"")</f>
        <v/>
      </c>
      <c r="BI302" s="69" t="str">
        <f>IFERROR(VLOOKUP($AQ302,'(勿動)組件目錄表'!$D$15:$R$1094,13,FALSE),"")</f>
        <v/>
      </c>
      <c r="BJ302" s="69" t="str">
        <f>IFERROR(VLOOKUP($AQ302,'(勿動)組件目錄表'!$D$15:$R$1094,14,FALSE),"")</f>
        <v/>
      </c>
      <c r="BK302" s="69" t="str">
        <f>IFERROR(VLOOKUP($AQ302,'(勿動)組件目錄表'!$D$15:$R$1094,15,FALSE),"")</f>
        <v/>
      </c>
      <c r="BL302" s="81">
        <f ca="1">IFERROR(__xludf.DUMMYFUNCTION("IFERROR(
  LET(
    rowData, FILTER('(勿動)組件目錄表'!J:Q, '(勿動)組件目錄表'!D:D=AQ302),
    IF(ROWS(rowData)=0, 0, 
      (
        IF(AND(BC302&lt;&gt;"""", INDEX(rowData,1,1)=BC302),1,0) +
        IF(AND(BD302&lt;&gt;"""", INDEX(rowData,1,2)=BD302),1,0) +
        IF(AND(BE302"&amp;"&lt;&gt;"""", INDEX(rowData,1,3)=BE302),1,0) +
        IF(AND(BF302&lt;&gt;"""", INDEX(rowData,1,4)=BF302),1,0) +
        IF(AND(BG302&lt;&gt;"""", INDEX(rowData,1,5)=BG302),1,0) +
        IF(AND(BH302&lt;&gt;"""", INDEX(rowData,1,6)=BH302),1,0) +
        IF(AND(BI302&lt;&gt;"""", IND"&amp;"EX(rowData,1,7)=BI302),1,0) +
        IF(AND(BJ302&lt;&gt;"""", INDEX(rowData,1,8)=BJ302),1,0)
      ) - COUNTIF(BC302:BJ302, ""-"")
        - COUNTIF(BC302:BJ302, ""固定格式，不需提供資訊"")
        - COUNTIF(BC302:BJ302, ""由MKT更新，此欄位固定格式，不需提供資訊
(Voucher CID：12917705872)"&amp;""")
        - COUNTIF(BC302:BJ302, ""text固定為以下：
※直播間僅支援手機版"")
        - COUNTIF(BC302:BJ302, ""text固定為以下：
※短影音僅支援手機版"")
    )
  ), 
  0
)
"),0)</f>
        <v>0</v>
      </c>
      <c r="BM302" s="77" t="b">
        <v>0</v>
      </c>
      <c r="BN302" s="85"/>
      <c r="BO302" s="85"/>
    </row>
    <row r="303" spans="1:67" ht="30" customHeight="1">
      <c r="A303" s="73" t="str">
        <f t="array" aca="1" ref="A303" ca="1">IFERROR(TRANSPOSE(INDIRECT('MS section版配(Old)'!$AO303)),"")</f>
        <v/>
      </c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  <c r="AA303" s="88"/>
      <c r="AB303" s="88"/>
      <c r="AC303" s="88"/>
      <c r="AD303" s="88"/>
      <c r="AE303" s="397" t="str">
        <f>IFERROR(VLOOKUP($AQ303,'(勿動)組件目錄表'!$D$15:$R$1094,4,FALSE),"")</f>
        <v/>
      </c>
      <c r="AF303" s="384"/>
      <c r="AG303" s="384"/>
      <c r="AH303" s="384"/>
      <c r="AI303" s="384"/>
      <c r="AJ303" s="385"/>
      <c r="AK303" s="54" t="b">
        <v>0</v>
      </c>
      <c r="AL303" s="54" t="b">
        <v>0</v>
      </c>
      <c r="AM303" s="54"/>
      <c r="AN303" s="7" t="str">
        <v>295</v>
      </c>
      <c r="AO303" s="7"/>
      <c r="AP303" s="62"/>
      <c r="AQ303" s="75" t="str">
        <v/>
      </c>
      <c r="AR303" s="75" t="str">
        <v>-</v>
      </c>
      <c r="AS303" s="11"/>
      <c r="AT303" s="77" t="str">
        <v>-</v>
      </c>
      <c r="AU303" s="11" t="str">
        <v>-</v>
      </c>
      <c r="AV303" s="100"/>
      <c r="AW303" s="80" t="str">
        <f ca="1"/>
        <v>-</v>
      </c>
      <c r="AX303" s="86" t="b">
        <v>0</v>
      </c>
      <c r="AY303" s="68" t="str">
        <f t="shared" si="4"/>
        <v/>
      </c>
      <c r="AZ303" s="69" t="str">
        <f t="shared" si="5"/>
        <v/>
      </c>
      <c r="BA303" s="70" t="str">
        <f t="shared" si="6"/>
        <v/>
      </c>
      <c r="BB303" s="68" t="str">
        <f t="shared" si="7"/>
        <v/>
      </c>
      <c r="BC303" s="69" t="str">
        <f>IFERROR(VLOOKUP($AQ303,'(勿動)組件目錄表'!$D$15:$R$1094,7,FALSE),"")</f>
        <v/>
      </c>
      <c r="BD303" s="69" t="str">
        <f>IFERROR(VLOOKUP($AQ303,'(勿動)組件目錄表'!$D$15:$R$1094,8,FALSE),"")</f>
        <v/>
      </c>
      <c r="BE303" s="69" t="str">
        <f>IFERROR(VLOOKUP($AQ303,'(勿動)組件目錄表'!$D$15:$R$1094,9,FALSE),"")</f>
        <v/>
      </c>
      <c r="BF303" s="69" t="str">
        <f>IFERROR(VLOOKUP($AQ303,'(勿動)組件目錄表'!$D$15:$R$1094,10,FALSE),"")</f>
        <v/>
      </c>
      <c r="BG303" s="69" t="str">
        <f>IFERROR(VLOOKUP($AQ303,'(勿動)組件目錄表'!$D$15:$R$1094,11,FALSE),"")</f>
        <v/>
      </c>
      <c r="BH303" s="69" t="str">
        <f>IFERROR(VLOOKUP($AQ303,'(勿動)組件目錄表'!$D$15:$R$1094,12,FALSE),"")</f>
        <v/>
      </c>
      <c r="BI303" s="69" t="str">
        <f>IFERROR(VLOOKUP($AQ303,'(勿動)組件目錄表'!$D$15:$R$1094,13,FALSE),"")</f>
        <v/>
      </c>
      <c r="BJ303" s="69" t="str">
        <f>IFERROR(VLOOKUP($AQ303,'(勿動)組件目錄表'!$D$15:$R$1094,14,FALSE),"")</f>
        <v/>
      </c>
      <c r="BK303" s="69" t="str">
        <f>IFERROR(VLOOKUP($AQ303,'(勿動)組件目錄表'!$D$15:$R$1094,15,FALSE),"")</f>
        <v/>
      </c>
      <c r="BL303" s="81">
        <f ca="1">IFERROR(__xludf.DUMMYFUNCTION("IFERROR(
  LET(
    rowData, FILTER('(勿動)組件目錄表'!J:Q, '(勿動)組件目錄表'!D:D=AQ303),
    IF(ROWS(rowData)=0, 0, 
      (
        IF(AND(BC303&lt;&gt;"""", INDEX(rowData,1,1)=BC303),1,0) +
        IF(AND(BD303&lt;&gt;"""", INDEX(rowData,1,2)=BD303),1,0) +
        IF(AND(BE303"&amp;"&lt;&gt;"""", INDEX(rowData,1,3)=BE303),1,0) +
        IF(AND(BF303&lt;&gt;"""", INDEX(rowData,1,4)=BF303),1,0) +
        IF(AND(BG303&lt;&gt;"""", INDEX(rowData,1,5)=BG303),1,0) +
        IF(AND(BH303&lt;&gt;"""", INDEX(rowData,1,6)=BH303),1,0) +
        IF(AND(BI303&lt;&gt;"""", IND"&amp;"EX(rowData,1,7)=BI303),1,0) +
        IF(AND(BJ303&lt;&gt;"""", INDEX(rowData,1,8)=BJ303),1,0)
      ) - COUNTIF(BC303:BJ303, ""-"")
        - COUNTIF(BC303:BJ303, ""固定格式，不需提供資訊"")
        - COUNTIF(BC303:BJ303, ""由MKT更新，此欄位固定格式，不需提供資訊
(Voucher CID：12917705872)"&amp;""")
        - COUNTIF(BC303:BJ303, ""text固定為以下：
※直播間僅支援手機版"")
        - COUNTIF(BC303:BJ303, ""text固定為以下：
※短影音僅支援手機版"")
    )
  ), 
  0
)
"),0)</f>
        <v>0</v>
      </c>
      <c r="BM303" s="77" t="b">
        <v>0</v>
      </c>
      <c r="BN303" s="85"/>
      <c r="BO303" s="85"/>
    </row>
    <row r="304" spans="1:67" ht="30" customHeight="1">
      <c r="A304" s="73" t="str">
        <f t="array" aca="1" ref="A304" ca="1">IFERROR(TRANSPOSE(INDIRECT('MS section版配(Old)'!$AO304)),"")</f>
        <v/>
      </c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  <c r="AA304" s="88"/>
      <c r="AB304" s="88"/>
      <c r="AC304" s="88"/>
      <c r="AD304" s="88"/>
      <c r="AE304" s="397" t="str">
        <f>IFERROR(VLOOKUP($AQ304,'(勿動)組件目錄表'!$D$15:$R$1094,4,FALSE),"")</f>
        <v/>
      </c>
      <c r="AF304" s="384"/>
      <c r="AG304" s="384"/>
      <c r="AH304" s="384"/>
      <c r="AI304" s="384"/>
      <c r="AJ304" s="385"/>
      <c r="AK304" s="54" t="b">
        <v>0</v>
      </c>
      <c r="AL304" s="54" t="b">
        <v>0</v>
      </c>
      <c r="AM304" s="54"/>
      <c r="AN304" s="7" t="str">
        <v>296</v>
      </c>
      <c r="AO304" s="7"/>
      <c r="AP304" s="62"/>
      <c r="AQ304" s="75" t="str">
        <v/>
      </c>
      <c r="AR304" s="75" t="str">
        <v>-</v>
      </c>
      <c r="AS304" s="11"/>
      <c r="AT304" s="77" t="str">
        <v>-</v>
      </c>
      <c r="AU304" s="11" t="str">
        <v>-</v>
      </c>
      <c r="AV304" s="100"/>
      <c r="AW304" s="80" t="str">
        <f ca="1"/>
        <v>-</v>
      </c>
      <c r="AX304" s="86" t="b">
        <v>0</v>
      </c>
      <c r="AY304" s="68" t="str">
        <f t="shared" si="4"/>
        <v/>
      </c>
      <c r="AZ304" s="69" t="str">
        <f t="shared" si="5"/>
        <v/>
      </c>
      <c r="BA304" s="70" t="str">
        <f t="shared" si="6"/>
        <v/>
      </c>
      <c r="BB304" s="68" t="str">
        <f t="shared" si="7"/>
        <v/>
      </c>
      <c r="BC304" s="69" t="str">
        <f>IFERROR(VLOOKUP($AQ304,'(勿動)組件目錄表'!$D$15:$R$1094,7,FALSE),"")</f>
        <v/>
      </c>
      <c r="BD304" s="69" t="str">
        <f>IFERROR(VLOOKUP($AQ304,'(勿動)組件目錄表'!$D$15:$R$1094,8,FALSE),"")</f>
        <v/>
      </c>
      <c r="BE304" s="69" t="str">
        <f>IFERROR(VLOOKUP($AQ304,'(勿動)組件目錄表'!$D$15:$R$1094,9,FALSE),"")</f>
        <v/>
      </c>
      <c r="BF304" s="69" t="str">
        <f>IFERROR(VLOOKUP($AQ304,'(勿動)組件目錄表'!$D$15:$R$1094,10,FALSE),"")</f>
        <v/>
      </c>
      <c r="BG304" s="69" t="str">
        <f>IFERROR(VLOOKUP($AQ304,'(勿動)組件目錄表'!$D$15:$R$1094,11,FALSE),"")</f>
        <v/>
      </c>
      <c r="BH304" s="69" t="str">
        <f>IFERROR(VLOOKUP($AQ304,'(勿動)組件目錄表'!$D$15:$R$1094,12,FALSE),"")</f>
        <v/>
      </c>
      <c r="BI304" s="69" t="str">
        <f>IFERROR(VLOOKUP($AQ304,'(勿動)組件目錄表'!$D$15:$R$1094,13,FALSE),"")</f>
        <v/>
      </c>
      <c r="BJ304" s="69" t="str">
        <f>IFERROR(VLOOKUP($AQ304,'(勿動)組件目錄表'!$D$15:$R$1094,14,FALSE),"")</f>
        <v/>
      </c>
      <c r="BK304" s="69" t="str">
        <f>IFERROR(VLOOKUP($AQ304,'(勿動)組件目錄表'!$D$15:$R$1094,15,FALSE),"")</f>
        <v/>
      </c>
      <c r="BL304" s="81">
        <f ca="1">IFERROR(__xludf.DUMMYFUNCTION("IFERROR(
  LET(
    rowData, FILTER('(勿動)組件目錄表'!J:Q, '(勿動)組件目錄表'!D:D=AQ304),
    IF(ROWS(rowData)=0, 0, 
      (
        IF(AND(BC304&lt;&gt;"""", INDEX(rowData,1,1)=BC304),1,0) +
        IF(AND(BD304&lt;&gt;"""", INDEX(rowData,1,2)=BD304),1,0) +
        IF(AND(BE304"&amp;"&lt;&gt;"""", INDEX(rowData,1,3)=BE304),1,0) +
        IF(AND(BF304&lt;&gt;"""", INDEX(rowData,1,4)=BF304),1,0) +
        IF(AND(BG304&lt;&gt;"""", INDEX(rowData,1,5)=BG304),1,0) +
        IF(AND(BH304&lt;&gt;"""", INDEX(rowData,1,6)=BH304),1,0) +
        IF(AND(BI304&lt;&gt;"""", IND"&amp;"EX(rowData,1,7)=BI304),1,0) +
        IF(AND(BJ304&lt;&gt;"""", INDEX(rowData,1,8)=BJ304),1,0)
      ) - COUNTIF(BC304:BJ304, ""-"")
        - COUNTIF(BC304:BJ304, ""固定格式，不需提供資訊"")
        - COUNTIF(BC304:BJ304, ""由MKT更新，此欄位固定格式，不需提供資訊
(Voucher CID：12917705872)"&amp;""")
        - COUNTIF(BC304:BJ304, ""text固定為以下：
※直播間僅支援手機版"")
        - COUNTIF(BC304:BJ304, ""text固定為以下：
※短影音僅支援手機版"")
    )
  ), 
  0
)
"),0)</f>
        <v>0</v>
      </c>
      <c r="BM304" s="77" t="b">
        <v>0</v>
      </c>
      <c r="BN304" s="85"/>
      <c r="BO304" s="85"/>
    </row>
    <row r="305" spans="1:67" ht="30" customHeight="1">
      <c r="A305" s="73" t="str">
        <f t="array" aca="1" ref="A305" ca="1">IFERROR(TRANSPOSE(INDIRECT('MS section版配(Old)'!$AO305)),"")</f>
        <v/>
      </c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8"/>
      <c r="P305" s="88"/>
      <c r="Q305" s="88"/>
      <c r="R305" s="88"/>
      <c r="S305" s="88"/>
      <c r="T305" s="88"/>
      <c r="U305" s="88"/>
      <c r="V305" s="88"/>
      <c r="W305" s="88"/>
      <c r="X305" s="88"/>
      <c r="Y305" s="88"/>
      <c r="Z305" s="88"/>
      <c r="AA305" s="88"/>
      <c r="AB305" s="88"/>
      <c r="AC305" s="88"/>
      <c r="AD305" s="88"/>
      <c r="AE305" s="397" t="str">
        <f>IFERROR(VLOOKUP($AQ305,'(勿動)組件目錄表'!$D$15:$R$1094,4,FALSE),"")</f>
        <v/>
      </c>
      <c r="AF305" s="384"/>
      <c r="AG305" s="384"/>
      <c r="AH305" s="384"/>
      <c r="AI305" s="384"/>
      <c r="AJ305" s="385"/>
      <c r="AK305" s="54" t="b">
        <v>0</v>
      </c>
      <c r="AL305" s="54" t="b">
        <v>0</v>
      </c>
      <c r="AM305" s="54"/>
      <c r="AN305" s="7" t="str">
        <v>297</v>
      </c>
      <c r="AO305" s="7"/>
      <c r="AP305" s="62"/>
      <c r="AQ305" s="75" t="str">
        <v/>
      </c>
      <c r="AR305" s="75" t="str">
        <v>-</v>
      </c>
      <c r="AS305" s="11"/>
      <c r="AT305" s="77" t="str">
        <v>-</v>
      </c>
      <c r="AU305" s="11" t="str">
        <v>-</v>
      </c>
      <c r="AV305" s="100"/>
      <c r="AW305" s="80" t="str">
        <f ca="1"/>
        <v>-</v>
      </c>
      <c r="AX305" s="86" t="b">
        <v>0</v>
      </c>
      <c r="AY305" s="68" t="str">
        <f t="shared" si="4"/>
        <v/>
      </c>
      <c r="AZ305" s="69" t="str">
        <f t="shared" si="5"/>
        <v/>
      </c>
      <c r="BA305" s="70" t="str">
        <f t="shared" si="6"/>
        <v/>
      </c>
      <c r="BB305" s="68" t="str">
        <f t="shared" si="7"/>
        <v/>
      </c>
      <c r="BC305" s="69" t="str">
        <f>IFERROR(VLOOKUP($AQ305,'(勿動)組件目錄表'!$D$15:$R$1094,7,FALSE),"")</f>
        <v/>
      </c>
      <c r="BD305" s="69" t="str">
        <f>IFERROR(VLOOKUP($AQ305,'(勿動)組件目錄表'!$D$15:$R$1094,8,FALSE),"")</f>
        <v/>
      </c>
      <c r="BE305" s="69" t="str">
        <f>IFERROR(VLOOKUP($AQ305,'(勿動)組件目錄表'!$D$15:$R$1094,9,FALSE),"")</f>
        <v/>
      </c>
      <c r="BF305" s="69" t="str">
        <f>IFERROR(VLOOKUP($AQ305,'(勿動)組件目錄表'!$D$15:$R$1094,10,FALSE),"")</f>
        <v/>
      </c>
      <c r="BG305" s="69" t="str">
        <f>IFERROR(VLOOKUP($AQ305,'(勿動)組件目錄表'!$D$15:$R$1094,11,FALSE),"")</f>
        <v/>
      </c>
      <c r="BH305" s="69" t="str">
        <f>IFERROR(VLOOKUP($AQ305,'(勿動)組件目錄表'!$D$15:$R$1094,12,FALSE),"")</f>
        <v/>
      </c>
      <c r="BI305" s="69" t="str">
        <f>IFERROR(VLOOKUP($AQ305,'(勿動)組件目錄表'!$D$15:$R$1094,13,FALSE),"")</f>
        <v/>
      </c>
      <c r="BJ305" s="69" t="str">
        <f>IFERROR(VLOOKUP($AQ305,'(勿動)組件目錄表'!$D$15:$R$1094,14,FALSE),"")</f>
        <v/>
      </c>
      <c r="BK305" s="69" t="str">
        <f>IFERROR(VLOOKUP($AQ305,'(勿動)組件目錄表'!$D$15:$R$1094,15,FALSE),"")</f>
        <v/>
      </c>
      <c r="BL305" s="81">
        <f ca="1">IFERROR(__xludf.DUMMYFUNCTION("IFERROR(
  LET(
    rowData, FILTER('(勿動)組件目錄表'!J:Q, '(勿動)組件目錄表'!D:D=AQ305),
    IF(ROWS(rowData)=0, 0, 
      (
        IF(AND(BC305&lt;&gt;"""", INDEX(rowData,1,1)=BC305),1,0) +
        IF(AND(BD305&lt;&gt;"""", INDEX(rowData,1,2)=BD305),1,0) +
        IF(AND(BE305"&amp;"&lt;&gt;"""", INDEX(rowData,1,3)=BE305),1,0) +
        IF(AND(BF305&lt;&gt;"""", INDEX(rowData,1,4)=BF305),1,0) +
        IF(AND(BG305&lt;&gt;"""", INDEX(rowData,1,5)=BG305),1,0) +
        IF(AND(BH305&lt;&gt;"""", INDEX(rowData,1,6)=BH305),1,0) +
        IF(AND(BI305&lt;&gt;"""", IND"&amp;"EX(rowData,1,7)=BI305),1,0) +
        IF(AND(BJ305&lt;&gt;"""", INDEX(rowData,1,8)=BJ305),1,0)
      ) - COUNTIF(BC305:BJ305, ""-"")
        - COUNTIF(BC305:BJ305, ""固定格式，不需提供資訊"")
        - COUNTIF(BC305:BJ305, ""由MKT更新，此欄位固定格式，不需提供資訊
(Voucher CID：12917705872)"&amp;""")
        - COUNTIF(BC305:BJ305, ""text固定為以下：
※直播間僅支援手機版"")
        - COUNTIF(BC305:BJ305, ""text固定為以下：
※短影音僅支援手機版"")
    )
  ), 
  0
)
"),0)</f>
        <v>0</v>
      </c>
      <c r="BM305" s="77" t="b">
        <v>0</v>
      </c>
      <c r="BN305" s="85"/>
      <c r="BO305" s="85"/>
    </row>
    <row r="306" spans="1:67" ht="30" customHeight="1">
      <c r="A306" s="73" t="str">
        <f t="array" aca="1" ref="A306" ca="1">IFERROR(TRANSPOSE(INDIRECT('MS section版配(Old)'!$AO306)),"")</f>
        <v/>
      </c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8"/>
      <c r="P306" s="88"/>
      <c r="Q306" s="88"/>
      <c r="R306" s="88"/>
      <c r="S306" s="88"/>
      <c r="T306" s="88"/>
      <c r="U306" s="88"/>
      <c r="V306" s="88"/>
      <c r="W306" s="88"/>
      <c r="X306" s="88"/>
      <c r="Y306" s="88"/>
      <c r="Z306" s="88"/>
      <c r="AA306" s="88"/>
      <c r="AB306" s="88"/>
      <c r="AC306" s="88"/>
      <c r="AD306" s="88"/>
      <c r="AE306" s="397" t="str">
        <f>IFERROR(VLOOKUP($AQ306,'(勿動)組件目錄表'!$D$15:$R$1094,4,FALSE),"")</f>
        <v/>
      </c>
      <c r="AF306" s="384"/>
      <c r="AG306" s="384"/>
      <c r="AH306" s="384"/>
      <c r="AI306" s="384"/>
      <c r="AJ306" s="385"/>
      <c r="AK306" s="54" t="b">
        <v>0</v>
      </c>
      <c r="AL306" s="54" t="b">
        <v>0</v>
      </c>
      <c r="AM306" s="54"/>
      <c r="AN306" s="7" t="str">
        <v>298</v>
      </c>
      <c r="AO306" s="7"/>
      <c r="AP306" s="62"/>
      <c r="AQ306" s="75" t="str">
        <v/>
      </c>
      <c r="AR306" s="75" t="str">
        <v>-</v>
      </c>
      <c r="AS306" s="11"/>
      <c r="AT306" s="77" t="str">
        <v>-</v>
      </c>
      <c r="AU306" s="11" t="str">
        <v>-</v>
      </c>
      <c r="AV306" s="100"/>
      <c r="AW306" s="80" t="str">
        <f ca="1"/>
        <v>-</v>
      </c>
      <c r="AX306" s="86" t="b">
        <v>0</v>
      </c>
      <c r="AY306" s="68" t="str">
        <f t="shared" si="4"/>
        <v/>
      </c>
      <c r="AZ306" s="69" t="str">
        <f t="shared" si="5"/>
        <v/>
      </c>
      <c r="BA306" s="70" t="str">
        <f t="shared" si="6"/>
        <v/>
      </c>
      <c r="BB306" s="68" t="str">
        <f t="shared" si="7"/>
        <v/>
      </c>
      <c r="BC306" s="69" t="str">
        <f>IFERROR(VLOOKUP($AQ306,'(勿動)組件目錄表'!$D$15:$R$1094,7,FALSE),"")</f>
        <v/>
      </c>
      <c r="BD306" s="69" t="str">
        <f>IFERROR(VLOOKUP($AQ306,'(勿動)組件目錄表'!$D$15:$R$1094,8,FALSE),"")</f>
        <v/>
      </c>
      <c r="BE306" s="69" t="str">
        <f>IFERROR(VLOOKUP($AQ306,'(勿動)組件目錄表'!$D$15:$R$1094,9,FALSE),"")</f>
        <v/>
      </c>
      <c r="BF306" s="69" t="str">
        <f>IFERROR(VLOOKUP($AQ306,'(勿動)組件目錄表'!$D$15:$R$1094,10,FALSE),"")</f>
        <v/>
      </c>
      <c r="BG306" s="69" t="str">
        <f>IFERROR(VLOOKUP($AQ306,'(勿動)組件目錄表'!$D$15:$R$1094,11,FALSE),"")</f>
        <v/>
      </c>
      <c r="BH306" s="69" t="str">
        <f>IFERROR(VLOOKUP($AQ306,'(勿動)組件目錄表'!$D$15:$R$1094,12,FALSE),"")</f>
        <v/>
      </c>
      <c r="BI306" s="69" t="str">
        <f>IFERROR(VLOOKUP($AQ306,'(勿動)組件目錄表'!$D$15:$R$1094,13,FALSE),"")</f>
        <v/>
      </c>
      <c r="BJ306" s="69" t="str">
        <f>IFERROR(VLOOKUP($AQ306,'(勿動)組件目錄表'!$D$15:$R$1094,14,FALSE),"")</f>
        <v/>
      </c>
      <c r="BK306" s="69" t="str">
        <f>IFERROR(VLOOKUP($AQ306,'(勿動)組件目錄表'!$D$15:$R$1094,15,FALSE),"")</f>
        <v/>
      </c>
      <c r="BL306" s="81">
        <f ca="1">IFERROR(__xludf.DUMMYFUNCTION("IFERROR(
  LET(
    rowData, FILTER('(勿動)組件目錄表'!J:Q, '(勿動)組件目錄表'!D:D=AQ306),
    IF(ROWS(rowData)=0, 0, 
      (
        IF(AND(BC306&lt;&gt;"""", INDEX(rowData,1,1)=BC306),1,0) +
        IF(AND(BD306&lt;&gt;"""", INDEX(rowData,1,2)=BD306),1,0) +
        IF(AND(BE306"&amp;"&lt;&gt;"""", INDEX(rowData,1,3)=BE306),1,0) +
        IF(AND(BF306&lt;&gt;"""", INDEX(rowData,1,4)=BF306),1,0) +
        IF(AND(BG306&lt;&gt;"""", INDEX(rowData,1,5)=BG306),1,0) +
        IF(AND(BH306&lt;&gt;"""", INDEX(rowData,1,6)=BH306),1,0) +
        IF(AND(BI306&lt;&gt;"""", IND"&amp;"EX(rowData,1,7)=BI306),1,0) +
        IF(AND(BJ306&lt;&gt;"""", INDEX(rowData,1,8)=BJ306),1,0)
      ) - COUNTIF(BC306:BJ306, ""-"")
        - COUNTIF(BC306:BJ306, ""固定格式，不需提供資訊"")
        - COUNTIF(BC306:BJ306, ""由MKT更新，此欄位固定格式，不需提供資訊
(Voucher CID：12917705872)"&amp;""")
        - COUNTIF(BC306:BJ306, ""text固定為以下：
※直播間僅支援手機版"")
        - COUNTIF(BC306:BJ306, ""text固定為以下：
※短影音僅支援手機版"")
    )
  ), 
  0
)
"),0)</f>
        <v>0</v>
      </c>
      <c r="BM306" s="77" t="b">
        <v>0</v>
      </c>
      <c r="BN306" s="85"/>
      <c r="BO306" s="85"/>
    </row>
    <row r="307" spans="1:67" ht="30" customHeight="1">
      <c r="A307" s="73" t="str">
        <f t="array" aca="1" ref="A307" ca="1">IFERROR(TRANSPOSE(INDIRECT('MS section版配(Old)'!$AO307)),"")</f>
        <v/>
      </c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8"/>
      <c r="P307" s="88"/>
      <c r="Q307" s="88"/>
      <c r="R307" s="88"/>
      <c r="S307" s="88"/>
      <c r="T307" s="88"/>
      <c r="U307" s="88"/>
      <c r="V307" s="88"/>
      <c r="W307" s="88"/>
      <c r="X307" s="88"/>
      <c r="Y307" s="88"/>
      <c r="Z307" s="88"/>
      <c r="AA307" s="88"/>
      <c r="AB307" s="88"/>
      <c r="AC307" s="88"/>
      <c r="AD307" s="88"/>
      <c r="AE307" s="397" t="str">
        <f>IFERROR(VLOOKUP($AQ307,'(勿動)組件目錄表'!$D$15:$R$1094,4,FALSE),"")</f>
        <v/>
      </c>
      <c r="AF307" s="384"/>
      <c r="AG307" s="384"/>
      <c r="AH307" s="384"/>
      <c r="AI307" s="384"/>
      <c r="AJ307" s="385"/>
      <c r="AK307" s="54" t="b">
        <v>0</v>
      </c>
      <c r="AL307" s="54" t="b">
        <v>0</v>
      </c>
      <c r="AM307" s="54"/>
      <c r="AN307" s="7" t="str">
        <v>299</v>
      </c>
      <c r="AO307" s="7"/>
      <c r="AP307" s="62"/>
      <c r="AQ307" s="75" t="str">
        <v/>
      </c>
      <c r="AR307" s="75" t="str">
        <v>-</v>
      </c>
      <c r="AS307" s="11"/>
      <c r="AT307" s="77" t="str">
        <v>-</v>
      </c>
      <c r="AU307" s="11" t="str">
        <v>-</v>
      </c>
      <c r="AV307" s="100"/>
      <c r="AW307" s="80" t="str">
        <f ca="1"/>
        <v>-</v>
      </c>
      <c r="AX307" s="86" t="b">
        <v>0</v>
      </c>
      <c r="AY307" s="68" t="str">
        <f t="shared" si="4"/>
        <v/>
      </c>
      <c r="AZ307" s="69" t="str">
        <f t="shared" si="5"/>
        <v/>
      </c>
      <c r="BA307" s="70" t="str">
        <f t="shared" si="6"/>
        <v/>
      </c>
      <c r="BB307" s="68" t="str">
        <f t="shared" si="7"/>
        <v/>
      </c>
      <c r="BC307" s="69" t="str">
        <f>IFERROR(VLOOKUP($AQ307,'(勿動)組件目錄表'!$D$15:$R$1094,7,FALSE),"")</f>
        <v/>
      </c>
      <c r="BD307" s="69" t="str">
        <f>IFERROR(VLOOKUP($AQ307,'(勿動)組件目錄表'!$D$15:$R$1094,8,FALSE),"")</f>
        <v/>
      </c>
      <c r="BE307" s="69" t="str">
        <f>IFERROR(VLOOKUP($AQ307,'(勿動)組件目錄表'!$D$15:$R$1094,9,FALSE),"")</f>
        <v/>
      </c>
      <c r="BF307" s="69" t="str">
        <f>IFERROR(VLOOKUP($AQ307,'(勿動)組件目錄表'!$D$15:$R$1094,10,FALSE),"")</f>
        <v/>
      </c>
      <c r="BG307" s="69" t="str">
        <f>IFERROR(VLOOKUP($AQ307,'(勿動)組件目錄表'!$D$15:$R$1094,11,FALSE),"")</f>
        <v/>
      </c>
      <c r="BH307" s="69" t="str">
        <f>IFERROR(VLOOKUP($AQ307,'(勿動)組件目錄表'!$D$15:$R$1094,12,FALSE),"")</f>
        <v/>
      </c>
      <c r="BI307" s="69" t="str">
        <f>IFERROR(VLOOKUP($AQ307,'(勿動)組件目錄表'!$D$15:$R$1094,13,FALSE),"")</f>
        <v/>
      </c>
      <c r="BJ307" s="69" t="str">
        <f>IFERROR(VLOOKUP($AQ307,'(勿動)組件目錄表'!$D$15:$R$1094,14,FALSE),"")</f>
        <v/>
      </c>
      <c r="BK307" s="69" t="str">
        <f>IFERROR(VLOOKUP($AQ307,'(勿動)組件目錄表'!$D$15:$R$1094,15,FALSE),"")</f>
        <v/>
      </c>
      <c r="BL307" s="81">
        <f ca="1">IFERROR(__xludf.DUMMYFUNCTION("IFERROR(
  LET(
    rowData, FILTER('(勿動)組件目錄表'!J:Q, '(勿動)組件目錄表'!D:D=AQ307),
    IF(ROWS(rowData)=0, 0, 
      (
        IF(AND(BC307&lt;&gt;"""", INDEX(rowData,1,1)=BC307),1,0) +
        IF(AND(BD307&lt;&gt;"""", INDEX(rowData,1,2)=BD307),1,0) +
        IF(AND(BE307"&amp;"&lt;&gt;"""", INDEX(rowData,1,3)=BE307),1,0) +
        IF(AND(BF307&lt;&gt;"""", INDEX(rowData,1,4)=BF307),1,0) +
        IF(AND(BG307&lt;&gt;"""", INDEX(rowData,1,5)=BG307),1,0) +
        IF(AND(BH307&lt;&gt;"""", INDEX(rowData,1,6)=BH307),1,0) +
        IF(AND(BI307&lt;&gt;"""", IND"&amp;"EX(rowData,1,7)=BI307),1,0) +
        IF(AND(BJ307&lt;&gt;"""", INDEX(rowData,1,8)=BJ307),1,0)
      ) - COUNTIF(BC307:BJ307, ""-"")
        - COUNTIF(BC307:BJ307, ""固定格式，不需提供資訊"")
        - COUNTIF(BC307:BJ307, ""由MKT更新，此欄位固定格式，不需提供資訊
(Voucher CID：12917705872)"&amp;""")
        - COUNTIF(BC307:BJ307, ""text固定為以下：
※直播間僅支援手機版"")
        - COUNTIF(BC307:BJ307, ""text固定為以下：
※短影音僅支援手機版"")
    )
  ), 
  0
)
"),0)</f>
        <v>0</v>
      </c>
      <c r="BM307" s="77" t="b">
        <v>0</v>
      </c>
      <c r="BN307" s="85"/>
      <c r="BO307" s="85"/>
    </row>
    <row r="308" spans="1:67" ht="30" customHeight="1">
      <c r="A308" s="73" t="str">
        <f t="array" aca="1" ref="A308" ca="1">IFERROR(TRANSPOSE(INDIRECT('MS section版配(Old)'!$AO308)),"")</f>
        <v/>
      </c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8"/>
      <c r="P308" s="88"/>
      <c r="Q308" s="88"/>
      <c r="R308" s="88"/>
      <c r="S308" s="88"/>
      <c r="T308" s="88"/>
      <c r="U308" s="88"/>
      <c r="V308" s="88"/>
      <c r="W308" s="88"/>
      <c r="X308" s="88"/>
      <c r="Y308" s="88"/>
      <c r="Z308" s="88"/>
      <c r="AA308" s="88"/>
      <c r="AB308" s="88"/>
      <c r="AC308" s="88"/>
      <c r="AD308" s="88"/>
      <c r="AE308" s="397" t="str">
        <f>IFERROR(VLOOKUP($AQ308,'(勿動)組件目錄表'!$D$15:$R$1094,4,FALSE),"")</f>
        <v/>
      </c>
      <c r="AF308" s="384"/>
      <c r="AG308" s="384"/>
      <c r="AH308" s="384"/>
      <c r="AI308" s="384"/>
      <c r="AJ308" s="385"/>
      <c r="AK308" s="54" t="b">
        <v>0</v>
      </c>
      <c r="AL308" s="54" t="b">
        <v>0</v>
      </c>
      <c r="AM308" s="54"/>
      <c r="AN308" s="7" t="str">
        <v>300</v>
      </c>
      <c r="AO308" s="7"/>
      <c r="AP308" s="62"/>
      <c r="AQ308" s="75" t="str">
        <v/>
      </c>
      <c r="AR308" s="75" t="str">
        <v>-</v>
      </c>
      <c r="AS308" s="11"/>
      <c r="AT308" s="77" t="str">
        <v>-</v>
      </c>
      <c r="AU308" s="11" t="str">
        <v>-</v>
      </c>
      <c r="AV308" s="100"/>
      <c r="AW308" s="80" t="str">
        <f ca="1"/>
        <v>-</v>
      </c>
      <c r="AX308" s="86" t="b">
        <v>0</v>
      </c>
      <c r="AY308" s="68" t="str">
        <f t="shared" si="4"/>
        <v/>
      </c>
      <c r="AZ308" s="69" t="str">
        <f t="shared" si="5"/>
        <v/>
      </c>
      <c r="BA308" s="70" t="str">
        <f t="shared" si="6"/>
        <v/>
      </c>
      <c r="BB308" s="68" t="str">
        <f t="shared" si="7"/>
        <v/>
      </c>
      <c r="BC308" s="69" t="str">
        <f>IFERROR(VLOOKUP($AQ308,'(勿動)組件目錄表'!$D$15:$R$1094,7,FALSE),"")</f>
        <v/>
      </c>
      <c r="BD308" s="69" t="str">
        <f>IFERROR(VLOOKUP($AQ308,'(勿動)組件目錄表'!$D$15:$R$1094,8,FALSE),"")</f>
        <v/>
      </c>
      <c r="BE308" s="69" t="str">
        <f>IFERROR(VLOOKUP($AQ308,'(勿動)組件目錄表'!$D$15:$R$1094,9,FALSE),"")</f>
        <v/>
      </c>
      <c r="BF308" s="69" t="str">
        <f>IFERROR(VLOOKUP($AQ308,'(勿動)組件目錄表'!$D$15:$R$1094,10,FALSE),"")</f>
        <v/>
      </c>
      <c r="BG308" s="69" t="str">
        <f>IFERROR(VLOOKUP($AQ308,'(勿動)組件目錄表'!$D$15:$R$1094,11,FALSE),"")</f>
        <v/>
      </c>
      <c r="BH308" s="69" t="str">
        <f>IFERROR(VLOOKUP($AQ308,'(勿動)組件目錄表'!$D$15:$R$1094,12,FALSE),"")</f>
        <v/>
      </c>
      <c r="BI308" s="69" t="str">
        <f>IFERROR(VLOOKUP($AQ308,'(勿動)組件目錄表'!$D$15:$R$1094,13,FALSE),"")</f>
        <v/>
      </c>
      <c r="BJ308" s="69" t="str">
        <f>IFERROR(VLOOKUP($AQ308,'(勿動)組件目錄表'!$D$15:$R$1094,14,FALSE),"")</f>
        <v/>
      </c>
      <c r="BK308" s="69" t="str">
        <f>IFERROR(VLOOKUP($AQ308,'(勿動)組件目錄表'!$D$15:$R$1094,15,FALSE),"")</f>
        <v/>
      </c>
      <c r="BL308" s="81">
        <f ca="1">IFERROR(__xludf.DUMMYFUNCTION("IFERROR(
  LET(
    rowData, FILTER('(勿動)組件目錄表'!J:Q, '(勿動)組件目錄表'!D:D=AQ308),
    IF(ROWS(rowData)=0, 0, 
      (
        IF(AND(BC308&lt;&gt;"""", INDEX(rowData,1,1)=BC308),1,0) +
        IF(AND(BD308&lt;&gt;"""", INDEX(rowData,1,2)=BD308),1,0) +
        IF(AND(BE308"&amp;"&lt;&gt;"""", INDEX(rowData,1,3)=BE308),1,0) +
        IF(AND(BF308&lt;&gt;"""", INDEX(rowData,1,4)=BF308),1,0) +
        IF(AND(BG308&lt;&gt;"""", INDEX(rowData,1,5)=BG308),1,0) +
        IF(AND(BH308&lt;&gt;"""", INDEX(rowData,1,6)=BH308),1,0) +
        IF(AND(BI308&lt;&gt;"""", IND"&amp;"EX(rowData,1,7)=BI308),1,0) +
        IF(AND(BJ308&lt;&gt;"""", INDEX(rowData,1,8)=BJ308),1,0)
      ) - COUNTIF(BC308:BJ308, ""-"")
        - COUNTIF(BC308:BJ308, ""固定格式，不需提供資訊"")
        - COUNTIF(BC308:BJ308, ""由MKT更新，此欄位固定格式，不需提供資訊
(Voucher CID：12917705872)"&amp;""")
        - COUNTIF(BC308:BJ308, ""text固定為以下：
※直播間僅支援手機版"")
        - COUNTIF(BC308:BJ308, ""text固定為以下：
※短影音僅支援手機版"")
    )
  ), 
  0
)
"),0)</f>
        <v>0</v>
      </c>
      <c r="BM308" s="77" t="b">
        <v>0</v>
      </c>
      <c r="BN308" s="85"/>
      <c r="BO308" s="85"/>
    </row>
    <row r="309" spans="1:67" ht="30" customHeight="1">
      <c r="A309" s="73" t="str">
        <f t="array" aca="1" ref="A309" ca="1">IFERROR(TRANSPOSE(INDIRECT('MS section版配(Old)'!$AO309)),"")</f>
        <v/>
      </c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8"/>
      <c r="P309" s="88"/>
      <c r="Q309" s="88"/>
      <c r="R309" s="88"/>
      <c r="S309" s="88"/>
      <c r="T309" s="88"/>
      <c r="U309" s="88"/>
      <c r="V309" s="88"/>
      <c r="W309" s="88"/>
      <c r="X309" s="88"/>
      <c r="Y309" s="88"/>
      <c r="Z309" s="88"/>
      <c r="AA309" s="88"/>
      <c r="AB309" s="88"/>
      <c r="AC309" s="88"/>
      <c r="AD309" s="88"/>
      <c r="AE309" s="397" t="str">
        <f>IFERROR(VLOOKUP($AQ309,'(勿動)組件目錄表'!$D$15:$R$1094,4,FALSE),"")</f>
        <v/>
      </c>
      <c r="AF309" s="384"/>
      <c r="AG309" s="384"/>
      <c r="AH309" s="384"/>
      <c r="AI309" s="384"/>
      <c r="AJ309" s="385"/>
      <c r="AK309" s="54" t="b">
        <v>0</v>
      </c>
      <c r="AL309" s="54" t="b">
        <v>0</v>
      </c>
      <c r="AM309" s="54"/>
      <c r="AN309" s="7" t="str">
        <v>301</v>
      </c>
      <c r="AO309" s="7"/>
      <c r="AP309" s="62"/>
      <c r="AQ309" s="75" t="str">
        <v/>
      </c>
      <c r="AR309" s="75" t="str">
        <v>-</v>
      </c>
      <c r="AS309" s="11"/>
      <c r="AT309" s="77" t="str">
        <v>-</v>
      </c>
      <c r="AU309" s="11" t="str">
        <v>-</v>
      </c>
      <c r="AV309" s="100"/>
      <c r="AW309" s="80" t="str">
        <f ca="1"/>
        <v>-</v>
      </c>
      <c r="AX309" s="86" t="b">
        <v>0</v>
      </c>
      <c r="AY309" s="68" t="str">
        <f t="shared" si="4"/>
        <v/>
      </c>
      <c r="AZ309" s="69" t="str">
        <f t="shared" si="5"/>
        <v/>
      </c>
      <c r="BA309" s="70" t="str">
        <f t="shared" si="6"/>
        <v/>
      </c>
      <c r="BB309" s="68" t="str">
        <f t="shared" si="7"/>
        <v/>
      </c>
      <c r="BC309" s="69" t="str">
        <f>IFERROR(VLOOKUP($AQ309,'(勿動)組件目錄表'!$D$15:$R$1094,7,FALSE),"")</f>
        <v/>
      </c>
      <c r="BD309" s="69" t="str">
        <f>IFERROR(VLOOKUP($AQ309,'(勿動)組件目錄表'!$D$15:$R$1094,8,FALSE),"")</f>
        <v/>
      </c>
      <c r="BE309" s="69" t="str">
        <f>IFERROR(VLOOKUP($AQ309,'(勿動)組件目錄表'!$D$15:$R$1094,9,FALSE),"")</f>
        <v/>
      </c>
      <c r="BF309" s="69" t="str">
        <f>IFERROR(VLOOKUP($AQ309,'(勿動)組件目錄表'!$D$15:$R$1094,10,FALSE),"")</f>
        <v/>
      </c>
      <c r="BG309" s="69" t="str">
        <f>IFERROR(VLOOKUP($AQ309,'(勿動)組件目錄表'!$D$15:$R$1094,11,FALSE),"")</f>
        <v/>
      </c>
      <c r="BH309" s="69" t="str">
        <f>IFERROR(VLOOKUP($AQ309,'(勿動)組件目錄表'!$D$15:$R$1094,12,FALSE),"")</f>
        <v/>
      </c>
      <c r="BI309" s="69" t="str">
        <f>IFERROR(VLOOKUP($AQ309,'(勿動)組件目錄表'!$D$15:$R$1094,13,FALSE),"")</f>
        <v/>
      </c>
      <c r="BJ309" s="69" t="str">
        <f>IFERROR(VLOOKUP($AQ309,'(勿動)組件目錄表'!$D$15:$R$1094,14,FALSE),"")</f>
        <v/>
      </c>
      <c r="BK309" s="69" t="str">
        <f>IFERROR(VLOOKUP($AQ309,'(勿動)組件目錄表'!$D$15:$R$1094,15,FALSE),"")</f>
        <v/>
      </c>
      <c r="BL309" s="81">
        <f ca="1">IFERROR(__xludf.DUMMYFUNCTION("IFERROR(
  LET(
    rowData, FILTER('(勿動)組件目錄表'!J:Q, '(勿動)組件目錄表'!D:D=AQ309),
    IF(ROWS(rowData)=0, 0, 
      (
        IF(AND(BC309&lt;&gt;"""", INDEX(rowData,1,1)=BC309),1,0) +
        IF(AND(BD309&lt;&gt;"""", INDEX(rowData,1,2)=BD309),1,0) +
        IF(AND(BE309"&amp;"&lt;&gt;"""", INDEX(rowData,1,3)=BE309),1,0) +
        IF(AND(BF309&lt;&gt;"""", INDEX(rowData,1,4)=BF309),1,0) +
        IF(AND(BG309&lt;&gt;"""", INDEX(rowData,1,5)=BG309),1,0) +
        IF(AND(BH309&lt;&gt;"""", INDEX(rowData,1,6)=BH309),1,0) +
        IF(AND(BI309&lt;&gt;"""", IND"&amp;"EX(rowData,1,7)=BI309),1,0) +
        IF(AND(BJ309&lt;&gt;"""", INDEX(rowData,1,8)=BJ309),1,0)
      ) - COUNTIF(BC309:BJ309, ""-"")
        - COUNTIF(BC309:BJ309, ""固定格式，不需提供資訊"")
        - COUNTIF(BC309:BJ309, ""由MKT更新，此欄位固定格式，不需提供資訊
(Voucher CID：12917705872)"&amp;""")
        - COUNTIF(BC309:BJ309, ""text固定為以下：
※直播間僅支援手機版"")
        - COUNTIF(BC309:BJ309, ""text固定為以下：
※短影音僅支援手機版"")
    )
  ), 
  0
)
"),0)</f>
        <v>0</v>
      </c>
      <c r="BM309" s="77" t="b">
        <v>0</v>
      </c>
      <c r="BN309" s="85"/>
      <c r="BO309" s="85"/>
    </row>
    <row r="310" spans="1:67" ht="30" customHeight="1">
      <c r="A310" s="73" t="str">
        <f t="array" aca="1" ref="A310" ca="1">IFERROR(TRANSPOSE(INDIRECT('MS section版配(Old)'!$AO310)),"")</f>
        <v/>
      </c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8"/>
      <c r="P310" s="88"/>
      <c r="Q310" s="88"/>
      <c r="R310" s="88"/>
      <c r="S310" s="88"/>
      <c r="T310" s="88"/>
      <c r="U310" s="88"/>
      <c r="V310" s="88"/>
      <c r="W310" s="88"/>
      <c r="X310" s="88"/>
      <c r="Y310" s="88"/>
      <c r="Z310" s="88"/>
      <c r="AA310" s="88"/>
      <c r="AB310" s="88"/>
      <c r="AC310" s="88"/>
      <c r="AD310" s="88"/>
      <c r="AE310" s="397" t="str">
        <f>IFERROR(VLOOKUP($AQ310,'(勿動)組件目錄表'!$D$15:$R$1094,4,FALSE),"")</f>
        <v/>
      </c>
      <c r="AF310" s="384"/>
      <c r="AG310" s="384"/>
      <c r="AH310" s="384"/>
      <c r="AI310" s="384"/>
      <c r="AJ310" s="385"/>
      <c r="AK310" s="54" t="b">
        <v>0</v>
      </c>
      <c r="AL310" s="54" t="b">
        <v>0</v>
      </c>
      <c r="AM310" s="54"/>
      <c r="AN310" s="7" t="str">
        <v>302</v>
      </c>
      <c r="AO310" s="7"/>
      <c r="AP310" s="62"/>
      <c r="AQ310" s="75" t="str">
        <v/>
      </c>
      <c r="AR310" s="75" t="str">
        <v>-</v>
      </c>
      <c r="AS310" s="11"/>
      <c r="AT310" s="77" t="str">
        <v>-</v>
      </c>
      <c r="AU310" s="11" t="str">
        <v>-</v>
      </c>
      <c r="AV310" s="100"/>
      <c r="AW310" s="80" t="str">
        <f ca="1"/>
        <v>-</v>
      </c>
      <c r="AX310" s="80" t="b">
        <v>0</v>
      </c>
      <c r="AY310" s="68" t="str">
        <f t="shared" si="4"/>
        <v/>
      </c>
      <c r="AZ310" s="69" t="str">
        <f t="shared" si="5"/>
        <v/>
      </c>
      <c r="BA310" s="70" t="str">
        <f t="shared" si="6"/>
        <v/>
      </c>
      <c r="BB310" s="68" t="str">
        <f t="shared" si="7"/>
        <v/>
      </c>
      <c r="BC310" s="69" t="str">
        <f>IFERROR(VLOOKUP($AQ310,'(勿動)組件目錄表'!$D$15:$R$1094,7,FALSE),"")</f>
        <v/>
      </c>
      <c r="BD310" s="69" t="str">
        <f>IFERROR(VLOOKUP($AQ310,'(勿動)組件目錄表'!$D$15:$R$1094,8,FALSE),"")</f>
        <v/>
      </c>
      <c r="BE310" s="69" t="str">
        <f>IFERROR(VLOOKUP($AQ310,'(勿動)組件目錄表'!$D$15:$R$1094,9,FALSE),"")</f>
        <v/>
      </c>
      <c r="BF310" s="69" t="str">
        <f>IFERROR(VLOOKUP($AQ310,'(勿動)組件目錄表'!$D$15:$R$1094,10,FALSE),"")</f>
        <v/>
      </c>
      <c r="BG310" s="69" t="str">
        <f>IFERROR(VLOOKUP($AQ310,'(勿動)組件目錄表'!$D$15:$R$1094,11,FALSE),"")</f>
        <v/>
      </c>
      <c r="BH310" s="69" t="str">
        <f>IFERROR(VLOOKUP($AQ310,'(勿動)組件目錄表'!$D$15:$R$1094,12,FALSE),"")</f>
        <v/>
      </c>
      <c r="BI310" s="69" t="str">
        <f>IFERROR(VLOOKUP($AQ310,'(勿動)組件目錄表'!$D$15:$R$1094,13,FALSE),"")</f>
        <v/>
      </c>
      <c r="BJ310" s="69" t="str">
        <f>IFERROR(VLOOKUP($AQ310,'(勿動)組件目錄表'!$D$15:$R$1094,14,FALSE),"")</f>
        <v/>
      </c>
      <c r="BK310" s="69" t="str">
        <f>IFERROR(VLOOKUP($AQ310,'(勿動)組件目錄表'!$D$15:$R$1094,15,FALSE),"")</f>
        <v/>
      </c>
      <c r="BL310" s="81">
        <f ca="1">IFERROR(__xludf.DUMMYFUNCTION("IFERROR(
  LET(
    rowData, FILTER('(勿動)組件目錄表'!J:Q, '(勿動)組件目錄表'!D:D=AQ310),
    IF(ROWS(rowData)=0, 0, 
      (
        IF(AND(BC310&lt;&gt;"""", INDEX(rowData,1,1)=BC310),1,0) +
        IF(AND(BD310&lt;&gt;"""", INDEX(rowData,1,2)=BD310),1,0) +
        IF(AND(BE310"&amp;"&lt;&gt;"""", INDEX(rowData,1,3)=BE310),1,0) +
        IF(AND(BF310&lt;&gt;"""", INDEX(rowData,1,4)=BF310),1,0) +
        IF(AND(BG310&lt;&gt;"""", INDEX(rowData,1,5)=BG310),1,0) +
        IF(AND(BH310&lt;&gt;"""", INDEX(rowData,1,6)=BH310),1,0) +
        IF(AND(BI310&lt;&gt;"""", IND"&amp;"EX(rowData,1,7)=BI310),1,0) +
        IF(AND(BJ310&lt;&gt;"""", INDEX(rowData,1,8)=BJ310),1,0)
      ) - COUNTIF(BC310:BJ310, ""-"")
        - COUNTIF(BC310:BJ310, ""固定格式，不需提供資訊"")
        - COUNTIF(BC310:BJ310, ""由MKT更新，此欄位固定格式，不需提供資訊
(Voucher CID：12917705872)"&amp;""")
        - COUNTIF(BC310:BJ310, ""text固定為以下：
※直播間僅支援手機版"")
        - COUNTIF(BC310:BJ310, ""text固定為以下：
※短影音僅支援手機版"")
    )
  ), 
  0
)
"),0)</f>
        <v>0</v>
      </c>
      <c r="BM310" s="77" t="b">
        <v>0</v>
      </c>
      <c r="BN310" s="85"/>
      <c r="BO310" s="85"/>
    </row>
    <row r="311" spans="1:67" ht="30" customHeight="1">
      <c r="A311" s="73" t="str">
        <f t="array" aca="1" ref="A311" ca="1">IFERROR(TRANSPOSE(INDIRECT('MS section版配(Old)'!$AO311)),"")</f>
        <v/>
      </c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8"/>
      <c r="P311" s="88"/>
      <c r="Q311" s="88"/>
      <c r="R311" s="88"/>
      <c r="S311" s="88"/>
      <c r="T311" s="88"/>
      <c r="U311" s="88"/>
      <c r="V311" s="88"/>
      <c r="W311" s="88"/>
      <c r="X311" s="88"/>
      <c r="Y311" s="88"/>
      <c r="Z311" s="88"/>
      <c r="AA311" s="88"/>
      <c r="AB311" s="88"/>
      <c r="AC311" s="88"/>
      <c r="AD311" s="88"/>
      <c r="AE311" s="397" t="str">
        <f>IFERROR(VLOOKUP($AQ311,'(勿動)組件目錄表'!$D$15:$R$1094,4,FALSE),"")</f>
        <v/>
      </c>
      <c r="AF311" s="384"/>
      <c r="AG311" s="384"/>
      <c r="AH311" s="384"/>
      <c r="AI311" s="384"/>
      <c r="AJ311" s="385"/>
      <c r="AK311" s="54" t="b">
        <v>0</v>
      </c>
      <c r="AL311" s="54" t="b">
        <v>0</v>
      </c>
      <c r="AM311" s="54"/>
      <c r="AN311" s="7" t="str">
        <v>303</v>
      </c>
      <c r="AO311" s="7"/>
      <c r="AP311" s="62"/>
      <c r="AQ311" s="75" t="str">
        <v/>
      </c>
      <c r="AR311" s="75" t="str">
        <v>-</v>
      </c>
      <c r="AS311" s="11"/>
      <c r="AT311" s="77" t="str">
        <v>-</v>
      </c>
      <c r="AU311" s="11" t="str">
        <v>-</v>
      </c>
      <c r="AV311" s="100"/>
      <c r="AW311" s="80" t="str">
        <f ca="1"/>
        <v>-</v>
      </c>
      <c r="AX311" s="80" t="b">
        <v>0</v>
      </c>
      <c r="AY311" s="68" t="str">
        <f t="shared" si="4"/>
        <v/>
      </c>
      <c r="AZ311" s="69" t="str">
        <f t="shared" si="5"/>
        <v/>
      </c>
      <c r="BA311" s="70" t="str">
        <f t="shared" si="6"/>
        <v/>
      </c>
      <c r="BB311" s="68" t="str">
        <f t="shared" si="7"/>
        <v/>
      </c>
      <c r="BC311" s="69" t="str">
        <f>IFERROR(VLOOKUP($AQ311,'(勿動)組件目錄表'!$D$15:$R$1094,7,FALSE),"")</f>
        <v/>
      </c>
      <c r="BD311" s="69" t="str">
        <f>IFERROR(VLOOKUP($AQ311,'(勿動)組件目錄表'!$D$15:$R$1094,8,FALSE),"")</f>
        <v/>
      </c>
      <c r="BE311" s="69" t="str">
        <f>IFERROR(VLOOKUP($AQ311,'(勿動)組件目錄表'!$D$15:$R$1094,9,FALSE),"")</f>
        <v/>
      </c>
      <c r="BF311" s="69" t="str">
        <f>IFERROR(VLOOKUP($AQ311,'(勿動)組件目錄表'!$D$15:$R$1094,10,FALSE),"")</f>
        <v/>
      </c>
      <c r="BG311" s="69" t="str">
        <f>IFERROR(VLOOKUP($AQ311,'(勿動)組件目錄表'!$D$15:$R$1094,11,FALSE),"")</f>
        <v/>
      </c>
      <c r="BH311" s="69" t="str">
        <f>IFERROR(VLOOKUP($AQ311,'(勿動)組件目錄表'!$D$15:$R$1094,12,FALSE),"")</f>
        <v/>
      </c>
      <c r="BI311" s="69" t="str">
        <f>IFERROR(VLOOKUP($AQ311,'(勿動)組件目錄表'!$D$15:$R$1094,13,FALSE),"")</f>
        <v/>
      </c>
      <c r="BJ311" s="69" t="str">
        <f>IFERROR(VLOOKUP($AQ311,'(勿動)組件目錄表'!$D$15:$R$1094,14,FALSE),"")</f>
        <v/>
      </c>
      <c r="BK311" s="69" t="str">
        <f>IFERROR(VLOOKUP($AQ311,'(勿動)組件目錄表'!$D$15:$R$1094,15,FALSE),"")</f>
        <v/>
      </c>
      <c r="BL311" s="81">
        <f ca="1">IFERROR(__xludf.DUMMYFUNCTION("IFERROR(
  LET(
    rowData, FILTER('(勿動)組件目錄表'!J:Q, '(勿動)組件目錄表'!D:D=AQ311),
    IF(ROWS(rowData)=0, 0, 
      (
        IF(AND(BC311&lt;&gt;"""", INDEX(rowData,1,1)=BC311),1,0) +
        IF(AND(BD311&lt;&gt;"""", INDEX(rowData,1,2)=BD311),1,0) +
        IF(AND(BE311"&amp;"&lt;&gt;"""", INDEX(rowData,1,3)=BE311),1,0) +
        IF(AND(BF311&lt;&gt;"""", INDEX(rowData,1,4)=BF311),1,0) +
        IF(AND(BG311&lt;&gt;"""", INDEX(rowData,1,5)=BG311),1,0) +
        IF(AND(BH311&lt;&gt;"""", INDEX(rowData,1,6)=BH311),1,0) +
        IF(AND(BI311&lt;&gt;"""", IND"&amp;"EX(rowData,1,7)=BI311),1,0) +
        IF(AND(BJ311&lt;&gt;"""", INDEX(rowData,1,8)=BJ311),1,0)
      ) - COUNTIF(BC311:BJ311, ""-"")
        - COUNTIF(BC311:BJ311, ""固定格式，不需提供資訊"")
        - COUNTIF(BC311:BJ311, ""由MKT更新，此欄位固定格式，不需提供資訊
(Voucher CID：12917705872)"&amp;""")
        - COUNTIF(BC311:BJ311, ""text固定為以下：
※直播間僅支援手機版"")
        - COUNTIF(BC311:BJ311, ""text固定為以下：
※短影音僅支援手機版"")
    )
  ), 
  0
)
"),0)</f>
        <v>0</v>
      </c>
      <c r="BM311" s="77" t="b">
        <v>0</v>
      </c>
      <c r="BN311" s="85"/>
      <c r="BO311" s="85"/>
    </row>
    <row r="312" spans="1:67" ht="30" customHeight="1">
      <c r="A312" s="73" t="str">
        <f t="array" aca="1" ref="A312" ca="1">IFERROR(TRANSPOSE(INDIRECT('MS section版配(Old)'!$AO312)),"")</f>
        <v/>
      </c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8"/>
      <c r="P312" s="88"/>
      <c r="Q312" s="88"/>
      <c r="R312" s="88"/>
      <c r="S312" s="88"/>
      <c r="T312" s="88"/>
      <c r="U312" s="88"/>
      <c r="V312" s="88"/>
      <c r="W312" s="88"/>
      <c r="X312" s="88"/>
      <c r="Y312" s="88"/>
      <c r="Z312" s="88"/>
      <c r="AA312" s="88"/>
      <c r="AB312" s="88"/>
      <c r="AC312" s="88"/>
      <c r="AD312" s="88"/>
      <c r="AE312" s="397" t="str">
        <f>IFERROR(VLOOKUP($AQ312,'(勿動)組件目錄表'!$D$15:$R$1094,4,FALSE),"")</f>
        <v/>
      </c>
      <c r="AF312" s="384"/>
      <c r="AG312" s="384"/>
      <c r="AH312" s="384"/>
      <c r="AI312" s="384"/>
      <c r="AJ312" s="385"/>
      <c r="AK312" s="54" t="b">
        <v>0</v>
      </c>
      <c r="AL312" s="54" t="b">
        <v>0</v>
      </c>
      <c r="AM312" s="54"/>
      <c r="AN312" s="7" t="str">
        <v>304</v>
      </c>
      <c r="AO312" s="7"/>
      <c r="AP312" s="62"/>
      <c r="AQ312" s="75" t="str">
        <v/>
      </c>
      <c r="AR312" s="75" t="str">
        <v>-</v>
      </c>
      <c r="AS312" s="11"/>
      <c r="AT312" s="77" t="str">
        <v>-</v>
      </c>
      <c r="AU312" s="11" t="str">
        <v>-</v>
      </c>
      <c r="AV312" s="100"/>
      <c r="AW312" s="80" t="str">
        <f ca="1"/>
        <v>-</v>
      </c>
      <c r="AX312" s="80" t="b">
        <v>0</v>
      </c>
      <c r="AY312" s="68" t="str">
        <f t="shared" si="4"/>
        <v/>
      </c>
      <c r="AZ312" s="69" t="str">
        <f t="shared" si="5"/>
        <v/>
      </c>
      <c r="BA312" s="70" t="str">
        <f t="shared" si="6"/>
        <v/>
      </c>
      <c r="BB312" s="68" t="str">
        <f t="shared" si="7"/>
        <v/>
      </c>
      <c r="BC312" s="69" t="str">
        <f>IFERROR(VLOOKUP($AQ312,'(勿動)組件目錄表'!$D$15:$R$1094,7,FALSE),"")</f>
        <v/>
      </c>
      <c r="BD312" s="69" t="str">
        <f>IFERROR(VLOOKUP($AQ312,'(勿動)組件目錄表'!$D$15:$R$1094,8,FALSE),"")</f>
        <v/>
      </c>
      <c r="BE312" s="69" t="str">
        <f>IFERROR(VLOOKUP($AQ312,'(勿動)組件目錄表'!$D$15:$R$1094,9,FALSE),"")</f>
        <v/>
      </c>
      <c r="BF312" s="69" t="str">
        <f>IFERROR(VLOOKUP($AQ312,'(勿動)組件目錄表'!$D$15:$R$1094,10,FALSE),"")</f>
        <v/>
      </c>
      <c r="BG312" s="69" t="str">
        <f>IFERROR(VLOOKUP($AQ312,'(勿動)組件目錄表'!$D$15:$R$1094,11,FALSE),"")</f>
        <v/>
      </c>
      <c r="BH312" s="69" t="str">
        <f>IFERROR(VLOOKUP($AQ312,'(勿動)組件目錄表'!$D$15:$R$1094,12,FALSE),"")</f>
        <v/>
      </c>
      <c r="BI312" s="69" t="str">
        <f>IFERROR(VLOOKUP($AQ312,'(勿動)組件目錄表'!$D$15:$R$1094,13,FALSE),"")</f>
        <v/>
      </c>
      <c r="BJ312" s="69" t="str">
        <f>IFERROR(VLOOKUP($AQ312,'(勿動)組件目錄表'!$D$15:$R$1094,14,FALSE),"")</f>
        <v/>
      </c>
      <c r="BK312" s="69" t="str">
        <f>IFERROR(VLOOKUP($AQ312,'(勿動)組件目錄表'!$D$15:$R$1094,15,FALSE),"")</f>
        <v/>
      </c>
      <c r="BL312" s="81">
        <f ca="1">IFERROR(__xludf.DUMMYFUNCTION("IFERROR(
  LET(
    rowData, FILTER('(勿動)組件目錄表'!J:Q, '(勿動)組件目錄表'!D:D=AQ312),
    IF(ROWS(rowData)=0, 0, 
      (
        IF(AND(BC312&lt;&gt;"""", INDEX(rowData,1,1)=BC312),1,0) +
        IF(AND(BD312&lt;&gt;"""", INDEX(rowData,1,2)=BD312),1,0) +
        IF(AND(BE312"&amp;"&lt;&gt;"""", INDEX(rowData,1,3)=BE312),1,0) +
        IF(AND(BF312&lt;&gt;"""", INDEX(rowData,1,4)=BF312),1,0) +
        IF(AND(BG312&lt;&gt;"""", INDEX(rowData,1,5)=BG312),1,0) +
        IF(AND(BH312&lt;&gt;"""", INDEX(rowData,1,6)=BH312),1,0) +
        IF(AND(BI312&lt;&gt;"""", IND"&amp;"EX(rowData,1,7)=BI312),1,0) +
        IF(AND(BJ312&lt;&gt;"""", INDEX(rowData,1,8)=BJ312),1,0)
      ) - COUNTIF(BC312:BJ312, ""-"")
        - COUNTIF(BC312:BJ312, ""固定格式，不需提供資訊"")
        - COUNTIF(BC312:BJ312, ""由MKT更新，此欄位固定格式，不需提供資訊
(Voucher CID：12917705872)"&amp;""")
        - COUNTIF(BC312:BJ312, ""text固定為以下：
※直播間僅支援手機版"")
        - COUNTIF(BC312:BJ312, ""text固定為以下：
※短影音僅支援手機版"")
    )
  ), 
  0
)
"),0)</f>
        <v>0</v>
      </c>
      <c r="BM312" s="77" t="b">
        <v>0</v>
      </c>
      <c r="BN312" s="85"/>
      <c r="BO312" s="85"/>
    </row>
    <row r="313" spans="1:67" ht="30" customHeight="1">
      <c r="A313" s="73" t="str">
        <f t="array" aca="1" ref="A313" ca="1">IFERROR(TRANSPOSE(INDIRECT('MS section版配(Old)'!$AO313)),"")</f>
        <v/>
      </c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8"/>
      <c r="P313" s="88"/>
      <c r="Q313" s="88"/>
      <c r="R313" s="88"/>
      <c r="S313" s="88"/>
      <c r="T313" s="88"/>
      <c r="U313" s="88"/>
      <c r="V313" s="88"/>
      <c r="W313" s="88"/>
      <c r="X313" s="88"/>
      <c r="Y313" s="88"/>
      <c r="Z313" s="88"/>
      <c r="AA313" s="88"/>
      <c r="AB313" s="88"/>
      <c r="AC313" s="88"/>
      <c r="AD313" s="88"/>
      <c r="AE313" s="397" t="str">
        <f>IFERROR(VLOOKUP($AQ313,'(勿動)組件目錄表'!$D$15:$R$1094,4,FALSE),"")</f>
        <v/>
      </c>
      <c r="AF313" s="384"/>
      <c r="AG313" s="384"/>
      <c r="AH313" s="384"/>
      <c r="AI313" s="384"/>
      <c r="AJ313" s="385"/>
      <c r="AK313" s="54" t="b">
        <v>0</v>
      </c>
      <c r="AL313" s="54" t="b">
        <v>0</v>
      </c>
      <c r="AM313" s="54"/>
      <c r="AN313" s="7" t="str">
        <v>305</v>
      </c>
      <c r="AO313" s="7"/>
      <c r="AP313" s="62"/>
      <c r="AQ313" s="75" t="str">
        <v/>
      </c>
      <c r="AR313" s="75" t="str">
        <v>-</v>
      </c>
      <c r="AS313" s="11"/>
      <c r="AT313" s="77" t="str">
        <v>-</v>
      </c>
      <c r="AU313" s="11" t="str">
        <v>-</v>
      </c>
      <c r="AV313" s="100"/>
      <c r="AW313" s="80" t="str">
        <f ca="1"/>
        <v>-</v>
      </c>
      <c r="AX313" s="80" t="b">
        <v>0</v>
      </c>
      <c r="AY313" s="68" t="str">
        <f t="shared" si="4"/>
        <v/>
      </c>
      <c r="AZ313" s="69" t="str">
        <f t="shared" si="5"/>
        <v/>
      </c>
      <c r="BA313" s="70" t="str">
        <f t="shared" si="6"/>
        <v/>
      </c>
      <c r="BB313" s="68" t="str">
        <f t="shared" si="7"/>
        <v/>
      </c>
      <c r="BC313" s="69" t="str">
        <f>IFERROR(VLOOKUP($AQ313,'(勿動)組件目錄表'!$D$15:$R$1094,7,FALSE),"")</f>
        <v/>
      </c>
      <c r="BD313" s="69" t="str">
        <f>IFERROR(VLOOKUP($AQ313,'(勿動)組件目錄表'!$D$15:$R$1094,8,FALSE),"")</f>
        <v/>
      </c>
      <c r="BE313" s="69" t="str">
        <f>IFERROR(VLOOKUP($AQ313,'(勿動)組件目錄表'!$D$15:$R$1094,9,FALSE),"")</f>
        <v/>
      </c>
      <c r="BF313" s="69" t="str">
        <f>IFERROR(VLOOKUP($AQ313,'(勿動)組件目錄表'!$D$15:$R$1094,10,FALSE),"")</f>
        <v/>
      </c>
      <c r="BG313" s="69" t="str">
        <f>IFERROR(VLOOKUP($AQ313,'(勿動)組件目錄表'!$D$15:$R$1094,11,FALSE),"")</f>
        <v/>
      </c>
      <c r="BH313" s="69" t="str">
        <f>IFERROR(VLOOKUP($AQ313,'(勿動)組件目錄表'!$D$15:$R$1094,12,FALSE),"")</f>
        <v/>
      </c>
      <c r="BI313" s="69" t="str">
        <f>IFERROR(VLOOKUP($AQ313,'(勿動)組件目錄表'!$D$15:$R$1094,13,FALSE),"")</f>
        <v/>
      </c>
      <c r="BJ313" s="69" t="str">
        <f>IFERROR(VLOOKUP($AQ313,'(勿動)組件目錄表'!$D$15:$R$1094,14,FALSE),"")</f>
        <v/>
      </c>
      <c r="BK313" s="69" t="str">
        <f>IFERROR(VLOOKUP($AQ313,'(勿動)組件目錄表'!$D$15:$R$1094,15,FALSE),"")</f>
        <v/>
      </c>
      <c r="BL313" s="81">
        <f ca="1">IFERROR(__xludf.DUMMYFUNCTION("IFERROR(
  LET(
    rowData, FILTER('(勿動)組件目錄表'!J:Q, '(勿動)組件目錄表'!D:D=AQ313),
    IF(ROWS(rowData)=0, 0, 
      (
        IF(AND(BC313&lt;&gt;"""", INDEX(rowData,1,1)=BC313),1,0) +
        IF(AND(BD313&lt;&gt;"""", INDEX(rowData,1,2)=BD313),1,0) +
        IF(AND(BE313"&amp;"&lt;&gt;"""", INDEX(rowData,1,3)=BE313),1,0) +
        IF(AND(BF313&lt;&gt;"""", INDEX(rowData,1,4)=BF313),1,0) +
        IF(AND(BG313&lt;&gt;"""", INDEX(rowData,1,5)=BG313),1,0) +
        IF(AND(BH313&lt;&gt;"""", INDEX(rowData,1,6)=BH313),1,0) +
        IF(AND(BI313&lt;&gt;"""", IND"&amp;"EX(rowData,1,7)=BI313),1,0) +
        IF(AND(BJ313&lt;&gt;"""", INDEX(rowData,1,8)=BJ313),1,0)
      ) - COUNTIF(BC313:BJ313, ""-"")
        - COUNTIF(BC313:BJ313, ""固定格式，不需提供資訊"")
        - COUNTIF(BC313:BJ313, ""由MKT更新，此欄位固定格式，不需提供資訊
(Voucher CID：12917705872)"&amp;""")
        - COUNTIF(BC313:BJ313, ""text固定為以下：
※直播間僅支援手機版"")
        - COUNTIF(BC313:BJ313, ""text固定為以下：
※短影音僅支援手機版"")
    )
  ), 
  0
)
"),0)</f>
        <v>0</v>
      </c>
      <c r="BM313" s="77" t="b">
        <v>0</v>
      </c>
      <c r="BN313" s="85"/>
      <c r="BO313" s="85"/>
    </row>
    <row r="314" spans="1:67" ht="30" customHeight="1">
      <c r="A314" s="73" t="str">
        <f t="array" aca="1" ref="A314" ca="1">IFERROR(TRANSPOSE(INDIRECT('MS section版配(Old)'!$AO314)),"")</f>
        <v/>
      </c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8"/>
      <c r="P314" s="88"/>
      <c r="Q314" s="88"/>
      <c r="R314" s="88"/>
      <c r="S314" s="88"/>
      <c r="T314" s="88"/>
      <c r="U314" s="88"/>
      <c r="V314" s="88"/>
      <c r="W314" s="88"/>
      <c r="X314" s="88"/>
      <c r="Y314" s="88"/>
      <c r="Z314" s="88"/>
      <c r="AA314" s="88"/>
      <c r="AB314" s="88"/>
      <c r="AC314" s="88"/>
      <c r="AD314" s="88"/>
      <c r="AE314" s="397" t="str">
        <f>IFERROR(VLOOKUP($AQ314,'(勿動)組件目錄表'!$D$15:$R$1094,4,FALSE),"")</f>
        <v/>
      </c>
      <c r="AF314" s="384"/>
      <c r="AG314" s="384"/>
      <c r="AH314" s="384"/>
      <c r="AI314" s="384"/>
      <c r="AJ314" s="385"/>
      <c r="AK314" s="54" t="b">
        <v>0</v>
      </c>
      <c r="AL314" s="54" t="b">
        <v>0</v>
      </c>
      <c r="AM314" s="54"/>
      <c r="AN314" s="7" t="str">
        <v>306</v>
      </c>
      <c r="AO314" s="7"/>
      <c r="AP314" s="62"/>
      <c r="AQ314" s="75" t="str">
        <v/>
      </c>
      <c r="AR314" s="75" t="str">
        <v>-</v>
      </c>
      <c r="AS314" s="11"/>
      <c r="AT314" s="77" t="str">
        <v>-</v>
      </c>
      <c r="AU314" s="11" t="str">
        <v>-</v>
      </c>
      <c r="AV314" s="100"/>
      <c r="AW314" s="80" t="str">
        <f ca="1"/>
        <v>-</v>
      </c>
      <c r="AX314" s="80" t="b">
        <v>0</v>
      </c>
      <c r="AY314" s="68" t="str">
        <f t="shared" si="4"/>
        <v/>
      </c>
      <c r="AZ314" s="69" t="str">
        <f t="shared" si="5"/>
        <v/>
      </c>
      <c r="BA314" s="70" t="str">
        <f t="shared" si="6"/>
        <v/>
      </c>
      <c r="BB314" s="68" t="str">
        <f t="shared" si="7"/>
        <v/>
      </c>
      <c r="BC314" s="69" t="str">
        <f>IFERROR(VLOOKUP($AQ314,'(勿動)組件目錄表'!$D$15:$R$1094,7,FALSE),"")</f>
        <v/>
      </c>
      <c r="BD314" s="69" t="str">
        <f>IFERROR(VLOOKUP($AQ314,'(勿動)組件目錄表'!$D$15:$R$1094,8,FALSE),"")</f>
        <v/>
      </c>
      <c r="BE314" s="69" t="str">
        <f>IFERROR(VLOOKUP($AQ314,'(勿動)組件目錄表'!$D$15:$R$1094,9,FALSE),"")</f>
        <v/>
      </c>
      <c r="BF314" s="69" t="str">
        <f>IFERROR(VLOOKUP($AQ314,'(勿動)組件目錄表'!$D$15:$R$1094,10,FALSE),"")</f>
        <v/>
      </c>
      <c r="BG314" s="69" t="str">
        <f>IFERROR(VLOOKUP($AQ314,'(勿動)組件目錄表'!$D$15:$R$1094,11,FALSE),"")</f>
        <v/>
      </c>
      <c r="BH314" s="69" t="str">
        <f>IFERROR(VLOOKUP($AQ314,'(勿動)組件目錄表'!$D$15:$R$1094,12,FALSE),"")</f>
        <v/>
      </c>
      <c r="BI314" s="69" t="str">
        <f>IFERROR(VLOOKUP($AQ314,'(勿動)組件目錄表'!$D$15:$R$1094,13,FALSE),"")</f>
        <v/>
      </c>
      <c r="BJ314" s="69" t="str">
        <f>IFERROR(VLOOKUP($AQ314,'(勿動)組件目錄表'!$D$15:$R$1094,14,FALSE),"")</f>
        <v/>
      </c>
      <c r="BK314" s="69" t="str">
        <f>IFERROR(VLOOKUP($AQ314,'(勿動)組件目錄表'!$D$15:$R$1094,15,FALSE),"")</f>
        <v/>
      </c>
      <c r="BL314" s="81">
        <f ca="1">IFERROR(__xludf.DUMMYFUNCTION("IFERROR(
  LET(
    rowData, FILTER('(勿動)組件目錄表'!J:Q, '(勿動)組件目錄表'!D:D=AQ314),
    IF(ROWS(rowData)=0, 0, 
      (
        IF(AND(BC314&lt;&gt;"""", INDEX(rowData,1,1)=BC314),1,0) +
        IF(AND(BD314&lt;&gt;"""", INDEX(rowData,1,2)=BD314),1,0) +
        IF(AND(BE314"&amp;"&lt;&gt;"""", INDEX(rowData,1,3)=BE314),1,0) +
        IF(AND(BF314&lt;&gt;"""", INDEX(rowData,1,4)=BF314),1,0) +
        IF(AND(BG314&lt;&gt;"""", INDEX(rowData,1,5)=BG314),1,0) +
        IF(AND(BH314&lt;&gt;"""", INDEX(rowData,1,6)=BH314),1,0) +
        IF(AND(BI314&lt;&gt;"""", IND"&amp;"EX(rowData,1,7)=BI314),1,0) +
        IF(AND(BJ314&lt;&gt;"""", INDEX(rowData,1,8)=BJ314),1,0)
      ) - COUNTIF(BC314:BJ314, ""-"")
        - COUNTIF(BC314:BJ314, ""固定格式，不需提供資訊"")
        - COUNTIF(BC314:BJ314, ""由MKT更新，此欄位固定格式，不需提供資訊
(Voucher CID：12917705872)"&amp;""")
        - COUNTIF(BC314:BJ314, ""text固定為以下：
※直播間僅支援手機版"")
        - COUNTIF(BC314:BJ314, ""text固定為以下：
※短影音僅支援手機版"")
    )
  ), 
  0
)
"),0)</f>
        <v>0</v>
      </c>
      <c r="BM314" s="77" t="b">
        <v>0</v>
      </c>
      <c r="BN314" s="85"/>
      <c r="BO314" s="85"/>
    </row>
    <row r="315" spans="1:67" ht="30" customHeight="1">
      <c r="A315" s="73" t="str">
        <f t="array" aca="1" ref="A315" ca="1">IFERROR(TRANSPOSE(INDIRECT('MS section版配(Old)'!$AO315)),"")</f>
        <v/>
      </c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8"/>
      <c r="P315" s="88"/>
      <c r="Q315" s="88"/>
      <c r="R315" s="88"/>
      <c r="S315" s="88"/>
      <c r="T315" s="88"/>
      <c r="U315" s="88"/>
      <c r="V315" s="88"/>
      <c r="W315" s="88"/>
      <c r="X315" s="88"/>
      <c r="Y315" s="88"/>
      <c r="Z315" s="88"/>
      <c r="AA315" s="88"/>
      <c r="AB315" s="88"/>
      <c r="AC315" s="88"/>
      <c r="AD315" s="88"/>
      <c r="AE315" s="397" t="str">
        <f>IFERROR(VLOOKUP($AQ315,'(勿動)組件目錄表'!$D$15:$R$1094,4,FALSE),"")</f>
        <v/>
      </c>
      <c r="AF315" s="384"/>
      <c r="AG315" s="384"/>
      <c r="AH315" s="384"/>
      <c r="AI315" s="384"/>
      <c r="AJ315" s="385"/>
      <c r="AK315" s="54" t="b">
        <v>0</v>
      </c>
      <c r="AL315" s="54" t="b">
        <v>0</v>
      </c>
      <c r="AM315" s="54"/>
      <c r="AN315" s="7" t="str">
        <v>307</v>
      </c>
      <c r="AO315" s="7"/>
      <c r="AP315" s="62"/>
      <c r="AQ315" s="75" t="str">
        <v/>
      </c>
      <c r="AR315" s="75" t="str">
        <v>-</v>
      </c>
      <c r="AS315" s="11"/>
      <c r="AT315" s="77" t="str">
        <v>-</v>
      </c>
      <c r="AU315" s="11" t="str">
        <v>-</v>
      </c>
      <c r="AV315" s="100"/>
      <c r="AW315" s="80" t="str">
        <f ca="1"/>
        <v>-</v>
      </c>
      <c r="AX315" s="80" t="b">
        <v>0</v>
      </c>
      <c r="AY315" s="68" t="str">
        <f t="shared" si="4"/>
        <v/>
      </c>
      <c r="AZ315" s="69" t="str">
        <f t="shared" si="5"/>
        <v/>
      </c>
      <c r="BA315" s="70" t="str">
        <f t="shared" si="6"/>
        <v/>
      </c>
      <c r="BB315" s="68" t="str">
        <f t="shared" si="7"/>
        <v/>
      </c>
      <c r="BC315" s="69" t="str">
        <f>IFERROR(VLOOKUP($AQ315,'(勿動)組件目錄表'!$D$15:$R$1094,7,FALSE),"")</f>
        <v/>
      </c>
      <c r="BD315" s="69" t="str">
        <f>IFERROR(VLOOKUP($AQ315,'(勿動)組件目錄表'!$D$15:$R$1094,8,FALSE),"")</f>
        <v/>
      </c>
      <c r="BE315" s="69" t="str">
        <f>IFERROR(VLOOKUP($AQ315,'(勿動)組件目錄表'!$D$15:$R$1094,9,FALSE),"")</f>
        <v/>
      </c>
      <c r="BF315" s="69" t="str">
        <f>IFERROR(VLOOKUP($AQ315,'(勿動)組件目錄表'!$D$15:$R$1094,10,FALSE),"")</f>
        <v/>
      </c>
      <c r="BG315" s="69" t="str">
        <f>IFERROR(VLOOKUP($AQ315,'(勿動)組件目錄表'!$D$15:$R$1094,11,FALSE),"")</f>
        <v/>
      </c>
      <c r="BH315" s="69" t="str">
        <f>IFERROR(VLOOKUP($AQ315,'(勿動)組件目錄表'!$D$15:$R$1094,12,FALSE),"")</f>
        <v/>
      </c>
      <c r="BI315" s="69" t="str">
        <f>IFERROR(VLOOKUP($AQ315,'(勿動)組件目錄表'!$D$15:$R$1094,13,FALSE),"")</f>
        <v/>
      </c>
      <c r="BJ315" s="69" t="str">
        <f>IFERROR(VLOOKUP($AQ315,'(勿動)組件目錄表'!$D$15:$R$1094,14,FALSE),"")</f>
        <v/>
      </c>
      <c r="BK315" s="69" t="str">
        <f>IFERROR(VLOOKUP($AQ315,'(勿動)組件目錄表'!$D$15:$R$1094,15,FALSE),"")</f>
        <v/>
      </c>
      <c r="BL315" s="81">
        <f ca="1">IFERROR(__xludf.DUMMYFUNCTION("IFERROR(
  LET(
    rowData, FILTER('(勿動)組件目錄表'!J:Q, '(勿動)組件目錄表'!D:D=AQ315),
    IF(ROWS(rowData)=0, 0, 
      (
        IF(AND(BC315&lt;&gt;"""", INDEX(rowData,1,1)=BC315),1,0) +
        IF(AND(BD315&lt;&gt;"""", INDEX(rowData,1,2)=BD315),1,0) +
        IF(AND(BE315"&amp;"&lt;&gt;"""", INDEX(rowData,1,3)=BE315),1,0) +
        IF(AND(BF315&lt;&gt;"""", INDEX(rowData,1,4)=BF315),1,0) +
        IF(AND(BG315&lt;&gt;"""", INDEX(rowData,1,5)=BG315),1,0) +
        IF(AND(BH315&lt;&gt;"""", INDEX(rowData,1,6)=BH315),1,0) +
        IF(AND(BI315&lt;&gt;"""", IND"&amp;"EX(rowData,1,7)=BI315),1,0) +
        IF(AND(BJ315&lt;&gt;"""", INDEX(rowData,1,8)=BJ315),1,0)
      ) - COUNTIF(BC315:BJ315, ""-"")
        - COUNTIF(BC315:BJ315, ""固定格式，不需提供資訊"")
        - COUNTIF(BC315:BJ315, ""由MKT更新，此欄位固定格式，不需提供資訊
(Voucher CID：12917705872)"&amp;""")
        - COUNTIF(BC315:BJ315, ""text固定為以下：
※直播間僅支援手機版"")
        - COUNTIF(BC315:BJ315, ""text固定為以下：
※短影音僅支援手機版"")
    )
  ), 
  0
)
"),0)</f>
        <v>0</v>
      </c>
      <c r="BM315" s="77" t="b">
        <v>0</v>
      </c>
      <c r="BN315" s="85"/>
      <c r="BO315" s="85"/>
    </row>
    <row r="316" spans="1:67" ht="30" customHeight="1">
      <c r="A316" s="73" t="str">
        <f t="array" aca="1" ref="A316" ca="1">IFERROR(TRANSPOSE(INDIRECT('MS section版配(Old)'!$AO316)),"")</f>
        <v/>
      </c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8"/>
      <c r="P316" s="88"/>
      <c r="Q316" s="88"/>
      <c r="R316" s="88"/>
      <c r="S316" s="88"/>
      <c r="T316" s="88"/>
      <c r="U316" s="88"/>
      <c r="V316" s="88"/>
      <c r="W316" s="88"/>
      <c r="X316" s="88"/>
      <c r="Y316" s="88"/>
      <c r="Z316" s="88"/>
      <c r="AA316" s="88"/>
      <c r="AB316" s="88"/>
      <c r="AC316" s="88"/>
      <c r="AD316" s="88"/>
      <c r="AE316" s="397" t="str">
        <f>IFERROR(VLOOKUP($AQ316,'(勿動)組件目錄表'!$D$15:$R$1094,4,FALSE),"")</f>
        <v/>
      </c>
      <c r="AF316" s="384"/>
      <c r="AG316" s="384"/>
      <c r="AH316" s="384"/>
      <c r="AI316" s="384"/>
      <c r="AJ316" s="385"/>
      <c r="AK316" s="54" t="b">
        <v>0</v>
      </c>
      <c r="AL316" s="54" t="b">
        <v>0</v>
      </c>
      <c r="AM316" s="54"/>
      <c r="AN316" s="7" t="str">
        <v>308</v>
      </c>
      <c r="AO316" s="7"/>
      <c r="AP316" s="62"/>
      <c r="AQ316" s="75" t="str">
        <v/>
      </c>
      <c r="AR316" s="75" t="str">
        <v>-</v>
      </c>
      <c r="AS316" s="11"/>
      <c r="AT316" s="77" t="str">
        <v>-</v>
      </c>
      <c r="AU316" s="11" t="str">
        <v>-</v>
      </c>
      <c r="AV316" s="100"/>
      <c r="AW316" s="80" t="str">
        <f ca="1"/>
        <v>-</v>
      </c>
      <c r="AX316" s="80" t="b">
        <v>0</v>
      </c>
      <c r="AY316" s="68" t="str">
        <f t="shared" si="4"/>
        <v/>
      </c>
      <c r="AZ316" s="69" t="str">
        <f t="shared" si="5"/>
        <v/>
      </c>
      <c r="BA316" s="70" t="str">
        <f t="shared" si="6"/>
        <v/>
      </c>
      <c r="BB316" s="68" t="str">
        <f t="shared" si="7"/>
        <v/>
      </c>
      <c r="BC316" s="69" t="str">
        <f>IFERROR(VLOOKUP($AQ316,'(勿動)組件目錄表'!$D$15:$R$1094,7,FALSE),"")</f>
        <v/>
      </c>
      <c r="BD316" s="69" t="str">
        <f>IFERROR(VLOOKUP($AQ316,'(勿動)組件目錄表'!$D$15:$R$1094,8,FALSE),"")</f>
        <v/>
      </c>
      <c r="BE316" s="69" t="str">
        <f>IFERROR(VLOOKUP($AQ316,'(勿動)組件目錄表'!$D$15:$R$1094,9,FALSE),"")</f>
        <v/>
      </c>
      <c r="BF316" s="69" t="str">
        <f>IFERROR(VLOOKUP($AQ316,'(勿動)組件目錄表'!$D$15:$R$1094,10,FALSE),"")</f>
        <v/>
      </c>
      <c r="BG316" s="69" t="str">
        <f>IFERROR(VLOOKUP($AQ316,'(勿動)組件目錄表'!$D$15:$R$1094,11,FALSE),"")</f>
        <v/>
      </c>
      <c r="BH316" s="69" t="str">
        <f>IFERROR(VLOOKUP($AQ316,'(勿動)組件目錄表'!$D$15:$R$1094,12,FALSE),"")</f>
        <v/>
      </c>
      <c r="BI316" s="69" t="str">
        <f>IFERROR(VLOOKUP($AQ316,'(勿動)組件目錄表'!$D$15:$R$1094,13,FALSE),"")</f>
        <v/>
      </c>
      <c r="BJ316" s="69" t="str">
        <f>IFERROR(VLOOKUP($AQ316,'(勿動)組件目錄表'!$D$15:$R$1094,14,FALSE),"")</f>
        <v/>
      </c>
      <c r="BK316" s="69" t="str">
        <f>IFERROR(VLOOKUP($AQ316,'(勿動)組件目錄表'!$D$15:$R$1094,15,FALSE),"")</f>
        <v/>
      </c>
      <c r="BL316" s="81">
        <f ca="1">IFERROR(__xludf.DUMMYFUNCTION("IFERROR(
  LET(
    rowData, FILTER('(勿動)組件目錄表'!J:Q, '(勿動)組件目錄表'!D:D=AQ316),
    IF(ROWS(rowData)=0, 0, 
      (
        IF(AND(BC316&lt;&gt;"""", INDEX(rowData,1,1)=BC316),1,0) +
        IF(AND(BD316&lt;&gt;"""", INDEX(rowData,1,2)=BD316),1,0) +
        IF(AND(BE316"&amp;"&lt;&gt;"""", INDEX(rowData,1,3)=BE316),1,0) +
        IF(AND(BF316&lt;&gt;"""", INDEX(rowData,1,4)=BF316),1,0) +
        IF(AND(BG316&lt;&gt;"""", INDEX(rowData,1,5)=BG316),1,0) +
        IF(AND(BH316&lt;&gt;"""", INDEX(rowData,1,6)=BH316),1,0) +
        IF(AND(BI316&lt;&gt;"""", IND"&amp;"EX(rowData,1,7)=BI316),1,0) +
        IF(AND(BJ316&lt;&gt;"""", INDEX(rowData,1,8)=BJ316),1,0)
      ) - COUNTIF(BC316:BJ316, ""-"")
        - COUNTIF(BC316:BJ316, ""固定格式，不需提供資訊"")
        - COUNTIF(BC316:BJ316, ""由MKT更新，此欄位固定格式，不需提供資訊
(Voucher CID：12917705872)"&amp;""")
        - COUNTIF(BC316:BJ316, ""text固定為以下：
※直播間僅支援手機版"")
        - COUNTIF(BC316:BJ316, ""text固定為以下：
※短影音僅支援手機版"")
    )
  ), 
  0
)
"),0)</f>
        <v>0</v>
      </c>
      <c r="BM316" s="77" t="b">
        <v>0</v>
      </c>
      <c r="BN316" s="85"/>
      <c r="BO316" s="85"/>
    </row>
    <row r="317" spans="1:67" ht="30" customHeight="1">
      <c r="A317" s="73" t="str">
        <f t="array" aca="1" ref="A317" ca="1">IFERROR(TRANSPOSE(INDIRECT('MS section版配(Old)'!$AO317)),"")</f>
        <v/>
      </c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8"/>
      <c r="P317" s="88"/>
      <c r="Q317" s="88"/>
      <c r="R317" s="88"/>
      <c r="S317" s="88"/>
      <c r="T317" s="88"/>
      <c r="U317" s="88"/>
      <c r="V317" s="88"/>
      <c r="W317" s="88"/>
      <c r="X317" s="88"/>
      <c r="Y317" s="88"/>
      <c r="Z317" s="88"/>
      <c r="AA317" s="88"/>
      <c r="AB317" s="88"/>
      <c r="AC317" s="88"/>
      <c r="AD317" s="88"/>
      <c r="AE317" s="397" t="str">
        <f>IFERROR(VLOOKUP($AQ317,'(勿動)組件目錄表'!$D$15:$R$1094,4,FALSE),"")</f>
        <v/>
      </c>
      <c r="AF317" s="384"/>
      <c r="AG317" s="384"/>
      <c r="AH317" s="384"/>
      <c r="AI317" s="384"/>
      <c r="AJ317" s="385"/>
      <c r="AK317" s="54" t="b">
        <v>0</v>
      </c>
      <c r="AL317" s="54" t="b">
        <v>0</v>
      </c>
      <c r="AM317" s="54"/>
      <c r="AN317" s="7" t="str">
        <v>309</v>
      </c>
      <c r="AO317" s="7"/>
      <c r="AP317" s="62"/>
      <c r="AQ317" s="75" t="str">
        <v/>
      </c>
      <c r="AR317" s="75" t="str">
        <v>-</v>
      </c>
      <c r="AS317" s="11"/>
      <c r="AT317" s="77" t="str">
        <v>-</v>
      </c>
      <c r="AU317" s="11" t="str">
        <v>-</v>
      </c>
      <c r="AV317" s="100"/>
      <c r="AW317" s="80" t="str">
        <f ca="1"/>
        <v>-</v>
      </c>
      <c r="AX317" s="80" t="b">
        <v>0</v>
      </c>
      <c r="AY317" s="68" t="str">
        <f t="shared" si="4"/>
        <v/>
      </c>
      <c r="AZ317" s="69" t="str">
        <f t="shared" si="5"/>
        <v/>
      </c>
      <c r="BA317" s="70" t="str">
        <f t="shared" si="6"/>
        <v/>
      </c>
      <c r="BB317" s="68" t="str">
        <f t="shared" si="7"/>
        <v/>
      </c>
      <c r="BC317" s="69" t="str">
        <f>IFERROR(VLOOKUP($AQ317,'(勿動)組件目錄表'!$D$15:$R$1094,7,FALSE),"")</f>
        <v/>
      </c>
      <c r="BD317" s="69" t="str">
        <f>IFERROR(VLOOKUP($AQ317,'(勿動)組件目錄表'!$D$15:$R$1094,8,FALSE),"")</f>
        <v/>
      </c>
      <c r="BE317" s="69" t="str">
        <f>IFERROR(VLOOKUP($AQ317,'(勿動)組件目錄表'!$D$15:$R$1094,9,FALSE),"")</f>
        <v/>
      </c>
      <c r="BF317" s="69" t="str">
        <f>IFERROR(VLOOKUP($AQ317,'(勿動)組件目錄表'!$D$15:$R$1094,10,FALSE),"")</f>
        <v/>
      </c>
      <c r="BG317" s="69" t="str">
        <f>IFERROR(VLOOKUP($AQ317,'(勿動)組件目錄表'!$D$15:$R$1094,11,FALSE),"")</f>
        <v/>
      </c>
      <c r="BH317" s="69" t="str">
        <f>IFERROR(VLOOKUP($AQ317,'(勿動)組件目錄表'!$D$15:$R$1094,12,FALSE),"")</f>
        <v/>
      </c>
      <c r="BI317" s="69" t="str">
        <f>IFERROR(VLOOKUP($AQ317,'(勿動)組件目錄表'!$D$15:$R$1094,13,FALSE),"")</f>
        <v/>
      </c>
      <c r="BJ317" s="69" t="str">
        <f>IFERROR(VLOOKUP($AQ317,'(勿動)組件目錄表'!$D$15:$R$1094,14,FALSE),"")</f>
        <v/>
      </c>
      <c r="BK317" s="69" t="str">
        <f>IFERROR(VLOOKUP($AQ317,'(勿動)組件目錄表'!$D$15:$R$1094,15,FALSE),"")</f>
        <v/>
      </c>
      <c r="BL317" s="81">
        <f ca="1">IFERROR(__xludf.DUMMYFUNCTION("IFERROR(
  LET(
    rowData, FILTER('(勿動)組件目錄表'!J:Q, '(勿動)組件目錄表'!D:D=AQ317),
    IF(ROWS(rowData)=0, 0, 
      (
        IF(AND(BC317&lt;&gt;"""", INDEX(rowData,1,1)=BC317),1,0) +
        IF(AND(BD317&lt;&gt;"""", INDEX(rowData,1,2)=BD317),1,0) +
        IF(AND(BE317"&amp;"&lt;&gt;"""", INDEX(rowData,1,3)=BE317),1,0) +
        IF(AND(BF317&lt;&gt;"""", INDEX(rowData,1,4)=BF317),1,0) +
        IF(AND(BG317&lt;&gt;"""", INDEX(rowData,1,5)=BG317),1,0) +
        IF(AND(BH317&lt;&gt;"""", INDEX(rowData,1,6)=BH317),1,0) +
        IF(AND(BI317&lt;&gt;"""", IND"&amp;"EX(rowData,1,7)=BI317),1,0) +
        IF(AND(BJ317&lt;&gt;"""", INDEX(rowData,1,8)=BJ317),1,0)
      ) - COUNTIF(BC317:BJ317, ""-"")
        - COUNTIF(BC317:BJ317, ""固定格式，不需提供資訊"")
        - COUNTIF(BC317:BJ317, ""由MKT更新，此欄位固定格式，不需提供資訊
(Voucher CID：12917705872)"&amp;""")
        - COUNTIF(BC317:BJ317, ""text固定為以下：
※直播間僅支援手機版"")
        - COUNTIF(BC317:BJ317, ""text固定為以下：
※短影音僅支援手機版"")
    )
  ), 
  0
)
"),0)</f>
        <v>0</v>
      </c>
      <c r="BM317" s="77" t="b">
        <v>0</v>
      </c>
      <c r="BN317" s="85"/>
      <c r="BO317" s="85"/>
    </row>
    <row r="318" spans="1:67" ht="30" customHeight="1">
      <c r="A318" s="73" t="str">
        <f t="array" aca="1" ref="A318" ca="1">IFERROR(TRANSPOSE(INDIRECT('MS section版配(Old)'!$AO318)),"")</f>
        <v/>
      </c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8"/>
      <c r="P318" s="88"/>
      <c r="Q318" s="88"/>
      <c r="R318" s="88"/>
      <c r="S318" s="88"/>
      <c r="T318" s="88"/>
      <c r="U318" s="88"/>
      <c r="V318" s="88"/>
      <c r="W318" s="88"/>
      <c r="X318" s="88"/>
      <c r="Y318" s="88"/>
      <c r="Z318" s="88"/>
      <c r="AA318" s="88"/>
      <c r="AB318" s="88"/>
      <c r="AC318" s="88"/>
      <c r="AD318" s="88"/>
      <c r="AE318" s="397" t="str">
        <f>IFERROR(VLOOKUP($AQ318,'(勿動)組件目錄表'!$D$15:$R$1094,4,FALSE),"")</f>
        <v/>
      </c>
      <c r="AF318" s="384"/>
      <c r="AG318" s="384"/>
      <c r="AH318" s="384"/>
      <c r="AI318" s="384"/>
      <c r="AJ318" s="385"/>
      <c r="AK318" s="54" t="b">
        <v>0</v>
      </c>
      <c r="AL318" s="54" t="b">
        <v>0</v>
      </c>
      <c r="AM318" s="54"/>
      <c r="AN318" s="7" t="str">
        <v>310</v>
      </c>
      <c r="AO318" s="7"/>
      <c r="AP318" s="62"/>
      <c r="AQ318" s="75" t="str">
        <v/>
      </c>
      <c r="AR318" s="75" t="str">
        <v>-</v>
      </c>
      <c r="AS318" s="11"/>
      <c r="AT318" s="77" t="str">
        <v>-</v>
      </c>
      <c r="AU318" s="11" t="str">
        <v>-</v>
      </c>
      <c r="AV318" s="100"/>
      <c r="AW318" s="80" t="str">
        <f ca="1"/>
        <v>-</v>
      </c>
      <c r="AX318" s="80" t="b">
        <v>0</v>
      </c>
      <c r="AY318" s="68" t="str">
        <f t="shared" si="4"/>
        <v/>
      </c>
      <c r="AZ318" s="69" t="str">
        <f t="shared" si="5"/>
        <v/>
      </c>
      <c r="BA318" s="70" t="str">
        <f t="shared" si="6"/>
        <v/>
      </c>
      <c r="BB318" s="68" t="str">
        <f t="shared" si="7"/>
        <v/>
      </c>
      <c r="BC318" s="69" t="str">
        <f>IFERROR(VLOOKUP($AQ318,'(勿動)組件目錄表'!$D$15:$R$1094,7,FALSE),"")</f>
        <v/>
      </c>
      <c r="BD318" s="69" t="str">
        <f>IFERROR(VLOOKUP($AQ318,'(勿動)組件目錄表'!$D$15:$R$1094,8,FALSE),"")</f>
        <v/>
      </c>
      <c r="BE318" s="69" t="str">
        <f>IFERROR(VLOOKUP($AQ318,'(勿動)組件目錄表'!$D$15:$R$1094,9,FALSE),"")</f>
        <v/>
      </c>
      <c r="BF318" s="69" t="str">
        <f>IFERROR(VLOOKUP($AQ318,'(勿動)組件目錄表'!$D$15:$R$1094,10,FALSE),"")</f>
        <v/>
      </c>
      <c r="BG318" s="69" t="str">
        <f>IFERROR(VLOOKUP($AQ318,'(勿動)組件目錄表'!$D$15:$R$1094,11,FALSE),"")</f>
        <v/>
      </c>
      <c r="BH318" s="69" t="str">
        <f>IFERROR(VLOOKUP($AQ318,'(勿動)組件目錄表'!$D$15:$R$1094,12,FALSE),"")</f>
        <v/>
      </c>
      <c r="BI318" s="69" t="str">
        <f>IFERROR(VLOOKUP($AQ318,'(勿動)組件目錄表'!$D$15:$R$1094,13,FALSE),"")</f>
        <v/>
      </c>
      <c r="BJ318" s="69" t="str">
        <f>IFERROR(VLOOKUP($AQ318,'(勿動)組件目錄表'!$D$15:$R$1094,14,FALSE),"")</f>
        <v/>
      </c>
      <c r="BK318" s="69" t="str">
        <f>IFERROR(VLOOKUP($AQ318,'(勿動)組件目錄表'!$D$15:$R$1094,15,FALSE),"")</f>
        <v/>
      </c>
      <c r="BL318" s="81">
        <f ca="1">IFERROR(__xludf.DUMMYFUNCTION("IFERROR(
  LET(
    rowData, FILTER('(勿動)組件目錄表'!J:Q, '(勿動)組件目錄表'!D:D=AQ318),
    IF(ROWS(rowData)=0, 0, 
      (
        IF(AND(BC318&lt;&gt;"""", INDEX(rowData,1,1)=BC318),1,0) +
        IF(AND(BD318&lt;&gt;"""", INDEX(rowData,1,2)=BD318),1,0) +
        IF(AND(BE318"&amp;"&lt;&gt;"""", INDEX(rowData,1,3)=BE318),1,0) +
        IF(AND(BF318&lt;&gt;"""", INDEX(rowData,1,4)=BF318),1,0) +
        IF(AND(BG318&lt;&gt;"""", INDEX(rowData,1,5)=BG318),1,0) +
        IF(AND(BH318&lt;&gt;"""", INDEX(rowData,1,6)=BH318),1,0) +
        IF(AND(BI318&lt;&gt;"""", IND"&amp;"EX(rowData,1,7)=BI318),1,0) +
        IF(AND(BJ318&lt;&gt;"""", INDEX(rowData,1,8)=BJ318),1,0)
      ) - COUNTIF(BC318:BJ318, ""-"")
        - COUNTIF(BC318:BJ318, ""固定格式，不需提供資訊"")
        - COUNTIF(BC318:BJ318, ""由MKT更新，此欄位固定格式，不需提供資訊
(Voucher CID：12917705872)"&amp;""")
        - COUNTIF(BC318:BJ318, ""text固定為以下：
※直播間僅支援手機版"")
        - COUNTIF(BC318:BJ318, ""text固定為以下：
※短影音僅支援手機版"")
    )
  ), 
  0
)
"),0)</f>
        <v>0</v>
      </c>
      <c r="BM318" s="77" t="b">
        <v>0</v>
      </c>
      <c r="BN318" s="85"/>
      <c r="BO318" s="85"/>
    </row>
    <row r="319" spans="1:67" ht="30" customHeight="1">
      <c r="A319" s="73" t="str">
        <f t="array" aca="1" ref="A319" ca="1">IFERROR(TRANSPOSE(INDIRECT('MS section版配(Old)'!$AO319)),"")</f>
        <v/>
      </c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8"/>
      <c r="P319" s="88"/>
      <c r="Q319" s="88"/>
      <c r="R319" s="88"/>
      <c r="S319" s="88"/>
      <c r="T319" s="88"/>
      <c r="U319" s="88"/>
      <c r="V319" s="88"/>
      <c r="W319" s="88"/>
      <c r="X319" s="88"/>
      <c r="Y319" s="88"/>
      <c r="Z319" s="88"/>
      <c r="AA319" s="88"/>
      <c r="AB319" s="88"/>
      <c r="AC319" s="88"/>
      <c r="AD319" s="88"/>
      <c r="AE319" s="397" t="str">
        <f>IFERROR(VLOOKUP($AQ319,'(勿動)組件目錄表'!$D$15:$R$1094,4,FALSE),"")</f>
        <v/>
      </c>
      <c r="AF319" s="384"/>
      <c r="AG319" s="384"/>
      <c r="AH319" s="384"/>
      <c r="AI319" s="384"/>
      <c r="AJ319" s="385"/>
      <c r="AK319" s="54" t="b">
        <v>0</v>
      </c>
      <c r="AL319" s="54" t="b">
        <v>0</v>
      </c>
      <c r="AM319" s="54"/>
      <c r="AN319" s="7" t="str">
        <v>311</v>
      </c>
      <c r="AO319" s="7"/>
      <c r="AP319" s="62"/>
      <c r="AQ319" s="75" t="str">
        <v/>
      </c>
      <c r="AR319" s="75" t="str">
        <v>-</v>
      </c>
      <c r="AS319" s="11"/>
      <c r="AT319" s="77" t="str">
        <v>-</v>
      </c>
      <c r="AU319" s="11" t="str">
        <v>-</v>
      </c>
      <c r="AV319" s="100"/>
      <c r="AW319" s="80" t="str">
        <f ca="1"/>
        <v>-</v>
      </c>
      <c r="AX319" s="80" t="b">
        <v>0</v>
      </c>
      <c r="AY319" s="68" t="str">
        <f t="shared" si="4"/>
        <v/>
      </c>
      <c r="AZ319" s="69" t="str">
        <f t="shared" si="5"/>
        <v/>
      </c>
      <c r="BA319" s="70" t="str">
        <f t="shared" si="6"/>
        <v/>
      </c>
      <c r="BB319" s="68" t="str">
        <f t="shared" si="7"/>
        <v/>
      </c>
      <c r="BC319" s="69" t="str">
        <f>IFERROR(VLOOKUP($AQ319,'(勿動)組件目錄表'!$D$15:$R$1094,7,FALSE),"")</f>
        <v/>
      </c>
      <c r="BD319" s="69" t="str">
        <f>IFERROR(VLOOKUP($AQ319,'(勿動)組件目錄表'!$D$15:$R$1094,8,FALSE),"")</f>
        <v/>
      </c>
      <c r="BE319" s="69" t="str">
        <f>IFERROR(VLOOKUP($AQ319,'(勿動)組件目錄表'!$D$15:$R$1094,9,FALSE),"")</f>
        <v/>
      </c>
      <c r="BF319" s="69" t="str">
        <f>IFERROR(VLOOKUP($AQ319,'(勿動)組件目錄表'!$D$15:$R$1094,10,FALSE),"")</f>
        <v/>
      </c>
      <c r="BG319" s="69" t="str">
        <f>IFERROR(VLOOKUP($AQ319,'(勿動)組件目錄表'!$D$15:$R$1094,11,FALSE),"")</f>
        <v/>
      </c>
      <c r="BH319" s="69" t="str">
        <f>IFERROR(VLOOKUP($AQ319,'(勿動)組件目錄表'!$D$15:$R$1094,12,FALSE),"")</f>
        <v/>
      </c>
      <c r="BI319" s="69" t="str">
        <f>IFERROR(VLOOKUP($AQ319,'(勿動)組件目錄表'!$D$15:$R$1094,13,FALSE),"")</f>
        <v/>
      </c>
      <c r="BJ319" s="69" t="str">
        <f>IFERROR(VLOOKUP($AQ319,'(勿動)組件目錄表'!$D$15:$R$1094,14,FALSE),"")</f>
        <v/>
      </c>
      <c r="BK319" s="69" t="str">
        <f>IFERROR(VLOOKUP($AQ319,'(勿動)組件目錄表'!$D$15:$R$1094,15,FALSE),"")</f>
        <v/>
      </c>
      <c r="BL319" s="81">
        <f ca="1">IFERROR(__xludf.DUMMYFUNCTION("IFERROR(
  LET(
    rowData, FILTER('(勿動)組件目錄表'!J:Q, '(勿動)組件目錄表'!D:D=AQ319),
    IF(ROWS(rowData)=0, 0, 
      (
        IF(AND(BC319&lt;&gt;"""", INDEX(rowData,1,1)=BC319),1,0) +
        IF(AND(BD319&lt;&gt;"""", INDEX(rowData,1,2)=BD319),1,0) +
        IF(AND(BE319"&amp;"&lt;&gt;"""", INDEX(rowData,1,3)=BE319),1,0) +
        IF(AND(BF319&lt;&gt;"""", INDEX(rowData,1,4)=BF319),1,0) +
        IF(AND(BG319&lt;&gt;"""", INDEX(rowData,1,5)=BG319),1,0) +
        IF(AND(BH319&lt;&gt;"""", INDEX(rowData,1,6)=BH319),1,0) +
        IF(AND(BI319&lt;&gt;"""", IND"&amp;"EX(rowData,1,7)=BI319),1,0) +
        IF(AND(BJ319&lt;&gt;"""", INDEX(rowData,1,8)=BJ319),1,0)
      ) - COUNTIF(BC319:BJ319, ""-"")
        - COUNTIF(BC319:BJ319, ""固定格式，不需提供資訊"")
        - COUNTIF(BC319:BJ319, ""由MKT更新，此欄位固定格式，不需提供資訊
(Voucher CID：12917705872)"&amp;""")
        - COUNTIF(BC319:BJ319, ""text固定為以下：
※直播間僅支援手機版"")
        - COUNTIF(BC319:BJ319, ""text固定為以下：
※短影音僅支援手機版"")
    )
  ), 
  0
)
"),0)</f>
        <v>0</v>
      </c>
      <c r="BM319" s="77" t="b">
        <v>0</v>
      </c>
      <c r="BN319" s="85"/>
      <c r="BO319" s="85"/>
    </row>
    <row r="320" spans="1:67" ht="30" customHeight="1">
      <c r="A320" s="73" t="str">
        <f t="array" aca="1" ref="A320" ca="1">IFERROR(TRANSPOSE(INDIRECT('MS section版配(Old)'!$AO320)),"")</f>
        <v/>
      </c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8"/>
      <c r="P320" s="88"/>
      <c r="Q320" s="88"/>
      <c r="R320" s="88"/>
      <c r="S320" s="88"/>
      <c r="T320" s="88"/>
      <c r="U320" s="88"/>
      <c r="V320" s="88"/>
      <c r="W320" s="88"/>
      <c r="X320" s="88"/>
      <c r="Y320" s="88"/>
      <c r="Z320" s="88"/>
      <c r="AA320" s="88"/>
      <c r="AB320" s="88"/>
      <c r="AC320" s="88"/>
      <c r="AD320" s="88"/>
      <c r="AE320" s="397" t="str">
        <f>IFERROR(VLOOKUP($AQ320,'(勿動)組件目錄表'!$D$15:$R$1094,4,FALSE),"")</f>
        <v/>
      </c>
      <c r="AF320" s="384"/>
      <c r="AG320" s="384"/>
      <c r="AH320" s="384"/>
      <c r="AI320" s="384"/>
      <c r="AJ320" s="385"/>
      <c r="AK320" s="54" t="b">
        <v>0</v>
      </c>
      <c r="AL320" s="54" t="b">
        <v>0</v>
      </c>
      <c r="AM320" s="54"/>
      <c r="AN320" s="7" t="str">
        <v>312</v>
      </c>
      <c r="AO320" s="7"/>
      <c r="AP320" s="62"/>
      <c r="AQ320" s="75" t="str">
        <v/>
      </c>
      <c r="AR320" s="75" t="str">
        <v>-</v>
      </c>
      <c r="AS320" s="11"/>
      <c r="AT320" s="77" t="str">
        <v>-</v>
      </c>
      <c r="AU320" s="11" t="str">
        <v>-</v>
      </c>
      <c r="AV320" s="100"/>
      <c r="AW320" s="80" t="str">
        <f ca="1"/>
        <v>-</v>
      </c>
      <c r="AX320" s="80" t="b">
        <v>0</v>
      </c>
      <c r="AY320" s="68" t="str">
        <f t="shared" si="4"/>
        <v/>
      </c>
      <c r="AZ320" s="69" t="str">
        <f t="shared" si="5"/>
        <v/>
      </c>
      <c r="BA320" s="70" t="str">
        <f t="shared" si="6"/>
        <v/>
      </c>
      <c r="BB320" s="68" t="str">
        <f t="shared" si="7"/>
        <v/>
      </c>
      <c r="BC320" s="69" t="str">
        <f>IFERROR(VLOOKUP($AQ320,'(勿動)組件目錄表'!$D$15:$R$1094,7,FALSE),"")</f>
        <v/>
      </c>
      <c r="BD320" s="69" t="str">
        <f>IFERROR(VLOOKUP($AQ320,'(勿動)組件目錄表'!$D$15:$R$1094,8,FALSE),"")</f>
        <v/>
      </c>
      <c r="BE320" s="69" t="str">
        <f>IFERROR(VLOOKUP($AQ320,'(勿動)組件目錄表'!$D$15:$R$1094,9,FALSE),"")</f>
        <v/>
      </c>
      <c r="BF320" s="69" t="str">
        <f>IFERROR(VLOOKUP($AQ320,'(勿動)組件目錄表'!$D$15:$R$1094,10,FALSE),"")</f>
        <v/>
      </c>
      <c r="BG320" s="69" t="str">
        <f>IFERROR(VLOOKUP($AQ320,'(勿動)組件目錄表'!$D$15:$R$1094,11,FALSE),"")</f>
        <v/>
      </c>
      <c r="BH320" s="69" t="str">
        <f>IFERROR(VLOOKUP($AQ320,'(勿動)組件目錄表'!$D$15:$R$1094,12,FALSE),"")</f>
        <v/>
      </c>
      <c r="BI320" s="69" t="str">
        <f>IFERROR(VLOOKUP($AQ320,'(勿動)組件目錄表'!$D$15:$R$1094,13,FALSE),"")</f>
        <v/>
      </c>
      <c r="BJ320" s="69" t="str">
        <f>IFERROR(VLOOKUP($AQ320,'(勿動)組件目錄表'!$D$15:$R$1094,14,FALSE),"")</f>
        <v/>
      </c>
      <c r="BK320" s="69" t="str">
        <f>IFERROR(VLOOKUP($AQ320,'(勿動)組件目錄表'!$D$15:$R$1094,15,FALSE),"")</f>
        <v/>
      </c>
      <c r="BL320" s="81">
        <f ca="1">IFERROR(__xludf.DUMMYFUNCTION("IFERROR(
  LET(
    rowData, FILTER('(勿動)組件目錄表'!J:Q, '(勿動)組件目錄表'!D:D=AQ320),
    IF(ROWS(rowData)=0, 0, 
      (
        IF(AND(BC320&lt;&gt;"""", INDEX(rowData,1,1)=BC320),1,0) +
        IF(AND(BD320&lt;&gt;"""", INDEX(rowData,1,2)=BD320),1,0) +
        IF(AND(BE320"&amp;"&lt;&gt;"""", INDEX(rowData,1,3)=BE320),1,0) +
        IF(AND(BF320&lt;&gt;"""", INDEX(rowData,1,4)=BF320),1,0) +
        IF(AND(BG320&lt;&gt;"""", INDEX(rowData,1,5)=BG320),1,0) +
        IF(AND(BH320&lt;&gt;"""", INDEX(rowData,1,6)=BH320),1,0) +
        IF(AND(BI320&lt;&gt;"""", IND"&amp;"EX(rowData,1,7)=BI320),1,0) +
        IF(AND(BJ320&lt;&gt;"""", INDEX(rowData,1,8)=BJ320),1,0)
      ) - COUNTIF(BC320:BJ320, ""-"")
        - COUNTIF(BC320:BJ320, ""固定格式，不需提供資訊"")
        - COUNTIF(BC320:BJ320, ""由MKT更新，此欄位固定格式，不需提供資訊
(Voucher CID：12917705872)"&amp;""")
        - COUNTIF(BC320:BJ320, ""text固定為以下：
※直播間僅支援手機版"")
        - COUNTIF(BC320:BJ320, ""text固定為以下：
※短影音僅支援手機版"")
    )
  ), 
  0
)
"),0)</f>
        <v>0</v>
      </c>
      <c r="BM320" s="77" t="b">
        <v>0</v>
      </c>
      <c r="BN320" s="85"/>
      <c r="BO320" s="85"/>
    </row>
    <row r="321" spans="1:67" ht="30" customHeight="1">
      <c r="A321" s="73" t="str">
        <f t="array" aca="1" ref="A321" ca="1">IFERROR(TRANSPOSE(INDIRECT('MS section版配(Old)'!$AO321)),"")</f>
        <v/>
      </c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8"/>
      <c r="P321" s="88"/>
      <c r="Q321" s="88"/>
      <c r="R321" s="88"/>
      <c r="S321" s="88"/>
      <c r="T321" s="88"/>
      <c r="U321" s="88"/>
      <c r="V321" s="88"/>
      <c r="W321" s="88"/>
      <c r="X321" s="88"/>
      <c r="Y321" s="88"/>
      <c r="Z321" s="88"/>
      <c r="AA321" s="88"/>
      <c r="AB321" s="88"/>
      <c r="AC321" s="88"/>
      <c r="AD321" s="88"/>
      <c r="AE321" s="397" t="str">
        <f>IFERROR(VLOOKUP($AQ321,'(勿動)組件目錄表'!$D$15:$R$1094,4,FALSE),"")</f>
        <v/>
      </c>
      <c r="AF321" s="384"/>
      <c r="AG321" s="384"/>
      <c r="AH321" s="384"/>
      <c r="AI321" s="384"/>
      <c r="AJ321" s="385"/>
      <c r="AK321" s="54" t="b">
        <v>0</v>
      </c>
      <c r="AL321" s="54" t="b">
        <v>0</v>
      </c>
      <c r="AM321" s="54"/>
      <c r="AN321" s="7" t="str">
        <v>313</v>
      </c>
      <c r="AO321" s="7"/>
      <c r="AP321" s="62"/>
      <c r="AQ321" s="75" t="str">
        <v/>
      </c>
      <c r="AR321" s="75" t="str">
        <v>-</v>
      </c>
      <c r="AS321" s="11"/>
      <c r="AT321" s="77" t="str">
        <v>-</v>
      </c>
      <c r="AU321" s="11" t="str">
        <v>-</v>
      </c>
      <c r="AV321" s="100"/>
      <c r="AW321" s="80" t="str">
        <f ca="1"/>
        <v>-</v>
      </c>
      <c r="AX321" s="80" t="b">
        <v>0</v>
      </c>
      <c r="AY321" s="68" t="str">
        <f t="shared" si="4"/>
        <v/>
      </c>
      <c r="AZ321" s="69" t="str">
        <f t="shared" si="5"/>
        <v/>
      </c>
      <c r="BA321" s="70" t="str">
        <f t="shared" si="6"/>
        <v/>
      </c>
      <c r="BB321" s="68" t="str">
        <f t="shared" si="7"/>
        <v/>
      </c>
      <c r="BC321" s="69" t="str">
        <f>IFERROR(VLOOKUP($AQ321,'(勿動)組件目錄表'!$D$15:$R$1094,7,FALSE),"")</f>
        <v/>
      </c>
      <c r="BD321" s="69" t="str">
        <f>IFERROR(VLOOKUP($AQ321,'(勿動)組件目錄表'!$D$15:$R$1094,8,FALSE),"")</f>
        <v/>
      </c>
      <c r="BE321" s="69" t="str">
        <f>IFERROR(VLOOKUP($AQ321,'(勿動)組件目錄表'!$D$15:$R$1094,9,FALSE),"")</f>
        <v/>
      </c>
      <c r="BF321" s="69" t="str">
        <f>IFERROR(VLOOKUP($AQ321,'(勿動)組件目錄表'!$D$15:$R$1094,10,FALSE),"")</f>
        <v/>
      </c>
      <c r="BG321" s="69" t="str">
        <f>IFERROR(VLOOKUP($AQ321,'(勿動)組件目錄表'!$D$15:$R$1094,11,FALSE),"")</f>
        <v/>
      </c>
      <c r="BH321" s="69" t="str">
        <f>IFERROR(VLOOKUP($AQ321,'(勿動)組件目錄表'!$D$15:$R$1094,12,FALSE),"")</f>
        <v/>
      </c>
      <c r="BI321" s="69" t="str">
        <f>IFERROR(VLOOKUP($AQ321,'(勿動)組件目錄表'!$D$15:$R$1094,13,FALSE),"")</f>
        <v/>
      </c>
      <c r="BJ321" s="69" t="str">
        <f>IFERROR(VLOOKUP($AQ321,'(勿動)組件目錄表'!$D$15:$R$1094,14,FALSE),"")</f>
        <v/>
      </c>
      <c r="BK321" s="69" t="str">
        <f>IFERROR(VLOOKUP($AQ321,'(勿動)組件目錄表'!$D$15:$R$1094,15,FALSE),"")</f>
        <v/>
      </c>
      <c r="BL321" s="81">
        <f ca="1">IFERROR(__xludf.DUMMYFUNCTION("IFERROR(
  LET(
    rowData, FILTER('(勿動)組件目錄表'!J:Q, '(勿動)組件目錄表'!D:D=AQ321),
    IF(ROWS(rowData)=0, 0, 
      (
        IF(AND(BC321&lt;&gt;"""", INDEX(rowData,1,1)=BC321),1,0) +
        IF(AND(BD321&lt;&gt;"""", INDEX(rowData,1,2)=BD321),1,0) +
        IF(AND(BE321"&amp;"&lt;&gt;"""", INDEX(rowData,1,3)=BE321),1,0) +
        IF(AND(BF321&lt;&gt;"""", INDEX(rowData,1,4)=BF321),1,0) +
        IF(AND(BG321&lt;&gt;"""", INDEX(rowData,1,5)=BG321),1,0) +
        IF(AND(BH321&lt;&gt;"""", INDEX(rowData,1,6)=BH321),1,0) +
        IF(AND(BI321&lt;&gt;"""", IND"&amp;"EX(rowData,1,7)=BI321),1,0) +
        IF(AND(BJ321&lt;&gt;"""", INDEX(rowData,1,8)=BJ321),1,0)
      ) - COUNTIF(BC321:BJ321, ""-"")
        - COUNTIF(BC321:BJ321, ""固定格式，不需提供資訊"")
        - COUNTIF(BC321:BJ321, ""由MKT更新，此欄位固定格式，不需提供資訊
(Voucher CID：12917705872)"&amp;""")
        - COUNTIF(BC321:BJ321, ""text固定為以下：
※直播間僅支援手機版"")
        - COUNTIF(BC321:BJ321, ""text固定為以下：
※短影音僅支援手機版"")
    )
  ), 
  0
)
"),0)</f>
        <v>0</v>
      </c>
      <c r="BM321" s="77" t="b">
        <v>0</v>
      </c>
      <c r="BN321" s="85"/>
      <c r="BO321" s="85"/>
    </row>
    <row r="322" spans="1:67" ht="30" customHeight="1">
      <c r="A322" s="73" t="str">
        <f t="array" aca="1" ref="A322" ca="1">IFERROR(TRANSPOSE(INDIRECT('MS section版配(Old)'!$AO322)),"")</f>
        <v/>
      </c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8"/>
      <c r="P322" s="88"/>
      <c r="Q322" s="88"/>
      <c r="R322" s="88"/>
      <c r="S322" s="88"/>
      <c r="T322" s="88"/>
      <c r="U322" s="88"/>
      <c r="V322" s="88"/>
      <c r="W322" s="88"/>
      <c r="X322" s="88"/>
      <c r="Y322" s="88"/>
      <c r="Z322" s="88"/>
      <c r="AA322" s="88"/>
      <c r="AB322" s="88"/>
      <c r="AC322" s="88"/>
      <c r="AD322" s="88"/>
      <c r="AE322" s="397" t="str">
        <f>IFERROR(VLOOKUP($AQ322,'(勿動)組件目錄表'!$D$15:$R$1094,4,FALSE),"")</f>
        <v/>
      </c>
      <c r="AF322" s="384"/>
      <c r="AG322" s="384"/>
      <c r="AH322" s="384"/>
      <c r="AI322" s="384"/>
      <c r="AJ322" s="385"/>
      <c r="AK322" s="54" t="b">
        <v>0</v>
      </c>
      <c r="AL322" s="54" t="b">
        <v>0</v>
      </c>
      <c r="AM322" s="54"/>
      <c r="AN322" s="7" t="str">
        <v>314</v>
      </c>
      <c r="AO322" s="7"/>
      <c r="AP322" s="62"/>
      <c r="AQ322" s="75" t="str">
        <v/>
      </c>
      <c r="AR322" s="75" t="str">
        <v>-</v>
      </c>
      <c r="AS322" s="11"/>
      <c r="AT322" s="77" t="str">
        <v>-</v>
      </c>
      <c r="AU322" s="11" t="str">
        <v>-</v>
      </c>
      <c r="AV322" s="100"/>
      <c r="AW322" s="80" t="str">
        <f ca="1"/>
        <v>-</v>
      </c>
      <c r="AX322" s="80" t="b">
        <v>0</v>
      </c>
      <c r="AY322" s="68" t="str">
        <f t="shared" si="4"/>
        <v/>
      </c>
      <c r="AZ322" s="69" t="str">
        <f t="shared" si="5"/>
        <v/>
      </c>
      <c r="BA322" s="70" t="str">
        <f t="shared" si="6"/>
        <v/>
      </c>
      <c r="BB322" s="68" t="str">
        <f t="shared" si="7"/>
        <v/>
      </c>
      <c r="BC322" s="69" t="str">
        <f>IFERROR(VLOOKUP($AQ322,'(勿動)組件目錄表'!$D$15:$R$1094,7,FALSE),"")</f>
        <v/>
      </c>
      <c r="BD322" s="69" t="str">
        <f>IFERROR(VLOOKUP($AQ322,'(勿動)組件目錄表'!$D$15:$R$1094,8,FALSE),"")</f>
        <v/>
      </c>
      <c r="BE322" s="69" t="str">
        <f>IFERROR(VLOOKUP($AQ322,'(勿動)組件目錄表'!$D$15:$R$1094,9,FALSE),"")</f>
        <v/>
      </c>
      <c r="BF322" s="69" t="str">
        <f>IFERROR(VLOOKUP($AQ322,'(勿動)組件目錄表'!$D$15:$R$1094,10,FALSE),"")</f>
        <v/>
      </c>
      <c r="BG322" s="69" t="str">
        <f>IFERROR(VLOOKUP($AQ322,'(勿動)組件目錄表'!$D$15:$R$1094,11,FALSE),"")</f>
        <v/>
      </c>
      <c r="BH322" s="69" t="str">
        <f>IFERROR(VLOOKUP($AQ322,'(勿動)組件目錄表'!$D$15:$R$1094,12,FALSE),"")</f>
        <v/>
      </c>
      <c r="BI322" s="69" t="str">
        <f>IFERROR(VLOOKUP($AQ322,'(勿動)組件目錄表'!$D$15:$R$1094,13,FALSE),"")</f>
        <v/>
      </c>
      <c r="BJ322" s="69" t="str">
        <f>IFERROR(VLOOKUP($AQ322,'(勿動)組件目錄表'!$D$15:$R$1094,14,FALSE),"")</f>
        <v/>
      </c>
      <c r="BK322" s="69" t="str">
        <f>IFERROR(VLOOKUP($AQ322,'(勿動)組件目錄表'!$D$15:$R$1094,15,FALSE),"")</f>
        <v/>
      </c>
      <c r="BL322" s="81">
        <f ca="1">IFERROR(__xludf.DUMMYFUNCTION("IFERROR(
  LET(
    rowData, FILTER('(勿動)組件目錄表'!J:Q, '(勿動)組件目錄表'!D:D=AQ322),
    IF(ROWS(rowData)=0, 0, 
      (
        IF(AND(BC322&lt;&gt;"""", INDEX(rowData,1,1)=BC322),1,0) +
        IF(AND(BD322&lt;&gt;"""", INDEX(rowData,1,2)=BD322),1,0) +
        IF(AND(BE322"&amp;"&lt;&gt;"""", INDEX(rowData,1,3)=BE322),1,0) +
        IF(AND(BF322&lt;&gt;"""", INDEX(rowData,1,4)=BF322),1,0) +
        IF(AND(BG322&lt;&gt;"""", INDEX(rowData,1,5)=BG322),1,0) +
        IF(AND(BH322&lt;&gt;"""", INDEX(rowData,1,6)=BH322),1,0) +
        IF(AND(BI322&lt;&gt;"""", IND"&amp;"EX(rowData,1,7)=BI322),1,0) +
        IF(AND(BJ322&lt;&gt;"""", INDEX(rowData,1,8)=BJ322),1,0)
      ) - COUNTIF(BC322:BJ322, ""-"")
        - COUNTIF(BC322:BJ322, ""固定格式，不需提供資訊"")
        - COUNTIF(BC322:BJ322, ""由MKT更新，此欄位固定格式，不需提供資訊
(Voucher CID：12917705872)"&amp;""")
        - COUNTIF(BC322:BJ322, ""text固定為以下：
※直播間僅支援手機版"")
        - COUNTIF(BC322:BJ322, ""text固定為以下：
※短影音僅支援手機版"")
    )
  ), 
  0
)
"),0)</f>
        <v>0</v>
      </c>
      <c r="BM322" s="77" t="b">
        <v>0</v>
      </c>
      <c r="BN322" s="85"/>
      <c r="BO322" s="85"/>
    </row>
    <row r="323" spans="1:67" ht="30" customHeight="1">
      <c r="A323" s="73" t="str">
        <f t="array" aca="1" ref="A323" ca="1">IFERROR(TRANSPOSE(INDIRECT('MS section版配(Old)'!$AO323)),"")</f>
        <v/>
      </c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8"/>
      <c r="P323" s="88"/>
      <c r="Q323" s="88"/>
      <c r="R323" s="88"/>
      <c r="S323" s="88"/>
      <c r="T323" s="88"/>
      <c r="U323" s="88"/>
      <c r="V323" s="88"/>
      <c r="W323" s="88"/>
      <c r="X323" s="88"/>
      <c r="Y323" s="88"/>
      <c r="Z323" s="88"/>
      <c r="AA323" s="88"/>
      <c r="AB323" s="88"/>
      <c r="AC323" s="88"/>
      <c r="AD323" s="88"/>
      <c r="AE323" s="397" t="str">
        <f>IFERROR(VLOOKUP($AQ323,'(勿動)組件目錄表'!$D$15:$R$1094,4,FALSE),"")</f>
        <v/>
      </c>
      <c r="AF323" s="384"/>
      <c r="AG323" s="384"/>
      <c r="AH323" s="384"/>
      <c r="AI323" s="384"/>
      <c r="AJ323" s="385"/>
      <c r="AK323" s="54" t="b">
        <v>0</v>
      </c>
      <c r="AL323" s="54" t="b">
        <v>0</v>
      </c>
      <c r="AM323" s="54"/>
      <c r="AN323" s="7" t="str">
        <v>315</v>
      </c>
      <c r="AO323" s="7"/>
      <c r="AP323" s="62"/>
      <c r="AQ323" s="75" t="str">
        <v/>
      </c>
      <c r="AR323" s="75" t="str">
        <v>-</v>
      </c>
      <c r="AS323" s="11"/>
      <c r="AT323" s="77" t="str">
        <v>-</v>
      </c>
      <c r="AU323" s="11" t="str">
        <v>-</v>
      </c>
      <c r="AV323" s="100"/>
      <c r="AW323" s="80" t="str">
        <f ca="1"/>
        <v>-</v>
      </c>
      <c r="AX323" s="80" t="b">
        <v>0</v>
      </c>
      <c r="AY323" s="68" t="str">
        <f t="shared" si="4"/>
        <v/>
      </c>
      <c r="AZ323" s="69" t="str">
        <f t="shared" si="5"/>
        <v/>
      </c>
      <c r="BA323" s="70" t="str">
        <f t="shared" si="6"/>
        <v/>
      </c>
      <c r="BB323" s="68" t="str">
        <f t="shared" si="7"/>
        <v/>
      </c>
      <c r="BC323" s="69" t="str">
        <f>IFERROR(VLOOKUP($AQ323,'(勿動)組件目錄表'!$D$15:$R$1094,7,FALSE),"")</f>
        <v/>
      </c>
      <c r="BD323" s="69" t="str">
        <f>IFERROR(VLOOKUP($AQ323,'(勿動)組件目錄表'!$D$15:$R$1094,8,FALSE),"")</f>
        <v/>
      </c>
      <c r="BE323" s="69" t="str">
        <f>IFERROR(VLOOKUP($AQ323,'(勿動)組件目錄表'!$D$15:$R$1094,9,FALSE),"")</f>
        <v/>
      </c>
      <c r="BF323" s="69" t="str">
        <f>IFERROR(VLOOKUP($AQ323,'(勿動)組件目錄表'!$D$15:$R$1094,10,FALSE),"")</f>
        <v/>
      </c>
      <c r="BG323" s="69" t="str">
        <f>IFERROR(VLOOKUP($AQ323,'(勿動)組件目錄表'!$D$15:$R$1094,11,FALSE),"")</f>
        <v/>
      </c>
      <c r="BH323" s="69" t="str">
        <f>IFERROR(VLOOKUP($AQ323,'(勿動)組件目錄表'!$D$15:$R$1094,12,FALSE),"")</f>
        <v/>
      </c>
      <c r="BI323" s="69" t="str">
        <f>IFERROR(VLOOKUP($AQ323,'(勿動)組件目錄表'!$D$15:$R$1094,13,FALSE),"")</f>
        <v/>
      </c>
      <c r="BJ323" s="69" t="str">
        <f>IFERROR(VLOOKUP($AQ323,'(勿動)組件目錄表'!$D$15:$R$1094,14,FALSE),"")</f>
        <v/>
      </c>
      <c r="BK323" s="69" t="str">
        <f>IFERROR(VLOOKUP($AQ323,'(勿動)組件目錄表'!$D$15:$R$1094,15,FALSE),"")</f>
        <v/>
      </c>
      <c r="BL323" s="81">
        <f ca="1">IFERROR(__xludf.DUMMYFUNCTION("IFERROR(
  LET(
    rowData, FILTER('(勿動)組件目錄表'!J:Q, '(勿動)組件目錄表'!D:D=AQ323),
    IF(ROWS(rowData)=0, 0, 
      (
        IF(AND(BC323&lt;&gt;"""", INDEX(rowData,1,1)=BC323),1,0) +
        IF(AND(BD323&lt;&gt;"""", INDEX(rowData,1,2)=BD323),1,0) +
        IF(AND(BE323"&amp;"&lt;&gt;"""", INDEX(rowData,1,3)=BE323),1,0) +
        IF(AND(BF323&lt;&gt;"""", INDEX(rowData,1,4)=BF323),1,0) +
        IF(AND(BG323&lt;&gt;"""", INDEX(rowData,1,5)=BG323),1,0) +
        IF(AND(BH323&lt;&gt;"""", INDEX(rowData,1,6)=BH323),1,0) +
        IF(AND(BI323&lt;&gt;"""", IND"&amp;"EX(rowData,1,7)=BI323),1,0) +
        IF(AND(BJ323&lt;&gt;"""", INDEX(rowData,1,8)=BJ323),1,0)
      ) - COUNTIF(BC323:BJ323, ""-"")
        - COUNTIF(BC323:BJ323, ""固定格式，不需提供資訊"")
        - COUNTIF(BC323:BJ323, ""由MKT更新，此欄位固定格式，不需提供資訊
(Voucher CID：12917705872)"&amp;""")
        - COUNTIF(BC323:BJ323, ""text固定為以下：
※直播間僅支援手機版"")
        - COUNTIF(BC323:BJ323, ""text固定為以下：
※短影音僅支援手機版"")
    )
  ), 
  0
)
"),0)</f>
        <v>0</v>
      </c>
      <c r="BM323" s="77" t="b">
        <v>0</v>
      </c>
      <c r="BN323" s="85"/>
      <c r="BO323" s="85"/>
    </row>
    <row r="324" spans="1:67" ht="30" customHeight="1">
      <c r="A324" s="73" t="str">
        <f t="array" aca="1" ref="A324" ca="1">IFERROR(TRANSPOSE(INDIRECT('MS section版配(Old)'!$AO324)),"")</f>
        <v/>
      </c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8"/>
      <c r="P324" s="88"/>
      <c r="Q324" s="88"/>
      <c r="R324" s="88"/>
      <c r="S324" s="88"/>
      <c r="T324" s="88"/>
      <c r="U324" s="88"/>
      <c r="V324" s="88"/>
      <c r="W324" s="88"/>
      <c r="X324" s="88"/>
      <c r="Y324" s="88"/>
      <c r="Z324" s="88"/>
      <c r="AA324" s="88"/>
      <c r="AB324" s="88"/>
      <c r="AC324" s="88"/>
      <c r="AD324" s="88"/>
      <c r="AE324" s="397" t="str">
        <f>IFERROR(VLOOKUP($AQ324,'(勿動)組件目錄表'!$D$15:$R$1094,4,FALSE),"")</f>
        <v/>
      </c>
      <c r="AF324" s="384"/>
      <c r="AG324" s="384"/>
      <c r="AH324" s="384"/>
      <c r="AI324" s="384"/>
      <c r="AJ324" s="385"/>
      <c r="AK324" s="54" t="b">
        <v>0</v>
      </c>
      <c r="AL324" s="54" t="b">
        <v>0</v>
      </c>
      <c r="AM324" s="54"/>
      <c r="AN324" s="7" t="str">
        <v>316</v>
      </c>
      <c r="AO324" s="7"/>
      <c r="AP324" s="62"/>
      <c r="AQ324" s="75" t="str">
        <v/>
      </c>
      <c r="AR324" s="75" t="str">
        <v>-</v>
      </c>
      <c r="AS324" s="11"/>
      <c r="AT324" s="77" t="str">
        <v>-</v>
      </c>
      <c r="AU324" s="11" t="str">
        <v>-</v>
      </c>
      <c r="AV324" s="100"/>
      <c r="AW324" s="80" t="str">
        <f ca="1"/>
        <v>-</v>
      </c>
      <c r="AX324" s="80" t="b">
        <v>0</v>
      </c>
      <c r="AY324" s="68" t="str">
        <f t="shared" si="4"/>
        <v/>
      </c>
      <c r="AZ324" s="69" t="str">
        <f t="shared" si="5"/>
        <v/>
      </c>
      <c r="BA324" s="70" t="str">
        <f t="shared" si="6"/>
        <v/>
      </c>
      <c r="BB324" s="68" t="str">
        <f t="shared" si="7"/>
        <v/>
      </c>
      <c r="BC324" s="69" t="str">
        <f>IFERROR(VLOOKUP($AQ324,'(勿動)組件目錄表'!$D$15:$R$1094,7,FALSE),"")</f>
        <v/>
      </c>
      <c r="BD324" s="69" t="str">
        <f>IFERROR(VLOOKUP($AQ324,'(勿動)組件目錄表'!$D$15:$R$1094,8,FALSE),"")</f>
        <v/>
      </c>
      <c r="BE324" s="69" t="str">
        <f>IFERROR(VLOOKUP($AQ324,'(勿動)組件目錄表'!$D$15:$R$1094,9,FALSE),"")</f>
        <v/>
      </c>
      <c r="BF324" s="69" t="str">
        <f>IFERROR(VLOOKUP($AQ324,'(勿動)組件目錄表'!$D$15:$R$1094,10,FALSE),"")</f>
        <v/>
      </c>
      <c r="BG324" s="69" t="str">
        <f>IFERROR(VLOOKUP($AQ324,'(勿動)組件目錄表'!$D$15:$R$1094,11,FALSE),"")</f>
        <v/>
      </c>
      <c r="BH324" s="69" t="str">
        <f>IFERROR(VLOOKUP($AQ324,'(勿動)組件目錄表'!$D$15:$R$1094,12,FALSE),"")</f>
        <v/>
      </c>
      <c r="BI324" s="69" t="str">
        <f>IFERROR(VLOOKUP($AQ324,'(勿動)組件目錄表'!$D$15:$R$1094,13,FALSE),"")</f>
        <v/>
      </c>
      <c r="BJ324" s="69" t="str">
        <f>IFERROR(VLOOKUP($AQ324,'(勿動)組件目錄表'!$D$15:$R$1094,14,FALSE),"")</f>
        <v/>
      </c>
      <c r="BK324" s="69" t="str">
        <f>IFERROR(VLOOKUP($AQ324,'(勿動)組件目錄表'!$D$15:$R$1094,15,FALSE),"")</f>
        <v/>
      </c>
      <c r="BL324" s="81">
        <f ca="1">IFERROR(__xludf.DUMMYFUNCTION("IFERROR(
  LET(
    rowData, FILTER('(勿動)組件目錄表'!J:Q, '(勿動)組件目錄表'!D:D=AQ324),
    IF(ROWS(rowData)=0, 0, 
      (
        IF(AND(BC324&lt;&gt;"""", INDEX(rowData,1,1)=BC324),1,0) +
        IF(AND(BD324&lt;&gt;"""", INDEX(rowData,1,2)=BD324),1,0) +
        IF(AND(BE324"&amp;"&lt;&gt;"""", INDEX(rowData,1,3)=BE324),1,0) +
        IF(AND(BF324&lt;&gt;"""", INDEX(rowData,1,4)=BF324),1,0) +
        IF(AND(BG324&lt;&gt;"""", INDEX(rowData,1,5)=BG324),1,0) +
        IF(AND(BH324&lt;&gt;"""", INDEX(rowData,1,6)=BH324),1,0) +
        IF(AND(BI324&lt;&gt;"""", IND"&amp;"EX(rowData,1,7)=BI324),1,0) +
        IF(AND(BJ324&lt;&gt;"""", INDEX(rowData,1,8)=BJ324),1,0)
      ) - COUNTIF(BC324:BJ324, ""-"")
        - COUNTIF(BC324:BJ324, ""固定格式，不需提供資訊"")
        - COUNTIF(BC324:BJ324, ""由MKT更新，此欄位固定格式，不需提供資訊
(Voucher CID：12917705872)"&amp;""")
        - COUNTIF(BC324:BJ324, ""text固定為以下：
※直播間僅支援手機版"")
        - COUNTIF(BC324:BJ324, ""text固定為以下：
※短影音僅支援手機版"")
    )
  ), 
  0
)
"),0)</f>
        <v>0</v>
      </c>
      <c r="BM324" s="77" t="b">
        <v>0</v>
      </c>
      <c r="BN324" s="85"/>
      <c r="BO324" s="85"/>
    </row>
    <row r="325" spans="1:67" ht="30" customHeight="1">
      <c r="A325" s="73" t="str">
        <f t="array" aca="1" ref="A325" ca="1">IFERROR(TRANSPOSE(INDIRECT('MS section版配(Old)'!$AO325)),"")</f>
        <v/>
      </c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8"/>
      <c r="P325" s="88"/>
      <c r="Q325" s="88"/>
      <c r="R325" s="88"/>
      <c r="S325" s="88"/>
      <c r="T325" s="88"/>
      <c r="U325" s="88"/>
      <c r="V325" s="88"/>
      <c r="W325" s="88"/>
      <c r="X325" s="88"/>
      <c r="Y325" s="88"/>
      <c r="Z325" s="88"/>
      <c r="AA325" s="88"/>
      <c r="AB325" s="88"/>
      <c r="AC325" s="88"/>
      <c r="AD325" s="88"/>
      <c r="AE325" s="397" t="str">
        <f>IFERROR(VLOOKUP($AQ325,'(勿動)組件目錄表'!$D$15:$R$1094,4,FALSE),"")</f>
        <v/>
      </c>
      <c r="AF325" s="384"/>
      <c r="AG325" s="384"/>
      <c r="AH325" s="384"/>
      <c r="AI325" s="384"/>
      <c r="AJ325" s="385"/>
      <c r="AK325" s="54" t="b">
        <v>0</v>
      </c>
      <c r="AL325" s="54" t="b">
        <v>0</v>
      </c>
      <c r="AM325" s="54"/>
      <c r="AN325" s="7" t="str">
        <v>317</v>
      </c>
      <c r="AO325" s="7"/>
      <c r="AP325" s="62"/>
      <c r="AQ325" s="75" t="str">
        <v/>
      </c>
      <c r="AR325" s="75" t="str">
        <v>-</v>
      </c>
      <c r="AS325" s="11"/>
      <c r="AT325" s="77" t="str">
        <v>-</v>
      </c>
      <c r="AU325" s="11" t="str">
        <v>-</v>
      </c>
      <c r="AV325" s="100"/>
      <c r="AW325" s="80" t="str">
        <f ca="1"/>
        <v>-</v>
      </c>
      <c r="AX325" s="80" t="b">
        <v>0</v>
      </c>
      <c r="AY325" s="68" t="str">
        <f t="shared" si="4"/>
        <v/>
      </c>
      <c r="AZ325" s="69" t="str">
        <f t="shared" si="5"/>
        <v/>
      </c>
      <c r="BA325" s="70" t="str">
        <f t="shared" si="6"/>
        <v/>
      </c>
      <c r="BB325" s="68" t="str">
        <f t="shared" si="7"/>
        <v/>
      </c>
      <c r="BC325" s="69" t="str">
        <f>IFERROR(VLOOKUP($AQ325,'(勿動)組件目錄表'!$D$15:$R$1094,7,FALSE),"")</f>
        <v/>
      </c>
      <c r="BD325" s="69" t="str">
        <f>IFERROR(VLOOKUP($AQ325,'(勿動)組件目錄表'!$D$15:$R$1094,8,FALSE),"")</f>
        <v/>
      </c>
      <c r="BE325" s="69" t="str">
        <f>IFERROR(VLOOKUP($AQ325,'(勿動)組件目錄表'!$D$15:$R$1094,9,FALSE),"")</f>
        <v/>
      </c>
      <c r="BF325" s="69" t="str">
        <f>IFERROR(VLOOKUP($AQ325,'(勿動)組件目錄表'!$D$15:$R$1094,10,FALSE),"")</f>
        <v/>
      </c>
      <c r="BG325" s="69" t="str">
        <f>IFERROR(VLOOKUP($AQ325,'(勿動)組件目錄表'!$D$15:$R$1094,11,FALSE),"")</f>
        <v/>
      </c>
      <c r="BH325" s="69" t="str">
        <f>IFERROR(VLOOKUP($AQ325,'(勿動)組件目錄表'!$D$15:$R$1094,12,FALSE),"")</f>
        <v/>
      </c>
      <c r="BI325" s="69" t="str">
        <f>IFERROR(VLOOKUP($AQ325,'(勿動)組件目錄表'!$D$15:$R$1094,13,FALSE),"")</f>
        <v/>
      </c>
      <c r="BJ325" s="69" t="str">
        <f>IFERROR(VLOOKUP($AQ325,'(勿動)組件目錄表'!$D$15:$R$1094,14,FALSE),"")</f>
        <v/>
      </c>
      <c r="BK325" s="69" t="str">
        <f>IFERROR(VLOOKUP($AQ325,'(勿動)組件目錄表'!$D$15:$R$1094,15,FALSE),"")</f>
        <v/>
      </c>
      <c r="BL325" s="81">
        <f ca="1">IFERROR(__xludf.DUMMYFUNCTION("IFERROR(
  LET(
    rowData, FILTER('(勿動)組件目錄表'!J:Q, '(勿動)組件目錄表'!D:D=AQ325),
    IF(ROWS(rowData)=0, 0, 
      (
        IF(AND(BC325&lt;&gt;"""", INDEX(rowData,1,1)=BC325),1,0) +
        IF(AND(BD325&lt;&gt;"""", INDEX(rowData,1,2)=BD325),1,0) +
        IF(AND(BE325"&amp;"&lt;&gt;"""", INDEX(rowData,1,3)=BE325),1,0) +
        IF(AND(BF325&lt;&gt;"""", INDEX(rowData,1,4)=BF325),1,0) +
        IF(AND(BG325&lt;&gt;"""", INDEX(rowData,1,5)=BG325),1,0) +
        IF(AND(BH325&lt;&gt;"""", INDEX(rowData,1,6)=BH325),1,0) +
        IF(AND(BI325&lt;&gt;"""", IND"&amp;"EX(rowData,1,7)=BI325),1,0) +
        IF(AND(BJ325&lt;&gt;"""", INDEX(rowData,1,8)=BJ325),1,0)
      ) - COUNTIF(BC325:BJ325, ""-"")
        - COUNTIF(BC325:BJ325, ""固定格式，不需提供資訊"")
        - COUNTIF(BC325:BJ325, ""由MKT更新，此欄位固定格式，不需提供資訊
(Voucher CID：12917705872)"&amp;""")
        - COUNTIF(BC325:BJ325, ""text固定為以下：
※直播間僅支援手機版"")
        - COUNTIF(BC325:BJ325, ""text固定為以下：
※短影音僅支援手機版"")
    )
  ), 
  0
)
"),0)</f>
        <v>0</v>
      </c>
      <c r="BM325" s="77" t="b">
        <v>0</v>
      </c>
      <c r="BN325" s="85"/>
      <c r="BO325" s="85"/>
    </row>
    <row r="326" spans="1:67" ht="30" customHeight="1">
      <c r="A326" s="73" t="str">
        <f t="array" aca="1" ref="A326" ca="1">IFERROR(TRANSPOSE(INDIRECT('MS section版配(Old)'!$AO326)),"")</f>
        <v/>
      </c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8"/>
      <c r="P326" s="88"/>
      <c r="Q326" s="88"/>
      <c r="R326" s="88"/>
      <c r="S326" s="88"/>
      <c r="T326" s="88"/>
      <c r="U326" s="88"/>
      <c r="V326" s="88"/>
      <c r="W326" s="88"/>
      <c r="X326" s="88"/>
      <c r="Y326" s="88"/>
      <c r="Z326" s="88"/>
      <c r="AA326" s="88"/>
      <c r="AB326" s="88"/>
      <c r="AC326" s="88"/>
      <c r="AD326" s="88"/>
      <c r="AE326" s="397" t="str">
        <f>IFERROR(VLOOKUP($AQ326,'(勿動)組件目錄表'!$D$15:$R$1094,4,FALSE),"")</f>
        <v/>
      </c>
      <c r="AF326" s="384"/>
      <c r="AG326" s="384"/>
      <c r="AH326" s="384"/>
      <c r="AI326" s="384"/>
      <c r="AJ326" s="385"/>
      <c r="AK326" s="54" t="b">
        <v>0</v>
      </c>
      <c r="AL326" s="54" t="b">
        <v>0</v>
      </c>
      <c r="AM326" s="54"/>
      <c r="AN326" s="7" t="str">
        <v>318</v>
      </c>
      <c r="AO326" s="7"/>
      <c r="AP326" s="62"/>
      <c r="AQ326" s="75" t="str">
        <v/>
      </c>
      <c r="AR326" s="75" t="str">
        <v>-</v>
      </c>
      <c r="AS326" s="11"/>
      <c r="AT326" s="77" t="str">
        <v>-</v>
      </c>
      <c r="AU326" s="11" t="str">
        <v>-</v>
      </c>
      <c r="AV326" s="100"/>
      <c r="AW326" s="80" t="str">
        <f ca="1"/>
        <v>-</v>
      </c>
      <c r="AX326" s="80" t="b">
        <v>0</v>
      </c>
      <c r="AY326" s="68" t="str">
        <f t="shared" si="4"/>
        <v/>
      </c>
      <c r="AZ326" s="69" t="str">
        <f t="shared" si="5"/>
        <v/>
      </c>
      <c r="BA326" s="70" t="str">
        <f t="shared" si="6"/>
        <v/>
      </c>
      <c r="BB326" s="68" t="str">
        <f t="shared" si="7"/>
        <v/>
      </c>
      <c r="BC326" s="69" t="str">
        <f>IFERROR(VLOOKUP($AQ326,'(勿動)組件目錄表'!$D$15:$R$1094,7,FALSE),"")</f>
        <v/>
      </c>
      <c r="BD326" s="69" t="str">
        <f>IFERROR(VLOOKUP($AQ326,'(勿動)組件目錄表'!$D$15:$R$1094,8,FALSE),"")</f>
        <v/>
      </c>
      <c r="BE326" s="69" t="str">
        <f>IFERROR(VLOOKUP($AQ326,'(勿動)組件目錄表'!$D$15:$R$1094,9,FALSE),"")</f>
        <v/>
      </c>
      <c r="BF326" s="69" t="str">
        <f>IFERROR(VLOOKUP($AQ326,'(勿動)組件目錄表'!$D$15:$R$1094,10,FALSE),"")</f>
        <v/>
      </c>
      <c r="BG326" s="69" t="str">
        <f>IFERROR(VLOOKUP($AQ326,'(勿動)組件目錄表'!$D$15:$R$1094,11,FALSE),"")</f>
        <v/>
      </c>
      <c r="BH326" s="69" t="str">
        <f>IFERROR(VLOOKUP($AQ326,'(勿動)組件目錄表'!$D$15:$R$1094,12,FALSE),"")</f>
        <v/>
      </c>
      <c r="BI326" s="69" t="str">
        <f>IFERROR(VLOOKUP($AQ326,'(勿動)組件目錄表'!$D$15:$R$1094,13,FALSE),"")</f>
        <v/>
      </c>
      <c r="BJ326" s="69" t="str">
        <f>IFERROR(VLOOKUP($AQ326,'(勿動)組件目錄表'!$D$15:$R$1094,14,FALSE),"")</f>
        <v/>
      </c>
      <c r="BK326" s="69" t="str">
        <f>IFERROR(VLOOKUP($AQ326,'(勿動)組件目錄表'!$D$15:$R$1094,15,FALSE),"")</f>
        <v/>
      </c>
      <c r="BL326" s="81">
        <f ca="1">IFERROR(__xludf.DUMMYFUNCTION("IFERROR(
  LET(
    rowData, FILTER('(勿動)組件目錄表'!J:Q, '(勿動)組件目錄表'!D:D=AQ326),
    IF(ROWS(rowData)=0, 0, 
      (
        IF(AND(BC326&lt;&gt;"""", INDEX(rowData,1,1)=BC326),1,0) +
        IF(AND(BD326&lt;&gt;"""", INDEX(rowData,1,2)=BD326),1,0) +
        IF(AND(BE326"&amp;"&lt;&gt;"""", INDEX(rowData,1,3)=BE326),1,0) +
        IF(AND(BF326&lt;&gt;"""", INDEX(rowData,1,4)=BF326),1,0) +
        IF(AND(BG326&lt;&gt;"""", INDEX(rowData,1,5)=BG326),1,0) +
        IF(AND(BH326&lt;&gt;"""", INDEX(rowData,1,6)=BH326),1,0) +
        IF(AND(BI326&lt;&gt;"""", IND"&amp;"EX(rowData,1,7)=BI326),1,0) +
        IF(AND(BJ326&lt;&gt;"""", INDEX(rowData,1,8)=BJ326),1,0)
      ) - COUNTIF(BC326:BJ326, ""-"")
        - COUNTIF(BC326:BJ326, ""固定格式，不需提供資訊"")
        - COUNTIF(BC326:BJ326, ""由MKT更新，此欄位固定格式，不需提供資訊
(Voucher CID：12917705872)"&amp;""")
        - COUNTIF(BC326:BJ326, ""text固定為以下：
※直播間僅支援手機版"")
        - COUNTIF(BC326:BJ326, ""text固定為以下：
※短影音僅支援手機版"")
    )
  ), 
  0
)
"),0)</f>
        <v>0</v>
      </c>
      <c r="BM326" s="77" t="b">
        <v>0</v>
      </c>
      <c r="BN326" s="85"/>
      <c r="BO326" s="85"/>
    </row>
    <row r="327" spans="1:67" ht="30" customHeight="1">
      <c r="A327" s="73" t="str">
        <f t="array" aca="1" ref="A327" ca="1">IFERROR(TRANSPOSE(INDIRECT('MS section版配(Old)'!$AO327)),"")</f>
        <v/>
      </c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8"/>
      <c r="P327" s="88"/>
      <c r="Q327" s="88"/>
      <c r="R327" s="88"/>
      <c r="S327" s="88"/>
      <c r="T327" s="88"/>
      <c r="U327" s="88"/>
      <c r="V327" s="88"/>
      <c r="W327" s="88"/>
      <c r="X327" s="88"/>
      <c r="Y327" s="88"/>
      <c r="Z327" s="88"/>
      <c r="AA327" s="88"/>
      <c r="AB327" s="88"/>
      <c r="AC327" s="88"/>
      <c r="AD327" s="88"/>
      <c r="AE327" s="397" t="str">
        <f>IFERROR(VLOOKUP($AQ327,'(勿動)組件目錄表'!$D$15:$R$1094,4,FALSE),"")</f>
        <v/>
      </c>
      <c r="AF327" s="384"/>
      <c r="AG327" s="384"/>
      <c r="AH327" s="384"/>
      <c r="AI327" s="384"/>
      <c r="AJ327" s="385"/>
      <c r="AK327" s="54" t="b">
        <v>0</v>
      </c>
      <c r="AL327" s="54" t="b">
        <v>0</v>
      </c>
      <c r="AM327" s="54"/>
      <c r="AN327" s="7" t="str">
        <v>319</v>
      </c>
      <c r="AO327" s="7"/>
      <c r="AP327" s="62"/>
      <c r="AQ327" s="75" t="str">
        <v/>
      </c>
      <c r="AR327" s="75" t="str">
        <v>-</v>
      </c>
      <c r="AS327" s="11"/>
      <c r="AT327" s="77" t="str">
        <v>-</v>
      </c>
      <c r="AU327" s="11" t="str">
        <v>-</v>
      </c>
      <c r="AV327" s="100"/>
      <c r="AW327" s="80" t="str">
        <f ca="1"/>
        <v>-</v>
      </c>
      <c r="AX327" s="80" t="b">
        <v>0</v>
      </c>
      <c r="AY327" s="68" t="str">
        <f t="shared" si="4"/>
        <v/>
      </c>
      <c r="AZ327" s="69" t="str">
        <f t="shared" si="5"/>
        <v/>
      </c>
      <c r="BA327" s="70" t="str">
        <f t="shared" si="6"/>
        <v/>
      </c>
      <c r="BB327" s="68" t="str">
        <f t="shared" si="7"/>
        <v/>
      </c>
      <c r="BC327" s="69" t="str">
        <f>IFERROR(VLOOKUP($AQ327,'(勿動)組件目錄表'!$D$15:$R$1094,7,FALSE),"")</f>
        <v/>
      </c>
      <c r="BD327" s="69" t="str">
        <f>IFERROR(VLOOKUP($AQ327,'(勿動)組件目錄表'!$D$15:$R$1094,8,FALSE),"")</f>
        <v/>
      </c>
      <c r="BE327" s="69" t="str">
        <f>IFERROR(VLOOKUP($AQ327,'(勿動)組件目錄表'!$D$15:$R$1094,9,FALSE),"")</f>
        <v/>
      </c>
      <c r="BF327" s="69" t="str">
        <f>IFERROR(VLOOKUP($AQ327,'(勿動)組件目錄表'!$D$15:$R$1094,10,FALSE),"")</f>
        <v/>
      </c>
      <c r="BG327" s="69" t="str">
        <f>IFERROR(VLOOKUP($AQ327,'(勿動)組件目錄表'!$D$15:$R$1094,11,FALSE),"")</f>
        <v/>
      </c>
      <c r="BH327" s="69" t="str">
        <f>IFERROR(VLOOKUP($AQ327,'(勿動)組件目錄表'!$D$15:$R$1094,12,FALSE),"")</f>
        <v/>
      </c>
      <c r="BI327" s="69" t="str">
        <f>IFERROR(VLOOKUP($AQ327,'(勿動)組件目錄表'!$D$15:$R$1094,13,FALSE),"")</f>
        <v/>
      </c>
      <c r="BJ327" s="69" t="str">
        <f>IFERROR(VLOOKUP($AQ327,'(勿動)組件目錄表'!$D$15:$R$1094,14,FALSE),"")</f>
        <v/>
      </c>
      <c r="BK327" s="69" t="str">
        <f>IFERROR(VLOOKUP($AQ327,'(勿動)組件目錄表'!$D$15:$R$1094,15,FALSE),"")</f>
        <v/>
      </c>
      <c r="BL327" s="81">
        <f ca="1">IFERROR(__xludf.DUMMYFUNCTION("IFERROR(
  LET(
    rowData, FILTER('(勿動)組件目錄表'!J:Q, '(勿動)組件目錄表'!D:D=AQ327),
    IF(ROWS(rowData)=0, 0, 
      (
        IF(AND(BC327&lt;&gt;"""", INDEX(rowData,1,1)=BC327),1,0) +
        IF(AND(BD327&lt;&gt;"""", INDEX(rowData,1,2)=BD327),1,0) +
        IF(AND(BE327"&amp;"&lt;&gt;"""", INDEX(rowData,1,3)=BE327),1,0) +
        IF(AND(BF327&lt;&gt;"""", INDEX(rowData,1,4)=BF327),1,0) +
        IF(AND(BG327&lt;&gt;"""", INDEX(rowData,1,5)=BG327),1,0) +
        IF(AND(BH327&lt;&gt;"""", INDEX(rowData,1,6)=BH327),1,0) +
        IF(AND(BI327&lt;&gt;"""", IND"&amp;"EX(rowData,1,7)=BI327),1,0) +
        IF(AND(BJ327&lt;&gt;"""", INDEX(rowData,1,8)=BJ327),1,0)
      ) - COUNTIF(BC327:BJ327, ""-"")
        - COUNTIF(BC327:BJ327, ""固定格式，不需提供資訊"")
        - COUNTIF(BC327:BJ327, ""由MKT更新，此欄位固定格式，不需提供資訊
(Voucher CID：12917705872)"&amp;""")
        - COUNTIF(BC327:BJ327, ""text固定為以下：
※直播間僅支援手機版"")
        - COUNTIF(BC327:BJ327, ""text固定為以下：
※短影音僅支援手機版"")
    )
  ), 
  0
)
"),0)</f>
        <v>0</v>
      </c>
      <c r="BM327" s="77" t="b">
        <v>0</v>
      </c>
      <c r="BN327" s="85"/>
      <c r="BO327" s="85"/>
    </row>
    <row r="328" spans="1:67" ht="30" customHeight="1">
      <c r="A328" s="73" t="str">
        <f t="array" aca="1" ref="A328" ca="1">IFERROR(TRANSPOSE(INDIRECT('MS section版配(Old)'!$AO328)),"")</f>
        <v/>
      </c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8"/>
      <c r="P328" s="88"/>
      <c r="Q328" s="88"/>
      <c r="R328" s="88"/>
      <c r="S328" s="88"/>
      <c r="T328" s="88"/>
      <c r="U328" s="88"/>
      <c r="V328" s="88"/>
      <c r="W328" s="88"/>
      <c r="X328" s="88"/>
      <c r="Y328" s="88"/>
      <c r="Z328" s="88"/>
      <c r="AA328" s="88"/>
      <c r="AB328" s="88"/>
      <c r="AC328" s="88"/>
      <c r="AD328" s="88"/>
      <c r="AE328" s="397" t="str">
        <f>IFERROR(VLOOKUP($AQ328,'(勿動)組件目錄表'!$D$15:$R$1094,4,FALSE),"")</f>
        <v/>
      </c>
      <c r="AF328" s="384"/>
      <c r="AG328" s="384"/>
      <c r="AH328" s="384"/>
      <c r="AI328" s="384"/>
      <c r="AJ328" s="385"/>
      <c r="AK328" s="54" t="b">
        <v>0</v>
      </c>
      <c r="AL328" s="54" t="b">
        <v>0</v>
      </c>
      <c r="AM328" s="54"/>
      <c r="AN328" s="7" t="str">
        <v>320</v>
      </c>
      <c r="AO328" s="7"/>
      <c r="AP328" s="62"/>
      <c r="AQ328" s="75" t="str">
        <v/>
      </c>
      <c r="AR328" s="75" t="str">
        <v>-</v>
      </c>
      <c r="AS328" s="11"/>
      <c r="AT328" s="77" t="str">
        <v>-</v>
      </c>
      <c r="AU328" s="11" t="str">
        <v>-</v>
      </c>
      <c r="AV328" s="100"/>
      <c r="AW328" s="80" t="str">
        <f ca="1"/>
        <v>-</v>
      </c>
      <c r="AX328" s="80" t="b">
        <v>0</v>
      </c>
      <c r="AY328" s="68" t="str">
        <f t="shared" si="4"/>
        <v/>
      </c>
      <c r="AZ328" s="69" t="str">
        <f t="shared" si="5"/>
        <v/>
      </c>
      <c r="BA328" s="70" t="str">
        <f t="shared" si="6"/>
        <v/>
      </c>
      <c r="BB328" s="68" t="str">
        <f t="shared" si="7"/>
        <v/>
      </c>
      <c r="BC328" s="69" t="str">
        <f>IFERROR(VLOOKUP($AQ328,'(勿動)組件目錄表'!$D$15:$R$1094,7,FALSE),"")</f>
        <v/>
      </c>
      <c r="BD328" s="69" t="str">
        <f>IFERROR(VLOOKUP($AQ328,'(勿動)組件目錄表'!$D$15:$R$1094,8,FALSE),"")</f>
        <v/>
      </c>
      <c r="BE328" s="69" t="str">
        <f>IFERROR(VLOOKUP($AQ328,'(勿動)組件目錄表'!$D$15:$R$1094,9,FALSE),"")</f>
        <v/>
      </c>
      <c r="BF328" s="69" t="str">
        <f>IFERROR(VLOOKUP($AQ328,'(勿動)組件目錄表'!$D$15:$R$1094,10,FALSE),"")</f>
        <v/>
      </c>
      <c r="BG328" s="69" t="str">
        <f>IFERROR(VLOOKUP($AQ328,'(勿動)組件目錄表'!$D$15:$R$1094,11,FALSE),"")</f>
        <v/>
      </c>
      <c r="BH328" s="69" t="str">
        <f>IFERROR(VLOOKUP($AQ328,'(勿動)組件目錄表'!$D$15:$R$1094,12,FALSE),"")</f>
        <v/>
      </c>
      <c r="BI328" s="69" t="str">
        <f>IFERROR(VLOOKUP($AQ328,'(勿動)組件目錄表'!$D$15:$R$1094,13,FALSE),"")</f>
        <v/>
      </c>
      <c r="BJ328" s="69" t="str">
        <f>IFERROR(VLOOKUP($AQ328,'(勿動)組件目錄表'!$D$15:$R$1094,14,FALSE),"")</f>
        <v/>
      </c>
      <c r="BK328" s="69" t="str">
        <f>IFERROR(VLOOKUP($AQ328,'(勿動)組件目錄表'!$D$15:$R$1094,15,FALSE),"")</f>
        <v/>
      </c>
      <c r="BL328" s="81">
        <f ca="1">IFERROR(__xludf.DUMMYFUNCTION("IFERROR(
  LET(
    rowData, FILTER('(勿動)組件目錄表'!J:Q, '(勿動)組件目錄表'!D:D=AQ328),
    IF(ROWS(rowData)=0, 0, 
      (
        IF(AND(BC328&lt;&gt;"""", INDEX(rowData,1,1)=BC328),1,0) +
        IF(AND(BD328&lt;&gt;"""", INDEX(rowData,1,2)=BD328),1,0) +
        IF(AND(BE328"&amp;"&lt;&gt;"""", INDEX(rowData,1,3)=BE328),1,0) +
        IF(AND(BF328&lt;&gt;"""", INDEX(rowData,1,4)=BF328),1,0) +
        IF(AND(BG328&lt;&gt;"""", INDEX(rowData,1,5)=BG328),1,0) +
        IF(AND(BH328&lt;&gt;"""", INDEX(rowData,1,6)=BH328),1,0) +
        IF(AND(BI328&lt;&gt;"""", IND"&amp;"EX(rowData,1,7)=BI328),1,0) +
        IF(AND(BJ328&lt;&gt;"""", INDEX(rowData,1,8)=BJ328),1,0)
      ) - COUNTIF(BC328:BJ328, ""-"")
        - COUNTIF(BC328:BJ328, ""固定格式，不需提供資訊"")
        - COUNTIF(BC328:BJ328, ""由MKT更新，此欄位固定格式，不需提供資訊
(Voucher CID：12917705872)"&amp;""")
        - COUNTIF(BC328:BJ328, ""text固定為以下：
※直播間僅支援手機版"")
        - COUNTIF(BC328:BJ328, ""text固定為以下：
※短影音僅支援手機版"")
    )
  ), 
  0
)
"),0)</f>
        <v>0</v>
      </c>
      <c r="BM328" s="77" t="b">
        <v>0</v>
      </c>
      <c r="BN328" s="85"/>
      <c r="BO328" s="85"/>
    </row>
    <row r="329" spans="1:67" ht="30" customHeight="1">
      <c r="A329" s="73" t="str">
        <f t="array" aca="1" ref="A329" ca="1">IFERROR(TRANSPOSE(INDIRECT('MS section版配(Old)'!$AO329)),"")</f>
        <v/>
      </c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8"/>
      <c r="P329" s="88"/>
      <c r="Q329" s="88"/>
      <c r="R329" s="88"/>
      <c r="S329" s="88"/>
      <c r="T329" s="88"/>
      <c r="U329" s="88"/>
      <c r="V329" s="88"/>
      <c r="W329" s="88"/>
      <c r="X329" s="88"/>
      <c r="Y329" s="88"/>
      <c r="Z329" s="88"/>
      <c r="AA329" s="88"/>
      <c r="AB329" s="88"/>
      <c r="AC329" s="88"/>
      <c r="AD329" s="88"/>
      <c r="AE329" s="397" t="str">
        <f>IFERROR(VLOOKUP($AQ329,'(勿動)組件目錄表'!$D$15:$R$1094,4,FALSE),"")</f>
        <v/>
      </c>
      <c r="AF329" s="384"/>
      <c r="AG329" s="384"/>
      <c r="AH329" s="384"/>
      <c r="AI329" s="384"/>
      <c r="AJ329" s="385"/>
      <c r="AK329" s="54" t="b">
        <v>0</v>
      </c>
      <c r="AL329" s="54" t="b">
        <v>0</v>
      </c>
      <c r="AM329" s="54"/>
      <c r="AN329" s="7" t="str">
        <v>321</v>
      </c>
      <c r="AO329" s="7"/>
      <c r="AP329" s="62"/>
      <c r="AQ329" s="75" t="str">
        <v/>
      </c>
      <c r="AR329" s="75" t="str">
        <v>-</v>
      </c>
      <c r="AS329" s="11"/>
      <c r="AT329" s="77" t="str">
        <v>-</v>
      </c>
      <c r="AU329" s="11" t="str">
        <v>-</v>
      </c>
      <c r="AV329" s="100"/>
      <c r="AW329" s="80" t="str">
        <f ca="1"/>
        <v>-</v>
      </c>
      <c r="AX329" s="80" t="b">
        <v>0</v>
      </c>
      <c r="AY329" s="68" t="str">
        <f t="shared" si="4"/>
        <v/>
      </c>
      <c r="AZ329" s="69" t="str">
        <f t="shared" si="5"/>
        <v/>
      </c>
      <c r="BA329" s="70" t="str">
        <f t="shared" si="6"/>
        <v/>
      </c>
      <c r="BB329" s="68" t="str">
        <f t="shared" si="7"/>
        <v/>
      </c>
      <c r="BC329" s="69" t="str">
        <f>IFERROR(VLOOKUP($AQ329,'(勿動)組件目錄表'!$D$15:$R$1094,7,FALSE),"")</f>
        <v/>
      </c>
      <c r="BD329" s="69" t="str">
        <f>IFERROR(VLOOKUP($AQ329,'(勿動)組件目錄表'!$D$15:$R$1094,8,FALSE),"")</f>
        <v/>
      </c>
      <c r="BE329" s="69" t="str">
        <f>IFERROR(VLOOKUP($AQ329,'(勿動)組件目錄表'!$D$15:$R$1094,9,FALSE),"")</f>
        <v/>
      </c>
      <c r="BF329" s="69" t="str">
        <f>IFERROR(VLOOKUP($AQ329,'(勿動)組件目錄表'!$D$15:$R$1094,10,FALSE),"")</f>
        <v/>
      </c>
      <c r="BG329" s="69" t="str">
        <f>IFERROR(VLOOKUP($AQ329,'(勿動)組件目錄表'!$D$15:$R$1094,11,FALSE),"")</f>
        <v/>
      </c>
      <c r="BH329" s="69" t="str">
        <f>IFERROR(VLOOKUP($AQ329,'(勿動)組件目錄表'!$D$15:$R$1094,12,FALSE),"")</f>
        <v/>
      </c>
      <c r="BI329" s="69" t="str">
        <f>IFERROR(VLOOKUP($AQ329,'(勿動)組件目錄表'!$D$15:$R$1094,13,FALSE),"")</f>
        <v/>
      </c>
      <c r="BJ329" s="69" t="str">
        <f>IFERROR(VLOOKUP($AQ329,'(勿動)組件目錄表'!$D$15:$R$1094,14,FALSE),"")</f>
        <v/>
      </c>
      <c r="BK329" s="69" t="str">
        <f>IFERROR(VLOOKUP($AQ329,'(勿動)組件目錄表'!$D$15:$R$1094,15,FALSE),"")</f>
        <v/>
      </c>
      <c r="BL329" s="81">
        <f ca="1">IFERROR(__xludf.DUMMYFUNCTION("IFERROR(
  LET(
    rowData, FILTER('(勿動)組件目錄表'!J:Q, '(勿動)組件目錄表'!D:D=AQ329),
    IF(ROWS(rowData)=0, 0, 
      (
        IF(AND(BC329&lt;&gt;"""", INDEX(rowData,1,1)=BC329),1,0) +
        IF(AND(BD329&lt;&gt;"""", INDEX(rowData,1,2)=BD329),1,0) +
        IF(AND(BE329"&amp;"&lt;&gt;"""", INDEX(rowData,1,3)=BE329),1,0) +
        IF(AND(BF329&lt;&gt;"""", INDEX(rowData,1,4)=BF329),1,0) +
        IF(AND(BG329&lt;&gt;"""", INDEX(rowData,1,5)=BG329),1,0) +
        IF(AND(BH329&lt;&gt;"""", INDEX(rowData,1,6)=BH329),1,0) +
        IF(AND(BI329&lt;&gt;"""", IND"&amp;"EX(rowData,1,7)=BI329),1,0) +
        IF(AND(BJ329&lt;&gt;"""", INDEX(rowData,1,8)=BJ329),1,0)
      ) - COUNTIF(BC329:BJ329, ""-"")
        - COUNTIF(BC329:BJ329, ""固定格式，不需提供資訊"")
        - COUNTIF(BC329:BJ329, ""由MKT更新，此欄位固定格式，不需提供資訊
(Voucher CID：12917705872)"&amp;""")
        - COUNTIF(BC329:BJ329, ""text固定為以下：
※直播間僅支援手機版"")
        - COUNTIF(BC329:BJ329, ""text固定為以下：
※短影音僅支援手機版"")
    )
  ), 
  0
)
"),0)</f>
        <v>0</v>
      </c>
      <c r="BM329" s="77" t="b">
        <v>0</v>
      </c>
      <c r="BN329" s="85"/>
      <c r="BO329" s="85"/>
    </row>
    <row r="330" spans="1:67" ht="30" customHeight="1">
      <c r="A330" s="73" t="str">
        <f t="array" aca="1" ref="A330" ca="1">IFERROR(TRANSPOSE(INDIRECT('MS section版配(Old)'!$AO330)),"")</f>
        <v/>
      </c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8"/>
      <c r="P330" s="88"/>
      <c r="Q330" s="88"/>
      <c r="R330" s="88"/>
      <c r="S330" s="88"/>
      <c r="T330" s="88"/>
      <c r="U330" s="88"/>
      <c r="V330" s="88"/>
      <c r="W330" s="88"/>
      <c r="X330" s="88"/>
      <c r="Y330" s="88"/>
      <c r="Z330" s="88"/>
      <c r="AA330" s="88"/>
      <c r="AB330" s="88"/>
      <c r="AC330" s="88"/>
      <c r="AD330" s="88"/>
      <c r="AE330" s="397" t="str">
        <f>IFERROR(VLOOKUP($AQ330,'(勿動)組件目錄表'!$D$15:$R$1094,4,FALSE),"")</f>
        <v/>
      </c>
      <c r="AF330" s="384"/>
      <c r="AG330" s="384"/>
      <c r="AH330" s="384"/>
      <c r="AI330" s="384"/>
      <c r="AJ330" s="385"/>
      <c r="AK330" s="54" t="b">
        <v>0</v>
      </c>
      <c r="AL330" s="54" t="b">
        <v>0</v>
      </c>
      <c r="AM330" s="54"/>
      <c r="AN330" s="7" t="str">
        <v>322</v>
      </c>
      <c r="AO330" s="7"/>
      <c r="AP330" s="62"/>
      <c r="AQ330" s="75" t="str">
        <v/>
      </c>
      <c r="AR330" s="75" t="str">
        <v>-</v>
      </c>
      <c r="AS330" s="11"/>
      <c r="AT330" s="77" t="str">
        <v>-</v>
      </c>
      <c r="AU330" s="11" t="str">
        <v>-</v>
      </c>
      <c r="AV330" s="100"/>
      <c r="AW330" s="80" t="str">
        <f ca="1"/>
        <v>-</v>
      </c>
      <c r="AX330" s="80" t="b">
        <v>0</v>
      </c>
      <c r="AY330" s="68" t="str">
        <f t="shared" si="4"/>
        <v/>
      </c>
      <c r="AZ330" s="69" t="str">
        <f t="shared" si="5"/>
        <v/>
      </c>
      <c r="BA330" s="70" t="str">
        <f t="shared" si="6"/>
        <v/>
      </c>
      <c r="BB330" s="68" t="str">
        <f t="shared" si="7"/>
        <v/>
      </c>
      <c r="BC330" s="69" t="str">
        <f>IFERROR(VLOOKUP($AQ330,'(勿動)組件目錄表'!$D$15:$R$1094,7,FALSE),"")</f>
        <v/>
      </c>
      <c r="BD330" s="69" t="str">
        <f>IFERROR(VLOOKUP($AQ330,'(勿動)組件目錄表'!$D$15:$R$1094,8,FALSE),"")</f>
        <v/>
      </c>
      <c r="BE330" s="69" t="str">
        <f>IFERROR(VLOOKUP($AQ330,'(勿動)組件目錄表'!$D$15:$R$1094,9,FALSE),"")</f>
        <v/>
      </c>
      <c r="BF330" s="69" t="str">
        <f>IFERROR(VLOOKUP($AQ330,'(勿動)組件目錄表'!$D$15:$R$1094,10,FALSE),"")</f>
        <v/>
      </c>
      <c r="BG330" s="69" t="str">
        <f>IFERROR(VLOOKUP($AQ330,'(勿動)組件目錄表'!$D$15:$R$1094,11,FALSE),"")</f>
        <v/>
      </c>
      <c r="BH330" s="69" t="str">
        <f>IFERROR(VLOOKUP($AQ330,'(勿動)組件目錄表'!$D$15:$R$1094,12,FALSE),"")</f>
        <v/>
      </c>
      <c r="BI330" s="69" t="str">
        <f>IFERROR(VLOOKUP($AQ330,'(勿動)組件目錄表'!$D$15:$R$1094,13,FALSE),"")</f>
        <v/>
      </c>
      <c r="BJ330" s="69" t="str">
        <f>IFERROR(VLOOKUP($AQ330,'(勿動)組件目錄表'!$D$15:$R$1094,14,FALSE),"")</f>
        <v/>
      </c>
      <c r="BK330" s="69" t="str">
        <f>IFERROR(VLOOKUP($AQ330,'(勿動)組件目錄表'!$D$15:$R$1094,15,FALSE),"")</f>
        <v/>
      </c>
      <c r="BL330" s="81">
        <f ca="1">IFERROR(__xludf.DUMMYFUNCTION("IFERROR(
  LET(
    rowData, FILTER('(勿動)組件目錄表'!J:Q, '(勿動)組件目錄表'!D:D=AQ330),
    IF(ROWS(rowData)=0, 0, 
      (
        IF(AND(BC330&lt;&gt;"""", INDEX(rowData,1,1)=BC330),1,0) +
        IF(AND(BD330&lt;&gt;"""", INDEX(rowData,1,2)=BD330),1,0) +
        IF(AND(BE330"&amp;"&lt;&gt;"""", INDEX(rowData,1,3)=BE330),1,0) +
        IF(AND(BF330&lt;&gt;"""", INDEX(rowData,1,4)=BF330),1,0) +
        IF(AND(BG330&lt;&gt;"""", INDEX(rowData,1,5)=BG330),1,0) +
        IF(AND(BH330&lt;&gt;"""", INDEX(rowData,1,6)=BH330),1,0) +
        IF(AND(BI330&lt;&gt;"""", IND"&amp;"EX(rowData,1,7)=BI330),1,0) +
        IF(AND(BJ330&lt;&gt;"""", INDEX(rowData,1,8)=BJ330),1,0)
      ) - COUNTIF(BC330:BJ330, ""-"")
        - COUNTIF(BC330:BJ330, ""固定格式，不需提供資訊"")
        - COUNTIF(BC330:BJ330, ""由MKT更新，此欄位固定格式，不需提供資訊
(Voucher CID：12917705872)"&amp;""")
        - COUNTIF(BC330:BJ330, ""text固定為以下：
※直播間僅支援手機版"")
        - COUNTIF(BC330:BJ330, ""text固定為以下：
※短影音僅支援手機版"")
    )
  ), 
  0
)
"),0)</f>
        <v>0</v>
      </c>
      <c r="BM330" s="77" t="b">
        <v>0</v>
      </c>
      <c r="BN330" s="85"/>
      <c r="BO330" s="85"/>
    </row>
    <row r="331" spans="1:67" ht="30" customHeight="1">
      <c r="A331" s="73" t="str">
        <f t="array" aca="1" ref="A331" ca="1">IFERROR(TRANSPOSE(INDIRECT('MS section版配(Old)'!$AO331)),"")</f>
        <v/>
      </c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8"/>
      <c r="P331" s="88"/>
      <c r="Q331" s="88"/>
      <c r="R331" s="88"/>
      <c r="S331" s="88"/>
      <c r="T331" s="88"/>
      <c r="U331" s="88"/>
      <c r="V331" s="88"/>
      <c r="W331" s="88"/>
      <c r="X331" s="88"/>
      <c r="Y331" s="88"/>
      <c r="Z331" s="88"/>
      <c r="AA331" s="88"/>
      <c r="AB331" s="88"/>
      <c r="AC331" s="88"/>
      <c r="AD331" s="88"/>
      <c r="AE331" s="397" t="str">
        <f>IFERROR(VLOOKUP($AQ331,'(勿動)組件目錄表'!$D$15:$R$1094,4,FALSE),"")</f>
        <v/>
      </c>
      <c r="AF331" s="384"/>
      <c r="AG331" s="384"/>
      <c r="AH331" s="384"/>
      <c r="AI331" s="384"/>
      <c r="AJ331" s="385"/>
      <c r="AK331" s="54" t="b">
        <v>0</v>
      </c>
      <c r="AL331" s="54" t="b">
        <v>0</v>
      </c>
      <c r="AM331" s="54"/>
      <c r="AN331" s="7" t="str">
        <v>323</v>
      </c>
      <c r="AO331" s="7"/>
      <c r="AP331" s="62"/>
      <c r="AQ331" s="75" t="str">
        <v/>
      </c>
      <c r="AR331" s="75" t="str">
        <v>-</v>
      </c>
      <c r="AS331" s="11"/>
      <c r="AT331" s="77" t="str">
        <v>-</v>
      </c>
      <c r="AU331" s="11" t="str">
        <v>-</v>
      </c>
      <c r="AV331" s="100"/>
      <c r="AW331" s="80" t="str">
        <f ca="1"/>
        <v>-</v>
      </c>
      <c r="AX331" s="80" t="b">
        <v>0</v>
      </c>
      <c r="AY331" s="68" t="str">
        <f t="shared" si="4"/>
        <v/>
      </c>
      <c r="AZ331" s="69" t="str">
        <f t="shared" si="5"/>
        <v/>
      </c>
      <c r="BA331" s="70" t="str">
        <f t="shared" si="6"/>
        <v/>
      </c>
      <c r="BB331" s="68" t="str">
        <f t="shared" si="7"/>
        <v/>
      </c>
      <c r="BC331" s="69" t="str">
        <f>IFERROR(VLOOKUP($AQ331,'(勿動)組件目錄表'!$D$15:$R$1094,7,FALSE),"")</f>
        <v/>
      </c>
      <c r="BD331" s="69" t="str">
        <f>IFERROR(VLOOKUP($AQ331,'(勿動)組件目錄表'!$D$15:$R$1094,8,FALSE),"")</f>
        <v/>
      </c>
      <c r="BE331" s="69" t="str">
        <f>IFERROR(VLOOKUP($AQ331,'(勿動)組件目錄表'!$D$15:$R$1094,9,FALSE),"")</f>
        <v/>
      </c>
      <c r="BF331" s="69" t="str">
        <f>IFERROR(VLOOKUP($AQ331,'(勿動)組件目錄表'!$D$15:$R$1094,10,FALSE),"")</f>
        <v/>
      </c>
      <c r="BG331" s="69" t="str">
        <f>IFERROR(VLOOKUP($AQ331,'(勿動)組件目錄表'!$D$15:$R$1094,11,FALSE),"")</f>
        <v/>
      </c>
      <c r="BH331" s="69" t="str">
        <f>IFERROR(VLOOKUP($AQ331,'(勿動)組件目錄表'!$D$15:$R$1094,12,FALSE),"")</f>
        <v/>
      </c>
      <c r="BI331" s="69" t="str">
        <f>IFERROR(VLOOKUP($AQ331,'(勿動)組件目錄表'!$D$15:$R$1094,13,FALSE),"")</f>
        <v/>
      </c>
      <c r="BJ331" s="69" t="str">
        <f>IFERROR(VLOOKUP($AQ331,'(勿動)組件目錄表'!$D$15:$R$1094,14,FALSE),"")</f>
        <v/>
      </c>
      <c r="BK331" s="69" t="str">
        <f>IFERROR(VLOOKUP($AQ331,'(勿動)組件目錄表'!$D$15:$R$1094,15,FALSE),"")</f>
        <v/>
      </c>
      <c r="BL331" s="81">
        <f ca="1">IFERROR(__xludf.DUMMYFUNCTION("IFERROR(
  LET(
    rowData, FILTER('(勿動)組件目錄表'!J:Q, '(勿動)組件目錄表'!D:D=AQ331),
    IF(ROWS(rowData)=0, 0, 
      (
        IF(AND(BC331&lt;&gt;"""", INDEX(rowData,1,1)=BC331),1,0) +
        IF(AND(BD331&lt;&gt;"""", INDEX(rowData,1,2)=BD331),1,0) +
        IF(AND(BE331"&amp;"&lt;&gt;"""", INDEX(rowData,1,3)=BE331),1,0) +
        IF(AND(BF331&lt;&gt;"""", INDEX(rowData,1,4)=BF331),1,0) +
        IF(AND(BG331&lt;&gt;"""", INDEX(rowData,1,5)=BG331),1,0) +
        IF(AND(BH331&lt;&gt;"""", INDEX(rowData,1,6)=BH331),1,0) +
        IF(AND(BI331&lt;&gt;"""", IND"&amp;"EX(rowData,1,7)=BI331),1,0) +
        IF(AND(BJ331&lt;&gt;"""", INDEX(rowData,1,8)=BJ331),1,0)
      ) - COUNTIF(BC331:BJ331, ""-"")
        - COUNTIF(BC331:BJ331, ""固定格式，不需提供資訊"")
        - COUNTIF(BC331:BJ331, ""由MKT更新，此欄位固定格式，不需提供資訊
(Voucher CID：12917705872)"&amp;""")
        - COUNTIF(BC331:BJ331, ""text固定為以下：
※直播間僅支援手機版"")
        - COUNTIF(BC331:BJ331, ""text固定為以下：
※短影音僅支援手機版"")
    )
  ), 
  0
)
"),0)</f>
        <v>0</v>
      </c>
      <c r="BM331" s="77" t="b">
        <v>0</v>
      </c>
      <c r="BN331" s="85"/>
      <c r="BO331" s="85"/>
    </row>
    <row r="332" spans="1:67" ht="30" customHeight="1">
      <c r="A332" s="73" t="str">
        <f t="array" aca="1" ref="A332" ca="1">IFERROR(TRANSPOSE(INDIRECT('MS section版配(Old)'!$AO332)),"")</f>
        <v/>
      </c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8"/>
      <c r="P332" s="88"/>
      <c r="Q332" s="88"/>
      <c r="R332" s="88"/>
      <c r="S332" s="88"/>
      <c r="T332" s="88"/>
      <c r="U332" s="88"/>
      <c r="V332" s="88"/>
      <c r="W332" s="88"/>
      <c r="X332" s="88"/>
      <c r="Y332" s="88"/>
      <c r="Z332" s="88"/>
      <c r="AA332" s="88"/>
      <c r="AB332" s="88"/>
      <c r="AC332" s="88"/>
      <c r="AD332" s="88"/>
      <c r="AE332" s="397" t="str">
        <f>IFERROR(VLOOKUP($AQ332,'(勿動)組件目錄表'!$D$15:$R$1094,4,FALSE),"")</f>
        <v/>
      </c>
      <c r="AF332" s="384"/>
      <c r="AG332" s="384"/>
      <c r="AH332" s="384"/>
      <c r="AI332" s="384"/>
      <c r="AJ332" s="385"/>
      <c r="AK332" s="54" t="b">
        <v>0</v>
      </c>
      <c r="AL332" s="54" t="b">
        <v>0</v>
      </c>
      <c r="AM332" s="54"/>
      <c r="AN332" s="7" t="str">
        <v>324</v>
      </c>
      <c r="AO332" s="7"/>
      <c r="AP332" s="62"/>
      <c r="AQ332" s="75" t="str">
        <v/>
      </c>
      <c r="AR332" s="75" t="str">
        <v>-</v>
      </c>
      <c r="AS332" s="11"/>
      <c r="AT332" s="77" t="str">
        <v>-</v>
      </c>
      <c r="AU332" s="11" t="str">
        <v>-</v>
      </c>
      <c r="AV332" s="100"/>
      <c r="AW332" s="80" t="str">
        <f ca="1"/>
        <v>-</v>
      </c>
      <c r="AX332" s="80" t="b">
        <v>0</v>
      </c>
      <c r="AY332" s="68" t="str">
        <f t="shared" si="4"/>
        <v/>
      </c>
      <c r="AZ332" s="69" t="str">
        <f t="shared" si="5"/>
        <v/>
      </c>
      <c r="BA332" s="70" t="str">
        <f t="shared" si="6"/>
        <v/>
      </c>
      <c r="BB332" s="68" t="str">
        <f t="shared" si="7"/>
        <v/>
      </c>
      <c r="BC332" s="69" t="str">
        <f>IFERROR(VLOOKUP($AQ332,'(勿動)組件目錄表'!$D$15:$R$1094,7,FALSE),"")</f>
        <v/>
      </c>
      <c r="BD332" s="69" t="str">
        <f>IFERROR(VLOOKUP($AQ332,'(勿動)組件目錄表'!$D$15:$R$1094,8,FALSE),"")</f>
        <v/>
      </c>
      <c r="BE332" s="69" t="str">
        <f>IFERROR(VLOOKUP($AQ332,'(勿動)組件目錄表'!$D$15:$R$1094,9,FALSE),"")</f>
        <v/>
      </c>
      <c r="BF332" s="69" t="str">
        <f>IFERROR(VLOOKUP($AQ332,'(勿動)組件目錄表'!$D$15:$R$1094,10,FALSE),"")</f>
        <v/>
      </c>
      <c r="BG332" s="69" t="str">
        <f>IFERROR(VLOOKUP($AQ332,'(勿動)組件目錄表'!$D$15:$R$1094,11,FALSE),"")</f>
        <v/>
      </c>
      <c r="BH332" s="69" t="str">
        <f>IFERROR(VLOOKUP($AQ332,'(勿動)組件目錄表'!$D$15:$R$1094,12,FALSE),"")</f>
        <v/>
      </c>
      <c r="BI332" s="69" t="str">
        <f>IFERROR(VLOOKUP($AQ332,'(勿動)組件目錄表'!$D$15:$R$1094,13,FALSE),"")</f>
        <v/>
      </c>
      <c r="BJ332" s="69" t="str">
        <f>IFERROR(VLOOKUP($AQ332,'(勿動)組件目錄表'!$D$15:$R$1094,14,FALSE),"")</f>
        <v/>
      </c>
      <c r="BK332" s="69" t="str">
        <f>IFERROR(VLOOKUP($AQ332,'(勿動)組件目錄表'!$D$15:$R$1094,15,FALSE),"")</f>
        <v/>
      </c>
      <c r="BL332" s="81">
        <f ca="1">IFERROR(__xludf.DUMMYFUNCTION("IFERROR(
  LET(
    rowData, FILTER('(勿動)組件目錄表'!J:Q, '(勿動)組件目錄表'!D:D=AQ332),
    IF(ROWS(rowData)=0, 0, 
      (
        IF(AND(BC332&lt;&gt;"""", INDEX(rowData,1,1)=BC332),1,0) +
        IF(AND(BD332&lt;&gt;"""", INDEX(rowData,1,2)=BD332),1,0) +
        IF(AND(BE332"&amp;"&lt;&gt;"""", INDEX(rowData,1,3)=BE332),1,0) +
        IF(AND(BF332&lt;&gt;"""", INDEX(rowData,1,4)=BF332),1,0) +
        IF(AND(BG332&lt;&gt;"""", INDEX(rowData,1,5)=BG332),1,0) +
        IF(AND(BH332&lt;&gt;"""", INDEX(rowData,1,6)=BH332),1,0) +
        IF(AND(BI332&lt;&gt;"""", IND"&amp;"EX(rowData,1,7)=BI332),1,0) +
        IF(AND(BJ332&lt;&gt;"""", INDEX(rowData,1,8)=BJ332),1,0)
      ) - COUNTIF(BC332:BJ332, ""-"")
        - COUNTIF(BC332:BJ332, ""固定格式，不需提供資訊"")
        - COUNTIF(BC332:BJ332, ""由MKT更新，此欄位固定格式，不需提供資訊
(Voucher CID：12917705872)"&amp;""")
        - COUNTIF(BC332:BJ332, ""text固定為以下：
※直播間僅支援手機版"")
        - COUNTIF(BC332:BJ332, ""text固定為以下：
※短影音僅支援手機版"")
    )
  ), 
  0
)
"),0)</f>
        <v>0</v>
      </c>
      <c r="BM332" s="77" t="b">
        <v>0</v>
      </c>
      <c r="BN332" s="85"/>
      <c r="BO332" s="85"/>
    </row>
    <row r="333" spans="1:67" ht="30" customHeight="1">
      <c r="A333" s="73" t="str">
        <f t="array" aca="1" ref="A333" ca="1">IFERROR(TRANSPOSE(INDIRECT('MS section版配(Old)'!$AO333)),"")</f>
        <v/>
      </c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8"/>
      <c r="P333" s="88"/>
      <c r="Q333" s="88"/>
      <c r="R333" s="88"/>
      <c r="S333" s="88"/>
      <c r="T333" s="88"/>
      <c r="U333" s="88"/>
      <c r="V333" s="88"/>
      <c r="W333" s="88"/>
      <c r="X333" s="88"/>
      <c r="Y333" s="88"/>
      <c r="Z333" s="88"/>
      <c r="AA333" s="88"/>
      <c r="AB333" s="88"/>
      <c r="AC333" s="88"/>
      <c r="AD333" s="88"/>
      <c r="AE333" s="397" t="str">
        <f>IFERROR(VLOOKUP($AQ333,'(勿動)組件目錄表'!$D$15:$R$1094,4,FALSE),"")</f>
        <v/>
      </c>
      <c r="AF333" s="384"/>
      <c r="AG333" s="384"/>
      <c r="AH333" s="384"/>
      <c r="AI333" s="384"/>
      <c r="AJ333" s="385"/>
      <c r="AK333" s="54" t="b">
        <v>0</v>
      </c>
      <c r="AL333" s="54" t="b">
        <v>0</v>
      </c>
      <c r="AM333" s="54"/>
      <c r="AN333" s="7" t="str">
        <v>325</v>
      </c>
      <c r="AO333" s="7"/>
      <c r="AP333" s="62"/>
      <c r="AQ333" s="75" t="str">
        <v/>
      </c>
      <c r="AR333" s="75" t="str">
        <v>-</v>
      </c>
      <c r="AS333" s="11"/>
      <c r="AT333" s="77" t="str">
        <v>-</v>
      </c>
      <c r="AU333" s="11" t="str">
        <v>-</v>
      </c>
      <c r="AV333" s="100"/>
      <c r="AW333" s="80" t="str">
        <f ca="1"/>
        <v>-</v>
      </c>
      <c r="AX333" s="80" t="b">
        <v>0</v>
      </c>
      <c r="AY333" s="68" t="str">
        <f t="shared" si="4"/>
        <v/>
      </c>
      <c r="AZ333" s="69" t="str">
        <f t="shared" si="5"/>
        <v/>
      </c>
      <c r="BA333" s="70" t="str">
        <f t="shared" si="6"/>
        <v/>
      </c>
      <c r="BB333" s="68" t="str">
        <f t="shared" si="7"/>
        <v/>
      </c>
      <c r="BC333" s="69" t="str">
        <f>IFERROR(VLOOKUP($AQ333,'(勿動)組件目錄表'!$D$15:$R$1094,7,FALSE),"")</f>
        <v/>
      </c>
      <c r="BD333" s="69" t="str">
        <f>IFERROR(VLOOKUP($AQ333,'(勿動)組件目錄表'!$D$15:$R$1094,8,FALSE),"")</f>
        <v/>
      </c>
      <c r="BE333" s="69" t="str">
        <f>IFERROR(VLOOKUP($AQ333,'(勿動)組件目錄表'!$D$15:$R$1094,9,FALSE),"")</f>
        <v/>
      </c>
      <c r="BF333" s="69" t="str">
        <f>IFERROR(VLOOKUP($AQ333,'(勿動)組件目錄表'!$D$15:$R$1094,10,FALSE),"")</f>
        <v/>
      </c>
      <c r="BG333" s="69" t="str">
        <f>IFERROR(VLOOKUP($AQ333,'(勿動)組件目錄表'!$D$15:$R$1094,11,FALSE),"")</f>
        <v/>
      </c>
      <c r="BH333" s="69" t="str">
        <f>IFERROR(VLOOKUP($AQ333,'(勿動)組件目錄表'!$D$15:$R$1094,12,FALSE),"")</f>
        <v/>
      </c>
      <c r="BI333" s="69" t="str">
        <f>IFERROR(VLOOKUP($AQ333,'(勿動)組件目錄表'!$D$15:$R$1094,13,FALSE),"")</f>
        <v/>
      </c>
      <c r="BJ333" s="69" t="str">
        <f>IFERROR(VLOOKUP($AQ333,'(勿動)組件目錄表'!$D$15:$R$1094,14,FALSE),"")</f>
        <v/>
      </c>
      <c r="BK333" s="69" t="str">
        <f>IFERROR(VLOOKUP($AQ333,'(勿動)組件目錄表'!$D$15:$R$1094,15,FALSE),"")</f>
        <v/>
      </c>
      <c r="BL333" s="81">
        <f ca="1">IFERROR(__xludf.DUMMYFUNCTION("IFERROR(
  LET(
    rowData, FILTER('(勿動)組件目錄表'!J:Q, '(勿動)組件目錄表'!D:D=AQ333),
    IF(ROWS(rowData)=0, 0, 
      (
        IF(AND(BC333&lt;&gt;"""", INDEX(rowData,1,1)=BC333),1,0) +
        IF(AND(BD333&lt;&gt;"""", INDEX(rowData,1,2)=BD333),1,0) +
        IF(AND(BE333"&amp;"&lt;&gt;"""", INDEX(rowData,1,3)=BE333),1,0) +
        IF(AND(BF333&lt;&gt;"""", INDEX(rowData,1,4)=BF333),1,0) +
        IF(AND(BG333&lt;&gt;"""", INDEX(rowData,1,5)=BG333),1,0) +
        IF(AND(BH333&lt;&gt;"""", INDEX(rowData,1,6)=BH333),1,0) +
        IF(AND(BI333&lt;&gt;"""", IND"&amp;"EX(rowData,1,7)=BI333),1,0) +
        IF(AND(BJ333&lt;&gt;"""", INDEX(rowData,1,8)=BJ333),1,0)
      ) - COUNTIF(BC333:BJ333, ""-"")
        - COUNTIF(BC333:BJ333, ""固定格式，不需提供資訊"")
        - COUNTIF(BC333:BJ333, ""由MKT更新，此欄位固定格式，不需提供資訊
(Voucher CID：12917705872)"&amp;""")
        - COUNTIF(BC333:BJ333, ""text固定為以下：
※直播間僅支援手機版"")
        - COUNTIF(BC333:BJ333, ""text固定為以下：
※短影音僅支援手機版"")
    )
  ), 
  0
)
"),0)</f>
        <v>0</v>
      </c>
      <c r="BM333" s="77" t="b">
        <v>0</v>
      </c>
      <c r="BN333" s="85"/>
      <c r="BO333" s="85"/>
    </row>
    <row r="334" spans="1:67" ht="30" customHeight="1">
      <c r="A334" s="73" t="str">
        <f t="array" aca="1" ref="A334" ca="1">IFERROR(TRANSPOSE(INDIRECT('MS section版配(Old)'!$AO334)),"")</f>
        <v/>
      </c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8"/>
      <c r="P334" s="88"/>
      <c r="Q334" s="88"/>
      <c r="R334" s="88"/>
      <c r="S334" s="88"/>
      <c r="T334" s="88"/>
      <c r="U334" s="88"/>
      <c r="V334" s="88"/>
      <c r="W334" s="88"/>
      <c r="X334" s="88"/>
      <c r="Y334" s="88"/>
      <c r="Z334" s="88"/>
      <c r="AA334" s="88"/>
      <c r="AB334" s="88"/>
      <c r="AC334" s="88"/>
      <c r="AD334" s="88"/>
      <c r="AE334" s="397" t="str">
        <f>IFERROR(VLOOKUP($AQ334,'(勿動)組件目錄表'!$D$15:$R$1094,4,FALSE),"")</f>
        <v/>
      </c>
      <c r="AF334" s="384"/>
      <c r="AG334" s="384"/>
      <c r="AH334" s="384"/>
      <c r="AI334" s="384"/>
      <c r="AJ334" s="385"/>
      <c r="AK334" s="54" t="b">
        <v>0</v>
      </c>
      <c r="AL334" s="54" t="b">
        <v>0</v>
      </c>
      <c r="AM334" s="54"/>
      <c r="AN334" s="7" t="str">
        <v>326</v>
      </c>
      <c r="AO334" s="7"/>
      <c r="AP334" s="62"/>
      <c r="AQ334" s="75" t="str">
        <v/>
      </c>
      <c r="AR334" s="75" t="str">
        <v>-</v>
      </c>
      <c r="AS334" s="11"/>
      <c r="AT334" s="77" t="str">
        <v>-</v>
      </c>
      <c r="AU334" s="11" t="str">
        <v>-</v>
      </c>
      <c r="AV334" s="100"/>
      <c r="AW334" s="80" t="str">
        <f ca="1"/>
        <v>-</v>
      </c>
      <c r="AX334" s="80" t="b">
        <v>0</v>
      </c>
      <c r="AY334" s="68" t="str">
        <f t="shared" si="4"/>
        <v/>
      </c>
      <c r="AZ334" s="69" t="str">
        <f t="shared" si="5"/>
        <v/>
      </c>
      <c r="BA334" s="70" t="str">
        <f t="shared" si="6"/>
        <v/>
      </c>
      <c r="BB334" s="68" t="str">
        <f t="shared" si="7"/>
        <v/>
      </c>
      <c r="BC334" s="69" t="str">
        <f>IFERROR(VLOOKUP($AQ334,'(勿動)組件目錄表'!$D$15:$R$1094,7,FALSE),"")</f>
        <v/>
      </c>
      <c r="BD334" s="69" t="str">
        <f>IFERROR(VLOOKUP($AQ334,'(勿動)組件目錄表'!$D$15:$R$1094,8,FALSE),"")</f>
        <v/>
      </c>
      <c r="BE334" s="69" t="str">
        <f>IFERROR(VLOOKUP($AQ334,'(勿動)組件目錄表'!$D$15:$R$1094,9,FALSE),"")</f>
        <v/>
      </c>
      <c r="BF334" s="69" t="str">
        <f>IFERROR(VLOOKUP($AQ334,'(勿動)組件目錄表'!$D$15:$R$1094,10,FALSE),"")</f>
        <v/>
      </c>
      <c r="BG334" s="69" t="str">
        <f>IFERROR(VLOOKUP($AQ334,'(勿動)組件目錄表'!$D$15:$R$1094,11,FALSE),"")</f>
        <v/>
      </c>
      <c r="BH334" s="69" t="str">
        <f>IFERROR(VLOOKUP($AQ334,'(勿動)組件目錄表'!$D$15:$R$1094,12,FALSE),"")</f>
        <v/>
      </c>
      <c r="BI334" s="69" t="str">
        <f>IFERROR(VLOOKUP($AQ334,'(勿動)組件目錄表'!$D$15:$R$1094,13,FALSE),"")</f>
        <v/>
      </c>
      <c r="BJ334" s="69" t="str">
        <f>IFERROR(VLOOKUP($AQ334,'(勿動)組件目錄表'!$D$15:$R$1094,14,FALSE),"")</f>
        <v/>
      </c>
      <c r="BK334" s="69" t="str">
        <f>IFERROR(VLOOKUP($AQ334,'(勿動)組件目錄表'!$D$15:$R$1094,15,FALSE),"")</f>
        <v/>
      </c>
      <c r="BL334" s="81">
        <f ca="1">IFERROR(__xludf.DUMMYFUNCTION("IFERROR(
  LET(
    rowData, FILTER('(勿動)組件目錄表'!J:Q, '(勿動)組件目錄表'!D:D=AQ334),
    IF(ROWS(rowData)=0, 0, 
      (
        IF(AND(BC334&lt;&gt;"""", INDEX(rowData,1,1)=BC334),1,0) +
        IF(AND(BD334&lt;&gt;"""", INDEX(rowData,1,2)=BD334),1,0) +
        IF(AND(BE334"&amp;"&lt;&gt;"""", INDEX(rowData,1,3)=BE334),1,0) +
        IF(AND(BF334&lt;&gt;"""", INDEX(rowData,1,4)=BF334),1,0) +
        IF(AND(BG334&lt;&gt;"""", INDEX(rowData,1,5)=BG334),1,0) +
        IF(AND(BH334&lt;&gt;"""", INDEX(rowData,1,6)=BH334),1,0) +
        IF(AND(BI334&lt;&gt;"""", IND"&amp;"EX(rowData,1,7)=BI334),1,0) +
        IF(AND(BJ334&lt;&gt;"""", INDEX(rowData,1,8)=BJ334),1,0)
      ) - COUNTIF(BC334:BJ334, ""-"")
        - COUNTIF(BC334:BJ334, ""固定格式，不需提供資訊"")
        - COUNTIF(BC334:BJ334, ""由MKT更新，此欄位固定格式，不需提供資訊
(Voucher CID：12917705872)"&amp;""")
        - COUNTIF(BC334:BJ334, ""text固定為以下：
※直播間僅支援手機版"")
        - COUNTIF(BC334:BJ334, ""text固定為以下：
※短影音僅支援手機版"")
    )
  ), 
  0
)
"),0)</f>
        <v>0</v>
      </c>
      <c r="BM334" s="77" t="b">
        <v>0</v>
      </c>
      <c r="BN334" s="85"/>
      <c r="BO334" s="85"/>
    </row>
    <row r="335" spans="1:67" ht="30" customHeight="1">
      <c r="A335" s="73" t="str">
        <f t="array" aca="1" ref="A335" ca="1">IFERROR(TRANSPOSE(INDIRECT('MS section版配(Old)'!$AO335)),"")</f>
        <v/>
      </c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8"/>
      <c r="P335" s="88"/>
      <c r="Q335" s="88"/>
      <c r="R335" s="88"/>
      <c r="S335" s="88"/>
      <c r="T335" s="88"/>
      <c r="U335" s="88"/>
      <c r="V335" s="88"/>
      <c r="W335" s="88"/>
      <c r="X335" s="88"/>
      <c r="Y335" s="88"/>
      <c r="Z335" s="88"/>
      <c r="AA335" s="88"/>
      <c r="AB335" s="88"/>
      <c r="AC335" s="88"/>
      <c r="AD335" s="88"/>
      <c r="AE335" s="397" t="str">
        <f>IFERROR(VLOOKUP($AQ335,'(勿動)組件目錄表'!$D$15:$R$1094,4,FALSE),"")</f>
        <v/>
      </c>
      <c r="AF335" s="384"/>
      <c r="AG335" s="384"/>
      <c r="AH335" s="384"/>
      <c r="AI335" s="384"/>
      <c r="AJ335" s="385"/>
      <c r="AK335" s="54" t="b">
        <v>0</v>
      </c>
      <c r="AL335" s="54" t="b">
        <v>0</v>
      </c>
      <c r="AM335" s="54"/>
      <c r="AN335" s="7" t="str">
        <v>327</v>
      </c>
      <c r="AO335" s="7"/>
      <c r="AP335" s="62"/>
      <c r="AQ335" s="75" t="str">
        <v/>
      </c>
      <c r="AR335" s="75" t="str">
        <v>-</v>
      </c>
      <c r="AS335" s="11"/>
      <c r="AT335" s="77" t="str">
        <v>-</v>
      </c>
      <c r="AU335" s="11" t="str">
        <v>-</v>
      </c>
      <c r="AV335" s="100"/>
      <c r="AW335" s="80" t="str">
        <f ca="1"/>
        <v>-</v>
      </c>
      <c r="AX335" s="80" t="b">
        <v>0</v>
      </c>
      <c r="AY335" s="68" t="str">
        <f t="shared" si="4"/>
        <v/>
      </c>
      <c r="AZ335" s="69" t="str">
        <f t="shared" si="5"/>
        <v/>
      </c>
      <c r="BA335" s="70" t="str">
        <f t="shared" si="6"/>
        <v/>
      </c>
      <c r="BB335" s="68" t="str">
        <f t="shared" si="7"/>
        <v/>
      </c>
      <c r="BC335" s="69" t="str">
        <f>IFERROR(VLOOKUP($AQ335,'(勿動)組件目錄表'!$D$15:$R$1094,7,FALSE),"")</f>
        <v/>
      </c>
      <c r="BD335" s="69" t="str">
        <f>IFERROR(VLOOKUP($AQ335,'(勿動)組件目錄表'!$D$15:$R$1094,8,FALSE),"")</f>
        <v/>
      </c>
      <c r="BE335" s="69" t="str">
        <f>IFERROR(VLOOKUP($AQ335,'(勿動)組件目錄表'!$D$15:$R$1094,9,FALSE),"")</f>
        <v/>
      </c>
      <c r="BF335" s="69" t="str">
        <f>IFERROR(VLOOKUP($AQ335,'(勿動)組件目錄表'!$D$15:$R$1094,10,FALSE),"")</f>
        <v/>
      </c>
      <c r="BG335" s="69" t="str">
        <f>IFERROR(VLOOKUP($AQ335,'(勿動)組件目錄表'!$D$15:$R$1094,11,FALSE),"")</f>
        <v/>
      </c>
      <c r="BH335" s="69" t="str">
        <f>IFERROR(VLOOKUP($AQ335,'(勿動)組件目錄表'!$D$15:$R$1094,12,FALSE),"")</f>
        <v/>
      </c>
      <c r="BI335" s="69" t="str">
        <f>IFERROR(VLOOKUP($AQ335,'(勿動)組件目錄表'!$D$15:$R$1094,13,FALSE),"")</f>
        <v/>
      </c>
      <c r="BJ335" s="69" t="str">
        <f>IFERROR(VLOOKUP($AQ335,'(勿動)組件目錄表'!$D$15:$R$1094,14,FALSE),"")</f>
        <v/>
      </c>
      <c r="BK335" s="69" t="str">
        <f>IFERROR(VLOOKUP($AQ335,'(勿動)組件目錄表'!$D$15:$R$1094,15,FALSE),"")</f>
        <v/>
      </c>
      <c r="BL335" s="81">
        <f ca="1">IFERROR(__xludf.DUMMYFUNCTION("IFERROR(
  LET(
    rowData, FILTER('(勿動)組件目錄表'!J:Q, '(勿動)組件目錄表'!D:D=AQ335),
    IF(ROWS(rowData)=0, 0, 
      (
        IF(AND(BC335&lt;&gt;"""", INDEX(rowData,1,1)=BC335),1,0) +
        IF(AND(BD335&lt;&gt;"""", INDEX(rowData,1,2)=BD335),1,0) +
        IF(AND(BE335"&amp;"&lt;&gt;"""", INDEX(rowData,1,3)=BE335),1,0) +
        IF(AND(BF335&lt;&gt;"""", INDEX(rowData,1,4)=BF335),1,0) +
        IF(AND(BG335&lt;&gt;"""", INDEX(rowData,1,5)=BG335),1,0) +
        IF(AND(BH335&lt;&gt;"""", INDEX(rowData,1,6)=BH335),1,0) +
        IF(AND(BI335&lt;&gt;"""", IND"&amp;"EX(rowData,1,7)=BI335),1,0) +
        IF(AND(BJ335&lt;&gt;"""", INDEX(rowData,1,8)=BJ335),1,0)
      ) - COUNTIF(BC335:BJ335, ""-"")
        - COUNTIF(BC335:BJ335, ""固定格式，不需提供資訊"")
        - COUNTIF(BC335:BJ335, ""由MKT更新，此欄位固定格式，不需提供資訊
(Voucher CID：12917705872)"&amp;""")
        - COUNTIF(BC335:BJ335, ""text固定為以下：
※直播間僅支援手機版"")
        - COUNTIF(BC335:BJ335, ""text固定為以下：
※短影音僅支援手機版"")
    )
  ), 
  0
)
"),0)</f>
        <v>0</v>
      </c>
      <c r="BM335" s="77" t="b">
        <v>0</v>
      </c>
      <c r="BN335" s="85"/>
      <c r="BO335" s="85"/>
    </row>
    <row r="336" spans="1:67" ht="30" customHeight="1">
      <c r="A336" s="73" t="str">
        <f t="array" aca="1" ref="A336" ca="1">IFERROR(TRANSPOSE(INDIRECT('MS section版配(Old)'!$AO336)),"")</f>
        <v/>
      </c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8"/>
      <c r="P336" s="88"/>
      <c r="Q336" s="88"/>
      <c r="R336" s="88"/>
      <c r="S336" s="88"/>
      <c r="T336" s="88"/>
      <c r="U336" s="88"/>
      <c r="V336" s="88"/>
      <c r="W336" s="88"/>
      <c r="X336" s="88"/>
      <c r="Y336" s="88"/>
      <c r="Z336" s="88"/>
      <c r="AA336" s="88"/>
      <c r="AB336" s="88"/>
      <c r="AC336" s="88"/>
      <c r="AD336" s="88"/>
      <c r="AE336" s="397" t="str">
        <f>IFERROR(VLOOKUP($AQ336,'(勿動)組件目錄表'!$D$15:$R$1094,4,FALSE),"")</f>
        <v/>
      </c>
      <c r="AF336" s="384"/>
      <c r="AG336" s="384"/>
      <c r="AH336" s="384"/>
      <c r="AI336" s="384"/>
      <c r="AJ336" s="385"/>
      <c r="AK336" s="54" t="b">
        <v>0</v>
      </c>
      <c r="AL336" s="54" t="b">
        <v>0</v>
      </c>
      <c r="AM336" s="54"/>
      <c r="AN336" s="7" t="str">
        <v>328</v>
      </c>
      <c r="AO336" s="7"/>
      <c r="AP336" s="62"/>
      <c r="AQ336" s="75" t="str">
        <v/>
      </c>
      <c r="AR336" s="75" t="str">
        <v>-</v>
      </c>
      <c r="AS336" s="11"/>
      <c r="AT336" s="77" t="str">
        <v>-</v>
      </c>
      <c r="AU336" s="11" t="str">
        <v>-</v>
      </c>
      <c r="AV336" s="100"/>
      <c r="AW336" s="80" t="str">
        <f ca="1"/>
        <v>-</v>
      </c>
      <c r="AX336" s="80" t="b">
        <v>0</v>
      </c>
      <c r="AY336" s="68" t="str">
        <f t="shared" si="4"/>
        <v/>
      </c>
      <c r="AZ336" s="69" t="str">
        <f t="shared" si="5"/>
        <v/>
      </c>
      <c r="BA336" s="70" t="str">
        <f t="shared" si="6"/>
        <v/>
      </c>
      <c r="BB336" s="68" t="str">
        <f t="shared" si="7"/>
        <v/>
      </c>
      <c r="BC336" s="69" t="str">
        <f>IFERROR(VLOOKUP($AQ336,'(勿動)組件目錄表'!$D$15:$R$1094,7,FALSE),"")</f>
        <v/>
      </c>
      <c r="BD336" s="69" t="str">
        <f>IFERROR(VLOOKUP($AQ336,'(勿動)組件目錄表'!$D$15:$R$1094,8,FALSE),"")</f>
        <v/>
      </c>
      <c r="BE336" s="69" t="str">
        <f>IFERROR(VLOOKUP($AQ336,'(勿動)組件目錄表'!$D$15:$R$1094,9,FALSE),"")</f>
        <v/>
      </c>
      <c r="BF336" s="69" t="str">
        <f>IFERROR(VLOOKUP($AQ336,'(勿動)組件目錄表'!$D$15:$R$1094,10,FALSE),"")</f>
        <v/>
      </c>
      <c r="BG336" s="69" t="str">
        <f>IFERROR(VLOOKUP($AQ336,'(勿動)組件目錄表'!$D$15:$R$1094,11,FALSE),"")</f>
        <v/>
      </c>
      <c r="BH336" s="69" t="str">
        <f>IFERROR(VLOOKUP($AQ336,'(勿動)組件目錄表'!$D$15:$R$1094,12,FALSE),"")</f>
        <v/>
      </c>
      <c r="BI336" s="69" t="str">
        <f>IFERROR(VLOOKUP($AQ336,'(勿動)組件目錄表'!$D$15:$R$1094,13,FALSE),"")</f>
        <v/>
      </c>
      <c r="BJ336" s="69" t="str">
        <f>IFERROR(VLOOKUP($AQ336,'(勿動)組件目錄表'!$D$15:$R$1094,14,FALSE),"")</f>
        <v/>
      </c>
      <c r="BK336" s="69" t="str">
        <f>IFERROR(VLOOKUP($AQ336,'(勿動)組件目錄表'!$D$15:$R$1094,15,FALSE),"")</f>
        <v/>
      </c>
      <c r="BL336" s="81">
        <f ca="1">IFERROR(__xludf.DUMMYFUNCTION("IFERROR(
  LET(
    rowData, FILTER('(勿動)組件目錄表'!J:Q, '(勿動)組件目錄表'!D:D=AQ336),
    IF(ROWS(rowData)=0, 0, 
      (
        IF(AND(BC336&lt;&gt;"""", INDEX(rowData,1,1)=BC336),1,0) +
        IF(AND(BD336&lt;&gt;"""", INDEX(rowData,1,2)=BD336),1,0) +
        IF(AND(BE336"&amp;"&lt;&gt;"""", INDEX(rowData,1,3)=BE336),1,0) +
        IF(AND(BF336&lt;&gt;"""", INDEX(rowData,1,4)=BF336),1,0) +
        IF(AND(BG336&lt;&gt;"""", INDEX(rowData,1,5)=BG336),1,0) +
        IF(AND(BH336&lt;&gt;"""", INDEX(rowData,1,6)=BH336),1,0) +
        IF(AND(BI336&lt;&gt;"""", IND"&amp;"EX(rowData,1,7)=BI336),1,0) +
        IF(AND(BJ336&lt;&gt;"""", INDEX(rowData,1,8)=BJ336),1,0)
      ) - COUNTIF(BC336:BJ336, ""-"")
        - COUNTIF(BC336:BJ336, ""固定格式，不需提供資訊"")
        - COUNTIF(BC336:BJ336, ""由MKT更新，此欄位固定格式，不需提供資訊
(Voucher CID：12917705872)"&amp;""")
        - COUNTIF(BC336:BJ336, ""text固定為以下：
※直播間僅支援手機版"")
        - COUNTIF(BC336:BJ336, ""text固定為以下：
※短影音僅支援手機版"")
    )
  ), 
  0
)
"),0)</f>
        <v>0</v>
      </c>
      <c r="BM336" s="77" t="b">
        <v>0</v>
      </c>
      <c r="BN336" s="85"/>
      <c r="BO336" s="85"/>
    </row>
    <row r="337" spans="1:67" ht="30" customHeight="1">
      <c r="A337" s="73" t="str">
        <f t="array" aca="1" ref="A337" ca="1">IFERROR(TRANSPOSE(INDIRECT('MS section版配(Old)'!$AO337)),"")</f>
        <v/>
      </c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8"/>
      <c r="P337" s="88"/>
      <c r="Q337" s="88"/>
      <c r="R337" s="88"/>
      <c r="S337" s="88"/>
      <c r="T337" s="88"/>
      <c r="U337" s="88"/>
      <c r="V337" s="88"/>
      <c r="W337" s="88"/>
      <c r="X337" s="88"/>
      <c r="Y337" s="88"/>
      <c r="Z337" s="88"/>
      <c r="AA337" s="88"/>
      <c r="AB337" s="88"/>
      <c r="AC337" s="88"/>
      <c r="AD337" s="88"/>
      <c r="AE337" s="397" t="str">
        <f>IFERROR(VLOOKUP($AQ337,'(勿動)組件目錄表'!$D$15:$R$1094,4,FALSE),"")</f>
        <v/>
      </c>
      <c r="AF337" s="384"/>
      <c r="AG337" s="384"/>
      <c r="AH337" s="384"/>
      <c r="AI337" s="384"/>
      <c r="AJ337" s="385"/>
      <c r="AK337" s="54" t="b">
        <v>0</v>
      </c>
      <c r="AL337" s="54" t="b">
        <v>0</v>
      </c>
      <c r="AM337" s="54"/>
      <c r="AN337" s="7" t="str">
        <v>329</v>
      </c>
      <c r="AO337" s="7"/>
      <c r="AP337" s="62"/>
      <c r="AQ337" s="75" t="str">
        <v/>
      </c>
      <c r="AR337" s="75" t="str">
        <v>-</v>
      </c>
      <c r="AS337" s="11"/>
      <c r="AT337" s="77" t="str">
        <v>-</v>
      </c>
      <c r="AU337" s="11" t="str">
        <v>-</v>
      </c>
      <c r="AV337" s="100"/>
      <c r="AW337" s="80" t="str">
        <f ca="1"/>
        <v>-</v>
      </c>
      <c r="AX337" s="80" t="b">
        <v>0</v>
      </c>
      <c r="AY337" s="68" t="str">
        <f t="shared" si="4"/>
        <v/>
      </c>
      <c r="AZ337" s="69" t="str">
        <f t="shared" si="5"/>
        <v/>
      </c>
      <c r="BA337" s="70" t="str">
        <f t="shared" si="6"/>
        <v/>
      </c>
      <c r="BB337" s="68" t="str">
        <f t="shared" si="7"/>
        <v/>
      </c>
      <c r="BC337" s="69" t="str">
        <f>IFERROR(VLOOKUP($AQ337,'(勿動)組件目錄表'!$D$15:$R$1094,7,FALSE),"")</f>
        <v/>
      </c>
      <c r="BD337" s="69" t="str">
        <f>IFERROR(VLOOKUP($AQ337,'(勿動)組件目錄表'!$D$15:$R$1094,8,FALSE),"")</f>
        <v/>
      </c>
      <c r="BE337" s="69" t="str">
        <f>IFERROR(VLOOKUP($AQ337,'(勿動)組件目錄表'!$D$15:$R$1094,9,FALSE),"")</f>
        <v/>
      </c>
      <c r="BF337" s="69" t="str">
        <f>IFERROR(VLOOKUP($AQ337,'(勿動)組件目錄表'!$D$15:$R$1094,10,FALSE),"")</f>
        <v/>
      </c>
      <c r="BG337" s="69" t="str">
        <f>IFERROR(VLOOKUP($AQ337,'(勿動)組件目錄表'!$D$15:$R$1094,11,FALSE),"")</f>
        <v/>
      </c>
      <c r="BH337" s="69" t="str">
        <f>IFERROR(VLOOKUP($AQ337,'(勿動)組件目錄表'!$D$15:$R$1094,12,FALSE),"")</f>
        <v/>
      </c>
      <c r="BI337" s="69" t="str">
        <f>IFERROR(VLOOKUP($AQ337,'(勿動)組件目錄表'!$D$15:$R$1094,13,FALSE),"")</f>
        <v/>
      </c>
      <c r="BJ337" s="69" t="str">
        <f>IFERROR(VLOOKUP($AQ337,'(勿動)組件目錄表'!$D$15:$R$1094,14,FALSE),"")</f>
        <v/>
      </c>
      <c r="BK337" s="69" t="str">
        <f>IFERROR(VLOOKUP($AQ337,'(勿動)組件目錄表'!$D$15:$R$1094,15,FALSE),"")</f>
        <v/>
      </c>
      <c r="BL337" s="81">
        <f ca="1">IFERROR(__xludf.DUMMYFUNCTION("IFERROR(
  LET(
    rowData, FILTER('(勿動)組件目錄表'!J:Q, '(勿動)組件目錄表'!D:D=AQ337),
    IF(ROWS(rowData)=0, 0, 
      (
        IF(AND(BC337&lt;&gt;"""", INDEX(rowData,1,1)=BC337),1,0) +
        IF(AND(BD337&lt;&gt;"""", INDEX(rowData,1,2)=BD337),1,0) +
        IF(AND(BE337"&amp;"&lt;&gt;"""", INDEX(rowData,1,3)=BE337),1,0) +
        IF(AND(BF337&lt;&gt;"""", INDEX(rowData,1,4)=BF337),1,0) +
        IF(AND(BG337&lt;&gt;"""", INDEX(rowData,1,5)=BG337),1,0) +
        IF(AND(BH337&lt;&gt;"""", INDEX(rowData,1,6)=BH337),1,0) +
        IF(AND(BI337&lt;&gt;"""", IND"&amp;"EX(rowData,1,7)=BI337),1,0) +
        IF(AND(BJ337&lt;&gt;"""", INDEX(rowData,1,8)=BJ337),1,0)
      ) - COUNTIF(BC337:BJ337, ""-"")
        - COUNTIF(BC337:BJ337, ""固定格式，不需提供資訊"")
        - COUNTIF(BC337:BJ337, ""由MKT更新，此欄位固定格式，不需提供資訊
(Voucher CID：12917705872)"&amp;""")
        - COUNTIF(BC337:BJ337, ""text固定為以下：
※直播間僅支援手機版"")
        - COUNTIF(BC337:BJ337, ""text固定為以下：
※短影音僅支援手機版"")
    )
  ), 
  0
)
"),0)</f>
        <v>0</v>
      </c>
      <c r="BM337" s="77" t="b">
        <v>0</v>
      </c>
      <c r="BN337" s="85"/>
      <c r="BO337" s="85"/>
    </row>
    <row r="338" spans="1:67" ht="30" customHeight="1">
      <c r="A338" s="73" t="str">
        <f t="array" aca="1" ref="A338" ca="1">IFERROR(TRANSPOSE(INDIRECT('MS section版配(Old)'!$AO338)),"")</f>
        <v/>
      </c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  <c r="AA338" s="88"/>
      <c r="AB338" s="88"/>
      <c r="AC338" s="88"/>
      <c r="AD338" s="88"/>
      <c r="AE338" s="397" t="str">
        <f>IFERROR(VLOOKUP($AQ338,'(勿動)組件目錄表'!$D$15:$R$1094,4,FALSE),"")</f>
        <v/>
      </c>
      <c r="AF338" s="384"/>
      <c r="AG338" s="384"/>
      <c r="AH338" s="384"/>
      <c r="AI338" s="384"/>
      <c r="AJ338" s="385"/>
      <c r="AK338" s="54" t="b">
        <v>0</v>
      </c>
      <c r="AL338" s="54" t="b">
        <v>0</v>
      </c>
      <c r="AM338" s="54"/>
      <c r="AN338" s="7" t="str">
        <v>330</v>
      </c>
      <c r="AO338" s="7"/>
      <c r="AP338" s="62"/>
      <c r="AQ338" s="75" t="str">
        <v/>
      </c>
      <c r="AR338" s="75" t="str">
        <v>-</v>
      </c>
      <c r="AS338" s="11"/>
      <c r="AT338" s="77" t="str">
        <v>-</v>
      </c>
      <c r="AU338" s="11" t="str">
        <v>-</v>
      </c>
      <c r="AV338" s="100"/>
      <c r="AW338" s="80" t="str">
        <f ca="1"/>
        <v>-</v>
      </c>
      <c r="AX338" s="80" t="b">
        <v>0</v>
      </c>
      <c r="AY338" s="68" t="str">
        <f t="shared" si="4"/>
        <v/>
      </c>
      <c r="AZ338" s="69" t="str">
        <f t="shared" si="5"/>
        <v/>
      </c>
      <c r="BA338" s="70" t="str">
        <f t="shared" si="6"/>
        <v/>
      </c>
      <c r="BB338" s="68" t="str">
        <f t="shared" si="7"/>
        <v/>
      </c>
      <c r="BC338" s="69" t="str">
        <f>IFERROR(VLOOKUP($AQ338,'(勿動)組件目錄表'!$D$15:$R$1094,7,FALSE),"")</f>
        <v/>
      </c>
      <c r="BD338" s="69" t="str">
        <f>IFERROR(VLOOKUP($AQ338,'(勿動)組件目錄表'!$D$15:$R$1094,8,FALSE),"")</f>
        <v/>
      </c>
      <c r="BE338" s="69" t="str">
        <f>IFERROR(VLOOKUP($AQ338,'(勿動)組件目錄表'!$D$15:$R$1094,9,FALSE),"")</f>
        <v/>
      </c>
      <c r="BF338" s="69" t="str">
        <f>IFERROR(VLOOKUP($AQ338,'(勿動)組件目錄表'!$D$15:$R$1094,10,FALSE),"")</f>
        <v/>
      </c>
      <c r="BG338" s="69" t="str">
        <f>IFERROR(VLOOKUP($AQ338,'(勿動)組件目錄表'!$D$15:$R$1094,11,FALSE),"")</f>
        <v/>
      </c>
      <c r="BH338" s="69" t="str">
        <f>IFERROR(VLOOKUP($AQ338,'(勿動)組件目錄表'!$D$15:$R$1094,12,FALSE),"")</f>
        <v/>
      </c>
      <c r="BI338" s="69" t="str">
        <f>IFERROR(VLOOKUP($AQ338,'(勿動)組件目錄表'!$D$15:$R$1094,13,FALSE),"")</f>
        <v/>
      </c>
      <c r="BJ338" s="69" t="str">
        <f>IFERROR(VLOOKUP($AQ338,'(勿動)組件目錄表'!$D$15:$R$1094,14,FALSE),"")</f>
        <v/>
      </c>
      <c r="BK338" s="69" t="str">
        <f>IFERROR(VLOOKUP($AQ338,'(勿動)組件目錄表'!$D$15:$R$1094,15,FALSE),"")</f>
        <v/>
      </c>
      <c r="BL338" s="81">
        <f ca="1">IFERROR(__xludf.DUMMYFUNCTION("IFERROR(
  LET(
    rowData, FILTER('(勿動)組件目錄表'!J:Q, '(勿動)組件目錄表'!D:D=AQ338),
    IF(ROWS(rowData)=0, 0, 
      (
        IF(AND(BC338&lt;&gt;"""", INDEX(rowData,1,1)=BC338),1,0) +
        IF(AND(BD338&lt;&gt;"""", INDEX(rowData,1,2)=BD338),1,0) +
        IF(AND(BE338"&amp;"&lt;&gt;"""", INDEX(rowData,1,3)=BE338),1,0) +
        IF(AND(BF338&lt;&gt;"""", INDEX(rowData,1,4)=BF338),1,0) +
        IF(AND(BG338&lt;&gt;"""", INDEX(rowData,1,5)=BG338),1,0) +
        IF(AND(BH338&lt;&gt;"""", INDEX(rowData,1,6)=BH338),1,0) +
        IF(AND(BI338&lt;&gt;"""", IND"&amp;"EX(rowData,1,7)=BI338),1,0) +
        IF(AND(BJ338&lt;&gt;"""", INDEX(rowData,1,8)=BJ338),1,0)
      ) - COUNTIF(BC338:BJ338, ""-"")
        - COUNTIF(BC338:BJ338, ""固定格式，不需提供資訊"")
        - COUNTIF(BC338:BJ338, ""由MKT更新，此欄位固定格式，不需提供資訊
(Voucher CID：12917705872)"&amp;""")
        - COUNTIF(BC338:BJ338, ""text固定為以下：
※直播間僅支援手機版"")
        - COUNTIF(BC338:BJ338, ""text固定為以下：
※短影音僅支援手機版"")
    )
  ), 
  0
)
"),0)</f>
        <v>0</v>
      </c>
      <c r="BM338" s="77" t="b">
        <v>0</v>
      </c>
      <c r="BN338" s="85"/>
      <c r="BO338" s="85"/>
    </row>
    <row r="339" spans="1:67" ht="30" customHeight="1">
      <c r="A339" s="73" t="str">
        <f t="array" aca="1" ref="A339" ca="1">IFERROR(TRANSPOSE(INDIRECT('MS section版配(Old)'!$AO339)),"")</f>
        <v/>
      </c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  <c r="AA339" s="88"/>
      <c r="AB339" s="88"/>
      <c r="AC339" s="88"/>
      <c r="AD339" s="88"/>
      <c r="AE339" s="397" t="str">
        <f>IFERROR(VLOOKUP($AQ339,'(勿動)組件目錄表'!$D$15:$R$1094,4,FALSE),"")</f>
        <v/>
      </c>
      <c r="AF339" s="384"/>
      <c r="AG339" s="384"/>
      <c r="AH339" s="384"/>
      <c r="AI339" s="384"/>
      <c r="AJ339" s="385"/>
      <c r="AK339" s="54" t="b">
        <v>0</v>
      </c>
      <c r="AL339" s="54" t="b">
        <v>0</v>
      </c>
      <c r="AM339" s="54"/>
      <c r="AN339" s="7" t="str">
        <v>331</v>
      </c>
      <c r="AO339" s="7"/>
      <c r="AP339" s="62"/>
      <c r="AQ339" s="75" t="str">
        <v/>
      </c>
      <c r="AR339" s="75" t="str">
        <v>-</v>
      </c>
      <c r="AS339" s="11"/>
      <c r="AT339" s="77" t="str">
        <v>-</v>
      </c>
      <c r="AU339" s="11" t="str">
        <v>-</v>
      </c>
      <c r="AV339" s="100"/>
      <c r="AW339" s="80" t="str">
        <f ca="1"/>
        <v>-</v>
      </c>
      <c r="AX339" s="80" t="b">
        <v>0</v>
      </c>
      <c r="AY339" s="68" t="str">
        <f t="shared" si="4"/>
        <v/>
      </c>
      <c r="AZ339" s="69" t="str">
        <f t="shared" si="5"/>
        <v/>
      </c>
      <c r="BA339" s="70" t="str">
        <f t="shared" si="6"/>
        <v/>
      </c>
      <c r="BB339" s="68" t="str">
        <f t="shared" si="7"/>
        <v/>
      </c>
      <c r="BC339" s="69" t="str">
        <f>IFERROR(VLOOKUP($AQ339,'(勿動)組件目錄表'!$D$15:$R$1094,7,FALSE),"")</f>
        <v/>
      </c>
      <c r="BD339" s="69" t="str">
        <f>IFERROR(VLOOKUP($AQ339,'(勿動)組件目錄表'!$D$15:$R$1094,8,FALSE),"")</f>
        <v/>
      </c>
      <c r="BE339" s="69" t="str">
        <f>IFERROR(VLOOKUP($AQ339,'(勿動)組件目錄表'!$D$15:$R$1094,9,FALSE),"")</f>
        <v/>
      </c>
      <c r="BF339" s="69" t="str">
        <f>IFERROR(VLOOKUP($AQ339,'(勿動)組件目錄表'!$D$15:$R$1094,10,FALSE),"")</f>
        <v/>
      </c>
      <c r="BG339" s="69" t="str">
        <f>IFERROR(VLOOKUP($AQ339,'(勿動)組件目錄表'!$D$15:$R$1094,11,FALSE),"")</f>
        <v/>
      </c>
      <c r="BH339" s="69" t="str">
        <f>IFERROR(VLOOKUP($AQ339,'(勿動)組件目錄表'!$D$15:$R$1094,12,FALSE),"")</f>
        <v/>
      </c>
      <c r="BI339" s="69" t="str">
        <f>IFERROR(VLOOKUP($AQ339,'(勿動)組件目錄表'!$D$15:$R$1094,13,FALSE),"")</f>
        <v/>
      </c>
      <c r="BJ339" s="69" t="str">
        <f>IFERROR(VLOOKUP($AQ339,'(勿動)組件目錄表'!$D$15:$R$1094,14,FALSE),"")</f>
        <v/>
      </c>
      <c r="BK339" s="69" t="str">
        <f>IFERROR(VLOOKUP($AQ339,'(勿動)組件目錄表'!$D$15:$R$1094,15,FALSE),"")</f>
        <v/>
      </c>
      <c r="BL339" s="81">
        <f ca="1">IFERROR(__xludf.DUMMYFUNCTION("IFERROR(
  LET(
    rowData, FILTER('(勿動)組件目錄表'!J:Q, '(勿動)組件目錄表'!D:D=AQ339),
    IF(ROWS(rowData)=0, 0, 
      (
        IF(AND(BC339&lt;&gt;"""", INDEX(rowData,1,1)=BC339),1,0) +
        IF(AND(BD339&lt;&gt;"""", INDEX(rowData,1,2)=BD339),1,0) +
        IF(AND(BE339"&amp;"&lt;&gt;"""", INDEX(rowData,1,3)=BE339),1,0) +
        IF(AND(BF339&lt;&gt;"""", INDEX(rowData,1,4)=BF339),1,0) +
        IF(AND(BG339&lt;&gt;"""", INDEX(rowData,1,5)=BG339),1,0) +
        IF(AND(BH339&lt;&gt;"""", INDEX(rowData,1,6)=BH339),1,0) +
        IF(AND(BI339&lt;&gt;"""", IND"&amp;"EX(rowData,1,7)=BI339),1,0) +
        IF(AND(BJ339&lt;&gt;"""", INDEX(rowData,1,8)=BJ339),1,0)
      ) - COUNTIF(BC339:BJ339, ""-"")
        - COUNTIF(BC339:BJ339, ""固定格式，不需提供資訊"")
        - COUNTIF(BC339:BJ339, ""由MKT更新，此欄位固定格式，不需提供資訊
(Voucher CID：12917705872)"&amp;""")
        - COUNTIF(BC339:BJ339, ""text固定為以下：
※直播間僅支援手機版"")
        - COUNTIF(BC339:BJ339, ""text固定為以下：
※短影音僅支援手機版"")
    )
  ), 
  0
)
"),0)</f>
        <v>0</v>
      </c>
      <c r="BM339" s="77" t="b">
        <v>0</v>
      </c>
      <c r="BN339" s="85"/>
      <c r="BO339" s="85"/>
    </row>
    <row r="340" spans="1:67" ht="30" customHeight="1">
      <c r="A340" s="73" t="str">
        <f t="array" aca="1" ref="A340" ca="1">IFERROR(TRANSPOSE(INDIRECT('MS section版配(Old)'!$AO340)),"")</f>
        <v/>
      </c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8"/>
      <c r="P340" s="88"/>
      <c r="Q340" s="88"/>
      <c r="R340" s="88"/>
      <c r="S340" s="88"/>
      <c r="T340" s="88"/>
      <c r="U340" s="88"/>
      <c r="V340" s="88"/>
      <c r="W340" s="88"/>
      <c r="X340" s="88"/>
      <c r="Y340" s="88"/>
      <c r="Z340" s="88"/>
      <c r="AA340" s="88"/>
      <c r="AB340" s="88"/>
      <c r="AC340" s="88"/>
      <c r="AD340" s="88"/>
      <c r="AE340" s="397" t="str">
        <f>IFERROR(VLOOKUP($AQ340,'(勿動)組件目錄表'!$D$15:$R$1094,4,FALSE),"")</f>
        <v/>
      </c>
      <c r="AF340" s="384"/>
      <c r="AG340" s="384"/>
      <c r="AH340" s="384"/>
      <c r="AI340" s="384"/>
      <c r="AJ340" s="385"/>
      <c r="AK340" s="54" t="b">
        <v>0</v>
      </c>
      <c r="AL340" s="54" t="b">
        <v>0</v>
      </c>
      <c r="AM340" s="54"/>
      <c r="AN340" s="7" t="str">
        <v>332</v>
      </c>
      <c r="AO340" s="7"/>
      <c r="AP340" s="62"/>
      <c r="AQ340" s="75" t="str">
        <v/>
      </c>
      <c r="AR340" s="75" t="str">
        <v>-</v>
      </c>
      <c r="AS340" s="11"/>
      <c r="AT340" s="77" t="str">
        <v>-</v>
      </c>
      <c r="AU340" s="11" t="str">
        <v>-</v>
      </c>
      <c r="AV340" s="100"/>
      <c r="AW340" s="80" t="str">
        <f ca="1"/>
        <v>-</v>
      </c>
      <c r="AX340" s="80" t="b">
        <v>0</v>
      </c>
      <c r="AY340" s="68" t="str">
        <f t="shared" si="4"/>
        <v/>
      </c>
      <c r="AZ340" s="69" t="str">
        <f t="shared" si="5"/>
        <v/>
      </c>
      <c r="BA340" s="70" t="str">
        <f t="shared" si="6"/>
        <v/>
      </c>
      <c r="BB340" s="68" t="str">
        <f t="shared" si="7"/>
        <v/>
      </c>
      <c r="BC340" s="69" t="str">
        <f>IFERROR(VLOOKUP($AQ340,'(勿動)組件目錄表'!$D$15:$R$1094,7,FALSE),"")</f>
        <v/>
      </c>
      <c r="BD340" s="69" t="str">
        <f>IFERROR(VLOOKUP($AQ340,'(勿動)組件目錄表'!$D$15:$R$1094,8,FALSE),"")</f>
        <v/>
      </c>
      <c r="BE340" s="69" t="str">
        <f>IFERROR(VLOOKUP($AQ340,'(勿動)組件目錄表'!$D$15:$R$1094,9,FALSE),"")</f>
        <v/>
      </c>
      <c r="BF340" s="69" t="str">
        <f>IFERROR(VLOOKUP($AQ340,'(勿動)組件目錄表'!$D$15:$R$1094,10,FALSE),"")</f>
        <v/>
      </c>
      <c r="BG340" s="69" t="str">
        <f>IFERROR(VLOOKUP($AQ340,'(勿動)組件目錄表'!$D$15:$R$1094,11,FALSE),"")</f>
        <v/>
      </c>
      <c r="BH340" s="69" t="str">
        <f>IFERROR(VLOOKUP($AQ340,'(勿動)組件目錄表'!$D$15:$R$1094,12,FALSE),"")</f>
        <v/>
      </c>
      <c r="BI340" s="69" t="str">
        <f>IFERROR(VLOOKUP($AQ340,'(勿動)組件目錄表'!$D$15:$R$1094,13,FALSE),"")</f>
        <v/>
      </c>
      <c r="BJ340" s="69" t="str">
        <f>IFERROR(VLOOKUP($AQ340,'(勿動)組件目錄表'!$D$15:$R$1094,14,FALSE),"")</f>
        <v/>
      </c>
      <c r="BK340" s="69" t="str">
        <f>IFERROR(VLOOKUP($AQ340,'(勿動)組件目錄表'!$D$15:$R$1094,15,FALSE),"")</f>
        <v/>
      </c>
      <c r="BL340" s="81">
        <f ca="1">IFERROR(__xludf.DUMMYFUNCTION("IFERROR(
  LET(
    rowData, FILTER('(勿動)組件目錄表'!J:Q, '(勿動)組件目錄表'!D:D=AQ340),
    IF(ROWS(rowData)=0, 0, 
      (
        IF(AND(BC340&lt;&gt;"""", INDEX(rowData,1,1)=BC340),1,0) +
        IF(AND(BD340&lt;&gt;"""", INDEX(rowData,1,2)=BD340),1,0) +
        IF(AND(BE340"&amp;"&lt;&gt;"""", INDEX(rowData,1,3)=BE340),1,0) +
        IF(AND(BF340&lt;&gt;"""", INDEX(rowData,1,4)=BF340),1,0) +
        IF(AND(BG340&lt;&gt;"""", INDEX(rowData,1,5)=BG340),1,0) +
        IF(AND(BH340&lt;&gt;"""", INDEX(rowData,1,6)=BH340),1,0) +
        IF(AND(BI340&lt;&gt;"""", IND"&amp;"EX(rowData,1,7)=BI340),1,0) +
        IF(AND(BJ340&lt;&gt;"""", INDEX(rowData,1,8)=BJ340),1,0)
      ) - COUNTIF(BC340:BJ340, ""-"")
        - COUNTIF(BC340:BJ340, ""固定格式，不需提供資訊"")
        - COUNTIF(BC340:BJ340, ""由MKT更新，此欄位固定格式，不需提供資訊
(Voucher CID：12917705872)"&amp;""")
        - COUNTIF(BC340:BJ340, ""text固定為以下：
※直播間僅支援手機版"")
        - COUNTIF(BC340:BJ340, ""text固定為以下：
※短影音僅支援手機版"")
    )
  ), 
  0
)
"),0)</f>
        <v>0</v>
      </c>
      <c r="BM340" s="77" t="b">
        <v>0</v>
      </c>
      <c r="BN340" s="85"/>
      <c r="BO340" s="85"/>
    </row>
    <row r="341" spans="1:67" ht="30" customHeight="1">
      <c r="A341" s="73" t="str">
        <f t="array" aca="1" ref="A341" ca="1">IFERROR(TRANSPOSE(INDIRECT('MS section版配(Old)'!$AO341)),"")</f>
        <v/>
      </c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8"/>
      <c r="P341" s="88"/>
      <c r="Q341" s="88"/>
      <c r="R341" s="88"/>
      <c r="S341" s="88"/>
      <c r="T341" s="88"/>
      <c r="U341" s="88"/>
      <c r="V341" s="88"/>
      <c r="W341" s="88"/>
      <c r="X341" s="88"/>
      <c r="Y341" s="88"/>
      <c r="Z341" s="88"/>
      <c r="AA341" s="88"/>
      <c r="AB341" s="88"/>
      <c r="AC341" s="88"/>
      <c r="AD341" s="88"/>
      <c r="AE341" s="397" t="str">
        <f>IFERROR(VLOOKUP($AQ341,'(勿動)組件目錄表'!$D$15:$R$1094,4,FALSE),"")</f>
        <v/>
      </c>
      <c r="AF341" s="384"/>
      <c r="AG341" s="384"/>
      <c r="AH341" s="384"/>
      <c r="AI341" s="384"/>
      <c r="AJ341" s="385"/>
      <c r="AK341" s="54" t="b">
        <v>0</v>
      </c>
      <c r="AL341" s="54" t="b">
        <v>0</v>
      </c>
      <c r="AM341" s="54"/>
      <c r="AN341" s="7" t="str">
        <v>333</v>
      </c>
      <c r="AO341" s="7"/>
      <c r="AP341" s="62"/>
      <c r="AQ341" s="75" t="str">
        <v/>
      </c>
      <c r="AR341" s="75" t="str">
        <v>-</v>
      </c>
      <c r="AS341" s="11"/>
      <c r="AT341" s="77" t="str">
        <v>-</v>
      </c>
      <c r="AU341" s="11" t="str">
        <v>-</v>
      </c>
      <c r="AV341" s="100"/>
      <c r="AW341" s="80" t="str">
        <f ca="1"/>
        <v>-</v>
      </c>
      <c r="AX341" s="80" t="b">
        <v>0</v>
      </c>
      <c r="AY341" s="68" t="str">
        <f t="shared" si="4"/>
        <v/>
      </c>
      <c r="AZ341" s="69" t="str">
        <f t="shared" si="5"/>
        <v/>
      </c>
      <c r="BA341" s="70" t="str">
        <f t="shared" si="6"/>
        <v/>
      </c>
      <c r="BB341" s="68" t="str">
        <f t="shared" si="7"/>
        <v/>
      </c>
      <c r="BC341" s="69" t="str">
        <f>IFERROR(VLOOKUP($AQ341,'(勿動)組件目錄表'!$D$15:$R$1094,7,FALSE),"")</f>
        <v/>
      </c>
      <c r="BD341" s="69" t="str">
        <f>IFERROR(VLOOKUP($AQ341,'(勿動)組件目錄表'!$D$15:$R$1094,8,FALSE),"")</f>
        <v/>
      </c>
      <c r="BE341" s="69" t="str">
        <f>IFERROR(VLOOKUP($AQ341,'(勿動)組件目錄表'!$D$15:$R$1094,9,FALSE),"")</f>
        <v/>
      </c>
      <c r="BF341" s="69" t="str">
        <f>IFERROR(VLOOKUP($AQ341,'(勿動)組件目錄表'!$D$15:$R$1094,10,FALSE),"")</f>
        <v/>
      </c>
      <c r="BG341" s="69" t="str">
        <f>IFERROR(VLOOKUP($AQ341,'(勿動)組件目錄表'!$D$15:$R$1094,11,FALSE),"")</f>
        <v/>
      </c>
      <c r="BH341" s="69" t="str">
        <f>IFERROR(VLOOKUP($AQ341,'(勿動)組件目錄表'!$D$15:$R$1094,12,FALSE),"")</f>
        <v/>
      </c>
      <c r="BI341" s="69" t="str">
        <f>IFERROR(VLOOKUP($AQ341,'(勿動)組件目錄表'!$D$15:$R$1094,13,FALSE),"")</f>
        <v/>
      </c>
      <c r="BJ341" s="69" t="str">
        <f>IFERROR(VLOOKUP($AQ341,'(勿動)組件目錄表'!$D$15:$R$1094,14,FALSE),"")</f>
        <v/>
      </c>
      <c r="BK341" s="69" t="str">
        <f>IFERROR(VLOOKUP($AQ341,'(勿動)組件目錄表'!$D$15:$R$1094,15,FALSE),"")</f>
        <v/>
      </c>
      <c r="BL341" s="81">
        <f ca="1">IFERROR(__xludf.DUMMYFUNCTION("IFERROR(
  LET(
    rowData, FILTER('(勿動)組件目錄表'!J:Q, '(勿動)組件目錄表'!D:D=AQ341),
    IF(ROWS(rowData)=0, 0, 
      (
        IF(AND(BC341&lt;&gt;"""", INDEX(rowData,1,1)=BC341),1,0) +
        IF(AND(BD341&lt;&gt;"""", INDEX(rowData,1,2)=BD341),1,0) +
        IF(AND(BE341"&amp;"&lt;&gt;"""", INDEX(rowData,1,3)=BE341),1,0) +
        IF(AND(BF341&lt;&gt;"""", INDEX(rowData,1,4)=BF341),1,0) +
        IF(AND(BG341&lt;&gt;"""", INDEX(rowData,1,5)=BG341),1,0) +
        IF(AND(BH341&lt;&gt;"""", INDEX(rowData,1,6)=BH341),1,0) +
        IF(AND(BI341&lt;&gt;"""", IND"&amp;"EX(rowData,1,7)=BI341),1,0) +
        IF(AND(BJ341&lt;&gt;"""", INDEX(rowData,1,8)=BJ341),1,0)
      ) - COUNTIF(BC341:BJ341, ""-"")
        - COUNTIF(BC341:BJ341, ""固定格式，不需提供資訊"")
        - COUNTIF(BC341:BJ341, ""由MKT更新，此欄位固定格式，不需提供資訊
(Voucher CID：12917705872)"&amp;""")
        - COUNTIF(BC341:BJ341, ""text固定為以下：
※直播間僅支援手機版"")
        - COUNTIF(BC341:BJ341, ""text固定為以下：
※短影音僅支援手機版"")
    )
  ), 
  0
)
"),0)</f>
        <v>0</v>
      </c>
      <c r="BM341" s="77" t="b">
        <v>0</v>
      </c>
      <c r="BN341" s="85"/>
      <c r="BO341" s="85"/>
    </row>
    <row r="342" spans="1:67" ht="30" customHeight="1">
      <c r="A342" s="73" t="str">
        <f t="array" aca="1" ref="A342" ca="1">IFERROR(TRANSPOSE(INDIRECT('MS section版配(Old)'!$AO342)),"")</f>
        <v/>
      </c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8"/>
      <c r="P342" s="88"/>
      <c r="Q342" s="88"/>
      <c r="R342" s="88"/>
      <c r="S342" s="88"/>
      <c r="T342" s="88"/>
      <c r="U342" s="88"/>
      <c r="V342" s="88"/>
      <c r="W342" s="88"/>
      <c r="X342" s="88"/>
      <c r="Y342" s="88"/>
      <c r="Z342" s="88"/>
      <c r="AA342" s="88"/>
      <c r="AB342" s="88"/>
      <c r="AC342" s="88"/>
      <c r="AD342" s="88"/>
      <c r="AE342" s="397" t="str">
        <f>IFERROR(VLOOKUP($AQ342,'(勿動)組件目錄表'!$D$15:$R$1094,4,FALSE),"")</f>
        <v/>
      </c>
      <c r="AF342" s="384"/>
      <c r="AG342" s="384"/>
      <c r="AH342" s="384"/>
      <c r="AI342" s="384"/>
      <c r="AJ342" s="385"/>
      <c r="AK342" s="54" t="b">
        <v>0</v>
      </c>
      <c r="AL342" s="54" t="b">
        <v>0</v>
      </c>
      <c r="AM342" s="54"/>
      <c r="AN342" s="7" t="str">
        <v>334</v>
      </c>
      <c r="AO342" s="7"/>
      <c r="AP342" s="62"/>
      <c r="AQ342" s="75" t="str">
        <v/>
      </c>
      <c r="AR342" s="75" t="str">
        <v>-</v>
      </c>
      <c r="AS342" s="11"/>
      <c r="AT342" s="77" t="str">
        <v>-</v>
      </c>
      <c r="AU342" s="11" t="str">
        <v>-</v>
      </c>
      <c r="AV342" s="100"/>
      <c r="AW342" s="80" t="str">
        <f ca="1"/>
        <v>-</v>
      </c>
      <c r="AX342" s="80" t="b">
        <v>0</v>
      </c>
      <c r="AY342" s="68" t="str">
        <f t="shared" si="4"/>
        <v/>
      </c>
      <c r="AZ342" s="69" t="str">
        <f t="shared" si="5"/>
        <v/>
      </c>
      <c r="BA342" s="70" t="str">
        <f t="shared" si="6"/>
        <v/>
      </c>
      <c r="BB342" s="68" t="str">
        <f t="shared" si="7"/>
        <v/>
      </c>
      <c r="BC342" s="69" t="str">
        <f>IFERROR(VLOOKUP($AQ342,'(勿動)組件目錄表'!$D$15:$R$1094,7,FALSE),"")</f>
        <v/>
      </c>
      <c r="BD342" s="69" t="str">
        <f>IFERROR(VLOOKUP($AQ342,'(勿動)組件目錄表'!$D$15:$R$1094,8,FALSE),"")</f>
        <v/>
      </c>
      <c r="BE342" s="69" t="str">
        <f>IFERROR(VLOOKUP($AQ342,'(勿動)組件目錄表'!$D$15:$R$1094,9,FALSE),"")</f>
        <v/>
      </c>
      <c r="BF342" s="69" t="str">
        <f>IFERROR(VLOOKUP($AQ342,'(勿動)組件目錄表'!$D$15:$R$1094,10,FALSE),"")</f>
        <v/>
      </c>
      <c r="BG342" s="69" t="str">
        <f>IFERROR(VLOOKUP($AQ342,'(勿動)組件目錄表'!$D$15:$R$1094,11,FALSE),"")</f>
        <v/>
      </c>
      <c r="BH342" s="69" t="str">
        <f>IFERROR(VLOOKUP($AQ342,'(勿動)組件目錄表'!$D$15:$R$1094,12,FALSE),"")</f>
        <v/>
      </c>
      <c r="BI342" s="69" t="str">
        <f>IFERROR(VLOOKUP($AQ342,'(勿動)組件目錄表'!$D$15:$R$1094,13,FALSE),"")</f>
        <v/>
      </c>
      <c r="BJ342" s="69" t="str">
        <f>IFERROR(VLOOKUP($AQ342,'(勿動)組件目錄表'!$D$15:$R$1094,14,FALSE),"")</f>
        <v/>
      </c>
      <c r="BK342" s="69" t="str">
        <f>IFERROR(VLOOKUP($AQ342,'(勿動)組件目錄表'!$D$15:$R$1094,15,FALSE),"")</f>
        <v/>
      </c>
      <c r="BL342" s="81">
        <f ca="1">IFERROR(__xludf.DUMMYFUNCTION("IFERROR(
  LET(
    rowData, FILTER('(勿動)組件目錄表'!J:Q, '(勿動)組件目錄表'!D:D=AQ342),
    IF(ROWS(rowData)=0, 0, 
      (
        IF(AND(BC342&lt;&gt;"""", INDEX(rowData,1,1)=BC342),1,0) +
        IF(AND(BD342&lt;&gt;"""", INDEX(rowData,1,2)=BD342),1,0) +
        IF(AND(BE342"&amp;"&lt;&gt;"""", INDEX(rowData,1,3)=BE342),1,0) +
        IF(AND(BF342&lt;&gt;"""", INDEX(rowData,1,4)=BF342),1,0) +
        IF(AND(BG342&lt;&gt;"""", INDEX(rowData,1,5)=BG342),1,0) +
        IF(AND(BH342&lt;&gt;"""", INDEX(rowData,1,6)=BH342),1,0) +
        IF(AND(BI342&lt;&gt;"""", IND"&amp;"EX(rowData,1,7)=BI342),1,0) +
        IF(AND(BJ342&lt;&gt;"""", INDEX(rowData,1,8)=BJ342),1,0)
      ) - COUNTIF(BC342:BJ342, ""-"")
        - COUNTIF(BC342:BJ342, ""固定格式，不需提供資訊"")
        - COUNTIF(BC342:BJ342, ""由MKT更新，此欄位固定格式，不需提供資訊
(Voucher CID：12917705872)"&amp;""")
        - COUNTIF(BC342:BJ342, ""text固定為以下：
※直播間僅支援手機版"")
        - COUNTIF(BC342:BJ342, ""text固定為以下：
※短影音僅支援手機版"")
    )
  ), 
  0
)
"),0)</f>
        <v>0</v>
      </c>
      <c r="BM342" s="77" t="b">
        <v>0</v>
      </c>
      <c r="BN342" s="85"/>
      <c r="BO342" s="85"/>
    </row>
    <row r="343" spans="1:67" ht="30" customHeight="1">
      <c r="A343" s="73" t="str">
        <f t="array" aca="1" ref="A343" ca="1">IFERROR(TRANSPOSE(INDIRECT('MS section版配(Old)'!$AO343)),"")</f>
        <v/>
      </c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8"/>
      <c r="P343" s="88"/>
      <c r="Q343" s="88"/>
      <c r="R343" s="88"/>
      <c r="S343" s="88"/>
      <c r="T343" s="88"/>
      <c r="U343" s="88"/>
      <c r="V343" s="88"/>
      <c r="W343" s="88"/>
      <c r="X343" s="88"/>
      <c r="Y343" s="88"/>
      <c r="Z343" s="88"/>
      <c r="AA343" s="88"/>
      <c r="AB343" s="88"/>
      <c r="AC343" s="88"/>
      <c r="AD343" s="88"/>
      <c r="AE343" s="397" t="str">
        <f>IFERROR(VLOOKUP($AQ343,'(勿動)組件目錄表'!$D$15:$R$1094,4,FALSE),"")</f>
        <v/>
      </c>
      <c r="AF343" s="384"/>
      <c r="AG343" s="384"/>
      <c r="AH343" s="384"/>
      <c r="AI343" s="384"/>
      <c r="AJ343" s="385"/>
      <c r="AK343" s="54" t="b">
        <v>0</v>
      </c>
      <c r="AL343" s="54" t="b">
        <v>0</v>
      </c>
      <c r="AM343" s="54"/>
      <c r="AN343" s="7" t="str">
        <v>335</v>
      </c>
      <c r="AO343" s="7"/>
      <c r="AP343" s="62"/>
      <c r="AQ343" s="75" t="str">
        <v/>
      </c>
      <c r="AR343" s="75" t="str">
        <v>-</v>
      </c>
      <c r="AS343" s="11"/>
      <c r="AT343" s="77" t="str">
        <v>-</v>
      </c>
      <c r="AU343" s="11" t="str">
        <v>-</v>
      </c>
      <c r="AV343" s="100"/>
      <c r="AW343" s="80" t="str">
        <f ca="1"/>
        <v>-</v>
      </c>
      <c r="AX343" s="80" t="b">
        <v>0</v>
      </c>
      <c r="AY343" s="68" t="str">
        <f t="shared" si="4"/>
        <v/>
      </c>
      <c r="AZ343" s="69" t="str">
        <f t="shared" si="5"/>
        <v/>
      </c>
      <c r="BA343" s="70" t="str">
        <f t="shared" si="6"/>
        <v/>
      </c>
      <c r="BB343" s="68" t="str">
        <f t="shared" si="7"/>
        <v/>
      </c>
      <c r="BC343" s="69" t="str">
        <f>IFERROR(VLOOKUP($AQ343,'(勿動)組件目錄表'!$D$15:$R$1094,7,FALSE),"")</f>
        <v/>
      </c>
      <c r="BD343" s="69" t="str">
        <f>IFERROR(VLOOKUP($AQ343,'(勿動)組件目錄表'!$D$15:$R$1094,8,FALSE),"")</f>
        <v/>
      </c>
      <c r="BE343" s="69" t="str">
        <f>IFERROR(VLOOKUP($AQ343,'(勿動)組件目錄表'!$D$15:$R$1094,9,FALSE),"")</f>
        <v/>
      </c>
      <c r="BF343" s="69" t="str">
        <f>IFERROR(VLOOKUP($AQ343,'(勿動)組件目錄表'!$D$15:$R$1094,10,FALSE),"")</f>
        <v/>
      </c>
      <c r="BG343" s="69" t="str">
        <f>IFERROR(VLOOKUP($AQ343,'(勿動)組件目錄表'!$D$15:$R$1094,11,FALSE),"")</f>
        <v/>
      </c>
      <c r="BH343" s="69" t="str">
        <f>IFERROR(VLOOKUP($AQ343,'(勿動)組件目錄表'!$D$15:$R$1094,12,FALSE),"")</f>
        <v/>
      </c>
      <c r="BI343" s="69" t="str">
        <f>IFERROR(VLOOKUP($AQ343,'(勿動)組件目錄表'!$D$15:$R$1094,13,FALSE),"")</f>
        <v/>
      </c>
      <c r="BJ343" s="69" t="str">
        <f>IFERROR(VLOOKUP($AQ343,'(勿動)組件目錄表'!$D$15:$R$1094,14,FALSE),"")</f>
        <v/>
      </c>
      <c r="BK343" s="69" t="str">
        <f>IFERROR(VLOOKUP($AQ343,'(勿動)組件目錄表'!$D$15:$R$1094,15,FALSE),"")</f>
        <v/>
      </c>
      <c r="BL343" s="81">
        <f ca="1">IFERROR(__xludf.DUMMYFUNCTION("IFERROR(
  LET(
    rowData, FILTER('(勿動)組件目錄表'!J:Q, '(勿動)組件目錄表'!D:D=AQ343),
    IF(ROWS(rowData)=0, 0, 
      (
        IF(AND(BC343&lt;&gt;"""", INDEX(rowData,1,1)=BC343),1,0) +
        IF(AND(BD343&lt;&gt;"""", INDEX(rowData,1,2)=BD343),1,0) +
        IF(AND(BE343"&amp;"&lt;&gt;"""", INDEX(rowData,1,3)=BE343),1,0) +
        IF(AND(BF343&lt;&gt;"""", INDEX(rowData,1,4)=BF343),1,0) +
        IF(AND(BG343&lt;&gt;"""", INDEX(rowData,1,5)=BG343),1,0) +
        IF(AND(BH343&lt;&gt;"""", INDEX(rowData,1,6)=BH343),1,0) +
        IF(AND(BI343&lt;&gt;"""", IND"&amp;"EX(rowData,1,7)=BI343),1,0) +
        IF(AND(BJ343&lt;&gt;"""", INDEX(rowData,1,8)=BJ343),1,0)
      ) - COUNTIF(BC343:BJ343, ""-"")
        - COUNTIF(BC343:BJ343, ""固定格式，不需提供資訊"")
        - COUNTIF(BC343:BJ343, ""由MKT更新，此欄位固定格式，不需提供資訊
(Voucher CID：12917705872)"&amp;""")
        - COUNTIF(BC343:BJ343, ""text固定為以下：
※直播間僅支援手機版"")
        - COUNTIF(BC343:BJ343, ""text固定為以下：
※短影音僅支援手機版"")
    )
  ), 
  0
)
"),0)</f>
        <v>0</v>
      </c>
      <c r="BM343" s="77" t="b">
        <v>0</v>
      </c>
      <c r="BN343" s="85"/>
      <c r="BO343" s="85"/>
    </row>
    <row r="344" spans="1:67" ht="30" customHeight="1">
      <c r="A344" s="73" t="str">
        <f t="array" aca="1" ref="A344" ca="1">IFERROR(TRANSPOSE(INDIRECT('MS section版配(Old)'!$AO344)),"")</f>
        <v/>
      </c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8"/>
      <c r="P344" s="88"/>
      <c r="Q344" s="88"/>
      <c r="R344" s="88"/>
      <c r="S344" s="88"/>
      <c r="T344" s="88"/>
      <c r="U344" s="88"/>
      <c r="V344" s="88"/>
      <c r="W344" s="88"/>
      <c r="X344" s="88"/>
      <c r="Y344" s="88"/>
      <c r="Z344" s="88"/>
      <c r="AA344" s="88"/>
      <c r="AB344" s="88"/>
      <c r="AC344" s="88"/>
      <c r="AD344" s="88"/>
      <c r="AE344" s="397" t="str">
        <f>IFERROR(VLOOKUP($AQ344,'(勿動)組件目錄表'!$D$15:$R$1094,4,FALSE),"")</f>
        <v/>
      </c>
      <c r="AF344" s="384"/>
      <c r="AG344" s="384"/>
      <c r="AH344" s="384"/>
      <c r="AI344" s="384"/>
      <c r="AJ344" s="385"/>
      <c r="AK344" s="54" t="b">
        <v>0</v>
      </c>
      <c r="AL344" s="54" t="b">
        <v>0</v>
      </c>
      <c r="AM344" s="54"/>
      <c r="AN344" s="7" t="str">
        <v>336</v>
      </c>
      <c r="AO344" s="7"/>
      <c r="AP344" s="62"/>
      <c r="AQ344" s="75" t="str">
        <v/>
      </c>
      <c r="AR344" s="75" t="str">
        <v>-</v>
      </c>
      <c r="AS344" s="11"/>
      <c r="AT344" s="77" t="str">
        <v>-</v>
      </c>
      <c r="AU344" s="11" t="str">
        <v>-</v>
      </c>
      <c r="AV344" s="100"/>
      <c r="AW344" s="80" t="str">
        <f ca="1"/>
        <v>-</v>
      </c>
      <c r="AX344" s="80" t="b">
        <v>0</v>
      </c>
      <c r="AY344" s="68" t="str">
        <f t="shared" si="4"/>
        <v/>
      </c>
      <c r="AZ344" s="69" t="str">
        <f t="shared" si="5"/>
        <v/>
      </c>
      <c r="BA344" s="70" t="str">
        <f t="shared" si="6"/>
        <v/>
      </c>
      <c r="BB344" s="68" t="str">
        <f t="shared" si="7"/>
        <v/>
      </c>
      <c r="BC344" s="69" t="str">
        <f>IFERROR(VLOOKUP($AQ344,'(勿動)組件目錄表'!$D$15:$R$1094,7,FALSE),"")</f>
        <v/>
      </c>
      <c r="BD344" s="69" t="str">
        <f>IFERROR(VLOOKUP($AQ344,'(勿動)組件目錄表'!$D$15:$R$1094,8,FALSE),"")</f>
        <v/>
      </c>
      <c r="BE344" s="69" t="str">
        <f>IFERROR(VLOOKUP($AQ344,'(勿動)組件目錄表'!$D$15:$R$1094,9,FALSE),"")</f>
        <v/>
      </c>
      <c r="BF344" s="69" t="str">
        <f>IFERROR(VLOOKUP($AQ344,'(勿動)組件目錄表'!$D$15:$R$1094,10,FALSE),"")</f>
        <v/>
      </c>
      <c r="BG344" s="69" t="str">
        <f>IFERROR(VLOOKUP($AQ344,'(勿動)組件目錄表'!$D$15:$R$1094,11,FALSE),"")</f>
        <v/>
      </c>
      <c r="BH344" s="69" t="str">
        <f>IFERROR(VLOOKUP($AQ344,'(勿動)組件目錄表'!$D$15:$R$1094,12,FALSE),"")</f>
        <v/>
      </c>
      <c r="BI344" s="69" t="str">
        <f>IFERROR(VLOOKUP($AQ344,'(勿動)組件目錄表'!$D$15:$R$1094,13,FALSE),"")</f>
        <v/>
      </c>
      <c r="BJ344" s="69" t="str">
        <f>IFERROR(VLOOKUP($AQ344,'(勿動)組件目錄表'!$D$15:$R$1094,14,FALSE),"")</f>
        <v/>
      </c>
      <c r="BK344" s="69" t="str">
        <f>IFERROR(VLOOKUP($AQ344,'(勿動)組件目錄表'!$D$15:$R$1094,15,FALSE),"")</f>
        <v/>
      </c>
      <c r="BL344" s="81">
        <f ca="1">IFERROR(__xludf.DUMMYFUNCTION("IFERROR(
  LET(
    rowData, FILTER('(勿動)組件目錄表'!J:Q, '(勿動)組件目錄表'!D:D=AQ344),
    IF(ROWS(rowData)=0, 0, 
      (
        IF(AND(BC344&lt;&gt;"""", INDEX(rowData,1,1)=BC344),1,0) +
        IF(AND(BD344&lt;&gt;"""", INDEX(rowData,1,2)=BD344),1,0) +
        IF(AND(BE344"&amp;"&lt;&gt;"""", INDEX(rowData,1,3)=BE344),1,0) +
        IF(AND(BF344&lt;&gt;"""", INDEX(rowData,1,4)=BF344),1,0) +
        IF(AND(BG344&lt;&gt;"""", INDEX(rowData,1,5)=BG344),1,0) +
        IF(AND(BH344&lt;&gt;"""", INDEX(rowData,1,6)=BH344),1,0) +
        IF(AND(BI344&lt;&gt;"""", IND"&amp;"EX(rowData,1,7)=BI344),1,0) +
        IF(AND(BJ344&lt;&gt;"""", INDEX(rowData,1,8)=BJ344),1,0)
      ) - COUNTIF(BC344:BJ344, ""-"")
        - COUNTIF(BC344:BJ344, ""固定格式，不需提供資訊"")
        - COUNTIF(BC344:BJ344, ""由MKT更新，此欄位固定格式，不需提供資訊
(Voucher CID：12917705872)"&amp;""")
        - COUNTIF(BC344:BJ344, ""text固定為以下：
※直播間僅支援手機版"")
        - COUNTIF(BC344:BJ344, ""text固定為以下：
※短影音僅支援手機版"")
    )
  ), 
  0
)
"),0)</f>
        <v>0</v>
      </c>
      <c r="BM344" s="77" t="b">
        <v>0</v>
      </c>
      <c r="BN344" s="85"/>
      <c r="BO344" s="85"/>
    </row>
    <row r="345" spans="1:67" ht="30" customHeight="1">
      <c r="A345" s="73" t="str">
        <f t="array" aca="1" ref="A345" ca="1">IFERROR(TRANSPOSE(INDIRECT('MS section版配(Old)'!$AO345)),"")</f>
        <v/>
      </c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8"/>
      <c r="P345" s="88"/>
      <c r="Q345" s="88"/>
      <c r="R345" s="88"/>
      <c r="S345" s="88"/>
      <c r="T345" s="88"/>
      <c r="U345" s="88"/>
      <c r="V345" s="88"/>
      <c r="W345" s="88"/>
      <c r="X345" s="88"/>
      <c r="Y345" s="88"/>
      <c r="Z345" s="88"/>
      <c r="AA345" s="88"/>
      <c r="AB345" s="88"/>
      <c r="AC345" s="88"/>
      <c r="AD345" s="88"/>
      <c r="AE345" s="397" t="str">
        <f>IFERROR(VLOOKUP($AQ345,'(勿動)組件目錄表'!$D$15:$R$1094,4,FALSE),"")</f>
        <v/>
      </c>
      <c r="AF345" s="384"/>
      <c r="AG345" s="384"/>
      <c r="AH345" s="384"/>
      <c r="AI345" s="384"/>
      <c r="AJ345" s="385"/>
      <c r="AK345" s="54" t="b">
        <v>0</v>
      </c>
      <c r="AL345" s="54" t="b">
        <v>0</v>
      </c>
      <c r="AM345" s="54"/>
      <c r="AN345" s="7" t="str">
        <v>337</v>
      </c>
      <c r="AO345" s="7"/>
      <c r="AP345" s="62"/>
      <c r="AQ345" s="75" t="str">
        <v/>
      </c>
      <c r="AR345" s="75" t="str">
        <v>-</v>
      </c>
      <c r="AS345" s="11"/>
      <c r="AT345" s="77" t="str">
        <v>-</v>
      </c>
      <c r="AU345" s="11" t="str">
        <v>-</v>
      </c>
      <c r="AV345" s="100"/>
      <c r="AW345" s="80" t="str">
        <f ca="1"/>
        <v>-</v>
      </c>
      <c r="AX345" s="80" t="b">
        <v>0</v>
      </c>
      <c r="AY345" s="68" t="str">
        <f t="shared" si="4"/>
        <v/>
      </c>
      <c r="AZ345" s="69" t="str">
        <f t="shared" si="5"/>
        <v/>
      </c>
      <c r="BA345" s="70" t="str">
        <f t="shared" si="6"/>
        <v/>
      </c>
      <c r="BB345" s="68" t="str">
        <f t="shared" si="7"/>
        <v/>
      </c>
      <c r="BC345" s="69" t="str">
        <f>IFERROR(VLOOKUP($AQ345,'(勿動)組件目錄表'!$D$15:$R$1094,7,FALSE),"")</f>
        <v/>
      </c>
      <c r="BD345" s="69" t="str">
        <f>IFERROR(VLOOKUP($AQ345,'(勿動)組件目錄表'!$D$15:$R$1094,8,FALSE),"")</f>
        <v/>
      </c>
      <c r="BE345" s="69" t="str">
        <f>IFERROR(VLOOKUP($AQ345,'(勿動)組件目錄表'!$D$15:$R$1094,9,FALSE),"")</f>
        <v/>
      </c>
      <c r="BF345" s="69" t="str">
        <f>IFERROR(VLOOKUP($AQ345,'(勿動)組件目錄表'!$D$15:$R$1094,10,FALSE),"")</f>
        <v/>
      </c>
      <c r="BG345" s="69" t="str">
        <f>IFERROR(VLOOKUP($AQ345,'(勿動)組件目錄表'!$D$15:$R$1094,11,FALSE),"")</f>
        <v/>
      </c>
      <c r="BH345" s="69" t="str">
        <f>IFERROR(VLOOKUP($AQ345,'(勿動)組件目錄表'!$D$15:$R$1094,12,FALSE),"")</f>
        <v/>
      </c>
      <c r="BI345" s="69" t="str">
        <f>IFERROR(VLOOKUP($AQ345,'(勿動)組件目錄表'!$D$15:$R$1094,13,FALSE),"")</f>
        <v/>
      </c>
      <c r="BJ345" s="69" t="str">
        <f>IFERROR(VLOOKUP($AQ345,'(勿動)組件目錄表'!$D$15:$R$1094,14,FALSE),"")</f>
        <v/>
      </c>
      <c r="BK345" s="69" t="str">
        <f>IFERROR(VLOOKUP($AQ345,'(勿動)組件目錄表'!$D$15:$R$1094,15,FALSE),"")</f>
        <v/>
      </c>
      <c r="BL345" s="81">
        <f ca="1">IFERROR(__xludf.DUMMYFUNCTION("IFERROR(
  LET(
    rowData, FILTER('(勿動)組件目錄表'!J:Q, '(勿動)組件目錄表'!D:D=AQ345),
    IF(ROWS(rowData)=0, 0, 
      (
        IF(AND(BC345&lt;&gt;"""", INDEX(rowData,1,1)=BC345),1,0) +
        IF(AND(BD345&lt;&gt;"""", INDEX(rowData,1,2)=BD345),1,0) +
        IF(AND(BE345"&amp;"&lt;&gt;"""", INDEX(rowData,1,3)=BE345),1,0) +
        IF(AND(BF345&lt;&gt;"""", INDEX(rowData,1,4)=BF345),1,0) +
        IF(AND(BG345&lt;&gt;"""", INDEX(rowData,1,5)=BG345),1,0) +
        IF(AND(BH345&lt;&gt;"""", INDEX(rowData,1,6)=BH345),1,0) +
        IF(AND(BI345&lt;&gt;"""", IND"&amp;"EX(rowData,1,7)=BI345),1,0) +
        IF(AND(BJ345&lt;&gt;"""", INDEX(rowData,1,8)=BJ345),1,0)
      ) - COUNTIF(BC345:BJ345, ""-"")
        - COUNTIF(BC345:BJ345, ""固定格式，不需提供資訊"")
        - COUNTIF(BC345:BJ345, ""由MKT更新，此欄位固定格式，不需提供資訊
(Voucher CID：12917705872)"&amp;""")
        - COUNTIF(BC345:BJ345, ""text固定為以下：
※直播間僅支援手機版"")
        - COUNTIF(BC345:BJ345, ""text固定為以下：
※短影音僅支援手機版"")
    )
  ), 
  0
)
"),0)</f>
        <v>0</v>
      </c>
      <c r="BM345" s="77" t="b">
        <v>0</v>
      </c>
      <c r="BN345" s="85"/>
      <c r="BO345" s="85"/>
    </row>
    <row r="346" spans="1:67" ht="30" customHeight="1">
      <c r="A346" s="73" t="str">
        <f t="array" aca="1" ref="A346" ca="1">IFERROR(TRANSPOSE(INDIRECT('MS section版配(Old)'!$AO346)),"")</f>
        <v/>
      </c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8"/>
      <c r="P346" s="88"/>
      <c r="Q346" s="88"/>
      <c r="R346" s="88"/>
      <c r="S346" s="88"/>
      <c r="T346" s="88"/>
      <c r="U346" s="88"/>
      <c r="V346" s="88"/>
      <c r="W346" s="88"/>
      <c r="X346" s="88"/>
      <c r="Y346" s="88"/>
      <c r="Z346" s="88"/>
      <c r="AA346" s="88"/>
      <c r="AB346" s="88"/>
      <c r="AC346" s="88"/>
      <c r="AD346" s="88"/>
      <c r="AE346" s="397" t="str">
        <f>IFERROR(VLOOKUP($AQ346,'(勿動)組件目錄表'!$D$15:$R$1094,4,FALSE),"")</f>
        <v/>
      </c>
      <c r="AF346" s="384"/>
      <c r="AG346" s="384"/>
      <c r="AH346" s="384"/>
      <c r="AI346" s="384"/>
      <c r="AJ346" s="385"/>
      <c r="AK346" s="54" t="b">
        <v>0</v>
      </c>
      <c r="AL346" s="54" t="b">
        <v>0</v>
      </c>
      <c r="AM346" s="54"/>
      <c r="AN346" s="7" t="str">
        <v>338</v>
      </c>
      <c r="AO346" s="7"/>
      <c r="AP346" s="62"/>
      <c r="AQ346" s="75" t="str">
        <v/>
      </c>
      <c r="AR346" s="75" t="str">
        <v>-</v>
      </c>
      <c r="AS346" s="11"/>
      <c r="AT346" s="77" t="str">
        <v>-</v>
      </c>
      <c r="AU346" s="11" t="str">
        <v>-</v>
      </c>
      <c r="AV346" s="100"/>
      <c r="AW346" s="80" t="str">
        <f ca="1"/>
        <v>-</v>
      </c>
      <c r="AX346" s="80" t="b">
        <v>0</v>
      </c>
      <c r="AY346" s="68" t="str">
        <f t="shared" si="4"/>
        <v/>
      </c>
      <c r="AZ346" s="69" t="str">
        <f t="shared" si="5"/>
        <v/>
      </c>
      <c r="BA346" s="70" t="str">
        <f t="shared" si="6"/>
        <v/>
      </c>
      <c r="BB346" s="68" t="str">
        <f t="shared" si="7"/>
        <v/>
      </c>
      <c r="BC346" s="69" t="str">
        <f>IFERROR(VLOOKUP($AQ346,'(勿動)組件目錄表'!$D$15:$R$1094,7,FALSE),"")</f>
        <v/>
      </c>
      <c r="BD346" s="69" t="str">
        <f>IFERROR(VLOOKUP($AQ346,'(勿動)組件目錄表'!$D$15:$R$1094,8,FALSE),"")</f>
        <v/>
      </c>
      <c r="BE346" s="69" t="str">
        <f>IFERROR(VLOOKUP($AQ346,'(勿動)組件目錄表'!$D$15:$R$1094,9,FALSE),"")</f>
        <v/>
      </c>
      <c r="BF346" s="69" t="str">
        <f>IFERROR(VLOOKUP($AQ346,'(勿動)組件目錄表'!$D$15:$R$1094,10,FALSE),"")</f>
        <v/>
      </c>
      <c r="BG346" s="69" t="str">
        <f>IFERROR(VLOOKUP($AQ346,'(勿動)組件目錄表'!$D$15:$R$1094,11,FALSE),"")</f>
        <v/>
      </c>
      <c r="BH346" s="69" t="str">
        <f>IFERROR(VLOOKUP($AQ346,'(勿動)組件目錄表'!$D$15:$R$1094,12,FALSE),"")</f>
        <v/>
      </c>
      <c r="BI346" s="69" t="str">
        <f>IFERROR(VLOOKUP($AQ346,'(勿動)組件目錄表'!$D$15:$R$1094,13,FALSE),"")</f>
        <v/>
      </c>
      <c r="BJ346" s="69" t="str">
        <f>IFERROR(VLOOKUP($AQ346,'(勿動)組件目錄表'!$D$15:$R$1094,14,FALSE),"")</f>
        <v/>
      </c>
      <c r="BK346" s="69" t="str">
        <f>IFERROR(VLOOKUP($AQ346,'(勿動)組件目錄表'!$D$15:$R$1094,15,FALSE),"")</f>
        <v/>
      </c>
      <c r="BL346" s="81">
        <f ca="1">IFERROR(__xludf.DUMMYFUNCTION("IFERROR(
  LET(
    rowData, FILTER('(勿動)組件目錄表'!J:Q, '(勿動)組件目錄表'!D:D=AQ346),
    IF(ROWS(rowData)=0, 0, 
      (
        IF(AND(BC346&lt;&gt;"""", INDEX(rowData,1,1)=BC346),1,0) +
        IF(AND(BD346&lt;&gt;"""", INDEX(rowData,1,2)=BD346),1,0) +
        IF(AND(BE346"&amp;"&lt;&gt;"""", INDEX(rowData,1,3)=BE346),1,0) +
        IF(AND(BF346&lt;&gt;"""", INDEX(rowData,1,4)=BF346),1,0) +
        IF(AND(BG346&lt;&gt;"""", INDEX(rowData,1,5)=BG346),1,0) +
        IF(AND(BH346&lt;&gt;"""", INDEX(rowData,1,6)=BH346),1,0) +
        IF(AND(BI346&lt;&gt;"""", IND"&amp;"EX(rowData,1,7)=BI346),1,0) +
        IF(AND(BJ346&lt;&gt;"""", INDEX(rowData,1,8)=BJ346),1,0)
      ) - COUNTIF(BC346:BJ346, ""-"")
        - COUNTIF(BC346:BJ346, ""固定格式，不需提供資訊"")
        - COUNTIF(BC346:BJ346, ""由MKT更新，此欄位固定格式，不需提供資訊
(Voucher CID：12917705872)"&amp;""")
        - COUNTIF(BC346:BJ346, ""text固定為以下：
※直播間僅支援手機版"")
        - COUNTIF(BC346:BJ346, ""text固定為以下：
※短影音僅支援手機版"")
    )
  ), 
  0
)
"),0)</f>
        <v>0</v>
      </c>
      <c r="BM346" s="77" t="b">
        <v>0</v>
      </c>
      <c r="BN346" s="85"/>
      <c r="BO346" s="85"/>
    </row>
    <row r="347" spans="1:67" ht="30" customHeight="1">
      <c r="A347" s="73" t="str">
        <f t="array" aca="1" ref="A347" ca="1">IFERROR(TRANSPOSE(INDIRECT('MS section版配(Old)'!$AO347)),"")</f>
        <v/>
      </c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8"/>
      <c r="P347" s="88"/>
      <c r="Q347" s="88"/>
      <c r="R347" s="88"/>
      <c r="S347" s="88"/>
      <c r="T347" s="88"/>
      <c r="U347" s="88"/>
      <c r="V347" s="88"/>
      <c r="W347" s="88"/>
      <c r="X347" s="88"/>
      <c r="Y347" s="88"/>
      <c r="Z347" s="88"/>
      <c r="AA347" s="88"/>
      <c r="AB347" s="88"/>
      <c r="AC347" s="88"/>
      <c r="AD347" s="88"/>
      <c r="AE347" s="397" t="str">
        <f>IFERROR(VLOOKUP($AQ347,'(勿動)組件目錄表'!$D$15:$R$1094,4,FALSE),"")</f>
        <v/>
      </c>
      <c r="AF347" s="384"/>
      <c r="AG347" s="384"/>
      <c r="AH347" s="384"/>
      <c r="AI347" s="384"/>
      <c r="AJ347" s="385"/>
      <c r="AK347" s="54" t="b">
        <v>0</v>
      </c>
      <c r="AL347" s="54" t="b">
        <v>0</v>
      </c>
      <c r="AM347" s="54"/>
      <c r="AN347" s="7" t="str">
        <v>339</v>
      </c>
      <c r="AO347" s="7"/>
      <c r="AP347" s="62"/>
      <c r="AQ347" s="75" t="str">
        <v/>
      </c>
      <c r="AR347" s="75" t="str">
        <v>-</v>
      </c>
      <c r="AS347" s="11"/>
      <c r="AT347" s="77" t="str">
        <v>-</v>
      </c>
      <c r="AU347" s="11" t="str">
        <v>-</v>
      </c>
      <c r="AV347" s="100"/>
      <c r="AW347" s="80" t="str">
        <f ca="1"/>
        <v>-</v>
      </c>
      <c r="AX347" s="80" t="b">
        <v>0</v>
      </c>
      <c r="AY347" s="68" t="str">
        <f t="shared" si="4"/>
        <v/>
      </c>
      <c r="AZ347" s="69" t="str">
        <f t="shared" si="5"/>
        <v/>
      </c>
      <c r="BA347" s="70" t="str">
        <f t="shared" si="6"/>
        <v/>
      </c>
      <c r="BB347" s="68" t="str">
        <f t="shared" si="7"/>
        <v/>
      </c>
      <c r="BC347" s="69" t="str">
        <f>IFERROR(VLOOKUP($AQ347,'(勿動)組件目錄表'!$D$15:$R$1094,7,FALSE),"")</f>
        <v/>
      </c>
      <c r="BD347" s="69" t="str">
        <f>IFERROR(VLOOKUP($AQ347,'(勿動)組件目錄表'!$D$15:$R$1094,8,FALSE),"")</f>
        <v/>
      </c>
      <c r="BE347" s="69" t="str">
        <f>IFERROR(VLOOKUP($AQ347,'(勿動)組件目錄表'!$D$15:$R$1094,9,FALSE),"")</f>
        <v/>
      </c>
      <c r="BF347" s="69" t="str">
        <f>IFERROR(VLOOKUP($AQ347,'(勿動)組件目錄表'!$D$15:$R$1094,10,FALSE),"")</f>
        <v/>
      </c>
      <c r="BG347" s="69" t="str">
        <f>IFERROR(VLOOKUP($AQ347,'(勿動)組件目錄表'!$D$15:$R$1094,11,FALSE),"")</f>
        <v/>
      </c>
      <c r="BH347" s="69" t="str">
        <f>IFERROR(VLOOKUP($AQ347,'(勿動)組件目錄表'!$D$15:$R$1094,12,FALSE),"")</f>
        <v/>
      </c>
      <c r="BI347" s="69" t="str">
        <f>IFERROR(VLOOKUP($AQ347,'(勿動)組件目錄表'!$D$15:$R$1094,13,FALSE),"")</f>
        <v/>
      </c>
      <c r="BJ347" s="69" t="str">
        <f>IFERROR(VLOOKUP($AQ347,'(勿動)組件目錄表'!$D$15:$R$1094,14,FALSE),"")</f>
        <v/>
      </c>
      <c r="BK347" s="69" t="str">
        <f>IFERROR(VLOOKUP($AQ347,'(勿動)組件目錄表'!$D$15:$R$1094,15,FALSE),"")</f>
        <v/>
      </c>
      <c r="BL347" s="81">
        <f ca="1">IFERROR(__xludf.DUMMYFUNCTION("IFERROR(
  LET(
    rowData, FILTER('(勿動)組件目錄表'!J:Q, '(勿動)組件目錄表'!D:D=AQ347),
    IF(ROWS(rowData)=0, 0, 
      (
        IF(AND(BC347&lt;&gt;"""", INDEX(rowData,1,1)=BC347),1,0) +
        IF(AND(BD347&lt;&gt;"""", INDEX(rowData,1,2)=BD347),1,0) +
        IF(AND(BE347"&amp;"&lt;&gt;"""", INDEX(rowData,1,3)=BE347),1,0) +
        IF(AND(BF347&lt;&gt;"""", INDEX(rowData,1,4)=BF347),1,0) +
        IF(AND(BG347&lt;&gt;"""", INDEX(rowData,1,5)=BG347),1,0) +
        IF(AND(BH347&lt;&gt;"""", INDEX(rowData,1,6)=BH347),1,0) +
        IF(AND(BI347&lt;&gt;"""", IND"&amp;"EX(rowData,1,7)=BI347),1,0) +
        IF(AND(BJ347&lt;&gt;"""", INDEX(rowData,1,8)=BJ347),1,0)
      ) - COUNTIF(BC347:BJ347, ""-"")
        - COUNTIF(BC347:BJ347, ""固定格式，不需提供資訊"")
        - COUNTIF(BC347:BJ347, ""由MKT更新，此欄位固定格式，不需提供資訊
(Voucher CID：12917705872)"&amp;""")
        - COUNTIF(BC347:BJ347, ""text固定為以下：
※直播間僅支援手機版"")
        - COUNTIF(BC347:BJ347, ""text固定為以下：
※短影音僅支援手機版"")
    )
  ), 
  0
)
"),0)</f>
        <v>0</v>
      </c>
      <c r="BM347" s="77" t="b">
        <v>0</v>
      </c>
      <c r="BN347" s="85"/>
      <c r="BO347" s="85"/>
    </row>
    <row r="348" spans="1:67" ht="30" customHeight="1">
      <c r="A348" s="73" t="str">
        <f t="array" aca="1" ref="A348" ca="1">IFERROR(TRANSPOSE(INDIRECT('MS section版配(Old)'!$AO348)),"")</f>
        <v/>
      </c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8"/>
      <c r="P348" s="88"/>
      <c r="Q348" s="88"/>
      <c r="R348" s="88"/>
      <c r="S348" s="88"/>
      <c r="T348" s="88"/>
      <c r="U348" s="88"/>
      <c r="V348" s="88"/>
      <c r="W348" s="88"/>
      <c r="X348" s="88"/>
      <c r="Y348" s="88"/>
      <c r="Z348" s="88"/>
      <c r="AA348" s="88"/>
      <c r="AB348" s="88"/>
      <c r="AC348" s="88"/>
      <c r="AD348" s="88"/>
      <c r="AE348" s="397" t="str">
        <f>IFERROR(VLOOKUP($AQ348,'(勿動)組件目錄表'!$D$15:$R$1094,4,FALSE),"")</f>
        <v/>
      </c>
      <c r="AF348" s="384"/>
      <c r="AG348" s="384"/>
      <c r="AH348" s="384"/>
      <c r="AI348" s="384"/>
      <c r="AJ348" s="385"/>
      <c r="AK348" s="54" t="b">
        <v>0</v>
      </c>
      <c r="AL348" s="54" t="b">
        <v>0</v>
      </c>
      <c r="AM348" s="54"/>
      <c r="AN348" s="7" t="str">
        <v>340</v>
      </c>
      <c r="AO348" s="7"/>
      <c r="AP348" s="62"/>
      <c r="AQ348" s="75" t="str">
        <v/>
      </c>
      <c r="AR348" s="75" t="str">
        <v>-</v>
      </c>
      <c r="AS348" s="11"/>
      <c r="AT348" s="77" t="str">
        <v>-</v>
      </c>
      <c r="AU348" s="11" t="str">
        <v>-</v>
      </c>
      <c r="AV348" s="100"/>
      <c r="AW348" s="80" t="str">
        <f ca="1"/>
        <v>-</v>
      </c>
      <c r="AX348" s="80" t="b">
        <v>0</v>
      </c>
      <c r="AY348" s="68" t="str">
        <f t="shared" si="4"/>
        <v/>
      </c>
      <c r="AZ348" s="69" t="str">
        <f t="shared" si="5"/>
        <v/>
      </c>
      <c r="BA348" s="70" t="str">
        <f t="shared" si="6"/>
        <v/>
      </c>
      <c r="BB348" s="68" t="str">
        <f t="shared" si="7"/>
        <v/>
      </c>
      <c r="BC348" s="69" t="str">
        <f>IFERROR(VLOOKUP($AQ348,'(勿動)組件目錄表'!$D$15:$R$1094,7,FALSE),"")</f>
        <v/>
      </c>
      <c r="BD348" s="69" t="str">
        <f>IFERROR(VLOOKUP($AQ348,'(勿動)組件目錄表'!$D$15:$R$1094,8,FALSE),"")</f>
        <v/>
      </c>
      <c r="BE348" s="69" t="str">
        <f>IFERROR(VLOOKUP($AQ348,'(勿動)組件目錄表'!$D$15:$R$1094,9,FALSE),"")</f>
        <v/>
      </c>
      <c r="BF348" s="69" t="str">
        <f>IFERROR(VLOOKUP($AQ348,'(勿動)組件目錄表'!$D$15:$R$1094,10,FALSE),"")</f>
        <v/>
      </c>
      <c r="BG348" s="69" t="str">
        <f>IFERROR(VLOOKUP($AQ348,'(勿動)組件目錄表'!$D$15:$R$1094,11,FALSE),"")</f>
        <v/>
      </c>
      <c r="BH348" s="69" t="str">
        <f>IFERROR(VLOOKUP($AQ348,'(勿動)組件目錄表'!$D$15:$R$1094,12,FALSE),"")</f>
        <v/>
      </c>
      <c r="BI348" s="69" t="str">
        <f>IFERROR(VLOOKUP($AQ348,'(勿動)組件目錄表'!$D$15:$R$1094,13,FALSE),"")</f>
        <v/>
      </c>
      <c r="BJ348" s="69" t="str">
        <f>IFERROR(VLOOKUP($AQ348,'(勿動)組件目錄表'!$D$15:$R$1094,14,FALSE),"")</f>
        <v/>
      </c>
      <c r="BK348" s="69" t="str">
        <f>IFERROR(VLOOKUP($AQ348,'(勿動)組件目錄表'!$D$15:$R$1094,15,FALSE),"")</f>
        <v/>
      </c>
      <c r="BL348" s="81">
        <f ca="1">IFERROR(__xludf.DUMMYFUNCTION("IFERROR(
  LET(
    rowData, FILTER('(勿動)組件目錄表'!J:Q, '(勿動)組件目錄表'!D:D=AQ348),
    IF(ROWS(rowData)=0, 0, 
      (
        IF(AND(BC348&lt;&gt;"""", INDEX(rowData,1,1)=BC348),1,0) +
        IF(AND(BD348&lt;&gt;"""", INDEX(rowData,1,2)=BD348),1,0) +
        IF(AND(BE348"&amp;"&lt;&gt;"""", INDEX(rowData,1,3)=BE348),1,0) +
        IF(AND(BF348&lt;&gt;"""", INDEX(rowData,1,4)=BF348),1,0) +
        IF(AND(BG348&lt;&gt;"""", INDEX(rowData,1,5)=BG348),1,0) +
        IF(AND(BH348&lt;&gt;"""", INDEX(rowData,1,6)=BH348),1,0) +
        IF(AND(BI348&lt;&gt;"""", IND"&amp;"EX(rowData,1,7)=BI348),1,0) +
        IF(AND(BJ348&lt;&gt;"""", INDEX(rowData,1,8)=BJ348),1,0)
      ) - COUNTIF(BC348:BJ348, ""-"")
        - COUNTIF(BC348:BJ348, ""固定格式，不需提供資訊"")
        - COUNTIF(BC348:BJ348, ""由MKT更新，此欄位固定格式，不需提供資訊
(Voucher CID：12917705872)"&amp;""")
        - COUNTIF(BC348:BJ348, ""text固定為以下：
※直播間僅支援手機版"")
        - COUNTIF(BC348:BJ348, ""text固定為以下：
※短影音僅支援手機版"")
    )
  ), 
  0
)
"),0)</f>
        <v>0</v>
      </c>
      <c r="BM348" s="77" t="b">
        <v>0</v>
      </c>
      <c r="BN348" s="85"/>
      <c r="BO348" s="85"/>
    </row>
    <row r="349" spans="1:67" ht="30" customHeight="1">
      <c r="A349" s="73" t="str">
        <f t="array" aca="1" ref="A349" ca="1">IFERROR(TRANSPOSE(INDIRECT('MS section版配(Old)'!$AO349)),"")</f>
        <v/>
      </c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8"/>
      <c r="P349" s="88"/>
      <c r="Q349" s="88"/>
      <c r="R349" s="88"/>
      <c r="S349" s="88"/>
      <c r="T349" s="88"/>
      <c r="U349" s="88"/>
      <c r="V349" s="88"/>
      <c r="W349" s="88"/>
      <c r="X349" s="88"/>
      <c r="Y349" s="88"/>
      <c r="Z349" s="88"/>
      <c r="AA349" s="88"/>
      <c r="AB349" s="88"/>
      <c r="AC349" s="88"/>
      <c r="AD349" s="88"/>
      <c r="AE349" s="397" t="str">
        <f>IFERROR(VLOOKUP($AQ349,'(勿動)組件目錄表'!$D$15:$R$1094,4,FALSE),"")</f>
        <v/>
      </c>
      <c r="AF349" s="384"/>
      <c r="AG349" s="384"/>
      <c r="AH349" s="384"/>
      <c r="AI349" s="384"/>
      <c r="AJ349" s="385"/>
      <c r="AK349" s="54" t="b">
        <v>0</v>
      </c>
      <c r="AL349" s="54" t="b">
        <v>0</v>
      </c>
      <c r="AM349" s="54"/>
      <c r="AN349" s="7" t="str">
        <v>341</v>
      </c>
      <c r="AO349" s="7"/>
      <c r="AP349" s="62"/>
      <c r="AQ349" s="75" t="str">
        <v/>
      </c>
      <c r="AR349" s="75" t="str">
        <v>-</v>
      </c>
      <c r="AS349" s="11"/>
      <c r="AT349" s="77" t="str">
        <v>-</v>
      </c>
      <c r="AU349" s="11" t="str">
        <v>-</v>
      </c>
      <c r="AV349" s="100"/>
      <c r="AW349" s="80" t="str">
        <f ca="1"/>
        <v>-</v>
      </c>
      <c r="AX349" s="80" t="b">
        <v>0</v>
      </c>
      <c r="AY349" s="68" t="str">
        <f t="shared" si="4"/>
        <v/>
      </c>
      <c r="AZ349" s="69" t="str">
        <f t="shared" si="5"/>
        <v/>
      </c>
      <c r="BA349" s="70" t="str">
        <f t="shared" si="6"/>
        <v/>
      </c>
      <c r="BB349" s="68" t="str">
        <f t="shared" si="7"/>
        <v/>
      </c>
      <c r="BC349" s="69" t="str">
        <f>IFERROR(VLOOKUP($AQ349,'(勿動)組件目錄表'!$D$15:$R$1094,7,FALSE),"")</f>
        <v/>
      </c>
      <c r="BD349" s="69" t="str">
        <f>IFERROR(VLOOKUP($AQ349,'(勿動)組件目錄表'!$D$15:$R$1094,8,FALSE),"")</f>
        <v/>
      </c>
      <c r="BE349" s="69" t="str">
        <f>IFERROR(VLOOKUP($AQ349,'(勿動)組件目錄表'!$D$15:$R$1094,9,FALSE),"")</f>
        <v/>
      </c>
      <c r="BF349" s="69" t="str">
        <f>IFERROR(VLOOKUP($AQ349,'(勿動)組件目錄表'!$D$15:$R$1094,10,FALSE),"")</f>
        <v/>
      </c>
      <c r="BG349" s="69" t="str">
        <f>IFERROR(VLOOKUP($AQ349,'(勿動)組件目錄表'!$D$15:$R$1094,11,FALSE),"")</f>
        <v/>
      </c>
      <c r="BH349" s="69" t="str">
        <f>IFERROR(VLOOKUP($AQ349,'(勿動)組件目錄表'!$D$15:$R$1094,12,FALSE),"")</f>
        <v/>
      </c>
      <c r="BI349" s="69" t="str">
        <f>IFERROR(VLOOKUP($AQ349,'(勿動)組件目錄表'!$D$15:$R$1094,13,FALSE),"")</f>
        <v/>
      </c>
      <c r="BJ349" s="69" t="str">
        <f>IFERROR(VLOOKUP($AQ349,'(勿動)組件目錄表'!$D$15:$R$1094,14,FALSE),"")</f>
        <v/>
      </c>
      <c r="BK349" s="69" t="str">
        <f>IFERROR(VLOOKUP($AQ349,'(勿動)組件目錄表'!$D$15:$R$1094,15,FALSE),"")</f>
        <v/>
      </c>
      <c r="BL349" s="81">
        <f ca="1">IFERROR(__xludf.DUMMYFUNCTION("IFERROR(
  LET(
    rowData, FILTER('(勿動)組件目錄表'!J:Q, '(勿動)組件目錄表'!D:D=AQ349),
    IF(ROWS(rowData)=0, 0, 
      (
        IF(AND(BC349&lt;&gt;"""", INDEX(rowData,1,1)=BC349),1,0) +
        IF(AND(BD349&lt;&gt;"""", INDEX(rowData,1,2)=BD349),1,0) +
        IF(AND(BE349"&amp;"&lt;&gt;"""", INDEX(rowData,1,3)=BE349),1,0) +
        IF(AND(BF349&lt;&gt;"""", INDEX(rowData,1,4)=BF349),1,0) +
        IF(AND(BG349&lt;&gt;"""", INDEX(rowData,1,5)=BG349),1,0) +
        IF(AND(BH349&lt;&gt;"""", INDEX(rowData,1,6)=BH349),1,0) +
        IF(AND(BI349&lt;&gt;"""", IND"&amp;"EX(rowData,1,7)=BI349),1,0) +
        IF(AND(BJ349&lt;&gt;"""", INDEX(rowData,1,8)=BJ349),1,0)
      ) - COUNTIF(BC349:BJ349, ""-"")
        - COUNTIF(BC349:BJ349, ""固定格式，不需提供資訊"")
        - COUNTIF(BC349:BJ349, ""由MKT更新，此欄位固定格式，不需提供資訊
(Voucher CID：12917705872)"&amp;""")
        - COUNTIF(BC349:BJ349, ""text固定為以下：
※直播間僅支援手機版"")
        - COUNTIF(BC349:BJ349, ""text固定為以下：
※短影音僅支援手機版"")
    )
  ), 
  0
)
"),0)</f>
        <v>0</v>
      </c>
      <c r="BM349" s="77" t="b">
        <v>0</v>
      </c>
      <c r="BN349" s="85"/>
      <c r="BO349" s="85"/>
    </row>
    <row r="350" spans="1:67" ht="30" customHeight="1">
      <c r="A350" s="73" t="str">
        <f t="array" aca="1" ref="A350" ca="1">IFERROR(TRANSPOSE(INDIRECT('MS section版配(Old)'!$AO350)),"")</f>
        <v/>
      </c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8"/>
      <c r="P350" s="88"/>
      <c r="Q350" s="88"/>
      <c r="R350" s="88"/>
      <c r="S350" s="88"/>
      <c r="T350" s="88"/>
      <c r="U350" s="88"/>
      <c r="V350" s="88"/>
      <c r="W350" s="88"/>
      <c r="X350" s="88"/>
      <c r="Y350" s="88"/>
      <c r="Z350" s="88"/>
      <c r="AA350" s="88"/>
      <c r="AB350" s="88"/>
      <c r="AC350" s="88"/>
      <c r="AD350" s="88"/>
      <c r="AE350" s="397" t="str">
        <f>IFERROR(VLOOKUP($AQ350,'(勿動)組件目錄表'!$D$15:$R$1094,4,FALSE),"")</f>
        <v/>
      </c>
      <c r="AF350" s="384"/>
      <c r="AG350" s="384"/>
      <c r="AH350" s="384"/>
      <c r="AI350" s="384"/>
      <c r="AJ350" s="385"/>
      <c r="AK350" s="54" t="b">
        <v>0</v>
      </c>
      <c r="AL350" s="54" t="b">
        <v>0</v>
      </c>
      <c r="AM350" s="54"/>
      <c r="AN350" s="7" t="str">
        <v>342</v>
      </c>
      <c r="AO350" s="7"/>
      <c r="AP350" s="62"/>
      <c r="AQ350" s="75" t="str">
        <v/>
      </c>
      <c r="AR350" s="75" t="str">
        <v>-</v>
      </c>
      <c r="AS350" s="11"/>
      <c r="AT350" s="77" t="str">
        <v>-</v>
      </c>
      <c r="AU350" s="11" t="str">
        <v>-</v>
      </c>
      <c r="AV350" s="100"/>
      <c r="AW350" s="80" t="str">
        <f ca="1"/>
        <v>-</v>
      </c>
      <c r="AX350" s="80" t="b">
        <v>0</v>
      </c>
      <c r="AY350" s="68" t="str">
        <f t="shared" si="4"/>
        <v/>
      </c>
      <c r="AZ350" s="69" t="str">
        <f t="shared" si="5"/>
        <v/>
      </c>
      <c r="BA350" s="70" t="str">
        <f t="shared" si="6"/>
        <v/>
      </c>
      <c r="BB350" s="68" t="str">
        <f t="shared" si="7"/>
        <v/>
      </c>
      <c r="BC350" s="69" t="str">
        <f>IFERROR(VLOOKUP($AQ350,'(勿動)組件目錄表'!$D$15:$R$1094,7,FALSE),"")</f>
        <v/>
      </c>
      <c r="BD350" s="69" t="str">
        <f>IFERROR(VLOOKUP($AQ350,'(勿動)組件目錄表'!$D$15:$R$1094,8,FALSE),"")</f>
        <v/>
      </c>
      <c r="BE350" s="69" t="str">
        <f>IFERROR(VLOOKUP($AQ350,'(勿動)組件目錄表'!$D$15:$R$1094,9,FALSE),"")</f>
        <v/>
      </c>
      <c r="BF350" s="69" t="str">
        <f>IFERROR(VLOOKUP($AQ350,'(勿動)組件目錄表'!$D$15:$R$1094,10,FALSE),"")</f>
        <v/>
      </c>
      <c r="BG350" s="69" t="str">
        <f>IFERROR(VLOOKUP($AQ350,'(勿動)組件目錄表'!$D$15:$R$1094,11,FALSE),"")</f>
        <v/>
      </c>
      <c r="BH350" s="69" t="str">
        <f>IFERROR(VLOOKUP($AQ350,'(勿動)組件目錄表'!$D$15:$R$1094,12,FALSE),"")</f>
        <v/>
      </c>
      <c r="BI350" s="69" t="str">
        <f>IFERROR(VLOOKUP($AQ350,'(勿動)組件目錄表'!$D$15:$R$1094,13,FALSE),"")</f>
        <v/>
      </c>
      <c r="BJ350" s="69" t="str">
        <f>IFERROR(VLOOKUP($AQ350,'(勿動)組件目錄表'!$D$15:$R$1094,14,FALSE),"")</f>
        <v/>
      </c>
      <c r="BK350" s="69" t="str">
        <f>IFERROR(VLOOKUP($AQ350,'(勿動)組件目錄表'!$D$15:$R$1094,15,FALSE),"")</f>
        <v/>
      </c>
      <c r="BL350" s="81">
        <f ca="1">IFERROR(__xludf.DUMMYFUNCTION("IFERROR(
  LET(
    rowData, FILTER('(勿動)組件目錄表'!J:Q, '(勿動)組件目錄表'!D:D=AQ350),
    IF(ROWS(rowData)=0, 0, 
      (
        IF(AND(BC350&lt;&gt;"""", INDEX(rowData,1,1)=BC350),1,0) +
        IF(AND(BD350&lt;&gt;"""", INDEX(rowData,1,2)=BD350),1,0) +
        IF(AND(BE350"&amp;"&lt;&gt;"""", INDEX(rowData,1,3)=BE350),1,0) +
        IF(AND(BF350&lt;&gt;"""", INDEX(rowData,1,4)=BF350),1,0) +
        IF(AND(BG350&lt;&gt;"""", INDEX(rowData,1,5)=BG350),1,0) +
        IF(AND(BH350&lt;&gt;"""", INDEX(rowData,1,6)=BH350),1,0) +
        IF(AND(BI350&lt;&gt;"""", IND"&amp;"EX(rowData,1,7)=BI350),1,0) +
        IF(AND(BJ350&lt;&gt;"""", INDEX(rowData,1,8)=BJ350),1,0)
      ) - COUNTIF(BC350:BJ350, ""-"")
        - COUNTIF(BC350:BJ350, ""固定格式，不需提供資訊"")
        - COUNTIF(BC350:BJ350, ""由MKT更新，此欄位固定格式，不需提供資訊
(Voucher CID：12917705872)"&amp;""")
        - COUNTIF(BC350:BJ350, ""text固定為以下：
※直播間僅支援手機版"")
        - COUNTIF(BC350:BJ350, ""text固定為以下：
※短影音僅支援手機版"")
    )
  ), 
  0
)
"),0)</f>
        <v>0</v>
      </c>
      <c r="BM350" s="77" t="b">
        <v>0</v>
      </c>
      <c r="BN350" s="85"/>
      <c r="BO350" s="85"/>
    </row>
    <row r="351" spans="1:67" ht="30" customHeight="1">
      <c r="A351" s="73" t="str">
        <f t="array" aca="1" ref="A351" ca="1">IFERROR(TRANSPOSE(INDIRECT('MS section版配(Old)'!$AO351)),"")</f>
        <v/>
      </c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8"/>
      <c r="P351" s="88"/>
      <c r="Q351" s="88"/>
      <c r="R351" s="88"/>
      <c r="S351" s="88"/>
      <c r="T351" s="88"/>
      <c r="U351" s="88"/>
      <c r="V351" s="88"/>
      <c r="W351" s="88"/>
      <c r="X351" s="88"/>
      <c r="Y351" s="88"/>
      <c r="Z351" s="88"/>
      <c r="AA351" s="88"/>
      <c r="AB351" s="88"/>
      <c r="AC351" s="88"/>
      <c r="AD351" s="88"/>
      <c r="AE351" s="397" t="str">
        <f>IFERROR(VLOOKUP($AQ351,'(勿動)組件目錄表'!$D$15:$R$1094,4,FALSE),"")</f>
        <v/>
      </c>
      <c r="AF351" s="384"/>
      <c r="AG351" s="384"/>
      <c r="AH351" s="384"/>
      <c r="AI351" s="384"/>
      <c r="AJ351" s="385"/>
      <c r="AK351" s="54" t="b">
        <v>0</v>
      </c>
      <c r="AL351" s="54" t="b">
        <v>0</v>
      </c>
      <c r="AM351" s="54"/>
      <c r="AN351" s="7" t="str">
        <v>343</v>
      </c>
      <c r="AO351" s="7"/>
      <c r="AP351" s="62"/>
      <c r="AQ351" s="75" t="str">
        <v/>
      </c>
      <c r="AR351" s="75" t="str">
        <v>-</v>
      </c>
      <c r="AS351" s="11"/>
      <c r="AT351" s="77" t="str">
        <v>-</v>
      </c>
      <c r="AU351" s="11" t="str">
        <v>-</v>
      </c>
      <c r="AV351" s="100"/>
      <c r="AW351" s="80" t="str">
        <f ca="1"/>
        <v>-</v>
      </c>
      <c r="AX351" s="80" t="b">
        <v>0</v>
      </c>
      <c r="AY351" s="68" t="str">
        <f t="shared" si="4"/>
        <v/>
      </c>
      <c r="AZ351" s="69" t="str">
        <f t="shared" si="5"/>
        <v/>
      </c>
      <c r="BA351" s="70" t="str">
        <f t="shared" si="6"/>
        <v/>
      </c>
      <c r="BB351" s="68" t="str">
        <f t="shared" si="7"/>
        <v/>
      </c>
      <c r="BC351" s="69" t="str">
        <f>IFERROR(VLOOKUP($AQ351,'(勿動)組件目錄表'!$D$15:$R$1094,7,FALSE),"")</f>
        <v/>
      </c>
      <c r="BD351" s="69" t="str">
        <f>IFERROR(VLOOKUP($AQ351,'(勿動)組件目錄表'!$D$15:$R$1094,8,FALSE),"")</f>
        <v/>
      </c>
      <c r="BE351" s="69" t="str">
        <f>IFERROR(VLOOKUP($AQ351,'(勿動)組件目錄表'!$D$15:$R$1094,9,FALSE),"")</f>
        <v/>
      </c>
      <c r="BF351" s="69" t="str">
        <f>IFERROR(VLOOKUP($AQ351,'(勿動)組件目錄表'!$D$15:$R$1094,10,FALSE),"")</f>
        <v/>
      </c>
      <c r="BG351" s="69" t="str">
        <f>IFERROR(VLOOKUP($AQ351,'(勿動)組件目錄表'!$D$15:$R$1094,11,FALSE),"")</f>
        <v/>
      </c>
      <c r="BH351" s="69" t="str">
        <f>IFERROR(VLOOKUP($AQ351,'(勿動)組件目錄表'!$D$15:$R$1094,12,FALSE),"")</f>
        <v/>
      </c>
      <c r="BI351" s="69" t="str">
        <f>IFERROR(VLOOKUP($AQ351,'(勿動)組件目錄表'!$D$15:$R$1094,13,FALSE),"")</f>
        <v/>
      </c>
      <c r="BJ351" s="69" t="str">
        <f>IFERROR(VLOOKUP($AQ351,'(勿動)組件目錄表'!$D$15:$R$1094,14,FALSE),"")</f>
        <v/>
      </c>
      <c r="BK351" s="69" t="str">
        <f>IFERROR(VLOOKUP($AQ351,'(勿動)組件目錄表'!$D$15:$R$1094,15,FALSE),"")</f>
        <v/>
      </c>
      <c r="BL351" s="81">
        <f ca="1">IFERROR(__xludf.DUMMYFUNCTION("IFERROR(
  LET(
    rowData, FILTER('(勿動)組件目錄表'!J:Q, '(勿動)組件目錄表'!D:D=AQ351),
    IF(ROWS(rowData)=0, 0, 
      (
        IF(AND(BC351&lt;&gt;"""", INDEX(rowData,1,1)=BC351),1,0) +
        IF(AND(BD351&lt;&gt;"""", INDEX(rowData,1,2)=BD351),1,0) +
        IF(AND(BE351"&amp;"&lt;&gt;"""", INDEX(rowData,1,3)=BE351),1,0) +
        IF(AND(BF351&lt;&gt;"""", INDEX(rowData,1,4)=BF351),1,0) +
        IF(AND(BG351&lt;&gt;"""", INDEX(rowData,1,5)=BG351),1,0) +
        IF(AND(BH351&lt;&gt;"""", INDEX(rowData,1,6)=BH351),1,0) +
        IF(AND(BI351&lt;&gt;"""", IND"&amp;"EX(rowData,1,7)=BI351),1,0) +
        IF(AND(BJ351&lt;&gt;"""", INDEX(rowData,1,8)=BJ351),1,0)
      ) - COUNTIF(BC351:BJ351, ""-"")
        - COUNTIF(BC351:BJ351, ""固定格式，不需提供資訊"")
        - COUNTIF(BC351:BJ351, ""由MKT更新，此欄位固定格式，不需提供資訊
(Voucher CID：12917705872)"&amp;""")
        - COUNTIF(BC351:BJ351, ""text固定為以下：
※直播間僅支援手機版"")
        - COUNTIF(BC351:BJ351, ""text固定為以下：
※短影音僅支援手機版"")
    )
  ), 
  0
)
"),0)</f>
        <v>0</v>
      </c>
      <c r="BM351" s="77" t="b">
        <v>0</v>
      </c>
      <c r="BN351" s="85"/>
      <c r="BO351" s="85"/>
    </row>
    <row r="352" spans="1:67" ht="30" customHeight="1">
      <c r="A352" s="73" t="str">
        <f t="array" aca="1" ref="A352" ca="1">IFERROR(TRANSPOSE(INDIRECT('MS section版配(Old)'!$AO352)),"")</f>
        <v/>
      </c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8"/>
      <c r="P352" s="88"/>
      <c r="Q352" s="88"/>
      <c r="R352" s="88"/>
      <c r="S352" s="88"/>
      <c r="T352" s="88"/>
      <c r="U352" s="88"/>
      <c r="V352" s="88"/>
      <c r="W352" s="88"/>
      <c r="X352" s="88"/>
      <c r="Y352" s="88"/>
      <c r="Z352" s="88"/>
      <c r="AA352" s="88"/>
      <c r="AB352" s="88"/>
      <c r="AC352" s="88"/>
      <c r="AD352" s="88"/>
      <c r="AE352" s="397" t="str">
        <f>IFERROR(VLOOKUP($AQ352,'(勿動)組件目錄表'!$D$15:$R$1094,4,FALSE),"")</f>
        <v/>
      </c>
      <c r="AF352" s="384"/>
      <c r="AG352" s="384"/>
      <c r="AH352" s="384"/>
      <c r="AI352" s="384"/>
      <c r="AJ352" s="385"/>
      <c r="AK352" s="54" t="b">
        <v>0</v>
      </c>
      <c r="AL352" s="54" t="b">
        <v>0</v>
      </c>
      <c r="AM352" s="54"/>
      <c r="AN352" s="7" t="str">
        <v>344</v>
      </c>
      <c r="AO352" s="7"/>
      <c r="AP352" s="62"/>
      <c r="AQ352" s="75" t="str">
        <v/>
      </c>
      <c r="AR352" s="75" t="str">
        <v>-</v>
      </c>
      <c r="AS352" s="11"/>
      <c r="AT352" s="77" t="str">
        <v>-</v>
      </c>
      <c r="AU352" s="11" t="str">
        <v>-</v>
      </c>
      <c r="AV352" s="100"/>
      <c r="AW352" s="80" t="str">
        <f ca="1"/>
        <v>-</v>
      </c>
      <c r="AX352" s="80" t="b">
        <v>0</v>
      </c>
      <c r="AY352" s="68" t="str">
        <f t="shared" si="4"/>
        <v/>
      </c>
      <c r="AZ352" s="69" t="str">
        <f t="shared" si="5"/>
        <v/>
      </c>
      <c r="BA352" s="70" t="str">
        <f t="shared" si="6"/>
        <v/>
      </c>
      <c r="BB352" s="68" t="str">
        <f t="shared" si="7"/>
        <v/>
      </c>
      <c r="BC352" s="69" t="str">
        <f>IFERROR(VLOOKUP($AQ352,'(勿動)組件目錄表'!$D$15:$R$1094,7,FALSE),"")</f>
        <v/>
      </c>
      <c r="BD352" s="69" t="str">
        <f>IFERROR(VLOOKUP($AQ352,'(勿動)組件目錄表'!$D$15:$R$1094,8,FALSE),"")</f>
        <v/>
      </c>
      <c r="BE352" s="69" t="str">
        <f>IFERROR(VLOOKUP($AQ352,'(勿動)組件目錄表'!$D$15:$R$1094,9,FALSE),"")</f>
        <v/>
      </c>
      <c r="BF352" s="69" t="str">
        <f>IFERROR(VLOOKUP($AQ352,'(勿動)組件目錄表'!$D$15:$R$1094,10,FALSE),"")</f>
        <v/>
      </c>
      <c r="BG352" s="69" t="str">
        <f>IFERROR(VLOOKUP($AQ352,'(勿動)組件目錄表'!$D$15:$R$1094,11,FALSE),"")</f>
        <v/>
      </c>
      <c r="BH352" s="69" t="str">
        <f>IFERROR(VLOOKUP($AQ352,'(勿動)組件目錄表'!$D$15:$R$1094,12,FALSE),"")</f>
        <v/>
      </c>
      <c r="BI352" s="69" t="str">
        <f>IFERROR(VLOOKUP($AQ352,'(勿動)組件目錄表'!$D$15:$R$1094,13,FALSE),"")</f>
        <v/>
      </c>
      <c r="BJ352" s="69" t="str">
        <f>IFERROR(VLOOKUP($AQ352,'(勿動)組件目錄表'!$D$15:$R$1094,14,FALSE),"")</f>
        <v/>
      </c>
      <c r="BK352" s="69" t="str">
        <f>IFERROR(VLOOKUP($AQ352,'(勿動)組件目錄表'!$D$15:$R$1094,15,FALSE),"")</f>
        <v/>
      </c>
      <c r="BL352" s="81">
        <f ca="1">IFERROR(__xludf.DUMMYFUNCTION("IFERROR(
  LET(
    rowData, FILTER('(勿動)組件目錄表'!J:Q, '(勿動)組件目錄表'!D:D=AQ352),
    IF(ROWS(rowData)=0, 0, 
      (
        IF(AND(BC352&lt;&gt;"""", INDEX(rowData,1,1)=BC352),1,0) +
        IF(AND(BD352&lt;&gt;"""", INDEX(rowData,1,2)=BD352),1,0) +
        IF(AND(BE352"&amp;"&lt;&gt;"""", INDEX(rowData,1,3)=BE352),1,0) +
        IF(AND(BF352&lt;&gt;"""", INDEX(rowData,1,4)=BF352),1,0) +
        IF(AND(BG352&lt;&gt;"""", INDEX(rowData,1,5)=BG352),1,0) +
        IF(AND(BH352&lt;&gt;"""", INDEX(rowData,1,6)=BH352),1,0) +
        IF(AND(BI352&lt;&gt;"""", IND"&amp;"EX(rowData,1,7)=BI352),1,0) +
        IF(AND(BJ352&lt;&gt;"""", INDEX(rowData,1,8)=BJ352),1,0)
      ) - COUNTIF(BC352:BJ352, ""-"")
        - COUNTIF(BC352:BJ352, ""固定格式，不需提供資訊"")
        - COUNTIF(BC352:BJ352, ""由MKT更新，此欄位固定格式，不需提供資訊
(Voucher CID：12917705872)"&amp;""")
        - COUNTIF(BC352:BJ352, ""text固定為以下：
※直播間僅支援手機版"")
        - COUNTIF(BC352:BJ352, ""text固定為以下：
※短影音僅支援手機版"")
    )
  ), 
  0
)
"),0)</f>
        <v>0</v>
      </c>
      <c r="BM352" s="77" t="b">
        <v>0</v>
      </c>
      <c r="BN352" s="85"/>
      <c r="BO352" s="85"/>
    </row>
    <row r="353" spans="1:67" ht="30" customHeight="1">
      <c r="A353" s="73" t="str">
        <f t="array" aca="1" ref="A353" ca="1">IFERROR(TRANSPOSE(INDIRECT('MS section版配(Old)'!$AO353)),"")</f>
        <v/>
      </c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8"/>
      <c r="P353" s="88"/>
      <c r="Q353" s="88"/>
      <c r="R353" s="88"/>
      <c r="S353" s="88"/>
      <c r="T353" s="88"/>
      <c r="U353" s="88"/>
      <c r="V353" s="88"/>
      <c r="W353" s="88"/>
      <c r="X353" s="88"/>
      <c r="Y353" s="88"/>
      <c r="Z353" s="88"/>
      <c r="AA353" s="88"/>
      <c r="AB353" s="88"/>
      <c r="AC353" s="88"/>
      <c r="AD353" s="88"/>
      <c r="AE353" s="397" t="str">
        <f>IFERROR(VLOOKUP($AQ353,'(勿動)組件目錄表'!$D$15:$R$1094,4,FALSE),"")</f>
        <v/>
      </c>
      <c r="AF353" s="384"/>
      <c r="AG353" s="384"/>
      <c r="AH353" s="384"/>
      <c r="AI353" s="384"/>
      <c r="AJ353" s="385"/>
      <c r="AK353" s="54" t="b">
        <v>0</v>
      </c>
      <c r="AL353" s="54" t="b">
        <v>0</v>
      </c>
      <c r="AM353" s="54"/>
      <c r="AN353" s="7" t="str">
        <v>345</v>
      </c>
      <c r="AO353" s="7"/>
      <c r="AP353" s="62"/>
      <c r="AQ353" s="75" t="str">
        <v/>
      </c>
      <c r="AR353" s="75" t="str">
        <v>-</v>
      </c>
      <c r="AS353" s="11"/>
      <c r="AT353" s="77" t="str">
        <v>-</v>
      </c>
      <c r="AU353" s="11" t="str">
        <v>-</v>
      </c>
      <c r="AV353" s="100"/>
      <c r="AW353" s="80" t="str">
        <f ca="1"/>
        <v>-</v>
      </c>
      <c r="AX353" s="80" t="b">
        <v>0</v>
      </c>
      <c r="AY353" s="68" t="str">
        <f t="shared" si="4"/>
        <v/>
      </c>
      <c r="AZ353" s="69" t="str">
        <f t="shared" si="5"/>
        <v/>
      </c>
      <c r="BA353" s="70" t="str">
        <f t="shared" si="6"/>
        <v/>
      </c>
      <c r="BB353" s="68" t="str">
        <f t="shared" si="7"/>
        <v/>
      </c>
      <c r="BC353" s="69" t="str">
        <f>IFERROR(VLOOKUP($AQ353,'(勿動)組件目錄表'!$D$15:$R$1094,7,FALSE),"")</f>
        <v/>
      </c>
      <c r="BD353" s="69" t="str">
        <f>IFERROR(VLOOKUP($AQ353,'(勿動)組件目錄表'!$D$15:$R$1094,8,FALSE),"")</f>
        <v/>
      </c>
      <c r="BE353" s="69" t="str">
        <f>IFERROR(VLOOKUP($AQ353,'(勿動)組件目錄表'!$D$15:$R$1094,9,FALSE),"")</f>
        <v/>
      </c>
      <c r="BF353" s="69" t="str">
        <f>IFERROR(VLOOKUP($AQ353,'(勿動)組件目錄表'!$D$15:$R$1094,10,FALSE),"")</f>
        <v/>
      </c>
      <c r="BG353" s="69" t="str">
        <f>IFERROR(VLOOKUP($AQ353,'(勿動)組件目錄表'!$D$15:$R$1094,11,FALSE),"")</f>
        <v/>
      </c>
      <c r="BH353" s="69" t="str">
        <f>IFERROR(VLOOKUP($AQ353,'(勿動)組件目錄表'!$D$15:$R$1094,12,FALSE),"")</f>
        <v/>
      </c>
      <c r="BI353" s="69" t="str">
        <f>IFERROR(VLOOKUP($AQ353,'(勿動)組件目錄表'!$D$15:$R$1094,13,FALSE),"")</f>
        <v/>
      </c>
      <c r="BJ353" s="69" t="str">
        <f>IFERROR(VLOOKUP($AQ353,'(勿動)組件目錄表'!$D$15:$R$1094,14,FALSE),"")</f>
        <v/>
      </c>
      <c r="BK353" s="69" t="str">
        <f>IFERROR(VLOOKUP($AQ353,'(勿動)組件目錄表'!$D$15:$R$1094,15,FALSE),"")</f>
        <v/>
      </c>
      <c r="BL353" s="81">
        <f ca="1">IFERROR(__xludf.DUMMYFUNCTION("IFERROR(
  LET(
    rowData, FILTER('(勿動)組件目錄表'!J:Q, '(勿動)組件目錄表'!D:D=AQ353),
    IF(ROWS(rowData)=0, 0, 
      (
        IF(AND(BC353&lt;&gt;"""", INDEX(rowData,1,1)=BC353),1,0) +
        IF(AND(BD353&lt;&gt;"""", INDEX(rowData,1,2)=BD353),1,0) +
        IF(AND(BE353"&amp;"&lt;&gt;"""", INDEX(rowData,1,3)=BE353),1,0) +
        IF(AND(BF353&lt;&gt;"""", INDEX(rowData,1,4)=BF353),1,0) +
        IF(AND(BG353&lt;&gt;"""", INDEX(rowData,1,5)=BG353),1,0) +
        IF(AND(BH353&lt;&gt;"""", INDEX(rowData,1,6)=BH353),1,0) +
        IF(AND(BI353&lt;&gt;"""", IND"&amp;"EX(rowData,1,7)=BI353),1,0) +
        IF(AND(BJ353&lt;&gt;"""", INDEX(rowData,1,8)=BJ353),1,0)
      ) - COUNTIF(BC353:BJ353, ""-"")
        - COUNTIF(BC353:BJ353, ""固定格式，不需提供資訊"")
        - COUNTIF(BC353:BJ353, ""由MKT更新，此欄位固定格式，不需提供資訊
(Voucher CID：12917705872)"&amp;""")
        - COUNTIF(BC353:BJ353, ""text固定為以下：
※直播間僅支援手機版"")
        - COUNTIF(BC353:BJ353, ""text固定為以下：
※短影音僅支援手機版"")
    )
  ), 
  0
)
"),0)</f>
        <v>0</v>
      </c>
      <c r="BM353" s="77" t="b">
        <v>0</v>
      </c>
      <c r="BN353" s="85"/>
      <c r="BO353" s="85"/>
    </row>
    <row r="354" spans="1:67" ht="30" customHeight="1">
      <c r="A354" s="73" t="str">
        <f t="array" aca="1" ref="A354" ca="1">IFERROR(TRANSPOSE(INDIRECT('MS section版配(Old)'!$AO354)),"")</f>
        <v/>
      </c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8"/>
      <c r="P354" s="88"/>
      <c r="Q354" s="88"/>
      <c r="R354" s="88"/>
      <c r="S354" s="88"/>
      <c r="T354" s="88"/>
      <c r="U354" s="88"/>
      <c r="V354" s="88"/>
      <c r="W354" s="88"/>
      <c r="X354" s="88"/>
      <c r="Y354" s="88"/>
      <c r="Z354" s="88"/>
      <c r="AA354" s="88"/>
      <c r="AB354" s="88"/>
      <c r="AC354" s="88"/>
      <c r="AD354" s="88"/>
      <c r="AE354" s="397" t="str">
        <f>IFERROR(VLOOKUP($AQ354,'(勿動)組件目錄表'!$D$15:$R$1094,4,FALSE),"")</f>
        <v/>
      </c>
      <c r="AF354" s="384"/>
      <c r="AG354" s="384"/>
      <c r="AH354" s="384"/>
      <c r="AI354" s="384"/>
      <c r="AJ354" s="385"/>
      <c r="AK354" s="54" t="b">
        <v>0</v>
      </c>
      <c r="AL354" s="54" t="b">
        <v>0</v>
      </c>
      <c r="AM354" s="54"/>
      <c r="AN354" s="7" t="str">
        <v>346</v>
      </c>
      <c r="AO354" s="7"/>
      <c r="AP354" s="62"/>
      <c r="AQ354" s="75" t="str">
        <v/>
      </c>
      <c r="AR354" s="75" t="str">
        <v>-</v>
      </c>
      <c r="AS354" s="11"/>
      <c r="AT354" s="77" t="str">
        <v>-</v>
      </c>
      <c r="AU354" s="11" t="str">
        <v>-</v>
      </c>
      <c r="AV354" s="100"/>
      <c r="AW354" s="80" t="str">
        <f ca="1"/>
        <v>-</v>
      </c>
      <c r="AX354" s="80" t="b">
        <v>0</v>
      </c>
      <c r="AY354" s="68" t="str">
        <f t="shared" si="4"/>
        <v/>
      </c>
      <c r="AZ354" s="69" t="str">
        <f t="shared" si="5"/>
        <v/>
      </c>
      <c r="BA354" s="70" t="str">
        <f t="shared" si="6"/>
        <v/>
      </c>
      <c r="BB354" s="68" t="str">
        <f t="shared" si="7"/>
        <v/>
      </c>
      <c r="BC354" s="69" t="str">
        <f>IFERROR(VLOOKUP($AQ354,'(勿動)組件目錄表'!$D$15:$R$1094,7,FALSE),"")</f>
        <v/>
      </c>
      <c r="BD354" s="69" t="str">
        <f>IFERROR(VLOOKUP($AQ354,'(勿動)組件目錄表'!$D$15:$R$1094,8,FALSE),"")</f>
        <v/>
      </c>
      <c r="BE354" s="69" t="str">
        <f>IFERROR(VLOOKUP($AQ354,'(勿動)組件目錄表'!$D$15:$R$1094,9,FALSE),"")</f>
        <v/>
      </c>
      <c r="BF354" s="69" t="str">
        <f>IFERROR(VLOOKUP($AQ354,'(勿動)組件目錄表'!$D$15:$R$1094,10,FALSE),"")</f>
        <v/>
      </c>
      <c r="BG354" s="69" t="str">
        <f>IFERROR(VLOOKUP($AQ354,'(勿動)組件目錄表'!$D$15:$R$1094,11,FALSE),"")</f>
        <v/>
      </c>
      <c r="BH354" s="69" t="str">
        <f>IFERROR(VLOOKUP($AQ354,'(勿動)組件目錄表'!$D$15:$R$1094,12,FALSE),"")</f>
        <v/>
      </c>
      <c r="BI354" s="69" t="str">
        <f>IFERROR(VLOOKUP($AQ354,'(勿動)組件目錄表'!$D$15:$R$1094,13,FALSE),"")</f>
        <v/>
      </c>
      <c r="BJ354" s="69" t="str">
        <f>IFERROR(VLOOKUP($AQ354,'(勿動)組件目錄表'!$D$15:$R$1094,14,FALSE),"")</f>
        <v/>
      </c>
      <c r="BK354" s="69" t="str">
        <f>IFERROR(VLOOKUP($AQ354,'(勿動)組件目錄表'!$D$15:$R$1094,15,FALSE),"")</f>
        <v/>
      </c>
      <c r="BL354" s="81">
        <f ca="1">IFERROR(__xludf.DUMMYFUNCTION("IFERROR(
  LET(
    rowData, FILTER('(勿動)組件目錄表'!J:Q, '(勿動)組件目錄表'!D:D=AQ354),
    IF(ROWS(rowData)=0, 0, 
      (
        IF(AND(BC354&lt;&gt;"""", INDEX(rowData,1,1)=BC354),1,0) +
        IF(AND(BD354&lt;&gt;"""", INDEX(rowData,1,2)=BD354),1,0) +
        IF(AND(BE354"&amp;"&lt;&gt;"""", INDEX(rowData,1,3)=BE354),1,0) +
        IF(AND(BF354&lt;&gt;"""", INDEX(rowData,1,4)=BF354),1,0) +
        IF(AND(BG354&lt;&gt;"""", INDEX(rowData,1,5)=BG354),1,0) +
        IF(AND(BH354&lt;&gt;"""", INDEX(rowData,1,6)=BH354),1,0) +
        IF(AND(BI354&lt;&gt;"""", IND"&amp;"EX(rowData,1,7)=BI354),1,0) +
        IF(AND(BJ354&lt;&gt;"""", INDEX(rowData,1,8)=BJ354),1,0)
      ) - COUNTIF(BC354:BJ354, ""-"")
        - COUNTIF(BC354:BJ354, ""固定格式，不需提供資訊"")
        - COUNTIF(BC354:BJ354, ""由MKT更新，此欄位固定格式，不需提供資訊
(Voucher CID：12917705872)"&amp;""")
        - COUNTIF(BC354:BJ354, ""text固定為以下：
※直播間僅支援手機版"")
        - COUNTIF(BC354:BJ354, ""text固定為以下：
※短影音僅支援手機版"")
    )
  ), 
  0
)
"),0)</f>
        <v>0</v>
      </c>
      <c r="BM354" s="77" t="b">
        <v>0</v>
      </c>
      <c r="BN354" s="85"/>
      <c r="BO354" s="85"/>
    </row>
    <row r="355" spans="1:67" ht="30" customHeight="1">
      <c r="A355" s="73" t="str">
        <f t="array" aca="1" ref="A355" ca="1">IFERROR(TRANSPOSE(INDIRECT('MS section版配(Old)'!$AO355)),"")</f>
        <v/>
      </c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8"/>
      <c r="P355" s="88"/>
      <c r="Q355" s="88"/>
      <c r="R355" s="88"/>
      <c r="S355" s="88"/>
      <c r="T355" s="88"/>
      <c r="U355" s="88"/>
      <c r="V355" s="88"/>
      <c r="W355" s="88"/>
      <c r="X355" s="88"/>
      <c r="Y355" s="88"/>
      <c r="Z355" s="88"/>
      <c r="AA355" s="88"/>
      <c r="AB355" s="88"/>
      <c r="AC355" s="88"/>
      <c r="AD355" s="88"/>
      <c r="AE355" s="397" t="str">
        <f>IFERROR(VLOOKUP($AQ355,'(勿動)組件目錄表'!$D$15:$R$1094,4,FALSE),"")</f>
        <v/>
      </c>
      <c r="AF355" s="384"/>
      <c r="AG355" s="384"/>
      <c r="AH355" s="384"/>
      <c r="AI355" s="384"/>
      <c r="AJ355" s="385"/>
      <c r="AK355" s="54" t="b">
        <v>0</v>
      </c>
      <c r="AL355" s="54" t="b">
        <v>0</v>
      </c>
      <c r="AM355" s="54"/>
      <c r="AN355" s="7" t="str">
        <v>347</v>
      </c>
      <c r="AO355" s="7"/>
      <c r="AP355" s="62"/>
      <c r="AQ355" s="75" t="str">
        <v/>
      </c>
      <c r="AR355" s="75" t="str">
        <v>-</v>
      </c>
      <c r="AS355" s="11"/>
      <c r="AT355" s="77" t="str">
        <v>-</v>
      </c>
      <c r="AU355" s="11" t="str">
        <v>-</v>
      </c>
      <c r="AV355" s="100"/>
      <c r="AW355" s="80" t="str">
        <f ca="1"/>
        <v>-</v>
      </c>
      <c r="AX355" s="80" t="b">
        <v>0</v>
      </c>
      <c r="AY355" s="68" t="str">
        <f t="shared" si="4"/>
        <v/>
      </c>
      <c r="AZ355" s="69" t="str">
        <f t="shared" si="5"/>
        <v/>
      </c>
      <c r="BA355" s="70" t="str">
        <f t="shared" si="6"/>
        <v/>
      </c>
      <c r="BB355" s="68" t="str">
        <f t="shared" si="7"/>
        <v/>
      </c>
      <c r="BC355" s="69" t="str">
        <f>IFERROR(VLOOKUP($AQ355,'(勿動)組件目錄表'!$D$15:$R$1094,7,FALSE),"")</f>
        <v/>
      </c>
      <c r="BD355" s="69" t="str">
        <f>IFERROR(VLOOKUP($AQ355,'(勿動)組件目錄表'!$D$15:$R$1094,8,FALSE),"")</f>
        <v/>
      </c>
      <c r="BE355" s="69" t="str">
        <f>IFERROR(VLOOKUP($AQ355,'(勿動)組件目錄表'!$D$15:$R$1094,9,FALSE),"")</f>
        <v/>
      </c>
      <c r="BF355" s="69" t="str">
        <f>IFERROR(VLOOKUP($AQ355,'(勿動)組件目錄表'!$D$15:$R$1094,10,FALSE),"")</f>
        <v/>
      </c>
      <c r="BG355" s="69" t="str">
        <f>IFERROR(VLOOKUP($AQ355,'(勿動)組件目錄表'!$D$15:$R$1094,11,FALSE),"")</f>
        <v/>
      </c>
      <c r="BH355" s="69" t="str">
        <f>IFERROR(VLOOKUP($AQ355,'(勿動)組件目錄表'!$D$15:$R$1094,12,FALSE),"")</f>
        <v/>
      </c>
      <c r="BI355" s="69" t="str">
        <f>IFERROR(VLOOKUP($AQ355,'(勿動)組件目錄表'!$D$15:$R$1094,13,FALSE),"")</f>
        <v/>
      </c>
      <c r="BJ355" s="69" t="str">
        <f>IFERROR(VLOOKUP($AQ355,'(勿動)組件目錄表'!$D$15:$R$1094,14,FALSE),"")</f>
        <v/>
      </c>
      <c r="BK355" s="69" t="str">
        <f>IFERROR(VLOOKUP($AQ355,'(勿動)組件目錄表'!$D$15:$R$1094,15,FALSE),"")</f>
        <v/>
      </c>
      <c r="BL355" s="81">
        <f ca="1">IFERROR(__xludf.DUMMYFUNCTION("IFERROR(
  LET(
    rowData, FILTER('(勿動)組件目錄表'!J:Q, '(勿動)組件目錄表'!D:D=AQ355),
    IF(ROWS(rowData)=0, 0, 
      (
        IF(AND(BC355&lt;&gt;"""", INDEX(rowData,1,1)=BC355),1,0) +
        IF(AND(BD355&lt;&gt;"""", INDEX(rowData,1,2)=BD355),1,0) +
        IF(AND(BE355"&amp;"&lt;&gt;"""", INDEX(rowData,1,3)=BE355),1,0) +
        IF(AND(BF355&lt;&gt;"""", INDEX(rowData,1,4)=BF355),1,0) +
        IF(AND(BG355&lt;&gt;"""", INDEX(rowData,1,5)=BG355),1,0) +
        IF(AND(BH355&lt;&gt;"""", INDEX(rowData,1,6)=BH355),1,0) +
        IF(AND(BI355&lt;&gt;"""", IND"&amp;"EX(rowData,1,7)=BI355),1,0) +
        IF(AND(BJ355&lt;&gt;"""", INDEX(rowData,1,8)=BJ355),1,0)
      ) - COUNTIF(BC355:BJ355, ""-"")
        - COUNTIF(BC355:BJ355, ""固定格式，不需提供資訊"")
        - COUNTIF(BC355:BJ355, ""由MKT更新，此欄位固定格式，不需提供資訊
(Voucher CID：12917705872)"&amp;""")
        - COUNTIF(BC355:BJ355, ""text固定為以下：
※直播間僅支援手機版"")
        - COUNTIF(BC355:BJ355, ""text固定為以下：
※短影音僅支援手機版"")
    )
  ), 
  0
)
"),0)</f>
        <v>0</v>
      </c>
      <c r="BM355" s="77" t="b">
        <v>0</v>
      </c>
      <c r="BN355" s="85"/>
      <c r="BO355" s="85"/>
    </row>
    <row r="356" spans="1:67" ht="30" customHeight="1">
      <c r="A356" s="73" t="str">
        <f t="array" aca="1" ref="A356" ca="1">IFERROR(TRANSPOSE(INDIRECT('MS section版配(Old)'!$AO356)),"")</f>
        <v/>
      </c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8"/>
      <c r="P356" s="88"/>
      <c r="Q356" s="88"/>
      <c r="R356" s="88"/>
      <c r="S356" s="88"/>
      <c r="T356" s="88"/>
      <c r="U356" s="88"/>
      <c r="V356" s="88"/>
      <c r="W356" s="88"/>
      <c r="X356" s="88"/>
      <c r="Y356" s="88"/>
      <c r="Z356" s="88"/>
      <c r="AA356" s="88"/>
      <c r="AB356" s="88"/>
      <c r="AC356" s="88"/>
      <c r="AD356" s="88"/>
      <c r="AE356" s="397" t="str">
        <f>IFERROR(VLOOKUP($AQ356,'(勿動)組件目錄表'!$D$15:$R$1094,4,FALSE),"")</f>
        <v/>
      </c>
      <c r="AF356" s="384"/>
      <c r="AG356" s="384"/>
      <c r="AH356" s="384"/>
      <c r="AI356" s="384"/>
      <c r="AJ356" s="385"/>
      <c r="AK356" s="54" t="b">
        <v>0</v>
      </c>
      <c r="AL356" s="54" t="b">
        <v>0</v>
      </c>
      <c r="AM356" s="54"/>
      <c r="AN356" s="7" t="str">
        <v>348</v>
      </c>
      <c r="AO356" s="7"/>
      <c r="AP356" s="62"/>
      <c r="AQ356" s="75" t="str">
        <v/>
      </c>
      <c r="AR356" s="75" t="str">
        <v>-</v>
      </c>
      <c r="AS356" s="11"/>
      <c r="AT356" s="77" t="str">
        <v>-</v>
      </c>
      <c r="AU356" s="11" t="str">
        <v>-</v>
      </c>
      <c r="AV356" s="100"/>
      <c r="AW356" s="80" t="str">
        <f ca="1"/>
        <v>-</v>
      </c>
      <c r="AX356" s="80" t="b">
        <v>0</v>
      </c>
      <c r="AY356" s="68" t="str">
        <f t="shared" si="4"/>
        <v/>
      </c>
      <c r="AZ356" s="69" t="str">
        <f t="shared" si="5"/>
        <v/>
      </c>
      <c r="BA356" s="70" t="str">
        <f t="shared" si="6"/>
        <v/>
      </c>
      <c r="BB356" s="68" t="str">
        <f t="shared" si="7"/>
        <v/>
      </c>
      <c r="BC356" s="69" t="str">
        <f>IFERROR(VLOOKUP($AQ356,'(勿動)組件目錄表'!$D$15:$R$1094,7,FALSE),"")</f>
        <v/>
      </c>
      <c r="BD356" s="69" t="str">
        <f>IFERROR(VLOOKUP($AQ356,'(勿動)組件目錄表'!$D$15:$R$1094,8,FALSE),"")</f>
        <v/>
      </c>
      <c r="BE356" s="69" t="str">
        <f>IFERROR(VLOOKUP($AQ356,'(勿動)組件目錄表'!$D$15:$R$1094,9,FALSE),"")</f>
        <v/>
      </c>
      <c r="BF356" s="69" t="str">
        <f>IFERROR(VLOOKUP($AQ356,'(勿動)組件目錄表'!$D$15:$R$1094,10,FALSE),"")</f>
        <v/>
      </c>
      <c r="BG356" s="69" t="str">
        <f>IFERROR(VLOOKUP($AQ356,'(勿動)組件目錄表'!$D$15:$R$1094,11,FALSE),"")</f>
        <v/>
      </c>
      <c r="BH356" s="69" t="str">
        <f>IFERROR(VLOOKUP($AQ356,'(勿動)組件目錄表'!$D$15:$R$1094,12,FALSE),"")</f>
        <v/>
      </c>
      <c r="BI356" s="69" t="str">
        <f>IFERROR(VLOOKUP($AQ356,'(勿動)組件目錄表'!$D$15:$R$1094,13,FALSE),"")</f>
        <v/>
      </c>
      <c r="BJ356" s="69" t="str">
        <f>IFERROR(VLOOKUP($AQ356,'(勿動)組件目錄表'!$D$15:$R$1094,14,FALSE),"")</f>
        <v/>
      </c>
      <c r="BK356" s="69" t="str">
        <f>IFERROR(VLOOKUP($AQ356,'(勿動)組件目錄表'!$D$15:$R$1094,15,FALSE),"")</f>
        <v/>
      </c>
      <c r="BL356" s="81">
        <f ca="1">IFERROR(__xludf.DUMMYFUNCTION("IFERROR(
  LET(
    rowData, FILTER('(勿動)組件目錄表'!J:Q, '(勿動)組件目錄表'!D:D=AQ356),
    IF(ROWS(rowData)=0, 0, 
      (
        IF(AND(BC356&lt;&gt;"""", INDEX(rowData,1,1)=BC356),1,0) +
        IF(AND(BD356&lt;&gt;"""", INDEX(rowData,1,2)=BD356),1,0) +
        IF(AND(BE356"&amp;"&lt;&gt;"""", INDEX(rowData,1,3)=BE356),1,0) +
        IF(AND(BF356&lt;&gt;"""", INDEX(rowData,1,4)=BF356),1,0) +
        IF(AND(BG356&lt;&gt;"""", INDEX(rowData,1,5)=BG356),1,0) +
        IF(AND(BH356&lt;&gt;"""", INDEX(rowData,1,6)=BH356),1,0) +
        IF(AND(BI356&lt;&gt;"""", IND"&amp;"EX(rowData,1,7)=BI356),1,0) +
        IF(AND(BJ356&lt;&gt;"""", INDEX(rowData,1,8)=BJ356),1,0)
      ) - COUNTIF(BC356:BJ356, ""-"")
        - COUNTIF(BC356:BJ356, ""固定格式，不需提供資訊"")
        - COUNTIF(BC356:BJ356, ""由MKT更新，此欄位固定格式，不需提供資訊
(Voucher CID：12917705872)"&amp;""")
        - COUNTIF(BC356:BJ356, ""text固定為以下：
※直播間僅支援手機版"")
        - COUNTIF(BC356:BJ356, ""text固定為以下：
※短影音僅支援手機版"")
    )
  ), 
  0
)
"),0)</f>
        <v>0</v>
      </c>
      <c r="BM356" s="77" t="b">
        <v>0</v>
      </c>
      <c r="BN356" s="85"/>
      <c r="BO356" s="85"/>
    </row>
    <row r="357" spans="1:67" ht="30" customHeight="1">
      <c r="A357" s="73" t="str">
        <f t="array" aca="1" ref="A357" ca="1">IFERROR(TRANSPOSE(INDIRECT('MS section版配(Old)'!$AO357)),"")</f>
        <v/>
      </c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8"/>
      <c r="P357" s="88"/>
      <c r="Q357" s="88"/>
      <c r="R357" s="88"/>
      <c r="S357" s="88"/>
      <c r="T357" s="88"/>
      <c r="U357" s="88"/>
      <c r="V357" s="88"/>
      <c r="W357" s="88"/>
      <c r="X357" s="88"/>
      <c r="Y357" s="88"/>
      <c r="Z357" s="88"/>
      <c r="AA357" s="88"/>
      <c r="AB357" s="88"/>
      <c r="AC357" s="88"/>
      <c r="AD357" s="88"/>
      <c r="AE357" s="397" t="str">
        <f>IFERROR(VLOOKUP($AQ357,'(勿動)組件目錄表'!$D$15:$R$1094,4,FALSE),"")</f>
        <v/>
      </c>
      <c r="AF357" s="384"/>
      <c r="AG357" s="384"/>
      <c r="AH357" s="384"/>
      <c r="AI357" s="384"/>
      <c r="AJ357" s="385"/>
      <c r="AK357" s="54" t="b">
        <v>0</v>
      </c>
      <c r="AL357" s="54" t="b">
        <v>0</v>
      </c>
      <c r="AM357" s="54"/>
      <c r="AN357" s="7" t="str">
        <v>349</v>
      </c>
      <c r="AO357" s="7"/>
      <c r="AP357" s="62"/>
      <c r="AQ357" s="75" t="str">
        <v/>
      </c>
      <c r="AR357" s="75" t="str">
        <v>-</v>
      </c>
      <c r="AS357" s="11"/>
      <c r="AT357" s="77" t="str">
        <v>-</v>
      </c>
      <c r="AU357" s="11" t="str">
        <v>-</v>
      </c>
      <c r="AV357" s="100"/>
      <c r="AW357" s="80" t="str">
        <f ca="1"/>
        <v>-</v>
      </c>
      <c r="AX357" s="80" t="b">
        <v>0</v>
      </c>
      <c r="AY357" s="68" t="str">
        <f t="shared" si="4"/>
        <v/>
      </c>
      <c r="AZ357" s="69" t="str">
        <f t="shared" si="5"/>
        <v/>
      </c>
      <c r="BA357" s="70" t="str">
        <f t="shared" si="6"/>
        <v/>
      </c>
      <c r="BB357" s="68" t="str">
        <f t="shared" si="7"/>
        <v/>
      </c>
      <c r="BC357" s="69" t="str">
        <f>IFERROR(VLOOKUP($AQ357,'(勿動)組件目錄表'!$D$15:$R$1094,7,FALSE),"")</f>
        <v/>
      </c>
      <c r="BD357" s="69" t="str">
        <f>IFERROR(VLOOKUP($AQ357,'(勿動)組件目錄表'!$D$15:$R$1094,8,FALSE),"")</f>
        <v/>
      </c>
      <c r="BE357" s="69" t="str">
        <f>IFERROR(VLOOKUP($AQ357,'(勿動)組件目錄表'!$D$15:$R$1094,9,FALSE),"")</f>
        <v/>
      </c>
      <c r="BF357" s="69" t="str">
        <f>IFERROR(VLOOKUP($AQ357,'(勿動)組件目錄表'!$D$15:$R$1094,10,FALSE),"")</f>
        <v/>
      </c>
      <c r="BG357" s="69" t="str">
        <f>IFERROR(VLOOKUP($AQ357,'(勿動)組件目錄表'!$D$15:$R$1094,11,FALSE),"")</f>
        <v/>
      </c>
      <c r="BH357" s="69" t="str">
        <f>IFERROR(VLOOKUP($AQ357,'(勿動)組件目錄表'!$D$15:$R$1094,12,FALSE),"")</f>
        <v/>
      </c>
      <c r="BI357" s="69" t="str">
        <f>IFERROR(VLOOKUP($AQ357,'(勿動)組件目錄表'!$D$15:$R$1094,13,FALSE),"")</f>
        <v/>
      </c>
      <c r="BJ357" s="69" t="str">
        <f>IFERROR(VLOOKUP($AQ357,'(勿動)組件目錄表'!$D$15:$R$1094,14,FALSE),"")</f>
        <v/>
      </c>
      <c r="BK357" s="69" t="str">
        <f>IFERROR(VLOOKUP($AQ357,'(勿動)組件目錄表'!$D$15:$R$1094,15,FALSE),"")</f>
        <v/>
      </c>
      <c r="BL357" s="81">
        <f ca="1">IFERROR(__xludf.DUMMYFUNCTION("IFERROR(
  LET(
    rowData, FILTER('(勿動)組件目錄表'!J:Q, '(勿動)組件目錄表'!D:D=AQ357),
    IF(ROWS(rowData)=0, 0, 
      (
        IF(AND(BC357&lt;&gt;"""", INDEX(rowData,1,1)=BC357),1,0) +
        IF(AND(BD357&lt;&gt;"""", INDEX(rowData,1,2)=BD357),1,0) +
        IF(AND(BE357"&amp;"&lt;&gt;"""", INDEX(rowData,1,3)=BE357),1,0) +
        IF(AND(BF357&lt;&gt;"""", INDEX(rowData,1,4)=BF357),1,0) +
        IF(AND(BG357&lt;&gt;"""", INDEX(rowData,1,5)=BG357),1,0) +
        IF(AND(BH357&lt;&gt;"""", INDEX(rowData,1,6)=BH357),1,0) +
        IF(AND(BI357&lt;&gt;"""", IND"&amp;"EX(rowData,1,7)=BI357),1,0) +
        IF(AND(BJ357&lt;&gt;"""", INDEX(rowData,1,8)=BJ357),1,0)
      ) - COUNTIF(BC357:BJ357, ""-"")
        - COUNTIF(BC357:BJ357, ""固定格式，不需提供資訊"")
        - COUNTIF(BC357:BJ357, ""由MKT更新，此欄位固定格式，不需提供資訊
(Voucher CID：12917705872)"&amp;""")
        - COUNTIF(BC357:BJ357, ""text固定為以下：
※直播間僅支援手機版"")
        - COUNTIF(BC357:BJ357, ""text固定為以下：
※短影音僅支援手機版"")
    )
  ), 
  0
)
"),0)</f>
        <v>0</v>
      </c>
      <c r="BM357" s="77" t="b">
        <v>0</v>
      </c>
      <c r="BN357" s="85"/>
      <c r="BO357" s="85"/>
    </row>
    <row r="358" spans="1:67" ht="30" customHeight="1">
      <c r="A358" s="73" t="str">
        <f t="array" aca="1" ref="A358" ca="1">IFERROR(TRANSPOSE(INDIRECT('MS section版配(Old)'!$AO358)),"")</f>
        <v/>
      </c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8"/>
      <c r="P358" s="88"/>
      <c r="Q358" s="88"/>
      <c r="R358" s="88"/>
      <c r="S358" s="88"/>
      <c r="T358" s="88"/>
      <c r="U358" s="88"/>
      <c r="V358" s="88"/>
      <c r="W358" s="88"/>
      <c r="X358" s="88"/>
      <c r="Y358" s="88"/>
      <c r="Z358" s="88"/>
      <c r="AA358" s="88"/>
      <c r="AB358" s="88"/>
      <c r="AC358" s="88"/>
      <c r="AD358" s="88"/>
      <c r="AE358" s="397" t="str">
        <f>IFERROR(VLOOKUP($AQ358,'(勿動)組件目錄表'!$D$15:$R$1094,4,FALSE),"")</f>
        <v/>
      </c>
      <c r="AF358" s="384"/>
      <c r="AG358" s="384"/>
      <c r="AH358" s="384"/>
      <c r="AI358" s="384"/>
      <c r="AJ358" s="385"/>
      <c r="AK358" s="54" t="b">
        <v>0</v>
      </c>
      <c r="AL358" s="54" t="b">
        <v>0</v>
      </c>
      <c r="AM358" s="54"/>
      <c r="AN358" s="7" t="str">
        <v>350</v>
      </c>
      <c r="AO358" s="7"/>
      <c r="AP358" s="62"/>
      <c r="AQ358" s="75" t="str">
        <v/>
      </c>
      <c r="AR358" s="75" t="str">
        <v>-</v>
      </c>
      <c r="AS358" s="11"/>
      <c r="AT358" s="77" t="str">
        <v>-</v>
      </c>
      <c r="AU358" s="11" t="str">
        <v>-</v>
      </c>
      <c r="AV358" s="100"/>
      <c r="AW358" s="80" t="str">
        <f ca="1"/>
        <v>-</v>
      </c>
      <c r="AX358" s="80" t="b">
        <v>0</v>
      </c>
      <c r="AY358" s="68" t="str">
        <f t="shared" si="4"/>
        <v/>
      </c>
      <c r="AZ358" s="69" t="str">
        <f t="shared" si="5"/>
        <v/>
      </c>
      <c r="BA358" s="70" t="str">
        <f t="shared" si="6"/>
        <v/>
      </c>
      <c r="BB358" s="68" t="str">
        <f t="shared" si="7"/>
        <v/>
      </c>
      <c r="BC358" s="69" t="str">
        <f>IFERROR(VLOOKUP($AQ358,'(勿動)組件目錄表'!$D$15:$R$1094,7,FALSE),"")</f>
        <v/>
      </c>
      <c r="BD358" s="69" t="str">
        <f>IFERROR(VLOOKUP($AQ358,'(勿動)組件目錄表'!$D$15:$R$1094,8,FALSE),"")</f>
        <v/>
      </c>
      <c r="BE358" s="69" t="str">
        <f>IFERROR(VLOOKUP($AQ358,'(勿動)組件目錄表'!$D$15:$R$1094,9,FALSE),"")</f>
        <v/>
      </c>
      <c r="BF358" s="69" t="str">
        <f>IFERROR(VLOOKUP($AQ358,'(勿動)組件目錄表'!$D$15:$R$1094,10,FALSE),"")</f>
        <v/>
      </c>
      <c r="BG358" s="69" t="str">
        <f>IFERROR(VLOOKUP($AQ358,'(勿動)組件目錄表'!$D$15:$R$1094,11,FALSE),"")</f>
        <v/>
      </c>
      <c r="BH358" s="69" t="str">
        <f>IFERROR(VLOOKUP($AQ358,'(勿動)組件目錄表'!$D$15:$R$1094,12,FALSE),"")</f>
        <v/>
      </c>
      <c r="BI358" s="69" t="str">
        <f>IFERROR(VLOOKUP($AQ358,'(勿動)組件目錄表'!$D$15:$R$1094,13,FALSE),"")</f>
        <v/>
      </c>
      <c r="BJ358" s="69" t="str">
        <f>IFERROR(VLOOKUP($AQ358,'(勿動)組件目錄表'!$D$15:$R$1094,14,FALSE),"")</f>
        <v/>
      </c>
      <c r="BK358" s="69" t="str">
        <f>IFERROR(VLOOKUP($AQ358,'(勿動)組件目錄表'!$D$15:$R$1094,15,FALSE),"")</f>
        <v/>
      </c>
      <c r="BL358" s="81">
        <f ca="1">IFERROR(__xludf.DUMMYFUNCTION("IFERROR(
  LET(
    rowData, FILTER('(勿動)組件目錄表'!J:Q, '(勿動)組件目錄表'!D:D=AQ358),
    IF(ROWS(rowData)=0, 0, 
      (
        IF(AND(BC358&lt;&gt;"""", INDEX(rowData,1,1)=BC358),1,0) +
        IF(AND(BD358&lt;&gt;"""", INDEX(rowData,1,2)=BD358),1,0) +
        IF(AND(BE358"&amp;"&lt;&gt;"""", INDEX(rowData,1,3)=BE358),1,0) +
        IF(AND(BF358&lt;&gt;"""", INDEX(rowData,1,4)=BF358),1,0) +
        IF(AND(BG358&lt;&gt;"""", INDEX(rowData,1,5)=BG358),1,0) +
        IF(AND(BH358&lt;&gt;"""", INDEX(rowData,1,6)=BH358),1,0) +
        IF(AND(BI358&lt;&gt;"""", IND"&amp;"EX(rowData,1,7)=BI358),1,0) +
        IF(AND(BJ358&lt;&gt;"""", INDEX(rowData,1,8)=BJ358),1,0)
      ) - COUNTIF(BC358:BJ358, ""-"")
        - COUNTIF(BC358:BJ358, ""固定格式，不需提供資訊"")
        - COUNTIF(BC358:BJ358, ""由MKT更新，此欄位固定格式，不需提供資訊
(Voucher CID：12917705872)"&amp;""")
        - COUNTIF(BC358:BJ358, ""text固定為以下：
※直播間僅支援手機版"")
        - COUNTIF(BC358:BJ358, ""text固定為以下：
※短影音僅支援手機版"")
    )
  ), 
  0
)
"),0)</f>
        <v>0</v>
      </c>
      <c r="BM358" s="77" t="b">
        <v>0</v>
      </c>
      <c r="BN358" s="85"/>
      <c r="BO358" s="85"/>
    </row>
    <row r="359" spans="1:67" ht="30" customHeight="1">
      <c r="A359" s="73" t="str">
        <f t="array" aca="1" ref="A359" ca="1">IFERROR(TRANSPOSE(INDIRECT('MS section版配(Old)'!$AO359)),"")</f>
        <v/>
      </c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8"/>
      <c r="P359" s="88"/>
      <c r="Q359" s="88"/>
      <c r="R359" s="88"/>
      <c r="S359" s="88"/>
      <c r="T359" s="88"/>
      <c r="U359" s="88"/>
      <c r="V359" s="88"/>
      <c r="W359" s="88"/>
      <c r="X359" s="88"/>
      <c r="Y359" s="88"/>
      <c r="Z359" s="88"/>
      <c r="AA359" s="88"/>
      <c r="AB359" s="88"/>
      <c r="AC359" s="88"/>
      <c r="AD359" s="88"/>
      <c r="AE359" s="397" t="str">
        <f>IFERROR(VLOOKUP($AQ359,'(勿動)組件目錄表'!$D$15:$R$1094,4,FALSE),"")</f>
        <v/>
      </c>
      <c r="AF359" s="384"/>
      <c r="AG359" s="384"/>
      <c r="AH359" s="384"/>
      <c r="AI359" s="384"/>
      <c r="AJ359" s="385"/>
      <c r="AK359" s="54" t="b">
        <v>0</v>
      </c>
      <c r="AL359" s="54" t="b">
        <v>0</v>
      </c>
      <c r="AM359" s="54"/>
      <c r="AN359" s="7" t="str">
        <v>351</v>
      </c>
      <c r="AO359" s="7"/>
      <c r="AP359" s="62"/>
      <c r="AQ359" s="75" t="str">
        <v/>
      </c>
      <c r="AR359" s="75" t="str">
        <v>-</v>
      </c>
      <c r="AS359" s="11"/>
      <c r="AT359" s="77" t="str">
        <v>-</v>
      </c>
      <c r="AU359" s="11" t="str">
        <v>-</v>
      </c>
      <c r="AV359" s="100"/>
      <c r="AW359" s="80" t="str">
        <f ca="1"/>
        <v>-</v>
      </c>
      <c r="AX359" s="80" t="b">
        <v>0</v>
      </c>
      <c r="AY359" s="68" t="str">
        <f t="shared" si="4"/>
        <v/>
      </c>
      <c r="AZ359" s="69" t="str">
        <f t="shared" si="5"/>
        <v/>
      </c>
      <c r="BA359" s="70" t="str">
        <f t="shared" si="6"/>
        <v/>
      </c>
      <c r="BB359" s="68" t="str">
        <f t="shared" si="7"/>
        <v/>
      </c>
      <c r="BC359" s="69" t="str">
        <f>IFERROR(VLOOKUP($AQ359,'(勿動)組件目錄表'!$D$15:$R$1094,7,FALSE),"")</f>
        <v/>
      </c>
      <c r="BD359" s="69" t="str">
        <f>IFERROR(VLOOKUP($AQ359,'(勿動)組件目錄表'!$D$15:$R$1094,8,FALSE),"")</f>
        <v/>
      </c>
      <c r="BE359" s="69" t="str">
        <f>IFERROR(VLOOKUP($AQ359,'(勿動)組件目錄表'!$D$15:$R$1094,9,FALSE),"")</f>
        <v/>
      </c>
      <c r="BF359" s="69" t="str">
        <f>IFERROR(VLOOKUP($AQ359,'(勿動)組件目錄表'!$D$15:$R$1094,10,FALSE),"")</f>
        <v/>
      </c>
      <c r="BG359" s="69" t="str">
        <f>IFERROR(VLOOKUP($AQ359,'(勿動)組件目錄表'!$D$15:$R$1094,11,FALSE),"")</f>
        <v/>
      </c>
      <c r="BH359" s="69" t="str">
        <f>IFERROR(VLOOKUP($AQ359,'(勿動)組件目錄表'!$D$15:$R$1094,12,FALSE),"")</f>
        <v/>
      </c>
      <c r="BI359" s="69" t="str">
        <f>IFERROR(VLOOKUP($AQ359,'(勿動)組件目錄表'!$D$15:$R$1094,13,FALSE),"")</f>
        <v/>
      </c>
      <c r="BJ359" s="69" t="str">
        <f>IFERROR(VLOOKUP($AQ359,'(勿動)組件目錄表'!$D$15:$R$1094,14,FALSE),"")</f>
        <v/>
      </c>
      <c r="BK359" s="69" t="str">
        <f>IFERROR(VLOOKUP($AQ359,'(勿動)組件目錄表'!$D$15:$R$1094,15,FALSE),"")</f>
        <v/>
      </c>
      <c r="BL359" s="81">
        <f ca="1">IFERROR(__xludf.DUMMYFUNCTION("IFERROR(
  LET(
    rowData, FILTER('(勿動)組件目錄表'!J:Q, '(勿動)組件目錄表'!D:D=AQ359),
    IF(ROWS(rowData)=0, 0, 
      (
        IF(AND(BC359&lt;&gt;"""", INDEX(rowData,1,1)=BC359),1,0) +
        IF(AND(BD359&lt;&gt;"""", INDEX(rowData,1,2)=BD359),1,0) +
        IF(AND(BE359"&amp;"&lt;&gt;"""", INDEX(rowData,1,3)=BE359),1,0) +
        IF(AND(BF359&lt;&gt;"""", INDEX(rowData,1,4)=BF359),1,0) +
        IF(AND(BG359&lt;&gt;"""", INDEX(rowData,1,5)=BG359),1,0) +
        IF(AND(BH359&lt;&gt;"""", INDEX(rowData,1,6)=BH359),1,0) +
        IF(AND(BI359&lt;&gt;"""", IND"&amp;"EX(rowData,1,7)=BI359),1,0) +
        IF(AND(BJ359&lt;&gt;"""", INDEX(rowData,1,8)=BJ359),1,0)
      ) - COUNTIF(BC359:BJ359, ""-"")
        - COUNTIF(BC359:BJ359, ""固定格式，不需提供資訊"")
        - COUNTIF(BC359:BJ359, ""由MKT更新，此欄位固定格式，不需提供資訊
(Voucher CID：12917705872)"&amp;""")
        - COUNTIF(BC359:BJ359, ""text固定為以下：
※直播間僅支援手機版"")
        - COUNTIF(BC359:BJ359, ""text固定為以下：
※短影音僅支援手機版"")
    )
  ), 
  0
)
"),0)</f>
        <v>0</v>
      </c>
      <c r="BM359" s="77" t="b">
        <v>0</v>
      </c>
      <c r="BN359" s="85"/>
      <c r="BO359" s="85"/>
    </row>
    <row r="360" spans="1:67" ht="30" customHeight="1">
      <c r="A360" s="73" t="str">
        <f t="array" aca="1" ref="A360" ca="1">IFERROR(TRANSPOSE(INDIRECT('MS section版配(Old)'!$AO360)),"")</f>
        <v/>
      </c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8"/>
      <c r="P360" s="88"/>
      <c r="Q360" s="88"/>
      <c r="R360" s="88"/>
      <c r="S360" s="88"/>
      <c r="T360" s="88"/>
      <c r="U360" s="88"/>
      <c r="V360" s="88"/>
      <c r="W360" s="88"/>
      <c r="X360" s="88"/>
      <c r="Y360" s="88"/>
      <c r="Z360" s="88"/>
      <c r="AA360" s="88"/>
      <c r="AB360" s="88"/>
      <c r="AC360" s="88"/>
      <c r="AD360" s="88"/>
      <c r="AE360" s="397" t="str">
        <f>IFERROR(VLOOKUP($AQ360,'(勿動)組件目錄表'!$D$15:$R$1094,4,FALSE),"")</f>
        <v/>
      </c>
      <c r="AF360" s="384"/>
      <c r="AG360" s="384"/>
      <c r="AH360" s="384"/>
      <c r="AI360" s="384"/>
      <c r="AJ360" s="385"/>
      <c r="AK360" s="54" t="b">
        <v>0</v>
      </c>
      <c r="AL360" s="54" t="b">
        <v>0</v>
      </c>
      <c r="AM360" s="54"/>
      <c r="AN360" s="7" t="str">
        <v>352</v>
      </c>
      <c r="AO360" s="7"/>
      <c r="AP360" s="62"/>
      <c r="AQ360" s="75" t="str">
        <v/>
      </c>
      <c r="AR360" s="75" t="str">
        <v>-</v>
      </c>
      <c r="AS360" s="11"/>
      <c r="AT360" s="77" t="str">
        <v>-</v>
      </c>
      <c r="AU360" s="11" t="str">
        <v>-</v>
      </c>
      <c r="AV360" s="100"/>
      <c r="AW360" s="80" t="str">
        <f ca="1"/>
        <v>-</v>
      </c>
      <c r="AX360" s="80" t="b">
        <v>0</v>
      </c>
      <c r="AY360" s="68" t="str">
        <f t="shared" si="4"/>
        <v/>
      </c>
      <c r="AZ360" s="69" t="str">
        <f t="shared" si="5"/>
        <v/>
      </c>
      <c r="BA360" s="70" t="str">
        <f t="shared" si="6"/>
        <v/>
      </c>
      <c r="BB360" s="68" t="str">
        <f t="shared" si="7"/>
        <v/>
      </c>
      <c r="BC360" s="69" t="str">
        <f>IFERROR(VLOOKUP($AQ360,'(勿動)組件目錄表'!$D$15:$R$1094,7,FALSE),"")</f>
        <v/>
      </c>
      <c r="BD360" s="69" t="str">
        <f>IFERROR(VLOOKUP($AQ360,'(勿動)組件目錄表'!$D$15:$R$1094,8,FALSE),"")</f>
        <v/>
      </c>
      <c r="BE360" s="69" t="str">
        <f>IFERROR(VLOOKUP($AQ360,'(勿動)組件目錄表'!$D$15:$R$1094,9,FALSE),"")</f>
        <v/>
      </c>
      <c r="BF360" s="69" t="str">
        <f>IFERROR(VLOOKUP($AQ360,'(勿動)組件目錄表'!$D$15:$R$1094,10,FALSE),"")</f>
        <v/>
      </c>
      <c r="BG360" s="69" t="str">
        <f>IFERROR(VLOOKUP($AQ360,'(勿動)組件目錄表'!$D$15:$R$1094,11,FALSE),"")</f>
        <v/>
      </c>
      <c r="BH360" s="69" t="str">
        <f>IFERROR(VLOOKUP($AQ360,'(勿動)組件目錄表'!$D$15:$R$1094,12,FALSE),"")</f>
        <v/>
      </c>
      <c r="BI360" s="69" t="str">
        <f>IFERROR(VLOOKUP($AQ360,'(勿動)組件目錄表'!$D$15:$R$1094,13,FALSE),"")</f>
        <v/>
      </c>
      <c r="BJ360" s="69" t="str">
        <f>IFERROR(VLOOKUP($AQ360,'(勿動)組件目錄表'!$D$15:$R$1094,14,FALSE),"")</f>
        <v/>
      </c>
      <c r="BK360" s="69" t="str">
        <f>IFERROR(VLOOKUP($AQ360,'(勿動)組件目錄表'!$D$15:$R$1094,15,FALSE),"")</f>
        <v/>
      </c>
      <c r="BL360" s="81">
        <f ca="1">IFERROR(__xludf.DUMMYFUNCTION("IFERROR(
  LET(
    rowData, FILTER('(勿動)組件目錄表'!J:Q, '(勿動)組件目錄表'!D:D=AQ360),
    IF(ROWS(rowData)=0, 0, 
      (
        IF(AND(BC360&lt;&gt;"""", INDEX(rowData,1,1)=BC360),1,0) +
        IF(AND(BD360&lt;&gt;"""", INDEX(rowData,1,2)=BD360),1,0) +
        IF(AND(BE360"&amp;"&lt;&gt;"""", INDEX(rowData,1,3)=BE360),1,0) +
        IF(AND(BF360&lt;&gt;"""", INDEX(rowData,1,4)=BF360),1,0) +
        IF(AND(BG360&lt;&gt;"""", INDEX(rowData,1,5)=BG360),1,0) +
        IF(AND(BH360&lt;&gt;"""", INDEX(rowData,1,6)=BH360),1,0) +
        IF(AND(BI360&lt;&gt;"""", IND"&amp;"EX(rowData,1,7)=BI360),1,0) +
        IF(AND(BJ360&lt;&gt;"""", INDEX(rowData,1,8)=BJ360),1,0)
      ) - COUNTIF(BC360:BJ360, ""-"")
        - COUNTIF(BC360:BJ360, ""固定格式，不需提供資訊"")
        - COUNTIF(BC360:BJ360, ""由MKT更新，此欄位固定格式，不需提供資訊
(Voucher CID：12917705872)"&amp;""")
        - COUNTIF(BC360:BJ360, ""text固定為以下：
※直播間僅支援手機版"")
        - COUNTIF(BC360:BJ360, ""text固定為以下：
※短影音僅支援手機版"")
    )
  ), 
  0
)
"),0)</f>
        <v>0</v>
      </c>
      <c r="BM360" s="77" t="b">
        <v>0</v>
      </c>
      <c r="BN360" s="85"/>
      <c r="BO360" s="85"/>
    </row>
    <row r="361" spans="1:67" ht="30" customHeight="1">
      <c r="A361" s="73" t="str">
        <f t="array" aca="1" ref="A361" ca="1">IFERROR(TRANSPOSE(INDIRECT('MS section版配(Old)'!$AO361)),"")</f>
        <v/>
      </c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8"/>
      <c r="P361" s="88"/>
      <c r="Q361" s="88"/>
      <c r="R361" s="88"/>
      <c r="S361" s="88"/>
      <c r="T361" s="88"/>
      <c r="U361" s="88"/>
      <c r="V361" s="88"/>
      <c r="W361" s="88"/>
      <c r="X361" s="88"/>
      <c r="Y361" s="88"/>
      <c r="Z361" s="88"/>
      <c r="AA361" s="88"/>
      <c r="AB361" s="88"/>
      <c r="AC361" s="88"/>
      <c r="AD361" s="88"/>
      <c r="AE361" s="397" t="str">
        <f>IFERROR(VLOOKUP($AQ361,'(勿動)組件目錄表'!$D$15:$R$1094,4,FALSE),"")</f>
        <v/>
      </c>
      <c r="AF361" s="384"/>
      <c r="AG361" s="384"/>
      <c r="AH361" s="384"/>
      <c r="AI361" s="384"/>
      <c r="AJ361" s="385"/>
      <c r="AK361" s="54" t="b">
        <v>0</v>
      </c>
      <c r="AL361" s="54" t="b">
        <v>0</v>
      </c>
      <c r="AM361" s="54"/>
      <c r="AN361" s="7" t="str">
        <v>353</v>
      </c>
      <c r="AO361" s="7"/>
      <c r="AP361" s="62"/>
      <c r="AQ361" s="75" t="str">
        <v/>
      </c>
      <c r="AR361" s="75" t="str">
        <v>-</v>
      </c>
      <c r="AS361" s="11"/>
      <c r="AT361" s="77" t="str">
        <v>-</v>
      </c>
      <c r="AU361" s="11" t="str">
        <v>-</v>
      </c>
      <c r="AV361" s="100"/>
      <c r="AW361" s="80" t="str">
        <f ca="1"/>
        <v>-</v>
      </c>
      <c r="AX361" s="80" t="b">
        <v>0</v>
      </c>
      <c r="AY361" s="68" t="str">
        <f t="shared" si="4"/>
        <v/>
      </c>
      <c r="AZ361" s="69" t="str">
        <f t="shared" si="5"/>
        <v/>
      </c>
      <c r="BA361" s="70" t="str">
        <f t="shared" si="6"/>
        <v/>
      </c>
      <c r="BB361" s="68" t="str">
        <f t="shared" si="7"/>
        <v/>
      </c>
      <c r="BC361" s="69" t="str">
        <f>IFERROR(VLOOKUP($AQ361,'(勿動)組件目錄表'!$D$15:$R$1094,7,FALSE),"")</f>
        <v/>
      </c>
      <c r="BD361" s="69" t="str">
        <f>IFERROR(VLOOKUP($AQ361,'(勿動)組件目錄表'!$D$15:$R$1094,8,FALSE),"")</f>
        <v/>
      </c>
      <c r="BE361" s="69" t="str">
        <f>IFERROR(VLOOKUP($AQ361,'(勿動)組件目錄表'!$D$15:$R$1094,9,FALSE),"")</f>
        <v/>
      </c>
      <c r="BF361" s="69" t="str">
        <f>IFERROR(VLOOKUP($AQ361,'(勿動)組件目錄表'!$D$15:$R$1094,10,FALSE),"")</f>
        <v/>
      </c>
      <c r="BG361" s="69" t="str">
        <f>IFERROR(VLOOKUP($AQ361,'(勿動)組件目錄表'!$D$15:$R$1094,11,FALSE),"")</f>
        <v/>
      </c>
      <c r="BH361" s="69" t="str">
        <f>IFERROR(VLOOKUP($AQ361,'(勿動)組件目錄表'!$D$15:$R$1094,12,FALSE),"")</f>
        <v/>
      </c>
      <c r="BI361" s="69" t="str">
        <f>IFERROR(VLOOKUP($AQ361,'(勿動)組件目錄表'!$D$15:$R$1094,13,FALSE),"")</f>
        <v/>
      </c>
      <c r="BJ361" s="69" t="str">
        <f>IFERROR(VLOOKUP($AQ361,'(勿動)組件目錄表'!$D$15:$R$1094,14,FALSE),"")</f>
        <v/>
      </c>
      <c r="BK361" s="69" t="str">
        <f>IFERROR(VLOOKUP($AQ361,'(勿動)組件目錄表'!$D$15:$R$1094,15,FALSE),"")</f>
        <v/>
      </c>
      <c r="BL361" s="81">
        <f ca="1">IFERROR(__xludf.DUMMYFUNCTION("IFERROR(
  LET(
    rowData, FILTER('(勿動)組件目錄表'!J:Q, '(勿動)組件目錄表'!D:D=AQ361),
    IF(ROWS(rowData)=0, 0, 
      (
        IF(AND(BC361&lt;&gt;"""", INDEX(rowData,1,1)=BC361),1,0) +
        IF(AND(BD361&lt;&gt;"""", INDEX(rowData,1,2)=BD361),1,0) +
        IF(AND(BE361"&amp;"&lt;&gt;"""", INDEX(rowData,1,3)=BE361),1,0) +
        IF(AND(BF361&lt;&gt;"""", INDEX(rowData,1,4)=BF361),1,0) +
        IF(AND(BG361&lt;&gt;"""", INDEX(rowData,1,5)=BG361),1,0) +
        IF(AND(BH361&lt;&gt;"""", INDEX(rowData,1,6)=BH361),1,0) +
        IF(AND(BI361&lt;&gt;"""", IND"&amp;"EX(rowData,1,7)=BI361),1,0) +
        IF(AND(BJ361&lt;&gt;"""", INDEX(rowData,1,8)=BJ361),1,0)
      ) - COUNTIF(BC361:BJ361, ""-"")
        - COUNTIF(BC361:BJ361, ""固定格式，不需提供資訊"")
        - COUNTIF(BC361:BJ361, ""由MKT更新，此欄位固定格式，不需提供資訊
(Voucher CID：12917705872)"&amp;""")
        - COUNTIF(BC361:BJ361, ""text固定為以下：
※直播間僅支援手機版"")
        - COUNTIF(BC361:BJ361, ""text固定為以下：
※短影音僅支援手機版"")
    )
  ), 
  0
)
"),0)</f>
        <v>0</v>
      </c>
      <c r="BM361" s="77" t="b">
        <v>0</v>
      </c>
      <c r="BN361" s="85"/>
      <c r="BO361" s="85"/>
    </row>
    <row r="362" spans="1:67" ht="30" customHeight="1">
      <c r="A362" s="73" t="str">
        <f t="array" aca="1" ref="A362" ca="1">IFERROR(TRANSPOSE(INDIRECT('MS section版配(Old)'!$AO362)),"")</f>
        <v/>
      </c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8"/>
      <c r="P362" s="88"/>
      <c r="Q362" s="88"/>
      <c r="R362" s="88"/>
      <c r="S362" s="88"/>
      <c r="T362" s="88"/>
      <c r="U362" s="88"/>
      <c r="V362" s="88"/>
      <c r="W362" s="88"/>
      <c r="X362" s="88"/>
      <c r="Y362" s="88"/>
      <c r="Z362" s="88"/>
      <c r="AA362" s="88"/>
      <c r="AB362" s="88"/>
      <c r="AC362" s="88"/>
      <c r="AD362" s="88"/>
      <c r="AE362" s="397" t="str">
        <f>IFERROR(VLOOKUP($AQ362,'(勿動)組件目錄表'!$D$15:$R$1094,4,FALSE),"")</f>
        <v/>
      </c>
      <c r="AF362" s="384"/>
      <c r="AG362" s="384"/>
      <c r="AH362" s="384"/>
      <c r="AI362" s="384"/>
      <c r="AJ362" s="385"/>
      <c r="AK362" s="54" t="b">
        <v>0</v>
      </c>
      <c r="AL362" s="54" t="b">
        <v>0</v>
      </c>
      <c r="AM362" s="54"/>
      <c r="AN362" s="7" t="str">
        <v>354</v>
      </c>
      <c r="AO362" s="7"/>
      <c r="AP362" s="62"/>
      <c r="AQ362" s="75" t="str">
        <v/>
      </c>
      <c r="AR362" s="75" t="str">
        <v>-</v>
      </c>
      <c r="AS362" s="11"/>
      <c r="AT362" s="77" t="str">
        <v>-</v>
      </c>
      <c r="AU362" s="11" t="str">
        <v>-</v>
      </c>
      <c r="AV362" s="100"/>
      <c r="AW362" s="80" t="str">
        <f ca="1"/>
        <v>-</v>
      </c>
      <c r="AX362" s="80" t="b">
        <v>0</v>
      </c>
      <c r="AY362" s="68" t="str">
        <f t="shared" si="4"/>
        <v/>
      </c>
      <c r="AZ362" s="69" t="str">
        <f t="shared" si="5"/>
        <v/>
      </c>
      <c r="BA362" s="70" t="str">
        <f t="shared" si="6"/>
        <v/>
      </c>
      <c r="BB362" s="68" t="str">
        <f t="shared" si="7"/>
        <v/>
      </c>
      <c r="BC362" s="69" t="str">
        <f>IFERROR(VLOOKUP($AQ362,'(勿動)組件目錄表'!$D$15:$R$1094,7,FALSE),"")</f>
        <v/>
      </c>
      <c r="BD362" s="69" t="str">
        <f>IFERROR(VLOOKUP($AQ362,'(勿動)組件目錄表'!$D$15:$R$1094,8,FALSE),"")</f>
        <v/>
      </c>
      <c r="BE362" s="69" t="str">
        <f>IFERROR(VLOOKUP($AQ362,'(勿動)組件目錄表'!$D$15:$R$1094,9,FALSE),"")</f>
        <v/>
      </c>
      <c r="BF362" s="69" t="str">
        <f>IFERROR(VLOOKUP($AQ362,'(勿動)組件目錄表'!$D$15:$R$1094,10,FALSE),"")</f>
        <v/>
      </c>
      <c r="BG362" s="69" t="str">
        <f>IFERROR(VLOOKUP($AQ362,'(勿動)組件目錄表'!$D$15:$R$1094,11,FALSE),"")</f>
        <v/>
      </c>
      <c r="BH362" s="69" t="str">
        <f>IFERROR(VLOOKUP($AQ362,'(勿動)組件目錄表'!$D$15:$R$1094,12,FALSE),"")</f>
        <v/>
      </c>
      <c r="BI362" s="69" t="str">
        <f>IFERROR(VLOOKUP($AQ362,'(勿動)組件目錄表'!$D$15:$R$1094,13,FALSE),"")</f>
        <v/>
      </c>
      <c r="BJ362" s="69" t="str">
        <f>IFERROR(VLOOKUP($AQ362,'(勿動)組件目錄表'!$D$15:$R$1094,14,FALSE),"")</f>
        <v/>
      </c>
      <c r="BK362" s="69" t="str">
        <f>IFERROR(VLOOKUP($AQ362,'(勿動)組件目錄表'!$D$15:$R$1094,15,FALSE),"")</f>
        <v/>
      </c>
      <c r="BL362" s="81">
        <f ca="1">IFERROR(__xludf.DUMMYFUNCTION("IFERROR(
  LET(
    rowData, FILTER('(勿動)組件目錄表'!J:Q, '(勿動)組件目錄表'!D:D=AQ362),
    IF(ROWS(rowData)=0, 0, 
      (
        IF(AND(BC362&lt;&gt;"""", INDEX(rowData,1,1)=BC362),1,0) +
        IF(AND(BD362&lt;&gt;"""", INDEX(rowData,1,2)=BD362),1,0) +
        IF(AND(BE362"&amp;"&lt;&gt;"""", INDEX(rowData,1,3)=BE362),1,0) +
        IF(AND(BF362&lt;&gt;"""", INDEX(rowData,1,4)=BF362),1,0) +
        IF(AND(BG362&lt;&gt;"""", INDEX(rowData,1,5)=BG362),1,0) +
        IF(AND(BH362&lt;&gt;"""", INDEX(rowData,1,6)=BH362),1,0) +
        IF(AND(BI362&lt;&gt;"""", IND"&amp;"EX(rowData,1,7)=BI362),1,0) +
        IF(AND(BJ362&lt;&gt;"""", INDEX(rowData,1,8)=BJ362),1,0)
      ) - COUNTIF(BC362:BJ362, ""-"")
        - COUNTIF(BC362:BJ362, ""固定格式，不需提供資訊"")
        - COUNTIF(BC362:BJ362, ""由MKT更新，此欄位固定格式，不需提供資訊
(Voucher CID：12917705872)"&amp;""")
        - COUNTIF(BC362:BJ362, ""text固定為以下：
※直播間僅支援手機版"")
        - COUNTIF(BC362:BJ362, ""text固定為以下：
※短影音僅支援手機版"")
    )
  ), 
  0
)
"),0)</f>
        <v>0</v>
      </c>
      <c r="BM362" s="77" t="b">
        <v>0</v>
      </c>
      <c r="BN362" s="85"/>
      <c r="BO362" s="85"/>
    </row>
    <row r="363" spans="1:67" ht="30" customHeight="1">
      <c r="A363" s="73" t="str">
        <f t="array" aca="1" ref="A363" ca="1">IFERROR(TRANSPOSE(INDIRECT('MS section版配(Old)'!$AO363)),"")</f>
        <v/>
      </c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8"/>
      <c r="P363" s="88"/>
      <c r="Q363" s="88"/>
      <c r="R363" s="88"/>
      <c r="S363" s="88"/>
      <c r="T363" s="88"/>
      <c r="U363" s="88"/>
      <c r="V363" s="88"/>
      <c r="W363" s="88"/>
      <c r="X363" s="88"/>
      <c r="Y363" s="88"/>
      <c r="Z363" s="88"/>
      <c r="AA363" s="88"/>
      <c r="AB363" s="88"/>
      <c r="AC363" s="88"/>
      <c r="AD363" s="88"/>
      <c r="AE363" s="397" t="str">
        <f>IFERROR(VLOOKUP($AQ363,'(勿動)組件目錄表'!$D$15:$R$1094,4,FALSE),"")</f>
        <v/>
      </c>
      <c r="AF363" s="384"/>
      <c r="AG363" s="384"/>
      <c r="AH363" s="384"/>
      <c r="AI363" s="384"/>
      <c r="AJ363" s="385"/>
      <c r="AK363" s="54" t="b">
        <v>0</v>
      </c>
      <c r="AL363" s="54" t="b">
        <v>0</v>
      </c>
      <c r="AM363" s="54"/>
      <c r="AN363" s="7" t="str">
        <v>355</v>
      </c>
      <c r="AO363" s="7"/>
      <c r="AP363" s="62"/>
      <c r="AQ363" s="75" t="str">
        <v/>
      </c>
      <c r="AR363" s="75" t="str">
        <v>-</v>
      </c>
      <c r="AS363" s="11"/>
      <c r="AT363" s="77" t="str">
        <v>-</v>
      </c>
      <c r="AU363" s="11" t="str">
        <v>-</v>
      </c>
      <c r="AV363" s="100"/>
      <c r="AW363" s="80" t="str">
        <f ca="1"/>
        <v>-</v>
      </c>
      <c r="AX363" s="80" t="b">
        <v>0</v>
      </c>
      <c r="AY363" s="68" t="str">
        <f t="shared" si="4"/>
        <v/>
      </c>
      <c r="AZ363" s="69" t="str">
        <f t="shared" si="5"/>
        <v/>
      </c>
      <c r="BA363" s="70" t="str">
        <f t="shared" si="6"/>
        <v/>
      </c>
      <c r="BB363" s="68" t="str">
        <f t="shared" si="7"/>
        <v/>
      </c>
      <c r="BC363" s="69" t="str">
        <f>IFERROR(VLOOKUP($AQ363,'(勿動)組件目錄表'!$D$15:$R$1094,7,FALSE),"")</f>
        <v/>
      </c>
      <c r="BD363" s="69" t="str">
        <f>IFERROR(VLOOKUP($AQ363,'(勿動)組件目錄表'!$D$15:$R$1094,8,FALSE),"")</f>
        <v/>
      </c>
      <c r="BE363" s="69" t="str">
        <f>IFERROR(VLOOKUP($AQ363,'(勿動)組件目錄表'!$D$15:$R$1094,9,FALSE),"")</f>
        <v/>
      </c>
      <c r="BF363" s="69" t="str">
        <f>IFERROR(VLOOKUP($AQ363,'(勿動)組件目錄表'!$D$15:$R$1094,10,FALSE),"")</f>
        <v/>
      </c>
      <c r="BG363" s="69" t="str">
        <f>IFERROR(VLOOKUP($AQ363,'(勿動)組件目錄表'!$D$15:$R$1094,11,FALSE),"")</f>
        <v/>
      </c>
      <c r="BH363" s="69" t="str">
        <f>IFERROR(VLOOKUP($AQ363,'(勿動)組件目錄表'!$D$15:$R$1094,12,FALSE),"")</f>
        <v/>
      </c>
      <c r="BI363" s="69" t="str">
        <f>IFERROR(VLOOKUP($AQ363,'(勿動)組件目錄表'!$D$15:$R$1094,13,FALSE),"")</f>
        <v/>
      </c>
      <c r="BJ363" s="69" t="str">
        <f>IFERROR(VLOOKUP($AQ363,'(勿動)組件目錄表'!$D$15:$R$1094,14,FALSE),"")</f>
        <v/>
      </c>
      <c r="BK363" s="69" t="str">
        <f>IFERROR(VLOOKUP($AQ363,'(勿動)組件目錄表'!$D$15:$R$1094,15,FALSE),"")</f>
        <v/>
      </c>
      <c r="BL363" s="81">
        <f ca="1">IFERROR(__xludf.DUMMYFUNCTION("IFERROR(
  LET(
    rowData, FILTER('(勿動)組件目錄表'!J:Q, '(勿動)組件目錄表'!D:D=AQ363),
    IF(ROWS(rowData)=0, 0, 
      (
        IF(AND(BC363&lt;&gt;"""", INDEX(rowData,1,1)=BC363),1,0) +
        IF(AND(BD363&lt;&gt;"""", INDEX(rowData,1,2)=BD363),1,0) +
        IF(AND(BE363"&amp;"&lt;&gt;"""", INDEX(rowData,1,3)=BE363),1,0) +
        IF(AND(BF363&lt;&gt;"""", INDEX(rowData,1,4)=BF363),1,0) +
        IF(AND(BG363&lt;&gt;"""", INDEX(rowData,1,5)=BG363),1,0) +
        IF(AND(BH363&lt;&gt;"""", INDEX(rowData,1,6)=BH363),1,0) +
        IF(AND(BI363&lt;&gt;"""", IND"&amp;"EX(rowData,1,7)=BI363),1,0) +
        IF(AND(BJ363&lt;&gt;"""", INDEX(rowData,1,8)=BJ363),1,0)
      ) - COUNTIF(BC363:BJ363, ""-"")
        - COUNTIF(BC363:BJ363, ""固定格式，不需提供資訊"")
        - COUNTIF(BC363:BJ363, ""由MKT更新，此欄位固定格式，不需提供資訊
(Voucher CID：12917705872)"&amp;""")
        - COUNTIF(BC363:BJ363, ""text固定為以下：
※直播間僅支援手機版"")
        - COUNTIF(BC363:BJ363, ""text固定為以下：
※短影音僅支援手機版"")
    )
  ), 
  0
)
"),0)</f>
        <v>0</v>
      </c>
      <c r="BM363" s="77" t="b">
        <v>0</v>
      </c>
      <c r="BN363" s="85"/>
      <c r="BO363" s="85"/>
    </row>
    <row r="364" spans="1:67" ht="30" customHeight="1">
      <c r="A364" s="73" t="str">
        <f t="array" aca="1" ref="A364" ca="1">IFERROR(TRANSPOSE(INDIRECT('MS section版配(Old)'!$AO364)),"")</f>
        <v/>
      </c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8"/>
      <c r="P364" s="88"/>
      <c r="Q364" s="88"/>
      <c r="R364" s="88"/>
      <c r="S364" s="88"/>
      <c r="T364" s="88"/>
      <c r="U364" s="88"/>
      <c r="V364" s="88"/>
      <c r="W364" s="88"/>
      <c r="X364" s="88"/>
      <c r="Y364" s="88"/>
      <c r="Z364" s="88"/>
      <c r="AA364" s="88"/>
      <c r="AB364" s="88"/>
      <c r="AC364" s="88"/>
      <c r="AD364" s="88"/>
      <c r="AE364" s="397" t="str">
        <f>IFERROR(VLOOKUP($AQ364,'(勿動)組件目錄表'!$D$15:$R$1094,4,FALSE),"")</f>
        <v/>
      </c>
      <c r="AF364" s="384"/>
      <c r="AG364" s="384"/>
      <c r="AH364" s="384"/>
      <c r="AI364" s="384"/>
      <c r="AJ364" s="385"/>
      <c r="AK364" s="54" t="b">
        <v>0</v>
      </c>
      <c r="AL364" s="54" t="b">
        <v>0</v>
      </c>
      <c r="AM364" s="54"/>
      <c r="AN364" s="7" t="str">
        <v>356</v>
      </c>
      <c r="AO364" s="7"/>
      <c r="AP364" s="62"/>
      <c r="AQ364" s="75" t="str">
        <v/>
      </c>
      <c r="AR364" s="75" t="str">
        <v>-</v>
      </c>
      <c r="AS364" s="11"/>
      <c r="AT364" s="77" t="str">
        <v>-</v>
      </c>
      <c r="AU364" s="11" t="str">
        <v>-</v>
      </c>
      <c r="AV364" s="100"/>
      <c r="AW364" s="80" t="str">
        <f ca="1"/>
        <v>-</v>
      </c>
      <c r="AX364" s="80" t="b">
        <v>0</v>
      </c>
      <c r="AY364" s="68" t="str">
        <f t="shared" si="4"/>
        <v/>
      </c>
      <c r="AZ364" s="69" t="str">
        <f t="shared" si="5"/>
        <v/>
      </c>
      <c r="BA364" s="70" t="str">
        <f t="shared" si="6"/>
        <v/>
      </c>
      <c r="BB364" s="68" t="str">
        <f t="shared" si="7"/>
        <v/>
      </c>
      <c r="BC364" s="69" t="str">
        <f>IFERROR(VLOOKUP($AQ364,'(勿動)組件目錄表'!$D$15:$R$1094,7,FALSE),"")</f>
        <v/>
      </c>
      <c r="BD364" s="69" t="str">
        <f>IFERROR(VLOOKUP($AQ364,'(勿動)組件目錄表'!$D$15:$R$1094,8,FALSE),"")</f>
        <v/>
      </c>
      <c r="BE364" s="69" t="str">
        <f>IFERROR(VLOOKUP($AQ364,'(勿動)組件目錄表'!$D$15:$R$1094,9,FALSE),"")</f>
        <v/>
      </c>
      <c r="BF364" s="69" t="str">
        <f>IFERROR(VLOOKUP($AQ364,'(勿動)組件目錄表'!$D$15:$R$1094,10,FALSE),"")</f>
        <v/>
      </c>
      <c r="BG364" s="69" t="str">
        <f>IFERROR(VLOOKUP($AQ364,'(勿動)組件目錄表'!$D$15:$R$1094,11,FALSE),"")</f>
        <v/>
      </c>
      <c r="BH364" s="69" t="str">
        <f>IFERROR(VLOOKUP($AQ364,'(勿動)組件目錄表'!$D$15:$R$1094,12,FALSE),"")</f>
        <v/>
      </c>
      <c r="BI364" s="69" t="str">
        <f>IFERROR(VLOOKUP($AQ364,'(勿動)組件目錄表'!$D$15:$R$1094,13,FALSE),"")</f>
        <v/>
      </c>
      <c r="BJ364" s="69" t="str">
        <f>IFERROR(VLOOKUP($AQ364,'(勿動)組件目錄表'!$D$15:$R$1094,14,FALSE),"")</f>
        <v/>
      </c>
      <c r="BK364" s="69" t="str">
        <f>IFERROR(VLOOKUP($AQ364,'(勿動)組件目錄表'!$D$15:$R$1094,15,FALSE),"")</f>
        <v/>
      </c>
      <c r="BL364" s="81">
        <f ca="1">IFERROR(__xludf.DUMMYFUNCTION("IFERROR(
  LET(
    rowData, FILTER('(勿動)組件目錄表'!J:Q, '(勿動)組件目錄表'!D:D=AQ364),
    IF(ROWS(rowData)=0, 0, 
      (
        IF(AND(BC364&lt;&gt;"""", INDEX(rowData,1,1)=BC364),1,0) +
        IF(AND(BD364&lt;&gt;"""", INDEX(rowData,1,2)=BD364),1,0) +
        IF(AND(BE364"&amp;"&lt;&gt;"""", INDEX(rowData,1,3)=BE364),1,0) +
        IF(AND(BF364&lt;&gt;"""", INDEX(rowData,1,4)=BF364),1,0) +
        IF(AND(BG364&lt;&gt;"""", INDEX(rowData,1,5)=BG364),1,0) +
        IF(AND(BH364&lt;&gt;"""", INDEX(rowData,1,6)=BH364),1,0) +
        IF(AND(BI364&lt;&gt;"""", IND"&amp;"EX(rowData,1,7)=BI364),1,0) +
        IF(AND(BJ364&lt;&gt;"""", INDEX(rowData,1,8)=BJ364),1,0)
      ) - COUNTIF(BC364:BJ364, ""-"")
        - COUNTIF(BC364:BJ364, ""固定格式，不需提供資訊"")
        - COUNTIF(BC364:BJ364, ""由MKT更新，此欄位固定格式，不需提供資訊
(Voucher CID：12917705872)"&amp;""")
        - COUNTIF(BC364:BJ364, ""text固定為以下：
※直播間僅支援手機版"")
        - COUNTIF(BC364:BJ364, ""text固定為以下：
※短影音僅支援手機版"")
    )
  ), 
  0
)
"),0)</f>
        <v>0</v>
      </c>
      <c r="BM364" s="77" t="b">
        <v>0</v>
      </c>
      <c r="BN364" s="85"/>
      <c r="BO364" s="85"/>
    </row>
    <row r="365" spans="1:67" ht="30" customHeight="1">
      <c r="A365" s="73" t="str">
        <f t="array" aca="1" ref="A365" ca="1">IFERROR(TRANSPOSE(INDIRECT('MS section版配(Old)'!$AO365)),"")</f>
        <v/>
      </c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8"/>
      <c r="P365" s="88"/>
      <c r="Q365" s="88"/>
      <c r="R365" s="88"/>
      <c r="S365" s="88"/>
      <c r="T365" s="88"/>
      <c r="U365" s="88"/>
      <c r="V365" s="88"/>
      <c r="W365" s="88"/>
      <c r="X365" s="88"/>
      <c r="Y365" s="88"/>
      <c r="Z365" s="88"/>
      <c r="AA365" s="88"/>
      <c r="AB365" s="88"/>
      <c r="AC365" s="88"/>
      <c r="AD365" s="88"/>
      <c r="AE365" s="397" t="str">
        <f>IFERROR(VLOOKUP($AQ365,'(勿動)組件目錄表'!$D$15:$R$1094,4,FALSE),"")</f>
        <v/>
      </c>
      <c r="AF365" s="384"/>
      <c r="AG365" s="384"/>
      <c r="AH365" s="384"/>
      <c r="AI365" s="384"/>
      <c r="AJ365" s="385"/>
      <c r="AK365" s="54" t="b">
        <v>0</v>
      </c>
      <c r="AL365" s="54" t="b">
        <v>0</v>
      </c>
      <c r="AM365" s="54"/>
      <c r="AN365" s="7" t="str">
        <v>357</v>
      </c>
      <c r="AO365" s="7"/>
      <c r="AP365" s="62"/>
      <c r="AQ365" s="75" t="str">
        <v/>
      </c>
      <c r="AR365" s="75" t="str">
        <v>-</v>
      </c>
      <c r="AS365" s="11"/>
      <c r="AT365" s="77" t="str">
        <v>-</v>
      </c>
      <c r="AU365" s="11" t="str">
        <v>-</v>
      </c>
      <c r="AV365" s="100"/>
      <c r="AW365" s="80" t="str">
        <f ca="1"/>
        <v>-</v>
      </c>
      <c r="AX365" s="80" t="b">
        <v>0</v>
      </c>
      <c r="AY365" s="68" t="str">
        <f t="shared" si="4"/>
        <v/>
      </c>
      <c r="AZ365" s="69" t="str">
        <f t="shared" si="5"/>
        <v/>
      </c>
      <c r="BA365" s="70" t="str">
        <f t="shared" si="6"/>
        <v/>
      </c>
      <c r="BB365" s="68" t="str">
        <f t="shared" si="7"/>
        <v/>
      </c>
      <c r="BC365" s="69" t="str">
        <f>IFERROR(VLOOKUP($AQ365,'(勿動)組件目錄表'!$D$15:$R$1094,7,FALSE),"")</f>
        <v/>
      </c>
      <c r="BD365" s="69" t="str">
        <f>IFERROR(VLOOKUP($AQ365,'(勿動)組件目錄表'!$D$15:$R$1094,8,FALSE),"")</f>
        <v/>
      </c>
      <c r="BE365" s="69" t="str">
        <f>IFERROR(VLOOKUP($AQ365,'(勿動)組件目錄表'!$D$15:$R$1094,9,FALSE),"")</f>
        <v/>
      </c>
      <c r="BF365" s="69" t="str">
        <f>IFERROR(VLOOKUP($AQ365,'(勿動)組件目錄表'!$D$15:$R$1094,10,FALSE),"")</f>
        <v/>
      </c>
      <c r="BG365" s="69" t="str">
        <f>IFERROR(VLOOKUP($AQ365,'(勿動)組件目錄表'!$D$15:$R$1094,11,FALSE),"")</f>
        <v/>
      </c>
      <c r="BH365" s="69" t="str">
        <f>IFERROR(VLOOKUP($AQ365,'(勿動)組件目錄表'!$D$15:$R$1094,12,FALSE),"")</f>
        <v/>
      </c>
      <c r="BI365" s="69" t="str">
        <f>IFERROR(VLOOKUP($AQ365,'(勿動)組件目錄表'!$D$15:$R$1094,13,FALSE),"")</f>
        <v/>
      </c>
      <c r="BJ365" s="69" t="str">
        <f>IFERROR(VLOOKUP($AQ365,'(勿動)組件目錄表'!$D$15:$R$1094,14,FALSE),"")</f>
        <v/>
      </c>
      <c r="BK365" s="69" t="str">
        <f>IFERROR(VLOOKUP($AQ365,'(勿動)組件目錄表'!$D$15:$R$1094,15,FALSE),"")</f>
        <v/>
      </c>
      <c r="BL365" s="81">
        <f ca="1">IFERROR(__xludf.DUMMYFUNCTION("IFERROR(
  LET(
    rowData, FILTER('(勿動)組件目錄表'!J:Q, '(勿動)組件目錄表'!D:D=AQ365),
    IF(ROWS(rowData)=0, 0, 
      (
        IF(AND(BC365&lt;&gt;"""", INDEX(rowData,1,1)=BC365),1,0) +
        IF(AND(BD365&lt;&gt;"""", INDEX(rowData,1,2)=BD365),1,0) +
        IF(AND(BE365"&amp;"&lt;&gt;"""", INDEX(rowData,1,3)=BE365),1,0) +
        IF(AND(BF365&lt;&gt;"""", INDEX(rowData,1,4)=BF365),1,0) +
        IF(AND(BG365&lt;&gt;"""", INDEX(rowData,1,5)=BG365),1,0) +
        IF(AND(BH365&lt;&gt;"""", INDEX(rowData,1,6)=BH365),1,0) +
        IF(AND(BI365&lt;&gt;"""", IND"&amp;"EX(rowData,1,7)=BI365),1,0) +
        IF(AND(BJ365&lt;&gt;"""", INDEX(rowData,1,8)=BJ365),1,0)
      ) - COUNTIF(BC365:BJ365, ""-"")
        - COUNTIF(BC365:BJ365, ""固定格式，不需提供資訊"")
        - COUNTIF(BC365:BJ365, ""由MKT更新，此欄位固定格式，不需提供資訊
(Voucher CID：12917705872)"&amp;""")
        - COUNTIF(BC365:BJ365, ""text固定為以下：
※直播間僅支援手機版"")
        - COUNTIF(BC365:BJ365, ""text固定為以下：
※短影音僅支援手機版"")
    )
  ), 
  0
)
"),0)</f>
        <v>0</v>
      </c>
      <c r="BM365" s="77" t="b">
        <v>0</v>
      </c>
      <c r="BN365" s="85"/>
      <c r="BO365" s="85"/>
    </row>
    <row r="366" spans="1:67" ht="30" customHeight="1">
      <c r="A366" s="73" t="str">
        <f t="array" aca="1" ref="A366" ca="1">IFERROR(TRANSPOSE(INDIRECT('MS section版配(Old)'!$AO366)),"")</f>
        <v/>
      </c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8"/>
      <c r="P366" s="88"/>
      <c r="Q366" s="88"/>
      <c r="R366" s="88"/>
      <c r="S366" s="88"/>
      <c r="T366" s="88"/>
      <c r="U366" s="88"/>
      <c r="V366" s="88"/>
      <c r="W366" s="88"/>
      <c r="X366" s="88"/>
      <c r="Y366" s="88"/>
      <c r="Z366" s="88"/>
      <c r="AA366" s="88"/>
      <c r="AB366" s="88"/>
      <c r="AC366" s="88"/>
      <c r="AD366" s="88"/>
      <c r="AE366" s="397" t="str">
        <f>IFERROR(VLOOKUP($AQ366,'(勿動)組件目錄表'!$D$15:$R$1094,4,FALSE),"")</f>
        <v/>
      </c>
      <c r="AF366" s="384"/>
      <c r="AG366" s="384"/>
      <c r="AH366" s="384"/>
      <c r="AI366" s="384"/>
      <c r="AJ366" s="385"/>
      <c r="AK366" s="54" t="b">
        <v>0</v>
      </c>
      <c r="AL366" s="54" t="b">
        <v>0</v>
      </c>
      <c r="AM366" s="54"/>
      <c r="AN366" s="7" t="str">
        <v>358</v>
      </c>
      <c r="AO366" s="7"/>
      <c r="AP366" s="62"/>
      <c r="AQ366" s="75" t="str">
        <v/>
      </c>
      <c r="AR366" s="75" t="str">
        <v>-</v>
      </c>
      <c r="AS366" s="11"/>
      <c r="AT366" s="77" t="str">
        <v>-</v>
      </c>
      <c r="AU366" s="11" t="str">
        <v>-</v>
      </c>
      <c r="AV366" s="100"/>
      <c r="AW366" s="80" t="str">
        <f ca="1"/>
        <v>-</v>
      </c>
      <c r="AX366" s="80" t="b">
        <v>0</v>
      </c>
      <c r="AY366" s="68" t="str">
        <f t="shared" si="4"/>
        <v/>
      </c>
      <c r="AZ366" s="69" t="str">
        <f t="shared" si="5"/>
        <v/>
      </c>
      <c r="BA366" s="70" t="str">
        <f t="shared" si="6"/>
        <v/>
      </c>
      <c r="BB366" s="68" t="str">
        <f t="shared" si="7"/>
        <v/>
      </c>
      <c r="BC366" s="69" t="str">
        <f>IFERROR(VLOOKUP($AQ366,'(勿動)組件目錄表'!$D$15:$R$1094,7,FALSE),"")</f>
        <v/>
      </c>
      <c r="BD366" s="69" t="str">
        <f>IFERROR(VLOOKUP($AQ366,'(勿動)組件目錄表'!$D$15:$R$1094,8,FALSE),"")</f>
        <v/>
      </c>
      <c r="BE366" s="69" t="str">
        <f>IFERROR(VLOOKUP($AQ366,'(勿動)組件目錄表'!$D$15:$R$1094,9,FALSE),"")</f>
        <v/>
      </c>
      <c r="BF366" s="69" t="str">
        <f>IFERROR(VLOOKUP($AQ366,'(勿動)組件目錄表'!$D$15:$R$1094,10,FALSE),"")</f>
        <v/>
      </c>
      <c r="BG366" s="69" t="str">
        <f>IFERROR(VLOOKUP($AQ366,'(勿動)組件目錄表'!$D$15:$R$1094,11,FALSE),"")</f>
        <v/>
      </c>
      <c r="BH366" s="69" t="str">
        <f>IFERROR(VLOOKUP($AQ366,'(勿動)組件目錄表'!$D$15:$R$1094,12,FALSE),"")</f>
        <v/>
      </c>
      <c r="BI366" s="69" t="str">
        <f>IFERROR(VLOOKUP($AQ366,'(勿動)組件目錄表'!$D$15:$R$1094,13,FALSE),"")</f>
        <v/>
      </c>
      <c r="BJ366" s="69" t="str">
        <f>IFERROR(VLOOKUP($AQ366,'(勿動)組件目錄表'!$D$15:$R$1094,14,FALSE),"")</f>
        <v/>
      </c>
      <c r="BK366" s="69" t="str">
        <f>IFERROR(VLOOKUP($AQ366,'(勿動)組件目錄表'!$D$15:$R$1094,15,FALSE),"")</f>
        <v/>
      </c>
      <c r="BL366" s="81">
        <f ca="1">IFERROR(__xludf.DUMMYFUNCTION("IFERROR(
  LET(
    rowData, FILTER('(勿動)組件目錄表'!J:Q, '(勿動)組件目錄表'!D:D=AQ366),
    IF(ROWS(rowData)=0, 0, 
      (
        IF(AND(BC366&lt;&gt;"""", INDEX(rowData,1,1)=BC366),1,0) +
        IF(AND(BD366&lt;&gt;"""", INDEX(rowData,1,2)=BD366),1,0) +
        IF(AND(BE366"&amp;"&lt;&gt;"""", INDEX(rowData,1,3)=BE366),1,0) +
        IF(AND(BF366&lt;&gt;"""", INDEX(rowData,1,4)=BF366),1,0) +
        IF(AND(BG366&lt;&gt;"""", INDEX(rowData,1,5)=BG366),1,0) +
        IF(AND(BH366&lt;&gt;"""", INDEX(rowData,1,6)=BH366),1,0) +
        IF(AND(BI366&lt;&gt;"""", IND"&amp;"EX(rowData,1,7)=BI366),1,0) +
        IF(AND(BJ366&lt;&gt;"""", INDEX(rowData,1,8)=BJ366),1,0)
      ) - COUNTIF(BC366:BJ366, ""-"")
        - COUNTIF(BC366:BJ366, ""固定格式，不需提供資訊"")
        - COUNTIF(BC366:BJ366, ""由MKT更新，此欄位固定格式，不需提供資訊
(Voucher CID：12917705872)"&amp;""")
        - COUNTIF(BC366:BJ366, ""text固定為以下：
※直播間僅支援手機版"")
        - COUNTIF(BC366:BJ366, ""text固定為以下：
※短影音僅支援手機版"")
    )
  ), 
  0
)
"),0)</f>
        <v>0</v>
      </c>
      <c r="BM366" s="77" t="b">
        <v>0</v>
      </c>
      <c r="BN366" s="85"/>
      <c r="BO366" s="85"/>
    </row>
    <row r="367" spans="1:67" ht="30" customHeight="1">
      <c r="A367" s="73" t="str">
        <f t="array" aca="1" ref="A367" ca="1">IFERROR(TRANSPOSE(INDIRECT('MS section版配(Old)'!$AO367)),"")</f>
        <v/>
      </c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8"/>
      <c r="P367" s="88"/>
      <c r="Q367" s="88"/>
      <c r="R367" s="88"/>
      <c r="S367" s="88"/>
      <c r="T367" s="88"/>
      <c r="U367" s="88"/>
      <c r="V367" s="88"/>
      <c r="W367" s="88"/>
      <c r="X367" s="88"/>
      <c r="Y367" s="88"/>
      <c r="Z367" s="88"/>
      <c r="AA367" s="88"/>
      <c r="AB367" s="88"/>
      <c r="AC367" s="88"/>
      <c r="AD367" s="88"/>
      <c r="AE367" s="397" t="str">
        <f>IFERROR(VLOOKUP($AQ367,'(勿動)組件目錄表'!$D$15:$R$1094,4,FALSE),"")</f>
        <v/>
      </c>
      <c r="AF367" s="384"/>
      <c r="AG367" s="384"/>
      <c r="AH367" s="384"/>
      <c r="AI367" s="384"/>
      <c r="AJ367" s="385"/>
      <c r="AK367" s="54" t="b">
        <v>0</v>
      </c>
      <c r="AL367" s="54" t="b">
        <v>0</v>
      </c>
      <c r="AM367" s="54"/>
      <c r="AN367" s="7" t="str">
        <v>359</v>
      </c>
      <c r="AO367" s="7"/>
      <c r="AP367" s="62"/>
      <c r="AQ367" s="75" t="str">
        <v/>
      </c>
      <c r="AR367" s="75" t="str">
        <v>-</v>
      </c>
      <c r="AS367" s="11"/>
      <c r="AT367" s="77" t="str">
        <v>-</v>
      </c>
      <c r="AU367" s="11" t="str">
        <v>-</v>
      </c>
      <c r="AV367" s="100"/>
      <c r="AW367" s="80" t="str">
        <f ca="1"/>
        <v>-</v>
      </c>
      <c r="AX367" s="80" t="b">
        <v>0</v>
      </c>
      <c r="AY367" s="68" t="str">
        <f t="shared" si="4"/>
        <v/>
      </c>
      <c r="AZ367" s="69" t="str">
        <f t="shared" si="5"/>
        <v/>
      </c>
      <c r="BA367" s="70" t="str">
        <f t="shared" si="6"/>
        <v/>
      </c>
      <c r="BB367" s="68" t="str">
        <f t="shared" si="7"/>
        <v/>
      </c>
      <c r="BC367" s="69" t="str">
        <f>IFERROR(VLOOKUP($AQ367,'(勿動)組件目錄表'!$D$15:$R$1094,7,FALSE),"")</f>
        <v/>
      </c>
      <c r="BD367" s="69" t="str">
        <f>IFERROR(VLOOKUP($AQ367,'(勿動)組件目錄表'!$D$15:$R$1094,8,FALSE),"")</f>
        <v/>
      </c>
      <c r="BE367" s="69" t="str">
        <f>IFERROR(VLOOKUP($AQ367,'(勿動)組件目錄表'!$D$15:$R$1094,9,FALSE),"")</f>
        <v/>
      </c>
      <c r="BF367" s="69" t="str">
        <f>IFERROR(VLOOKUP($AQ367,'(勿動)組件目錄表'!$D$15:$R$1094,10,FALSE),"")</f>
        <v/>
      </c>
      <c r="BG367" s="69" t="str">
        <f>IFERROR(VLOOKUP($AQ367,'(勿動)組件目錄表'!$D$15:$R$1094,11,FALSE),"")</f>
        <v/>
      </c>
      <c r="BH367" s="69" t="str">
        <f>IFERROR(VLOOKUP($AQ367,'(勿動)組件目錄表'!$D$15:$R$1094,12,FALSE),"")</f>
        <v/>
      </c>
      <c r="BI367" s="69" t="str">
        <f>IFERROR(VLOOKUP($AQ367,'(勿動)組件目錄表'!$D$15:$R$1094,13,FALSE),"")</f>
        <v/>
      </c>
      <c r="BJ367" s="69" t="str">
        <f>IFERROR(VLOOKUP($AQ367,'(勿動)組件目錄表'!$D$15:$R$1094,14,FALSE),"")</f>
        <v/>
      </c>
      <c r="BK367" s="69" t="str">
        <f>IFERROR(VLOOKUP($AQ367,'(勿動)組件目錄表'!$D$15:$R$1094,15,FALSE),"")</f>
        <v/>
      </c>
      <c r="BL367" s="81">
        <f ca="1">IFERROR(__xludf.DUMMYFUNCTION("IFERROR(
  LET(
    rowData, FILTER('(勿動)組件目錄表'!J:Q, '(勿動)組件目錄表'!D:D=AQ367),
    IF(ROWS(rowData)=0, 0, 
      (
        IF(AND(BC367&lt;&gt;"""", INDEX(rowData,1,1)=BC367),1,0) +
        IF(AND(BD367&lt;&gt;"""", INDEX(rowData,1,2)=BD367),1,0) +
        IF(AND(BE367"&amp;"&lt;&gt;"""", INDEX(rowData,1,3)=BE367),1,0) +
        IF(AND(BF367&lt;&gt;"""", INDEX(rowData,1,4)=BF367),1,0) +
        IF(AND(BG367&lt;&gt;"""", INDEX(rowData,1,5)=BG367),1,0) +
        IF(AND(BH367&lt;&gt;"""", INDEX(rowData,1,6)=BH367),1,0) +
        IF(AND(BI367&lt;&gt;"""", IND"&amp;"EX(rowData,1,7)=BI367),1,0) +
        IF(AND(BJ367&lt;&gt;"""", INDEX(rowData,1,8)=BJ367),1,0)
      ) - COUNTIF(BC367:BJ367, ""-"")
        - COUNTIF(BC367:BJ367, ""固定格式，不需提供資訊"")
        - COUNTIF(BC367:BJ367, ""由MKT更新，此欄位固定格式，不需提供資訊
(Voucher CID：12917705872)"&amp;""")
        - COUNTIF(BC367:BJ367, ""text固定為以下：
※直播間僅支援手機版"")
        - COUNTIF(BC367:BJ367, ""text固定為以下：
※短影音僅支援手機版"")
    )
  ), 
  0
)
"),0)</f>
        <v>0</v>
      </c>
      <c r="BM367" s="77" t="b">
        <v>0</v>
      </c>
      <c r="BN367" s="85"/>
      <c r="BO367" s="85"/>
    </row>
    <row r="368" spans="1:67" ht="30" customHeight="1">
      <c r="A368" s="73" t="str">
        <f t="array" aca="1" ref="A368" ca="1">IFERROR(TRANSPOSE(INDIRECT('MS section版配(Old)'!$AO368)),"")</f>
        <v/>
      </c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8"/>
      <c r="P368" s="88"/>
      <c r="Q368" s="88"/>
      <c r="R368" s="88"/>
      <c r="S368" s="88"/>
      <c r="T368" s="88"/>
      <c r="U368" s="88"/>
      <c r="V368" s="88"/>
      <c r="W368" s="88"/>
      <c r="X368" s="88"/>
      <c r="Y368" s="88"/>
      <c r="Z368" s="88"/>
      <c r="AA368" s="88"/>
      <c r="AB368" s="88"/>
      <c r="AC368" s="88"/>
      <c r="AD368" s="88"/>
      <c r="AE368" s="397" t="str">
        <f>IFERROR(VLOOKUP($AQ368,'(勿動)組件目錄表'!$D$15:$R$1094,4,FALSE),"")</f>
        <v/>
      </c>
      <c r="AF368" s="384"/>
      <c r="AG368" s="384"/>
      <c r="AH368" s="384"/>
      <c r="AI368" s="384"/>
      <c r="AJ368" s="385"/>
      <c r="AK368" s="54" t="b">
        <v>0</v>
      </c>
      <c r="AL368" s="54" t="b">
        <v>0</v>
      </c>
      <c r="AM368" s="54"/>
      <c r="AN368" s="7" t="str">
        <v>360</v>
      </c>
      <c r="AO368" s="7"/>
      <c r="AP368" s="62"/>
      <c r="AQ368" s="75" t="str">
        <v/>
      </c>
      <c r="AR368" s="75" t="str">
        <v>-</v>
      </c>
      <c r="AS368" s="11"/>
      <c r="AT368" s="77" t="str">
        <v>-</v>
      </c>
      <c r="AU368" s="11" t="str">
        <v>-</v>
      </c>
      <c r="AV368" s="100"/>
      <c r="AW368" s="80" t="str">
        <f ca="1"/>
        <v>-</v>
      </c>
      <c r="AX368" s="80" t="b">
        <v>0</v>
      </c>
      <c r="AY368" s="68" t="str">
        <f t="shared" si="4"/>
        <v/>
      </c>
      <c r="AZ368" s="69" t="str">
        <f t="shared" si="5"/>
        <v/>
      </c>
      <c r="BA368" s="70" t="str">
        <f t="shared" si="6"/>
        <v/>
      </c>
      <c r="BB368" s="68" t="str">
        <f t="shared" si="7"/>
        <v/>
      </c>
      <c r="BC368" s="69" t="str">
        <f>IFERROR(VLOOKUP($AQ368,'(勿動)組件目錄表'!$D$15:$R$1094,7,FALSE),"")</f>
        <v/>
      </c>
      <c r="BD368" s="69" t="str">
        <f>IFERROR(VLOOKUP($AQ368,'(勿動)組件目錄表'!$D$15:$R$1094,8,FALSE),"")</f>
        <v/>
      </c>
      <c r="BE368" s="69" t="str">
        <f>IFERROR(VLOOKUP($AQ368,'(勿動)組件目錄表'!$D$15:$R$1094,9,FALSE),"")</f>
        <v/>
      </c>
      <c r="BF368" s="69" t="str">
        <f>IFERROR(VLOOKUP($AQ368,'(勿動)組件目錄表'!$D$15:$R$1094,10,FALSE),"")</f>
        <v/>
      </c>
      <c r="BG368" s="69" t="str">
        <f>IFERROR(VLOOKUP($AQ368,'(勿動)組件目錄表'!$D$15:$R$1094,11,FALSE),"")</f>
        <v/>
      </c>
      <c r="BH368" s="69" t="str">
        <f>IFERROR(VLOOKUP($AQ368,'(勿動)組件目錄表'!$D$15:$R$1094,12,FALSE),"")</f>
        <v/>
      </c>
      <c r="BI368" s="69" t="str">
        <f>IFERROR(VLOOKUP($AQ368,'(勿動)組件目錄表'!$D$15:$R$1094,13,FALSE),"")</f>
        <v/>
      </c>
      <c r="BJ368" s="69" t="str">
        <f>IFERROR(VLOOKUP($AQ368,'(勿動)組件目錄表'!$D$15:$R$1094,14,FALSE),"")</f>
        <v/>
      </c>
      <c r="BK368" s="69" t="str">
        <f>IFERROR(VLOOKUP($AQ368,'(勿動)組件目錄表'!$D$15:$R$1094,15,FALSE),"")</f>
        <v/>
      </c>
      <c r="BL368" s="81">
        <f ca="1">IFERROR(__xludf.DUMMYFUNCTION("IFERROR(
  LET(
    rowData, FILTER('(勿動)組件目錄表'!J:Q, '(勿動)組件目錄表'!D:D=AQ368),
    IF(ROWS(rowData)=0, 0, 
      (
        IF(AND(BC368&lt;&gt;"""", INDEX(rowData,1,1)=BC368),1,0) +
        IF(AND(BD368&lt;&gt;"""", INDEX(rowData,1,2)=BD368),1,0) +
        IF(AND(BE368"&amp;"&lt;&gt;"""", INDEX(rowData,1,3)=BE368),1,0) +
        IF(AND(BF368&lt;&gt;"""", INDEX(rowData,1,4)=BF368),1,0) +
        IF(AND(BG368&lt;&gt;"""", INDEX(rowData,1,5)=BG368),1,0) +
        IF(AND(BH368&lt;&gt;"""", INDEX(rowData,1,6)=BH368),1,0) +
        IF(AND(BI368&lt;&gt;"""", IND"&amp;"EX(rowData,1,7)=BI368),1,0) +
        IF(AND(BJ368&lt;&gt;"""", INDEX(rowData,1,8)=BJ368),1,0)
      ) - COUNTIF(BC368:BJ368, ""-"")
        - COUNTIF(BC368:BJ368, ""固定格式，不需提供資訊"")
        - COUNTIF(BC368:BJ368, ""由MKT更新，此欄位固定格式，不需提供資訊
(Voucher CID：12917705872)"&amp;""")
        - COUNTIF(BC368:BJ368, ""text固定為以下：
※直播間僅支援手機版"")
        - COUNTIF(BC368:BJ368, ""text固定為以下：
※短影音僅支援手機版"")
    )
  ), 
  0
)
"),0)</f>
        <v>0</v>
      </c>
      <c r="BM368" s="77" t="b">
        <v>0</v>
      </c>
      <c r="BN368" s="85"/>
      <c r="BO368" s="85"/>
    </row>
    <row r="369" spans="1:67" ht="30" customHeight="1">
      <c r="A369" s="73" t="str">
        <f t="array" aca="1" ref="A369" ca="1">IFERROR(TRANSPOSE(INDIRECT('MS section版配(Old)'!$AO369)),"")</f>
        <v/>
      </c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8"/>
      <c r="P369" s="88"/>
      <c r="Q369" s="88"/>
      <c r="R369" s="88"/>
      <c r="S369" s="88"/>
      <c r="T369" s="88"/>
      <c r="U369" s="88"/>
      <c r="V369" s="88"/>
      <c r="W369" s="88"/>
      <c r="X369" s="88"/>
      <c r="Y369" s="88"/>
      <c r="Z369" s="88"/>
      <c r="AA369" s="88"/>
      <c r="AB369" s="88"/>
      <c r="AC369" s="88"/>
      <c r="AD369" s="88"/>
      <c r="AE369" s="397" t="str">
        <f>IFERROR(VLOOKUP($AQ369,'(勿動)組件目錄表'!$D$15:$R$1094,4,FALSE),"")</f>
        <v/>
      </c>
      <c r="AF369" s="384"/>
      <c r="AG369" s="384"/>
      <c r="AH369" s="384"/>
      <c r="AI369" s="384"/>
      <c r="AJ369" s="385"/>
      <c r="AK369" s="54" t="b">
        <v>0</v>
      </c>
      <c r="AL369" s="54" t="b">
        <v>0</v>
      </c>
      <c r="AM369" s="54"/>
      <c r="AN369" s="7" t="str">
        <v>361</v>
      </c>
      <c r="AO369" s="7"/>
      <c r="AP369" s="62"/>
      <c r="AQ369" s="75" t="str">
        <v/>
      </c>
      <c r="AR369" s="75" t="str">
        <v>-</v>
      </c>
      <c r="AS369" s="11"/>
      <c r="AT369" s="77" t="str">
        <v>-</v>
      </c>
      <c r="AU369" s="11" t="str">
        <v>-</v>
      </c>
      <c r="AV369" s="100"/>
      <c r="AW369" s="80" t="str">
        <f ca="1"/>
        <v>-</v>
      </c>
      <c r="AX369" s="80" t="b">
        <v>0</v>
      </c>
      <c r="AY369" s="68" t="str">
        <f t="shared" si="4"/>
        <v/>
      </c>
      <c r="AZ369" s="69" t="str">
        <f t="shared" si="5"/>
        <v/>
      </c>
      <c r="BA369" s="70" t="str">
        <f t="shared" si="6"/>
        <v/>
      </c>
      <c r="BB369" s="68" t="str">
        <f t="shared" si="7"/>
        <v/>
      </c>
      <c r="BC369" s="69" t="str">
        <f>IFERROR(VLOOKUP($AQ369,'(勿動)組件目錄表'!$D$15:$R$1094,7,FALSE),"")</f>
        <v/>
      </c>
      <c r="BD369" s="69" t="str">
        <f>IFERROR(VLOOKUP($AQ369,'(勿動)組件目錄表'!$D$15:$R$1094,8,FALSE),"")</f>
        <v/>
      </c>
      <c r="BE369" s="69" t="str">
        <f>IFERROR(VLOOKUP($AQ369,'(勿動)組件目錄表'!$D$15:$R$1094,9,FALSE),"")</f>
        <v/>
      </c>
      <c r="BF369" s="69" t="str">
        <f>IFERROR(VLOOKUP($AQ369,'(勿動)組件目錄表'!$D$15:$R$1094,10,FALSE),"")</f>
        <v/>
      </c>
      <c r="BG369" s="69" t="str">
        <f>IFERROR(VLOOKUP($AQ369,'(勿動)組件目錄表'!$D$15:$R$1094,11,FALSE),"")</f>
        <v/>
      </c>
      <c r="BH369" s="69" t="str">
        <f>IFERROR(VLOOKUP($AQ369,'(勿動)組件目錄表'!$D$15:$R$1094,12,FALSE),"")</f>
        <v/>
      </c>
      <c r="BI369" s="69" t="str">
        <f>IFERROR(VLOOKUP($AQ369,'(勿動)組件目錄表'!$D$15:$R$1094,13,FALSE),"")</f>
        <v/>
      </c>
      <c r="BJ369" s="69" t="str">
        <f>IFERROR(VLOOKUP($AQ369,'(勿動)組件目錄表'!$D$15:$R$1094,14,FALSE),"")</f>
        <v/>
      </c>
      <c r="BK369" s="69" t="str">
        <f>IFERROR(VLOOKUP($AQ369,'(勿動)組件目錄表'!$D$15:$R$1094,15,FALSE),"")</f>
        <v/>
      </c>
      <c r="BL369" s="81">
        <f ca="1">IFERROR(__xludf.DUMMYFUNCTION("IFERROR(
  LET(
    rowData, FILTER('(勿動)組件目錄表'!J:Q, '(勿動)組件目錄表'!D:D=AQ369),
    IF(ROWS(rowData)=0, 0, 
      (
        IF(AND(BC369&lt;&gt;"""", INDEX(rowData,1,1)=BC369),1,0) +
        IF(AND(BD369&lt;&gt;"""", INDEX(rowData,1,2)=BD369),1,0) +
        IF(AND(BE369"&amp;"&lt;&gt;"""", INDEX(rowData,1,3)=BE369),1,0) +
        IF(AND(BF369&lt;&gt;"""", INDEX(rowData,1,4)=BF369),1,0) +
        IF(AND(BG369&lt;&gt;"""", INDEX(rowData,1,5)=BG369),1,0) +
        IF(AND(BH369&lt;&gt;"""", INDEX(rowData,1,6)=BH369),1,0) +
        IF(AND(BI369&lt;&gt;"""", IND"&amp;"EX(rowData,1,7)=BI369),1,0) +
        IF(AND(BJ369&lt;&gt;"""", INDEX(rowData,1,8)=BJ369),1,0)
      ) - COUNTIF(BC369:BJ369, ""-"")
        - COUNTIF(BC369:BJ369, ""固定格式，不需提供資訊"")
        - COUNTIF(BC369:BJ369, ""由MKT更新，此欄位固定格式，不需提供資訊
(Voucher CID：12917705872)"&amp;""")
        - COUNTIF(BC369:BJ369, ""text固定為以下：
※直播間僅支援手機版"")
        - COUNTIF(BC369:BJ369, ""text固定為以下：
※短影音僅支援手機版"")
    )
  ), 
  0
)
"),0)</f>
        <v>0</v>
      </c>
      <c r="BM369" s="77" t="b">
        <v>0</v>
      </c>
      <c r="BN369" s="85"/>
      <c r="BO369" s="85"/>
    </row>
    <row r="370" spans="1:67" ht="30" customHeight="1">
      <c r="A370" s="73" t="str">
        <f t="array" aca="1" ref="A370" ca="1">IFERROR(TRANSPOSE(INDIRECT('MS section版配(Old)'!$AO370)),"")</f>
        <v/>
      </c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8"/>
      <c r="P370" s="88"/>
      <c r="Q370" s="88"/>
      <c r="R370" s="88"/>
      <c r="S370" s="88"/>
      <c r="T370" s="88"/>
      <c r="U370" s="88"/>
      <c r="V370" s="88"/>
      <c r="W370" s="88"/>
      <c r="X370" s="88"/>
      <c r="Y370" s="88"/>
      <c r="Z370" s="88"/>
      <c r="AA370" s="88"/>
      <c r="AB370" s="88"/>
      <c r="AC370" s="88"/>
      <c r="AD370" s="88"/>
      <c r="AE370" s="397" t="str">
        <f>IFERROR(VLOOKUP($AQ370,'(勿動)組件目錄表'!$D$15:$R$1094,4,FALSE),"")</f>
        <v/>
      </c>
      <c r="AF370" s="384"/>
      <c r="AG370" s="384"/>
      <c r="AH370" s="384"/>
      <c r="AI370" s="384"/>
      <c r="AJ370" s="385"/>
      <c r="AK370" s="54" t="b">
        <v>0</v>
      </c>
      <c r="AL370" s="54" t="b">
        <v>0</v>
      </c>
      <c r="AM370" s="54"/>
      <c r="AN370" s="7" t="str">
        <v>362</v>
      </c>
      <c r="AO370" s="7"/>
      <c r="AP370" s="62"/>
      <c r="AQ370" s="75" t="str">
        <v/>
      </c>
      <c r="AR370" s="75" t="str">
        <v>-</v>
      </c>
      <c r="AS370" s="11"/>
      <c r="AT370" s="77" t="str">
        <v>-</v>
      </c>
      <c r="AU370" s="11" t="str">
        <v>-</v>
      </c>
      <c r="AV370" s="100"/>
      <c r="AW370" s="80" t="str">
        <f ca="1"/>
        <v>-</v>
      </c>
      <c r="AX370" s="80" t="b">
        <v>0</v>
      </c>
      <c r="AY370" s="68" t="str">
        <f t="shared" si="4"/>
        <v/>
      </c>
      <c r="AZ370" s="69" t="str">
        <f t="shared" si="5"/>
        <v/>
      </c>
      <c r="BA370" s="70" t="str">
        <f t="shared" si="6"/>
        <v/>
      </c>
      <c r="BB370" s="68" t="str">
        <f t="shared" si="7"/>
        <v/>
      </c>
      <c r="BC370" s="69" t="str">
        <f>IFERROR(VLOOKUP($AQ370,'(勿動)組件目錄表'!$D$15:$R$1094,7,FALSE),"")</f>
        <v/>
      </c>
      <c r="BD370" s="69" t="str">
        <f>IFERROR(VLOOKUP($AQ370,'(勿動)組件目錄表'!$D$15:$R$1094,8,FALSE),"")</f>
        <v/>
      </c>
      <c r="BE370" s="69" t="str">
        <f>IFERROR(VLOOKUP($AQ370,'(勿動)組件目錄表'!$D$15:$R$1094,9,FALSE),"")</f>
        <v/>
      </c>
      <c r="BF370" s="69" t="str">
        <f>IFERROR(VLOOKUP($AQ370,'(勿動)組件目錄表'!$D$15:$R$1094,10,FALSE),"")</f>
        <v/>
      </c>
      <c r="BG370" s="69" t="str">
        <f>IFERROR(VLOOKUP($AQ370,'(勿動)組件目錄表'!$D$15:$R$1094,11,FALSE),"")</f>
        <v/>
      </c>
      <c r="BH370" s="69" t="str">
        <f>IFERROR(VLOOKUP($AQ370,'(勿動)組件目錄表'!$D$15:$R$1094,12,FALSE),"")</f>
        <v/>
      </c>
      <c r="BI370" s="69" t="str">
        <f>IFERROR(VLOOKUP($AQ370,'(勿動)組件目錄表'!$D$15:$R$1094,13,FALSE),"")</f>
        <v/>
      </c>
      <c r="BJ370" s="69" t="str">
        <f>IFERROR(VLOOKUP($AQ370,'(勿動)組件目錄表'!$D$15:$R$1094,14,FALSE),"")</f>
        <v/>
      </c>
      <c r="BK370" s="69" t="str">
        <f>IFERROR(VLOOKUP($AQ370,'(勿動)組件目錄表'!$D$15:$R$1094,15,FALSE),"")</f>
        <v/>
      </c>
      <c r="BL370" s="81">
        <f ca="1">IFERROR(__xludf.DUMMYFUNCTION("IFERROR(
  LET(
    rowData, FILTER('(勿動)組件目錄表'!J:Q, '(勿動)組件目錄表'!D:D=AQ370),
    IF(ROWS(rowData)=0, 0, 
      (
        IF(AND(BC370&lt;&gt;"""", INDEX(rowData,1,1)=BC370),1,0) +
        IF(AND(BD370&lt;&gt;"""", INDEX(rowData,1,2)=BD370),1,0) +
        IF(AND(BE370"&amp;"&lt;&gt;"""", INDEX(rowData,1,3)=BE370),1,0) +
        IF(AND(BF370&lt;&gt;"""", INDEX(rowData,1,4)=BF370),1,0) +
        IF(AND(BG370&lt;&gt;"""", INDEX(rowData,1,5)=BG370),1,0) +
        IF(AND(BH370&lt;&gt;"""", INDEX(rowData,1,6)=BH370),1,0) +
        IF(AND(BI370&lt;&gt;"""", IND"&amp;"EX(rowData,1,7)=BI370),1,0) +
        IF(AND(BJ370&lt;&gt;"""", INDEX(rowData,1,8)=BJ370),1,0)
      ) - COUNTIF(BC370:BJ370, ""-"")
        - COUNTIF(BC370:BJ370, ""固定格式，不需提供資訊"")
        - COUNTIF(BC370:BJ370, ""由MKT更新，此欄位固定格式，不需提供資訊
(Voucher CID：12917705872)"&amp;""")
        - COUNTIF(BC370:BJ370, ""text固定為以下：
※直播間僅支援手機版"")
        - COUNTIF(BC370:BJ370, ""text固定為以下：
※短影音僅支援手機版"")
    )
  ), 
  0
)
"),0)</f>
        <v>0</v>
      </c>
      <c r="BM370" s="77" t="b">
        <v>0</v>
      </c>
      <c r="BN370" s="85"/>
      <c r="BO370" s="85"/>
    </row>
    <row r="371" spans="1:67" ht="30" customHeight="1">
      <c r="A371" s="73" t="str">
        <f t="array" aca="1" ref="A371" ca="1">IFERROR(TRANSPOSE(INDIRECT('MS section版配(Old)'!$AO371)),"")</f>
        <v/>
      </c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8"/>
      <c r="P371" s="88"/>
      <c r="Q371" s="88"/>
      <c r="R371" s="88"/>
      <c r="S371" s="88"/>
      <c r="T371" s="88"/>
      <c r="U371" s="88"/>
      <c r="V371" s="88"/>
      <c r="W371" s="88"/>
      <c r="X371" s="88"/>
      <c r="Y371" s="88"/>
      <c r="Z371" s="88"/>
      <c r="AA371" s="88"/>
      <c r="AB371" s="88"/>
      <c r="AC371" s="88"/>
      <c r="AD371" s="88"/>
      <c r="AE371" s="397" t="str">
        <f>IFERROR(VLOOKUP($AQ371,'(勿動)組件目錄表'!$D$15:$R$1094,4,FALSE),"")</f>
        <v/>
      </c>
      <c r="AF371" s="384"/>
      <c r="AG371" s="384"/>
      <c r="AH371" s="384"/>
      <c r="AI371" s="384"/>
      <c r="AJ371" s="385"/>
      <c r="AK371" s="54" t="b">
        <v>0</v>
      </c>
      <c r="AL371" s="54" t="b">
        <v>0</v>
      </c>
      <c r="AM371" s="54"/>
      <c r="AN371" s="7" t="str">
        <v>363</v>
      </c>
      <c r="AO371" s="7"/>
      <c r="AP371" s="62"/>
      <c r="AQ371" s="75" t="str">
        <v/>
      </c>
      <c r="AR371" s="75" t="str">
        <v>-</v>
      </c>
      <c r="AS371" s="11"/>
      <c r="AT371" s="77" t="str">
        <v>-</v>
      </c>
      <c r="AU371" s="11" t="str">
        <v>-</v>
      </c>
      <c r="AV371" s="100"/>
      <c r="AW371" s="80" t="str">
        <f ca="1"/>
        <v>-</v>
      </c>
      <c r="AX371" s="80" t="b">
        <v>0</v>
      </c>
      <c r="AY371" s="68" t="str">
        <f t="shared" si="4"/>
        <v/>
      </c>
      <c r="AZ371" s="69" t="str">
        <f t="shared" si="5"/>
        <v/>
      </c>
      <c r="BA371" s="70" t="str">
        <f t="shared" si="6"/>
        <v/>
      </c>
      <c r="BB371" s="68" t="str">
        <f t="shared" si="7"/>
        <v/>
      </c>
      <c r="BC371" s="69" t="str">
        <f>IFERROR(VLOOKUP($AQ371,'(勿動)組件目錄表'!$D$15:$R$1094,7,FALSE),"")</f>
        <v/>
      </c>
      <c r="BD371" s="69" t="str">
        <f>IFERROR(VLOOKUP($AQ371,'(勿動)組件目錄表'!$D$15:$R$1094,8,FALSE),"")</f>
        <v/>
      </c>
      <c r="BE371" s="69" t="str">
        <f>IFERROR(VLOOKUP($AQ371,'(勿動)組件目錄表'!$D$15:$R$1094,9,FALSE),"")</f>
        <v/>
      </c>
      <c r="BF371" s="69" t="str">
        <f>IFERROR(VLOOKUP($AQ371,'(勿動)組件目錄表'!$D$15:$R$1094,10,FALSE),"")</f>
        <v/>
      </c>
      <c r="BG371" s="69" t="str">
        <f>IFERROR(VLOOKUP($AQ371,'(勿動)組件目錄表'!$D$15:$R$1094,11,FALSE),"")</f>
        <v/>
      </c>
      <c r="BH371" s="69" t="str">
        <f>IFERROR(VLOOKUP($AQ371,'(勿動)組件目錄表'!$D$15:$R$1094,12,FALSE),"")</f>
        <v/>
      </c>
      <c r="BI371" s="69" t="str">
        <f>IFERROR(VLOOKUP($AQ371,'(勿動)組件目錄表'!$D$15:$R$1094,13,FALSE),"")</f>
        <v/>
      </c>
      <c r="BJ371" s="69" t="str">
        <f>IFERROR(VLOOKUP($AQ371,'(勿動)組件目錄表'!$D$15:$R$1094,14,FALSE),"")</f>
        <v/>
      </c>
      <c r="BK371" s="69" t="str">
        <f>IFERROR(VLOOKUP($AQ371,'(勿動)組件目錄表'!$D$15:$R$1094,15,FALSE),"")</f>
        <v/>
      </c>
      <c r="BL371" s="81">
        <f ca="1">IFERROR(__xludf.DUMMYFUNCTION("IFERROR(
  LET(
    rowData, FILTER('(勿動)組件目錄表'!J:Q, '(勿動)組件目錄表'!D:D=AQ371),
    IF(ROWS(rowData)=0, 0, 
      (
        IF(AND(BC371&lt;&gt;"""", INDEX(rowData,1,1)=BC371),1,0) +
        IF(AND(BD371&lt;&gt;"""", INDEX(rowData,1,2)=BD371),1,0) +
        IF(AND(BE371"&amp;"&lt;&gt;"""", INDEX(rowData,1,3)=BE371),1,0) +
        IF(AND(BF371&lt;&gt;"""", INDEX(rowData,1,4)=BF371),1,0) +
        IF(AND(BG371&lt;&gt;"""", INDEX(rowData,1,5)=BG371),1,0) +
        IF(AND(BH371&lt;&gt;"""", INDEX(rowData,1,6)=BH371),1,0) +
        IF(AND(BI371&lt;&gt;"""", IND"&amp;"EX(rowData,1,7)=BI371),1,0) +
        IF(AND(BJ371&lt;&gt;"""", INDEX(rowData,1,8)=BJ371),1,0)
      ) - COUNTIF(BC371:BJ371, ""-"")
        - COUNTIF(BC371:BJ371, ""固定格式，不需提供資訊"")
        - COUNTIF(BC371:BJ371, ""由MKT更新，此欄位固定格式，不需提供資訊
(Voucher CID：12917705872)"&amp;""")
        - COUNTIF(BC371:BJ371, ""text固定為以下：
※直播間僅支援手機版"")
        - COUNTIF(BC371:BJ371, ""text固定為以下：
※短影音僅支援手機版"")
    )
  ), 
  0
)
"),0)</f>
        <v>0</v>
      </c>
      <c r="BM371" s="77" t="b">
        <v>0</v>
      </c>
      <c r="BN371" s="85"/>
      <c r="BO371" s="85"/>
    </row>
    <row r="372" spans="1:67" ht="30" customHeight="1">
      <c r="A372" s="73" t="str">
        <f t="array" aca="1" ref="A372" ca="1">IFERROR(TRANSPOSE(INDIRECT('MS section版配(Old)'!$AO372)),"")</f>
        <v/>
      </c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8"/>
      <c r="P372" s="88"/>
      <c r="Q372" s="88"/>
      <c r="R372" s="88"/>
      <c r="S372" s="88"/>
      <c r="T372" s="88"/>
      <c r="U372" s="88"/>
      <c r="V372" s="88"/>
      <c r="W372" s="88"/>
      <c r="X372" s="88"/>
      <c r="Y372" s="88"/>
      <c r="Z372" s="88"/>
      <c r="AA372" s="88"/>
      <c r="AB372" s="88"/>
      <c r="AC372" s="88"/>
      <c r="AD372" s="88"/>
      <c r="AE372" s="397" t="str">
        <f>IFERROR(VLOOKUP($AQ372,'(勿動)組件目錄表'!$D$15:$R$1094,4,FALSE),"")</f>
        <v/>
      </c>
      <c r="AF372" s="384"/>
      <c r="AG372" s="384"/>
      <c r="AH372" s="384"/>
      <c r="AI372" s="384"/>
      <c r="AJ372" s="385"/>
      <c r="AK372" s="54" t="b">
        <v>0</v>
      </c>
      <c r="AL372" s="54" t="b">
        <v>0</v>
      </c>
      <c r="AM372" s="54"/>
      <c r="AN372" s="7" t="str">
        <v>364</v>
      </c>
      <c r="AO372" s="7"/>
      <c r="AP372" s="62"/>
      <c r="AQ372" s="75" t="str">
        <v/>
      </c>
      <c r="AR372" s="75" t="str">
        <v>-</v>
      </c>
      <c r="AS372" s="11"/>
      <c r="AT372" s="77" t="str">
        <v>-</v>
      </c>
      <c r="AU372" s="11" t="str">
        <v>-</v>
      </c>
      <c r="AV372" s="100"/>
      <c r="AW372" s="80" t="str">
        <f ca="1"/>
        <v>-</v>
      </c>
      <c r="AX372" s="80" t="b">
        <v>0</v>
      </c>
      <c r="AY372" s="68" t="str">
        <f t="shared" si="4"/>
        <v/>
      </c>
      <c r="AZ372" s="69" t="str">
        <f t="shared" si="5"/>
        <v/>
      </c>
      <c r="BA372" s="70" t="str">
        <f t="shared" si="6"/>
        <v/>
      </c>
      <c r="BB372" s="68" t="str">
        <f t="shared" si="7"/>
        <v/>
      </c>
      <c r="BC372" s="69" t="str">
        <f>IFERROR(VLOOKUP($AQ372,'(勿動)組件目錄表'!$D$15:$R$1094,7,FALSE),"")</f>
        <v/>
      </c>
      <c r="BD372" s="69" t="str">
        <f>IFERROR(VLOOKUP($AQ372,'(勿動)組件目錄表'!$D$15:$R$1094,8,FALSE),"")</f>
        <v/>
      </c>
      <c r="BE372" s="69" t="str">
        <f>IFERROR(VLOOKUP($AQ372,'(勿動)組件目錄表'!$D$15:$R$1094,9,FALSE),"")</f>
        <v/>
      </c>
      <c r="BF372" s="69" t="str">
        <f>IFERROR(VLOOKUP($AQ372,'(勿動)組件目錄表'!$D$15:$R$1094,10,FALSE),"")</f>
        <v/>
      </c>
      <c r="BG372" s="69" t="str">
        <f>IFERROR(VLOOKUP($AQ372,'(勿動)組件目錄表'!$D$15:$R$1094,11,FALSE),"")</f>
        <v/>
      </c>
      <c r="BH372" s="69" t="str">
        <f>IFERROR(VLOOKUP($AQ372,'(勿動)組件目錄表'!$D$15:$R$1094,12,FALSE),"")</f>
        <v/>
      </c>
      <c r="BI372" s="69" t="str">
        <f>IFERROR(VLOOKUP($AQ372,'(勿動)組件目錄表'!$D$15:$R$1094,13,FALSE),"")</f>
        <v/>
      </c>
      <c r="BJ372" s="69" t="str">
        <f>IFERROR(VLOOKUP($AQ372,'(勿動)組件目錄表'!$D$15:$R$1094,14,FALSE),"")</f>
        <v/>
      </c>
      <c r="BK372" s="69" t="str">
        <f>IFERROR(VLOOKUP($AQ372,'(勿動)組件目錄表'!$D$15:$R$1094,15,FALSE),"")</f>
        <v/>
      </c>
      <c r="BL372" s="81">
        <f ca="1">IFERROR(__xludf.DUMMYFUNCTION("IFERROR(
  LET(
    rowData, FILTER('(勿動)組件目錄表'!J:Q, '(勿動)組件目錄表'!D:D=AQ372),
    IF(ROWS(rowData)=0, 0, 
      (
        IF(AND(BC372&lt;&gt;"""", INDEX(rowData,1,1)=BC372),1,0) +
        IF(AND(BD372&lt;&gt;"""", INDEX(rowData,1,2)=BD372),1,0) +
        IF(AND(BE372"&amp;"&lt;&gt;"""", INDEX(rowData,1,3)=BE372),1,0) +
        IF(AND(BF372&lt;&gt;"""", INDEX(rowData,1,4)=BF372),1,0) +
        IF(AND(BG372&lt;&gt;"""", INDEX(rowData,1,5)=BG372),1,0) +
        IF(AND(BH372&lt;&gt;"""", INDEX(rowData,1,6)=BH372),1,0) +
        IF(AND(BI372&lt;&gt;"""", IND"&amp;"EX(rowData,1,7)=BI372),1,0) +
        IF(AND(BJ372&lt;&gt;"""", INDEX(rowData,1,8)=BJ372),1,0)
      ) - COUNTIF(BC372:BJ372, ""-"")
        - COUNTIF(BC372:BJ372, ""固定格式，不需提供資訊"")
        - COUNTIF(BC372:BJ372, ""由MKT更新，此欄位固定格式，不需提供資訊
(Voucher CID：12917705872)"&amp;""")
        - COUNTIF(BC372:BJ372, ""text固定為以下：
※直播間僅支援手機版"")
        - COUNTIF(BC372:BJ372, ""text固定為以下：
※短影音僅支援手機版"")
    )
  ), 
  0
)
"),0)</f>
        <v>0</v>
      </c>
      <c r="BM372" s="77" t="b">
        <v>0</v>
      </c>
      <c r="BN372" s="85"/>
      <c r="BO372" s="85"/>
    </row>
    <row r="373" spans="1:67" ht="30" customHeight="1">
      <c r="A373" s="73" t="str">
        <f t="array" aca="1" ref="A373" ca="1">IFERROR(TRANSPOSE(INDIRECT('MS section版配(Old)'!$AO373)),"")</f>
        <v/>
      </c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8"/>
      <c r="P373" s="88"/>
      <c r="Q373" s="88"/>
      <c r="R373" s="88"/>
      <c r="S373" s="88"/>
      <c r="T373" s="88"/>
      <c r="U373" s="88"/>
      <c r="V373" s="88"/>
      <c r="W373" s="88"/>
      <c r="X373" s="88"/>
      <c r="Y373" s="88"/>
      <c r="Z373" s="88"/>
      <c r="AA373" s="88"/>
      <c r="AB373" s="88"/>
      <c r="AC373" s="88"/>
      <c r="AD373" s="88"/>
      <c r="AE373" s="397" t="str">
        <f>IFERROR(VLOOKUP($AQ373,'(勿動)組件目錄表'!$D$15:$R$1094,4,FALSE),"")</f>
        <v/>
      </c>
      <c r="AF373" s="384"/>
      <c r="AG373" s="384"/>
      <c r="AH373" s="384"/>
      <c r="AI373" s="384"/>
      <c r="AJ373" s="385"/>
      <c r="AK373" s="54" t="b">
        <v>0</v>
      </c>
      <c r="AL373" s="54" t="b">
        <v>0</v>
      </c>
      <c r="AM373" s="54"/>
      <c r="AN373" s="7" t="str">
        <v>365</v>
      </c>
      <c r="AO373" s="7"/>
      <c r="AP373" s="62"/>
      <c r="AQ373" s="75" t="str">
        <v/>
      </c>
      <c r="AR373" s="75" t="str">
        <v>-</v>
      </c>
      <c r="AS373" s="11"/>
      <c r="AT373" s="77" t="str">
        <v>-</v>
      </c>
      <c r="AU373" s="11" t="str">
        <v>-</v>
      </c>
      <c r="AV373" s="100"/>
      <c r="AW373" s="80" t="str">
        <f ca="1"/>
        <v>-</v>
      </c>
      <c r="AX373" s="80" t="b">
        <v>0</v>
      </c>
      <c r="AY373" s="68" t="str">
        <f t="shared" si="4"/>
        <v/>
      </c>
      <c r="AZ373" s="69" t="str">
        <f t="shared" si="5"/>
        <v/>
      </c>
      <c r="BA373" s="70" t="str">
        <f t="shared" si="6"/>
        <v/>
      </c>
      <c r="BB373" s="68" t="str">
        <f t="shared" si="7"/>
        <v/>
      </c>
      <c r="BC373" s="69" t="str">
        <f>IFERROR(VLOOKUP($AQ373,'(勿動)組件目錄表'!$D$15:$R$1094,7,FALSE),"")</f>
        <v/>
      </c>
      <c r="BD373" s="69" t="str">
        <f>IFERROR(VLOOKUP($AQ373,'(勿動)組件目錄表'!$D$15:$R$1094,8,FALSE),"")</f>
        <v/>
      </c>
      <c r="BE373" s="69" t="str">
        <f>IFERROR(VLOOKUP($AQ373,'(勿動)組件目錄表'!$D$15:$R$1094,9,FALSE),"")</f>
        <v/>
      </c>
      <c r="BF373" s="69" t="str">
        <f>IFERROR(VLOOKUP($AQ373,'(勿動)組件目錄表'!$D$15:$R$1094,10,FALSE),"")</f>
        <v/>
      </c>
      <c r="BG373" s="69" t="str">
        <f>IFERROR(VLOOKUP($AQ373,'(勿動)組件目錄表'!$D$15:$R$1094,11,FALSE),"")</f>
        <v/>
      </c>
      <c r="BH373" s="69" t="str">
        <f>IFERROR(VLOOKUP($AQ373,'(勿動)組件目錄表'!$D$15:$R$1094,12,FALSE),"")</f>
        <v/>
      </c>
      <c r="BI373" s="69" t="str">
        <f>IFERROR(VLOOKUP($AQ373,'(勿動)組件目錄表'!$D$15:$R$1094,13,FALSE),"")</f>
        <v/>
      </c>
      <c r="BJ373" s="69" t="str">
        <f>IFERROR(VLOOKUP($AQ373,'(勿動)組件目錄表'!$D$15:$R$1094,14,FALSE),"")</f>
        <v/>
      </c>
      <c r="BK373" s="69" t="str">
        <f>IFERROR(VLOOKUP($AQ373,'(勿動)組件目錄表'!$D$15:$R$1094,15,FALSE),"")</f>
        <v/>
      </c>
      <c r="BL373" s="81">
        <f ca="1">IFERROR(__xludf.DUMMYFUNCTION("IFERROR(
  LET(
    rowData, FILTER('(勿動)組件目錄表'!J:Q, '(勿動)組件目錄表'!D:D=AQ373),
    IF(ROWS(rowData)=0, 0, 
      (
        IF(AND(BC373&lt;&gt;"""", INDEX(rowData,1,1)=BC373),1,0) +
        IF(AND(BD373&lt;&gt;"""", INDEX(rowData,1,2)=BD373),1,0) +
        IF(AND(BE373"&amp;"&lt;&gt;"""", INDEX(rowData,1,3)=BE373),1,0) +
        IF(AND(BF373&lt;&gt;"""", INDEX(rowData,1,4)=BF373),1,0) +
        IF(AND(BG373&lt;&gt;"""", INDEX(rowData,1,5)=BG373),1,0) +
        IF(AND(BH373&lt;&gt;"""", INDEX(rowData,1,6)=BH373),1,0) +
        IF(AND(BI373&lt;&gt;"""", IND"&amp;"EX(rowData,1,7)=BI373),1,0) +
        IF(AND(BJ373&lt;&gt;"""", INDEX(rowData,1,8)=BJ373),1,0)
      ) - COUNTIF(BC373:BJ373, ""-"")
        - COUNTIF(BC373:BJ373, ""固定格式，不需提供資訊"")
        - COUNTIF(BC373:BJ373, ""由MKT更新，此欄位固定格式，不需提供資訊
(Voucher CID：12917705872)"&amp;""")
        - COUNTIF(BC373:BJ373, ""text固定為以下：
※直播間僅支援手機版"")
        - COUNTIF(BC373:BJ373, ""text固定為以下：
※短影音僅支援手機版"")
    )
  ), 
  0
)
"),0)</f>
        <v>0</v>
      </c>
      <c r="BM373" s="77" t="b">
        <v>0</v>
      </c>
      <c r="BN373" s="85"/>
      <c r="BO373" s="85"/>
    </row>
    <row r="374" spans="1:67" ht="30" customHeight="1">
      <c r="A374" s="73" t="str">
        <f t="array" aca="1" ref="A374" ca="1">IFERROR(TRANSPOSE(INDIRECT('MS section版配(Old)'!$AO374)),"")</f>
        <v/>
      </c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8"/>
      <c r="P374" s="88"/>
      <c r="Q374" s="88"/>
      <c r="R374" s="88"/>
      <c r="S374" s="88"/>
      <c r="T374" s="88"/>
      <c r="U374" s="88"/>
      <c r="V374" s="88"/>
      <c r="W374" s="88"/>
      <c r="X374" s="88"/>
      <c r="Y374" s="88"/>
      <c r="Z374" s="88"/>
      <c r="AA374" s="88"/>
      <c r="AB374" s="88"/>
      <c r="AC374" s="88"/>
      <c r="AD374" s="88"/>
      <c r="AE374" s="397" t="str">
        <f>IFERROR(VLOOKUP($AQ374,'(勿動)組件目錄表'!$D$15:$R$1094,4,FALSE),"")</f>
        <v/>
      </c>
      <c r="AF374" s="384"/>
      <c r="AG374" s="384"/>
      <c r="AH374" s="384"/>
      <c r="AI374" s="384"/>
      <c r="AJ374" s="385"/>
      <c r="AK374" s="54" t="b">
        <v>0</v>
      </c>
      <c r="AL374" s="54" t="b">
        <v>0</v>
      </c>
      <c r="AM374" s="54"/>
      <c r="AN374" s="7" t="str">
        <v>366</v>
      </c>
      <c r="AO374" s="7"/>
      <c r="AP374" s="62"/>
      <c r="AQ374" s="75" t="str">
        <v/>
      </c>
      <c r="AR374" s="75" t="str">
        <v>-</v>
      </c>
      <c r="AS374" s="11"/>
      <c r="AT374" s="77" t="str">
        <v>-</v>
      </c>
      <c r="AU374" s="11" t="str">
        <v>-</v>
      </c>
      <c r="AV374" s="100"/>
      <c r="AW374" s="80" t="str">
        <f ca="1"/>
        <v>-</v>
      </c>
      <c r="AX374" s="80" t="b">
        <v>0</v>
      </c>
      <c r="AY374" s="68" t="str">
        <f t="shared" si="4"/>
        <v/>
      </c>
      <c r="AZ374" s="69" t="str">
        <f t="shared" si="5"/>
        <v/>
      </c>
      <c r="BA374" s="70" t="str">
        <f t="shared" si="6"/>
        <v/>
      </c>
      <c r="BB374" s="68" t="str">
        <f t="shared" si="7"/>
        <v/>
      </c>
      <c r="BC374" s="69" t="str">
        <f>IFERROR(VLOOKUP($AQ374,'(勿動)組件目錄表'!$D$15:$R$1094,7,FALSE),"")</f>
        <v/>
      </c>
      <c r="BD374" s="69" t="str">
        <f>IFERROR(VLOOKUP($AQ374,'(勿動)組件目錄表'!$D$15:$R$1094,8,FALSE),"")</f>
        <v/>
      </c>
      <c r="BE374" s="69" t="str">
        <f>IFERROR(VLOOKUP($AQ374,'(勿動)組件目錄表'!$D$15:$R$1094,9,FALSE),"")</f>
        <v/>
      </c>
      <c r="BF374" s="69" t="str">
        <f>IFERROR(VLOOKUP($AQ374,'(勿動)組件目錄表'!$D$15:$R$1094,10,FALSE),"")</f>
        <v/>
      </c>
      <c r="BG374" s="69" t="str">
        <f>IFERROR(VLOOKUP($AQ374,'(勿動)組件目錄表'!$D$15:$R$1094,11,FALSE),"")</f>
        <v/>
      </c>
      <c r="BH374" s="69" t="str">
        <f>IFERROR(VLOOKUP($AQ374,'(勿動)組件目錄表'!$D$15:$R$1094,12,FALSE),"")</f>
        <v/>
      </c>
      <c r="BI374" s="69" t="str">
        <f>IFERROR(VLOOKUP($AQ374,'(勿動)組件目錄表'!$D$15:$R$1094,13,FALSE),"")</f>
        <v/>
      </c>
      <c r="BJ374" s="69" t="str">
        <f>IFERROR(VLOOKUP($AQ374,'(勿動)組件目錄表'!$D$15:$R$1094,14,FALSE),"")</f>
        <v/>
      </c>
      <c r="BK374" s="69" t="str">
        <f>IFERROR(VLOOKUP($AQ374,'(勿動)組件目錄表'!$D$15:$R$1094,15,FALSE),"")</f>
        <v/>
      </c>
      <c r="BL374" s="81">
        <f ca="1">IFERROR(__xludf.DUMMYFUNCTION("IFERROR(
  LET(
    rowData, FILTER('(勿動)組件目錄表'!J:Q, '(勿動)組件目錄表'!D:D=AQ374),
    IF(ROWS(rowData)=0, 0, 
      (
        IF(AND(BC374&lt;&gt;"""", INDEX(rowData,1,1)=BC374),1,0) +
        IF(AND(BD374&lt;&gt;"""", INDEX(rowData,1,2)=BD374),1,0) +
        IF(AND(BE374"&amp;"&lt;&gt;"""", INDEX(rowData,1,3)=BE374),1,0) +
        IF(AND(BF374&lt;&gt;"""", INDEX(rowData,1,4)=BF374),1,0) +
        IF(AND(BG374&lt;&gt;"""", INDEX(rowData,1,5)=BG374),1,0) +
        IF(AND(BH374&lt;&gt;"""", INDEX(rowData,1,6)=BH374),1,0) +
        IF(AND(BI374&lt;&gt;"""", IND"&amp;"EX(rowData,1,7)=BI374),1,0) +
        IF(AND(BJ374&lt;&gt;"""", INDEX(rowData,1,8)=BJ374),1,0)
      ) - COUNTIF(BC374:BJ374, ""-"")
        - COUNTIF(BC374:BJ374, ""固定格式，不需提供資訊"")
        - COUNTIF(BC374:BJ374, ""由MKT更新，此欄位固定格式，不需提供資訊
(Voucher CID：12917705872)"&amp;""")
        - COUNTIF(BC374:BJ374, ""text固定為以下：
※直播間僅支援手機版"")
        - COUNTIF(BC374:BJ374, ""text固定為以下：
※短影音僅支援手機版"")
    )
  ), 
  0
)
"),0)</f>
        <v>0</v>
      </c>
      <c r="BM374" s="77" t="b">
        <v>0</v>
      </c>
      <c r="BN374" s="85"/>
      <c r="BO374" s="85"/>
    </row>
    <row r="375" spans="1:67" ht="30" customHeight="1">
      <c r="A375" s="73" t="str">
        <f t="array" aca="1" ref="A375" ca="1">IFERROR(TRANSPOSE(INDIRECT('MS section版配(Old)'!$AO375)),"")</f>
        <v/>
      </c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8"/>
      <c r="P375" s="88"/>
      <c r="Q375" s="88"/>
      <c r="R375" s="88"/>
      <c r="S375" s="88"/>
      <c r="T375" s="88"/>
      <c r="U375" s="88"/>
      <c r="V375" s="88"/>
      <c r="W375" s="88"/>
      <c r="X375" s="88"/>
      <c r="Y375" s="88"/>
      <c r="Z375" s="88"/>
      <c r="AA375" s="88"/>
      <c r="AB375" s="88"/>
      <c r="AC375" s="88"/>
      <c r="AD375" s="88"/>
      <c r="AE375" s="397" t="str">
        <f>IFERROR(VLOOKUP($AQ375,'(勿動)組件目錄表'!$D$15:$R$1094,4,FALSE),"")</f>
        <v/>
      </c>
      <c r="AF375" s="384"/>
      <c r="AG375" s="384"/>
      <c r="AH375" s="384"/>
      <c r="AI375" s="384"/>
      <c r="AJ375" s="385"/>
      <c r="AK375" s="54" t="b">
        <v>0</v>
      </c>
      <c r="AL375" s="54" t="b">
        <v>0</v>
      </c>
      <c r="AM375" s="54"/>
      <c r="AN375" s="7" t="str">
        <v>367</v>
      </c>
      <c r="AO375" s="7"/>
      <c r="AP375" s="62"/>
      <c r="AQ375" s="75" t="str">
        <v/>
      </c>
      <c r="AR375" s="75" t="str">
        <v>-</v>
      </c>
      <c r="AS375" s="11"/>
      <c r="AT375" s="77" t="str">
        <v>-</v>
      </c>
      <c r="AU375" s="11" t="str">
        <v>-</v>
      </c>
      <c r="AV375" s="100"/>
      <c r="AW375" s="80" t="str">
        <f ca="1"/>
        <v>-</v>
      </c>
      <c r="AX375" s="80" t="b">
        <v>0</v>
      </c>
      <c r="AY375" s="68" t="str">
        <f t="shared" si="4"/>
        <v/>
      </c>
      <c r="AZ375" s="69" t="str">
        <f t="shared" si="5"/>
        <v/>
      </c>
      <c r="BA375" s="70" t="str">
        <f t="shared" si="6"/>
        <v/>
      </c>
      <c r="BB375" s="68" t="str">
        <f t="shared" si="7"/>
        <v/>
      </c>
      <c r="BC375" s="69" t="str">
        <f>IFERROR(VLOOKUP($AQ375,'(勿動)組件目錄表'!$D$15:$R$1094,7,FALSE),"")</f>
        <v/>
      </c>
      <c r="BD375" s="69" t="str">
        <f>IFERROR(VLOOKUP($AQ375,'(勿動)組件目錄表'!$D$15:$R$1094,8,FALSE),"")</f>
        <v/>
      </c>
      <c r="BE375" s="69" t="str">
        <f>IFERROR(VLOOKUP($AQ375,'(勿動)組件目錄表'!$D$15:$R$1094,9,FALSE),"")</f>
        <v/>
      </c>
      <c r="BF375" s="69" t="str">
        <f>IFERROR(VLOOKUP($AQ375,'(勿動)組件目錄表'!$D$15:$R$1094,10,FALSE),"")</f>
        <v/>
      </c>
      <c r="BG375" s="69" t="str">
        <f>IFERROR(VLOOKUP($AQ375,'(勿動)組件目錄表'!$D$15:$R$1094,11,FALSE),"")</f>
        <v/>
      </c>
      <c r="BH375" s="69" t="str">
        <f>IFERROR(VLOOKUP($AQ375,'(勿動)組件目錄表'!$D$15:$R$1094,12,FALSE),"")</f>
        <v/>
      </c>
      <c r="BI375" s="69" t="str">
        <f>IFERROR(VLOOKUP($AQ375,'(勿動)組件目錄表'!$D$15:$R$1094,13,FALSE),"")</f>
        <v/>
      </c>
      <c r="BJ375" s="69" t="str">
        <f>IFERROR(VLOOKUP($AQ375,'(勿動)組件目錄表'!$D$15:$R$1094,14,FALSE),"")</f>
        <v/>
      </c>
      <c r="BK375" s="69" t="str">
        <f>IFERROR(VLOOKUP($AQ375,'(勿動)組件目錄表'!$D$15:$R$1094,15,FALSE),"")</f>
        <v/>
      </c>
      <c r="BL375" s="81">
        <f ca="1">IFERROR(__xludf.DUMMYFUNCTION("IFERROR(
  LET(
    rowData, FILTER('(勿動)組件目錄表'!J:Q, '(勿動)組件目錄表'!D:D=AQ375),
    IF(ROWS(rowData)=0, 0, 
      (
        IF(AND(BC375&lt;&gt;"""", INDEX(rowData,1,1)=BC375),1,0) +
        IF(AND(BD375&lt;&gt;"""", INDEX(rowData,1,2)=BD375),1,0) +
        IF(AND(BE375"&amp;"&lt;&gt;"""", INDEX(rowData,1,3)=BE375),1,0) +
        IF(AND(BF375&lt;&gt;"""", INDEX(rowData,1,4)=BF375),1,0) +
        IF(AND(BG375&lt;&gt;"""", INDEX(rowData,1,5)=BG375),1,0) +
        IF(AND(BH375&lt;&gt;"""", INDEX(rowData,1,6)=BH375),1,0) +
        IF(AND(BI375&lt;&gt;"""", IND"&amp;"EX(rowData,1,7)=BI375),1,0) +
        IF(AND(BJ375&lt;&gt;"""", INDEX(rowData,1,8)=BJ375),1,0)
      ) - COUNTIF(BC375:BJ375, ""-"")
        - COUNTIF(BC375:BJ375, ""固定格式，不需提供資訊"")
        - COUNTIF(BC375:BJ375, ""由MKT更新，此欄位固定格式，不需提供資訊
(Voucher CID：12917705872)"&amp;""")
        - COUNTIF(BC375:BJ375, ""text固定為以下：
※直播間僅支援手機版"")
        - COUNTIF(BC375:BJ375, ""text固定為以下：
※短影音僅支援手機版"")
    )
  ), 
  0
)
"),0)</f>
        <v>0</v>
      </c>
      <c r="BM375" s="77" t="b">
        <v>0</v>
      </c>
      <c r="BN375" s="85"/>
      <c r="BO375" s="85"/>
    </row>
    <row r="376" spans="1:67" ht="30" customHeight="1">
      <c r="A376" s="73" t="str">
        <f t="array" aca="1" ref="A376" ca="1">IFERROR(TRANSPOSE(INDIRECT('MS section版配(Old)'!$AO376)),"")</f>
        <v/>
      </c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8"/>
      <c r="P376" s="88"/>
      <c r="Q376" s="88"/>
      <c r="R376" s="88"/>
      <c r="S376" s="88"/>
      <c r="T376" s="88"/>
      <c r="U376" s="88"/>
      <c r="V376" s="88"/>
      <c r="W376" s="88"/>
      <c r="X376" s="88"/>
      <c r="Y376" s="88"/>
      <c r="Z376" s="88"/>
      <c r="AA376" s="88"/>
      <c r="AB376" s="88"/>
      <c r="AC376" s="88"/>
      <c r="AD376" s="88"/>
      <c r="AE376" s="397" t="str">
        <f>IFERROR(VLOOKUP($AQ376,'(勿動)組件目錄表'!$D$15:$R$1094,4,FALSE),"")</f>
        <v/>
      </c>
      <c r="AF376" s="384"/>
      <c r="AG376" s="384"/>
      <c r="AH376" s="384"/>
      <c r="AI376" s="384"/>
      <c r="AJ376" s="385"/>
      <c r="AK376" s="54" t="b">
        <v>0</v>
      </c>
      <c r="AL376" s="54" t="b">
        <v>0</v>
      </c>
      <c r="AM376" s="54"/>
      <c r="AN376" s="7" t="str">
        <v>368</v>
      </c>
      <c r="AO376" s="7"/>
      <c r="AP376" s="62"/>
      <c r="AQ376" s="75" t="str">
        <v/>
      </c>
      <c r="AR376" s="75" t="str">
        <v>-</v>
      </c>
      <c r="AS376" s="11"/>
      <c r="AT376" s="77" t="str">
        <v>-</v>
      </c>
      <c r="AU376" s="11" t="str">
        <v>-</v>
      </c>
      <c r="AV376" s="100"/>
      <c r="AW376" s="80" t="str">
        <f ca="1"/>
        <v>-</v>
      </c>
      <c r="AX376" s="80" t="b">
        <v>0</v>
      </c>
      <c r="AY376" s="68" t="str">
        <f t="shared" si="4"/>
        <v/>
      </c>
      <c r="AZ376" s="69" t="str">
        <f t="shared" si="5"/>
        <v/>
      </c>
      <c r="BA376" s="70" t="str">
        <f t="shared" si="6"/>
        <v/>
      </c>
      <c r="BB376" s="68" t="str">
        <f t="shared" si="7"/>
        <v/>
      </c>
      <c r="BC376" s="69" t="str">
        <f>IFERROR(VLOOKUP($AQ376,'(勿動)組件目錄表'!$D$15:$R$1094,7,FALSE),"")</f>
        <v/>
      </c>
      <c r="BD376" s="69" t="str">
        <f>IFERROR(VLOOKUP($AQ376,'(勿動)組件目錄表'!$D$15:$R$1094,8,FALSE),"")</f>
        <v/>
      </c>
      <c r="BE376" s="69" t="str">
        <f>IFERROR(VLOOKUP($AQ376,'(勿動)組件目錄表'!$D$15:$R$1094,9,FALSE),"")</f>
        <v/>
      </c>
      <c r="BF376" s="69" t="str">
        <f>IFERROR(VLOOKUP($AQ376,'(勿動)組件目錄表'!$D$15:$R$1094,10,FALSE),"")</f>
        <v/>
      </c>
      <c r="BG376" s="69" t="str">
        <f>IFERROR(VLOOKUP($AQ376,'(勿動)組件目錄表'!$D$15:$R$1094,11,FALSE),"")</f>
        <v/>
      </c>
      <c r="BH376" s="69" t="str">
        <f>IFERROR(VLOOKUP($AQ376,'(勿動)組件目錄表'!$D$15:$R$1094,12,FALSE),"")</f>
        <v/>
      </c>
      <c r="BI376" s="69" t="str">
        <f>IFERROR(VLOOKUP($AQ376,'(勿動)組件目錄表'!$D$15:$R$1094,13,FALSE),"")</f>
        <v/>
      </c>
      <c r="BJ376" s="69" t="str">
        <f>IFERROR(VLOOKUP($AQ376,'(勿動)組件目錄表'!$D$15:$R$1094,14,FALSE),"")</f>
        <v/>
      </c>
      <c r="BK376" s="69" t="str">
        <f>IFERROR(VLOOKUP($AQ376,'(勿動)組件目錄表'!$D$15:$R$1094,15,FALSE),"")</f>
        <v/>
      </c>
      <c r="BL376" s="81">
        <f ca="1">IFERROR(__xludf.DUMMYFUNCTION("IFERROR(
  LET(
    rowData, FILTER('(勿動)組件目錄表'!J:Q, '(勿動)組件目錄表'!D:D=AQ376),
    IF(ROWS(rowData)=0, 0, 
      (
        IF(AND(BC376&lt;&gt;"""", INDEX(rowData,1,1)=BC376),1,0) +
        IF(AND(BD376&lt;&gt;"""", INDEX(rowData,1,2)=BD376),1,0) +
        IF(AND(BE376"&amp;"&lt;&gt;"""", INDEX(rowData,1,3)=BE376),1,0) +
        IF(AND(BF376&lt;&gt;"""", INDEX(rowData,1,4)=BF376),1,0) +
        IF(AND(BG376&lt;&gt;"""", INDEX(rowData,1,5)=BG376),1,0) +
        IF(AND(BH376&lt;&gt;"""", INDEX(rowData,1,6)=BH376),1,0) +
        IF(AND(BI376&lt;&gt;"""", IND"&amp;"EX(rowData,1,7)=BI376),1,0) +
        IF(AND(BJ376&lt;&gt;"""", INDEX(rowData,1,8)=BJ376),1,0)
      ) - COUNTIF(BC376:BJ376, ""-"")
        - COUNTIF(BC376:BJ376, ""固定格式，不需提供資訊"")
        - COUNTIF(BC376:BJ376, ""由MKT更新，此欄位固定格式，不需提供資訊
(Voucher CID：12917705872)"&amp;""")
        - COUNTIF(BC376:BJ376, ""text固定為以下：
※直播間僅支援手機版"")
        - COUNTIF(BC376:BJ376, ""text固定為以下：
※短影音僅支援手機版"")
    )
  ), 
  0
)
"),0)</f>
        <v>0</v>
      </c>
      <c r="BM376" s="77" t="b">
        <v>0</v>
      </c>
      <c r="BN376" s="85"/>
      <c r="BO376" s="85"/>
    </row>
    <row r="377" spans="1:67" ht="30" customHeight="1">
      <c r="A377" s="73" t="str">
        <f t="array" aca="1" ref="A377" ca="1">IFERROR(TRANSPOSE(INDIRECT('MS section版配(Old)'!$AO377)),"")</f>
        <v/>
      </c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8"/>
      <c r="P377" s="88"/>
      <c r="Q377" s="88"/>
      <c r="R377" s="88"/>
      <c r="S377" s="88"/>
      <c r="T377" s="88"/>
      <c r="U377" s="88"/>
      <c r="V377" s="88"/>
      <c r="W377" s="88"/>
      <c r="X377" s="88"/>
      <c r="Y377" s="88"/>
      <c r="Z377" s="88"/>
      <c r="AA377" s="88"/>
      <c r="AB377" s="88"/>
      <c r="AC377" s="88"/>
      <c r="AD377" s="88"/>
      <c r="AE377" s="397" t="str">
        <f>IFERROR(VLOOKUP($AQ377,'(勿動)組件目錄表'!$D$15:$R$1094,4,FALSE),"")</f>
        <v/>
      </c>
      <c r="AF377" s="384"/>
      <c r="AG377" s="384"/>
      <c r="AH377" s="384"/>
      <c r="AI377" s="384"/>
      <c r="AJ377" s="385"/>
      <c r="AK377" s="54" t="b">
        <v>0</v>
      </c>
      <c r="AL377" s="54" t="b">
        <v>0</v>
      </c>
      <c r="AM377" s="54"/>
      <c r="AN377" s="7" t="str">
        <v>369</v>
      </c>
      <c r="AO377" s="7"/>
      <c r="AP377" s="62"/>
      <c r="AQ377" s="75" t="str">
        <v/>
      </c>
      <c r="AR377" s="75" t="str">
        <v>-</v>
      </c>
      <c r="AS377" s="11"/>
      <c r="AT377" s="77" t="str">
        <v>-</v>
      </c>
      <c r="AU377" s="11" t="str">
        <v>-</v>
      </c>
      <c r="AV377" s="100"/>
      <c r="AW377" s="80" t="str">
        <f ca="1"/>
        <v>-</v>
      </c>
      <c r="AX377" s="80" t="b">
        <v>0</v>
      </c>
      <c r="AY377" s="68" t="str">
        <f t="shared" si="4"/>
        <v/>
      </c>
      <c r="AZ377" s="69" t="str">
        <f t="shared" si="5"/>
        <v/>
      </c>
      <c r="BA377" s="70" t="str">
        <f t="shared" si="6"/>
        <v/>
      </c>
      <c r="BB377" s="68" t="str">
        <f t="shared" si="7"/>
        <v/>
      </c>
      <c r="BC377" s="69" t="str">
        <f>IFERROR(VLOOKUP($AQ377,'(勿動)組件目錄表'!$D$15:$R$1094,7,FALSE),"")</f>
        <v/>
      </c>
      <c r="BD377" s="69" t="str">
        <f>IFERROR(VLOOKUP($AQ377,'(勿動)組件目錄表'!$D$15:$R$1094,8,FALSE),"")</f>
        <v/>
      </c>
      <c r="BE377" s="69" t="str">
        <f>IFERROR(VLOOKUP($AQ377,'(勿動)組件目錄表'!$D$15:$R$1094,9,FALSE),"")</f>
        <v/>
      </c>
      <c r="BF377" s="69" t="str">
        <f>IFERROR(VLOOKUP($AQ377,'(勿動)組件目錄表'!$D$15:$R$1094,10,FALSE),"")</f>
        <v/>
      </c>
      <c r="BG377" s="69" t="str">
        <f>IFERROR(VLOOKUP($AQ377,'(勿動)組件目錄表'!$D$15:$R$1094,11,FALSE),"")</f>
        <v/>
      </c>
      <c r="BH377" s="69" t="str">
        <f>IFERROR(VLOOKUP($AQ377,'(勿動)組件目錄表'!$D$15:$R$1094,12,FALSE),"")</f>
        <v/>
      </c>
      <c r="BI377" s="69" t="str">
        <f>IFERROR(VLOOKUP($AQ377,'(勿動)組件目錄表'!$D$15:$R$1094,13,FALSE),"")</f>
        <v/>
      </c>
      <c r="BJ377" s="69" t="str">
        <f>IFERROR(VLOOKUP($AQ377,'(勿動)組件目錄表'!$D$15:$R$1094,14,FALSE),"")</f>
        <v/>
      </c>
      <c r="BK377" s="69" t="str">
        <f>IFERROR(VLOOKUP($AQ377,'(勿動)組件目錄表'!$D$15:$R$1094,15,FALSE),"")</f>
        <v/>
      </c>
      <c r="BL377" s="81">
        <f ca="1">IFERROR(__xludf.DUMMYFUNCTION("IFERROR(
  LET(
    rowData, FILTER('(勿動)組件目錄表'!J:Q, '(勿動)組件目錄表'!D:D=AQ377),
    IF(ROWS(rowData)=0, 0, 
      (
        IF(AND(BC377&lt;&gt;"""", INDEX(rowData,1,1)=BC377),1,0) +
        IF(AND(BD377&lt;&gt;"""", INDEX(rowData,1,2)=BD377),1,0) +
        IF(AND(BE377"&amp;"&lt;&gt;"""", INDEX(rowData,1,3)=BE377),1,0) +
        IF(AND(BF377&lt;&gt;"""", INDEX(rowData,1,4)=BF377),1,0) +
        IF(AND(BG377&lt;&gt;"""", INDEX(rowData,1,5)=BG377),1,0) +
        IF(AND(BH377&lt;&gt;"""", INDEX(rowData,1,6)=BH377),1,0) +
        IF(AND(BI377&lt;&gt;"""", IND"&amp;"EX(rowData,1,7)=BI377),1,0) +
        IF(AND(BJ377&lt;&gt;"""", INDEX(rowData,1,8)=BJ377),1,0)
      ) - COUNTIF(BC377:BJ377, ""-"")
        - COUNTIF(BC377:BJ377, ""固定格式，不需提供資訊"")
        - COUNTIF(BC377:BJ377, ""由MKT更新，此欄位固定格式，不需提供資訊
(Voucher CID：12917705872)"&amp;""")
        - COUNTIF(BC377:BJ377, ""text固定為以下：
※直播間僅支援手機版"")
        - COUNTIF(BC377:BJ377, ""text固定為以下：
※短影音僅支援手機版"")
    )
  ), 
  0
)
"),0)</f>
        <v>0</v>
      </c>
      <c r="BM377" s="77" t="b">
        <v>0</v>
      </c>
      <c r="BN377" s="85"/>
      <c r="BO377" s="85"/>
    </row>
    <row r="378" spans="1:67" ht="30" customHeight="1">
      <c r="A378" s="73" t="str">
        <f t="array" aca="1" ref="A378" ca="1">IFERROR(TRANSPOSE(INDIRECT('MS section版配(Old)'!$AO378)),"")</f>
        <v/>
      </c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8"/>
      <c r="P378" s="88"/>
      <c r="Q378" s="88"/>
      <c r="R378" s="88"/>
      <c r="S378" s="88"/>
      <c r="T378" s="88"/>
      <c r="U378" s="88"/>
      <c r="V378" s="88"/>
      <c r="W378" s="88"/>
      <c r="X378" s="88"/>
      <c r="Y378" s="88"/>
      <c r="Z378" s="88"/>
      <c r="AA378" s="88"/>
      <c r="AB378" s="88"/>
      <c r="AC378" s="88"/>
      <c r="AD378" s="88"/>
      <c r="AE378" s="397" t="str">
        <f>IFERROR(VLOOKUP($AQ378,'(勿動)組件目錄表'!$D$15:$R$1094,4,FALSE),"")</f>
        <v/>
      </c>
      <c r="AF378" s="384"/>
      <c r="AG378" s="384"/>
      <c r="AH378" s="384"/>
      <c r="AI378" s="384"/>
      <c r="AJ378" s="385"/>
      <c r="AK378" s="54" t="b">
        <v>0</v>
      </c>
      <c r="AL378" s="54" t="b">
        <v>0</v>
      </c>
      <c r="AM378" s="54"/>
      <c r="AN378" s="7" t="str">
        <v>370</v>
      </c>
      <c r="AO378" s="7"/>
      <c r="AP378" s="62"/>
      <c r="AQ378" s="75" t="str">
        <v/>
      </c>
      <c r="AR378" s="75" t="str">
        <v>-</v>
      </c>
      <c r="AS378" s="11"/>
      <c r="AT378" s="77" t="str">
        <v>-</v>
      </c>
      <c r="AU378" s="11" t="str">
        <v>-</v>
      </c>
      <c r="AV378" s="100"/>
      <c r="AW378" s="80" t="str">
        <f ca="1"/>
        <v>-</v>
      </c>
      <c r="AX378" s="80" t="b">
        <v>0</v>
      </c>
      <c r="AY378" s="68" t="str">
        <f t="shared" si="4"/>
        <v/>
      </c>
      <c r="AZ378" s="69" t="str">
        <f t="shared" si="5"/>
        <v/>
      </c>
      <c r="BA378" s="70" t="str">
        <f t="shared" si="6"/>
        <v/>
      </c>
      <c r="BB378" s="68" t="str">
        <f t="shared" si="7"/>
        <v/>
      </c>
      <c r="BC378" s="69" t="str">
        <f>IFERROR(VLOOKUP($AQ378,'(勿動)組件目錄表'!$D$15:$R$1094,7,FALSE),"")</f>
        <v/>
      </c>
      <c r="BD378" s="69" t="str">
        <f>IFERROR(VLOOKUP($AQ378,'(勿動)組件目錄表'!$D$15:$R$1094,8,FALSE),"")</f>
        <v/>
      </c>
      <c r="BE378" s="69" t="str">
        <f>IFERROR(VLOOKUP($AQ378,'(勿動)組件目錄表'!$D$15:$R$1094,9,FALSE),"")</f>
        <v/>
      </c>
      <c r="BF378" s="69" t="str">
        <f>IFERROR(VLOOKUP($AQ378,'(勿動)組件目錄表'!$D$15:$R$1094,10,FALSE),"")</f>
        <v/>
      </c>
      <c r="BG378" s="69" t="str">
        <f>IFERROR(VLOOKUP($AQ378,'(勿動)組件目錄表'!$D$15:$R$1094,11,FALSE),"")</f>
        <v/>
      </c>
      <c r="BH378" s="69" t="str">
        <f>IFERROR(VLOOKUP($AQ378,'(勿動)組件目錄表'!$D$15:$R$1094,12,FALSE),"")</f>
        <v/>
      </c>
      <c r="BI378" s="69" t="str">
        <f>IFERROR(VLOOKUP($AQ378,'(勿動)組件目錄表'!$D$15:$R$1094,13,FALSE),"")</f>
        <v/>
      </c>
      <c r="BJ378" s="69" t="str">
        <f>IFERROR(VLOOKUP($AQ378,'(勿動)組件目錄表'!$D$15:$R$1094,14,FALSE),"")</f>
        <v/>
      </c>
      <c r="BK378" s="69" t="str">
        <f>IFERROR(VLOOKUP($AQ378,'(勿動)組件目錄表'!$D$15:$R$1094,15,FALSE),"")</f>
        <v/>
      </c>
      <c r="BL378" s="81">
        <f ca="1">IFERROR(__xludf.DUMMYFUNCTION("IFERROR(
  LET(
    rowData, FILTER('(勿動)組件目錄表'!J:Q, '(勿動)組件目錄表'!D:D=AQ378),
    IF(ROWS(rowData)=0, 0, 
      (
        IF(AND(BC378&lt;&gt;"""", INDEX(rowData,1,1)=BC378),1,0) +
        IF(AND(BD378&lt;&gt;"""", INDEX(rowData,1,2)=BD378),1,0) +
        IF(AND(BE378"&amp;"&lt;&gt;"""", INDEX(rowData,1,3)=BE378),1,0) +
        IF(AND(BF378&lt;&gt;"""", INDEX(rowData,1,4)=BF378),1,0) +
        IF(AND(BG378&lt;&gt;"""", INDEX(rowData,1,5)=BG378),1,0) +
        IF(AND(BH378&lt;&gt;"""", INDEX(rowData,1,6)=BH378),1,0) +
        IF(AND(BI378&lt;&gt;"""", IND"&amp;"EX(rowData,1,7)=BI378),1,0) +
        IF(AND(BJ378&lt;&gt;"""", INDEX(rowData,1,8)=BJ378),1,0)
      ) - COUNTIF(BC378:BJ378, ""-"")
        - COUNTIF(BC378:BJ378, ""固定格式，不需提供資訊"")
        - COUNTIF(BC378:BJ378, ""由MKT更新，此欄位固定格式，不需提供資訊
(Voucher CID：12917705872)"&amp;""")
        - COUNTIF(BC378:BJ378, ""text固定為以下：
※直播間僅支援手機版"")
        - COUNTIF(BC378:BJ378, ""text固定為以下：
※短影音僅支援手機版"")
    )
  ), 
  0
)
"),0)</f>
        <v>0</v>
      </c>
      <c r="BM378" s="77" t="b">
        <v>0</v>
      </c>
      <c r="BN378" s="85"/>
      <c r="BO378" s="85"/>
    </row>
    <row r="379" spans="1:67" ht="30" customHeight="1">
      <c r="A379" s="73" t="str">
        <f t="array" aca="1" ref="A379" ca="1">IFERROR(TRANSPOSE(INDIRECT('MS section版配(Old)'!$AO379)),"")</f>
        <v/>
      </c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8"/>
      <c r="P379" s="88"/>
      <c r="Q379" s="88"/>
      <c r="R379" s="88"/>
      <c r="S379" s="88"/>
      <c r="T379" s="88"/>
      <c r="U379" s="88"/>
      <c r="V379" s="88"/>
      <c r="W379" s="88"/>
      <c r="X379" s="88"/>
      <c r="Y379" s="88"/>
      <c r="Z379" s="88"/>
      <c r="AA379" s="88"/>
      <c r="AB379" s="88"/>
      <c r="AC379" s="88"/>
      <c r="AD379" s="88"/>
      <c r="AE379" s="397" t="str">
        <f>IFERROR(VLOOKUP($AQ379,'(勿動)組件目錄表'!$D$15:$R$1094,4,FALSE),"")</f>
        <v/>
      </c>
      <c r="AF379" s="384"/>
      <c r="AG379" s="384"/>
      <c r="AH379" s="384"/>
      <c r="AI379" s="384"/>
      <c r="AJ379" s="385"/>
      <c r="AK379" s="54" t="b">
        <v>0</v>
      </c>
      <c r="AL379" s="54" t="b">
        <v>0</v>
      </c>
      <c r="AM379" s="54"/>
      <c r="AN379" s="7" t="str">
        <v>371</v>
      </c>
      <c r="AO379" s="7"/>
      <c r="AP379" s="62"/>
      <c r="AQ379" s="75" t="str">
        <v/>
      </c>
      <c r="AR379" s="75" t="str">
        <v>-</v>
      </c>
      <c r="AS379" s="11"/>
      <c r="AT379" s="77" t="str">
        <v>-</v>
      </c>
      <c r="AU379" s="11" t="str">
        <v>-</v>
      </c>
      <c r="AV379" s="100"/>
      <c r="AW379" s="80" t="str">
        <f ca="1"/>
        <v>-</v>
      </c>
      <c r="AX379" s="80" t="b">
        <v>0</v>
      </c>
      <c r="AY379" s="68" t="str">
        <f t="shared" si="4"/>
        <v/>
      </c>
      <c r="AZ379" s="69" t="str">
        <f t="shared" si="5"/>
        <v/>
      </c>
      <c r="BA379" s="70" t="str">
        <f t="shared" si="6"/>
        <v/>
      </c>
      <c r="BB379" s="68" t="str">
        <f t="shared" si="7"/>
        <v/>
      </c>
      <c r="BC379" s="69" t="str">
        <f>IFERROR(VLOOKUP($AQ379,'(勿動)組件目錄表'!$D$15:$R$1094,7,FALSE),"")</f>
        <v/>
      </c>
      <c r="BD379" s="69" t="str">
        <f>IFERROR(VLOOKUP($AQ379,'(勿動)組件目錄表'!$D$15:$R$1094,8,FALSE),"")</f>
        <v/>
      </c>
      <c r="BE379" s="69" t="str">
        <f>IFERROR(VLOOKUP($AQ379,'(勿動)組件目錄表'!$D$15:$R$1094,9,FALSE),"")</f>
        <v/>
      </c>
      <c r="BF379" s="69" t="str">
        <f>IFERROR(VLOOKUP($AQ379,'(勿動)組件目錄表'!$D$15:$R$1094,10,FALSE),"")</f>
        <v/>
      </c>
      <c r="BG379" s="69" t="str">
        <f>IFERROR(VLOOKUP($AQ379,'(勿動)組件目錄表'!$D$15:$R$1094,11,FALSE),"")</f>
        <v/>
      </c>
      <c r="BH379" s="69" t="str">
        <f>IFERROR(VLOOKUP($AQ379,'(勿動)組件目錄表'!$D$15:$R$1094,12,FALSE),"")</f>
        <v/>
      </c>
      <c r="BI379" s="69" t="str">
        <f>IFERROR(VLOOKUP($AQ379,'(勿動)組件目錄表'!$D$15:$R$1094,13,FALSE),"")</f>
        <v/>
      </c>
      <c r="BJ379" s="69" t="str">
        <f>IFERROR(VLOOKUP($AQ379,'(勿動)組件目錄表'!$D$15:$R$1094,14,FALSE),"")</f>
        <v/>
      </c>
      <c r="BK379" s="69" t="str">
        <f>IFERROR(VLOOKUP($AQ379,'(勿動)組件目錄表'!$D$15:$R$1094,15,FALSE),"")</f>
        <v/>
      </c>
      <c r="BL379" s="81">
        <f ca="1">IFERROR(__xludf.DUMMYFUNCTION("IFERROR(
  LET(
    rowData, FILTER('(勿動)組件目錄表'!J:Q, '(勿動)組件目錄表'!D:D=AQ379),
    IF(ROWS(rowData)=0, 0, 
      (
        IF(AND(BC379&lt;&gt;"""", INDEX(rowData,1,1)=BC379),1,0) +
        IF(AND(BD379&lt;&gt;"""", INDEX(rowData,1,2)=BD379),1,0) +
        IF(AND(BE379"&amp;"&lt;&gt;"""", INDEX(rowData,1,3)=BE379),1,0) +
        IF(AND(BF379&lt;&gt;"""", INDEX(rowData,1,4)=BF379),1,0) +
        IF(AND(BG379&lt;&gt;"""", INDEX(rowData,1,5)=BG379),1,0) +
        IF(AND(BH379&lt;&gt;"""", INDEX(rowData,1,6)=BH379),1,0) +
        IF(AND(BI379&lt;&gt;"""", IND"&amp;"EX(rowData,1,7)=BI379),1,0) +
        IF(AND(BJ379&lt;&gt;"""", INDEX(rowData,1,8)=BJ379),1,0)
      ) - COUNTIF(BC379:BJ379, ""-"")
        - COUNTIF(BC379:BJ379, ""固定格式，不需提供資訊"")
        - COUNTIF(BC379:BJ379, ""由MKT更新，此欄位固定格式，不需提供資訊
(Voucher CID：12917705872)"&amp;""")
        - COUNTIF(BC379:BJ379, ""text固定為以下：
※直播間僅支援手機版"")
        - COUNTIF(BC379:BJ379, ""text固定為以下：
※短影音僅支援手機版"")
    )
  ), 
  0
)
"),0)</f>
        <v>0</v>
      </c>
      <c r="BM379" s="77" t="b">
        <v>0</v>
      </c>
      <c r="BN379" s="85"/>
      <c r="BO379" s="85"/>
    </row>
    <row r="380" spans="1:67" ht="30" customHeight="1">
      <c r="A380" s="73" t="str">
        <f t="array" aca="1" ref="A380" ca="1">IFERROR(TRANSPOSE(INDIRECT('MS section版配(Old)'!$AO380)),"")</f>
        <v/>
      </c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8"/>
      <c r="P380" s="88"/>
      <c r="Q380" s="88"/>
      <c r="R380" s="88"/>
      <c r="S380" s="88"/>
      <c r="T380" s="88"/>
      <c r="U380" s="88"/>
      <c r="V380" s="88"/>
      <c r="W380" s="88"/>
      <c r="X380" s="88"/>
      <c r="Y380" s="88"/>
      <c r="Z380" s="88"/>
      <c r="AA380" s="88"/>
      <c r="AB380" s="88"/>
      <c r="AC380" s="88"/>
      <c r="AD380" s="88"/>
      <c r="AE380" s="397" t="str">
        <f>IFERROR(VLOOKUP($AQ380,'(勿動)組件目錄表'!$D$15:$R$1094,4,FALSE),"")</f>
        <v/>
      </c>
      <c r="AF380" s="384"/>
      <c r="AG380" s="384"/>
      <c r="AH380" s="384"/>
      <c r="AI380" s="384"/>
      <c r="AJ380" s="385"/>
      <c r="AK380" s="54" t="b">
        <v>0</v>
      </c>
      <c r="AL380" s="54" t="b">
        <v>0</v>
      </c>
      <c r="AM380" s="54"/>
      <c r="AN380" s="7" t="str">
        <v>372</v>
      </c>
      <c r="AO380" s="7"/>
      <c r="AP380" s="62"/>
      <c r="AQ380" s="75" t="str">
        <v/>
      </c>
      <c r="AR380" s="75" t="str">
        <v>-</v>
      </c>
      <c r="AS380" s="11"/>
      <c r="AT380" s="77" t="str">
        <v>-</v>
      </c>
      <c r="AU380" s="11" t="str">
        <v>-</v>
      </c>
      <c r="AV380" s="100"/>
      <c r="AW380" s="80" t="str">
        <f ca="1"/>
        <v>-</v>
      </c>
      <c r="AX380" s="80" t="b">
        <v>0</v>
      </c>
      <c r="AY380" s="68" t="str">
        <f t="shared" si="4"/>
        <v/>
      </c>
      <c r="AZ380" s="69" t="str">
        <f t="shared" si="5"/>
        <v/>
      </c>
      <c r="BA380" s="70" t="str">
        <f t="shared" si="6"/>
        <v/>
      </c>
      <c r="BB380" s="68" t="str">
        <f t="shared" si="7"/>
        <v/>
      </c>
      <c r="BC380" s="69" t="str">
        <f>IFERROR(VLOOKUP($AQ380,'(勿動)組件目錄表'!$D$15:$R$1094,7,FALSE),"")</f>
        <v/>
      </c>
      <c r="BD380" s="69" t="str">
        <f>IFERROR(VLOOKUP($AQ380,'(勿動)組件目錄表'!$D$15:$R$1094,8,FALSE),"")</f>
        <v/>
      </c>
      <c r="BE380" s="69" t="str">
        <f>IFERROR(VLOOKUP($AQ380,'(勿動)組件目錄表'!$D$15:$R$1094,9,FALSE),"")</f>
        <v/>
      </c>
      <c r="BF380" s="69" t="str">
        <f>IFERROR(VLOOKUP($AQ380,'(勿動)組件目錄表'!$D$15:$R$1094,10,FALSE),"")</f>
        <v/>
      </c>
      <c r="BG380" s="69" t="str">
        <f>IFERROR(VLOOKUP($AQ380,'(勿動)組件目錄表'!$D$15:$R$1094,11,FALSE),"")</f>
        <v/>
      </c>
      <c r="BH380" s="69" t="str">
        <f>IFERROR(VLOOKUP($AQ380,'(勿動)組件目錄表'!$D$15:$R$1094,12,FALSE),"")</f>
        <v/>
      </c>
      <c r="BI380" s="69" t="str">
        <f>IFERROR(VLOOKUP($AQ380,'(勿動)組件目錄表'!$D$15:$R$1094,13,FALSE),"")</f>
        <v/>
      </c>
      <c r="BJ380" s="69" t="str">
        <f>IFERROR(VLOOKUP($AQ380,'(勿動)組件目錄表'!$D$15:$R$1094,14,FALSE),"")</f>
        <v/>
      </c>
      <c r="BK380" s="69" t="str">
        <f>IFERROR(VLOOKUP($AQ380,'(勿動)組件目錄表'!$D$15:$R$1094,15,FALSE),"")</f>
        <v/>
      </c>
      <c r="BL380" s="81">
        <f ca="1">IFERROR(__xludf.DUMMYFUNCTION("IFERROR(
  LET(
    rowData, FILTER('(勿動)組件目錄表'!J:Q, '(勿動)組件目錄表'!D:D=AQ380),
    IF(ROWS(rowData)=0, 0, 
      (
        IF(AND(BC380&lt;&gt;"""", INDEX(rowData,1,1)=BC380),1,0) +
        IF(AND(BD380&lt;&gt;"""", INDEX(rowData,1,2)=BD380),1,0) +
        IF(AND(BE380"&amp;"&lt;&gt;"""", INDEX(rowData,1,3)=BE380),1,0) +
        IF(AND(BF380&lt;&gt;"""", INDEX(rowData,1,4)=BF380),1,0) +
        IF(AND(BG380&lt;&gt;"""", INDEX(rowData,1,5)=BG380),1,0) +
        IF(AND(BH380&lt;&gt;"""", INDEX(rowData,1,6)=BH380),1,0) +
        IF(AND(BI380&lt;&gt;"""", IND"&amp;"EX(rowData,1,7)=BI380),1,0) +
        IF(AND(BJ380&lt;&gt;"""", INDEX(rowData,1,8)=BJ380),1,0)
      ) - COUNTIF(BC380:BJ380, ""-"")
        - COUNTIF(BC380:BJ380, ""固定格式，不需提供資訊"")
        - COUNTIF(BC380:BJ380, ""由MKT更新，此欄位固定格式，不需提供資訊
(Voucher CID：12917705872)"&amp;""")
        - COUNTIF(BC380:BJ380, ""text固定為以下：
※直播間僅支援手機版"")
        - COUNTIF(BC380:BJ380, ""text固定為以下：
※短影音僅支援手機版"")
    )
  ), 
  0
)
"),0)</f>
        <v>0</v>
      </c>
      <c r="BM380" s="77" t="b">
        <v>0</v>
      </c>
      <c r="BN380" s="85"/>
      <c r="BO380" s="85"/>
    </row>
    <row r="381" spans="1:67" ht="30" customHeight="1">
      <c r="A381" s="73" t="str">
        <f t="array" aca="1" ref="A381" ca="1">IFERROR(TRANSPOSE(INDIRECT('MS section版配(Old)'!$AO381)),"")</f>
        <v/>
      </c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8"/>
      <c r="P381" s="88"/>
      <c r="Q381" s="88"/>
      <c r="R381" s="88"/>
      <c r="S381" s="88"/>
      <c r="T381" s="88"/>
      <c r="U381" s="88"/>
      <c r="V381" s="88"/>
      <c r="W381" s="88"/>
      <c r="X381" s="88"/>
      <c r="Y381" s="88"/>
      <c r="Z381" s="88"/>
      <c r="AA381" s="88"/>
      <c r="AB381" s="88"/>
      <c r="AC381" s="88"/>
      <c r="AD381" s="88"/>
      <c r="AE381" s="397" t="str">
        <f>IFERROR(VLOOKUP($AQ381,'(勿動)組件目錄表'!$D$15:$R$1094,4,FALSE),"")</f>
        <v/>
      </c>
      <c r="AF381" s="384"/>
      <c r="AG381" s="384"/>
      <c r="AH381" s="384"/>
      <c r="AI381" s="384"/>
      <c r="AJ381" s="385"/>
      <c r="AK381" s="54" t="b">
        <v>0</v>
      </c>
      <c r="AL381" s="54" t="b">
        <v>0</v>
      </c>
      <c r="AM381" s="54"/>
      <c r="AN381" s="7" t="str">
        <v>373</v>
      </c>
      <c r="AO381" s="7"/>
      <c r="AP381" s="62"/>
      <c r="AQ381" s="75" t="str">
        <v/>
      </c>
      <c r="AR381" s="75" t="str">
        <v>-</v>
      </c>
      <c r="AS381" s="11"/>
      <c r="AT381" s="77" t="str">
        <v>-</v>
      </c>
      <c r="AU381" s="11" t="str">
        <v>-</v>
      </c>
      <c r="AV381" s="100"/>
      <c r="AW381" s="80" t="str">
        <f ca="1"/>
        <v>-</v>
      </c>
      <c r="AX381" s="80" t="b">
        <v>0</v>
      </c>
      <c r="AY381" s="68" t="str">
        <f t="shared" si="4"/>
        <v/>
      </c>
      <c r="AZ381" s="69" t="str">
        <f t="shared" si="5"/>
        <v/>
      </c>
      <c r="BA381" s="70" t="str">
        <f t="shared" si="6"/>
        <v/>
      </c>
      <c r="BB381" s="68" t="str">
        <f t="shared" si="7"/>
        <v/>
      </c>
      <c r="BC381" s="69" t="str">
        <f>IFERROR(VLOOKUP($AQ381,'(勿動)組件目錄表'!$D$15:$R$1094,7,FALSE),"")</f>
        <v/>
      </c>
      <c r="BD381" s="69" t="str">
        <f>IFERROR(VLOOKUP($AQ381,'(勿動)組件目錄表'!$D$15:$R$1094,8,FALSE),"")</f>
        <v/>
      </c>
      <c r="BE381" s="69" t="str">
        <f>IFERROR(VLOOKUP($AQ381,'(勿動)組件目錄表'!$D$15:$R$1094,9,FALSE),"")</f>
        <v/>
      </c>
      <c r="BF381" s="69" t="str">
        <f>IFERROR(VLOOKUP($AQ381,'(勿動)組件目錄表'!$D$15:$R$1094,10,FALSE),"")</f>
        <v/>
      </c>
      <c r="BG381" s="69" t="str">
        <f>IFERROR(VLOOKUP($AQ381,'(勿動)組件目錄表'!$D$15:$R$1094,11,FALSE),"")</f>
        <v/>
      </c>
      <c r="BH381" s="69" t="str">
        <f>IFERROR(VLOOKUP($AQ381,'(勿動)組件目錄表'!$D$15:$R$1094,12,FALSE),"")</f>
        <v/>
      </c>
      <c r="BI381" s="69" t="str">
        <f>IFERROR(VLOOKUP($AQ381,'(勿動)組件目錄表'!$D$15:$R$1094,13,FALSE),"")</f>
        <v/>
      </c>
      <c r="BJ381" s="69" t="str">
        <f>IFERROR(VLOOKUP($AQ381,'(勿動)組件目錄表'!$D$15:$R$1094,14,FALSE),"")</f>
        <v/>
      </c>
      <c r="BK381" s="69" t="str">
        <f>IFERROR(VLOOKUP($AQ381,'(勿動)組件目錄表'!$D$15:$R$1094,15,FALSE),"")</f>
        <v/>
      </c>
      <c r="BL381" s="81">
        <f ca="1">IFERROR(__xludf.DUMMYFUNCTION("IFERROR(
  LET(
    rowData, FILTER('(勿動)組件目錄表'!J:Q, '(勿動)組件目錄表'!D:D=AQ381),
    IF(ROWS(rowData)=0, 0, 
      (
        IF(AND(BC381&lt;&gt;"""", INDEX(rowData,1,1)=BC381),1,0) +
        IF(AND(BD381&lt;&gt;"""", INDEX(rowData,1,2)=BD381),1,0) +
        IF(AND(BE381"&amp;"&lt;&gt;"""", INDEX(rowData,1,3)=BE381),1,0) +
        IF(AND(BF381&lt;&gt;"""", INDEX(rowData,1,4)=BF381),1,0) +
        IF(AND(BG381&lt;&gt;"""", INDEX(rowData,1,5)=BG381),1,0) +
        IF(AND(BH381&lt;&gt;"""", INDEX(rowData,1,6)=BH381),1,0) +
        IF(AND(BI381&lt;&gt;"""", IND"&amp;"EX(rowData,1,7)=BI381),1,0) +
        IF(AND(BJ381&lt;&gt;"""", INDEX(rowData,1,8)=BJ381),1,0)
      ) - COUNTIF(BC381:BJ381, ""-"")
        - COUNTIF(BC381:BJ381, ""固定格式，不需提供資訊"")
        - COUNTIF(BC381:BJ381, ""由MKT更新，此欄位固定格式，不需提供資訊
(Voucher CID：12917705872)"&amp;""")
        - COUNTIF(BC381:BJ381, ""text固定為以下：
※直播間僅支援手機版"")
        - COUNTIF(BC381:BJ381, ""text固定為以下：
※短影音僅支援手機版"")
    )
  ), 
  0
)
"),0)</f>
        <v>0</v>
      </c>
      <c r="BM381" s="77" t="b">
        <v>0</v>
      </c>
      <c r="BN381" s="85"/>
      <c r="BO381" s="85"/>
    </row>
    <row r="382" spans="1:67" ht="30" customHeight="1">
      <c r="A382" s="73" t="str">
        <f t="array" aca="1" ref="A382" ca="1">IFERROR(TRANSPOSE(INDIRECT('MS section版配(Old)'!$AO382)),"")</f>
        <v/>
      </c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8"/>
      <c r="P382" s="88"/>
      <c r="Q382" s="88"/>
      <c r="R382" s="88"/>
      <c r="S382" s="88"/>
      <c r="T382" s="88"/>
      <c r="U382" s="88"/>
      <c r="V382" s="88"/>
      <c r="W382" s="88"/>
      <c r="X382" s="88"/>
      <c r="Y382" s="88"/>
      <c r="Z382" s="88"/>
      <c r="AA382" s="88"/>
      <c r="AB382" s="88"/>
      <c r="AC382" s="88"/>
      <c r="AD382" s="88"/>
      <c r="AE382" s="397" t="str">
        <f>IFERROR(VLOOKUP($AQ382,'(勿動)組件目錄表'!$D$15:$R$1094,4,FALSE),"")</f>
        <v/>
      </c>
      <c r="AF382" s="384"/>
      <c r="AG382" s="384"/>
      <c r="AH382" s="384"/>
      <c r="AI382" s="384"/>
      <c r="AJ382" s="385"/>
      <c r="AK382" s="54" t="b">
        <v>0</v>
      </c>
      <c r="AL382" s="54" t="b">
        <v>0</v>
      </c>
      <c r="AM382" s="54"/>
      <c r="AN382" s="7" t="str">
        <v>374</v>
      </c>
      <c r="AO382" s="7"/>
      <c r="AP382" s="62"/>
      <c r="AQ382" s="75" t="str">
        <v/>
      </c>
      <c r="AR382" s="75" t="str">
        <v>-</v>
      </c>
      <c r="AS382" s="11"/>
      <c r="AT382" s="77" t="str">
        <v>-</v>
      </c>
      <c r="AU382" s="11" t="str">
        <v>-</v>
      </c>
      <c r="AV382" s="100"/>
      <c r="AW382" s="80" t="str">
        <f ca="1"/>
        <v>-</v>
      </c>
      <c r="AX382" s="80" t="b">
        <v>0</v>
      </c>
      <c r="AY382" s="68" t="str">
        <f t="shared" si="4"/>
        <v/>
      </c>
      <c r="AZ382" s="69" t="str">
        <f t="shared" si="5"/>
        <v/>
      </c>
      <c r="BA382" s="70" t="str">
        <f t="shared" si="6"/>
        <v/>
      </c>
      <c r="BB382" s="68" t="str">
        <f t="shared" si="7"/>
        <v/>
      </c>
      <c r="BC382" s="69" t="str">
        <f>IFERROR(VLOOKUP($AQ382,'(勿動)組件目錄表'!$D$15:$R$1094,7,FALSE),"")</f>
        <v/>
      </c>
      <c r="BD382" s="69" t="str">
        <f>IFERROR(VLOOKUP($AQ382,'(勿動)組件目錄表'!$D$15:$R$1094,8,FALSE),"")</f>
        <v/>
      </c>
      <c r="BE382" s="69" t="str">
        <f>IFERROR(VLOOKUP($AQ382,'(勿動)組件目錄表'!$D$15:$R$1094,9,FALSE),"")</f>
        <v/>
      </c>
      <c r="BF382" s="69" t="str">
        <f>IFERROR(VLOOKUP($AQ382,'(勿動)組件目錄表'!$D$15:$R$1094,10,FALSE),"")</f>
        <v/>
      </c>
      <c r="BG382" s="69" t="str">
        <f>IFERROR(VLOOKUP($AQ382,'(勿動)組件目錄表'!$D$15:$R$1094,11,FALSE),"")</f>
        <v/>
      </c>
      <c r="BH382" s="69" t="str">
        <f>IFERROR(VLOOKUP($AQ382,'(勿動)組件目錄表'!$D$15:$R$1094,12,FALSE),"")</f>
        <v/>
      </c>
      <c r="BI382" s="69" t="str">
        <f>IFERROR(VLOOKUP($AQ382,'(勿動)組件目錄表'!$D$15:$R$1094,13,FALSE),"")</f>
        <v/>
      </c>
      <c r="BJ382" s="69" t="str">
        <f>IFERROR(VLOOKUP($AQ382,'(勿動)組件目錄表'!$D$15:$R$1094,14,FALSE),"")</f>
        <v/>
      </c>
      <c r="BK382" s="69" t="str">
        <f>IFERROR(VLOOKUP($AQ382,'(勿動)組件目錄表'!$D$15:$R$1094,15,FALSE),"")</f>
        <v/>
      </c>
      <c r="BL382" s="81">
        <f ca="1">IFERROR(__xludf.DUMMYFUNCTION("IFERROR(
  LET(
    rowData, FILTER('(勿動)組件目錄表'!J:Q, '(勿動)組件目錄表'!D:D=AQ382),
    IF(ROWS(rowData)=0, 0, 
      (
        IF(AND(BC382&lt;&gt;"""", INDEX(rowData,1,1)=BC382),1,0) +
        IF(AND(BD382&lt;&gt;"""", INDEX(rowData,1,2)=BD382),1,0) +
        IF(AND(BE382"&amp;"&lt;&gt;"""", INDEX(rowData,1,3)=BE382),1,0) +
        IF(AND(BF382&lt;&gt;"""", INDEX(rowData,1,4)=BF382),1,0) +
        IF(AND(BG382&lt;&gt;"""", INDEX(rowData,1,5)=BG382),1,0) +
        IF(AND(BH382&lt;&gt;"""", INDEX(rowData,1,6)=BH382),1,0) +
        IF(AND(BI382&lt;&gt;"""", IND"&amp;"EX(rowData,1,7)=BI382),1,0) +
        IF(AND(BJ382&lt;&gt;"""", INDEX(rowData,1,8)=BJ382),1,0)
      ) - COUNTIF(BC382:BJ382, ""-"")
        - COUNTIF(BC382:BJ382, ""固定格式，不需提供資訊"")
        - COUNTIF(BC382:BJ382, ""由MKT更新，此欄位固定格式，不需提供資訊
(Voucher CID：12917705872)"&amp;""")
        - COUNTIF(BC382:BJ382, ""text固定為以下：
※直播間僅支援手機版"")
        - COUNTIF(BC382:BJ382, ""text固定為以下：
※短影音僅支援手機版"")
    )
  ), 
  0
)
"),0)</f>
        <v>0</v>
      </c>
      <c r="BM382" s="77" t="b">
        <v>0</v>
      </c>
      <c r="BN382" s="85"/>
      <c r="BO382" s="85"/>
    </row>
    <row r="383" spans="1:67" ht="30" customHeight="1">
      <c r="A383" s="73" t="str">
        <f t="array" aca="1" ref="A383" ca="1">IFERROR(TRANSPOSE(INDIRECT('MS section版配(Old)'!$AO383)),"")</f>
        <v/>
      </c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8"/>
      <c r="P383" s="88"/>
      <c r="Q383" s="88"/>
      <c r="R383" s="88"/>
      <c r="S383" s="88"/>
      <c r="T383" s="88"/>
      <c r="U383" s="88"/>
      <c r="V383" s="88"/>
      <c r="W383" s="88"/>
      <c r="X383" s="88"/>
      <c r="Y383" s="88"/>
      <c r="Z383" s="88"/>
      <c r="AA383" s="88"/>
      <c r="AB383" s="88"/>
      <c r="AC383" s="88"/>
      <c r="AD383" s="88"/>
      <c r="AE383" s="397" t="str">
        <f>IFERROR(VLOOKUP($AQ383,'(勿動)組件目錄表'!$D$15:$R$1094,4,FALSE),"")</f>
        <v/>
      </c>
      <c r="AF383" s="384"/>
      <c r="AG383" s="384"/>
      <c r="AH383" s="384"/>
      <c r="AI383" s="384"/>
      <c r="AJ383" s="385"/>
      <c r="AK383" s="54" t="b">
        <v>0</v>
      </c>
      <c r="AL383" s="54" t="b">
        <v>0</v>
      </c>
      <c r="AM383" s="54"/>
      <c r="AN383" s="7" t="str">
        <v>375</v>
      </c>
      <c r="AO383" s="7"/>
      <c r="AP383" s="62"/>
      <c r="AQ383" s="75" t="str">
        <v/>
      </c>
      <c r="AR383" s="75" t="str">
        <v>-</v>
      </c>
      <c r="AS383" s="11"/>
      <c r="AT383" s="77" t="str">
        <v>-</v>
      </c>
      <c r="AU383" s="11" t="str">
        <v>-</v>
      </c>
      <c r="AV383" s="100"/>
      <c r="AW383" s="80" t="str">
        <f ca="1"/>
        <v>-</v>
      </c>
      <c r="AX383" s="80" t="b">
        <v>0</v>
      </c>
      <c r="AY383" s="68" t="str">
        <f t="shared" si="4"/>
        <v/>
      </c>
      <c r="AZ383" s="69" t="str">
        <f t="shared" si="5"/>
        <v/>
      </c>
      <c r="BA383" s="70" t="str">
        <f t="shared" si="6"/>
        <v/>
      </c>
      <c r="BB383" s="68" t="str">
        <f t="shared" si="7"/>
        <v/>
      </c>
      <c r="BC383" s="69" t="str">
        <f>IFERROR(VLOOKUP($AQ383,'(勿動)組件目錄表'!$D$15:$R$1094,7,FALSE),"")</f>
        <v/>
      </c>
      <c r="BD383" s="69" t="str">
        <f>IFERROR(VLOOKUP($AQ383,'(勿動)組件目錄表'!$D$15:$R$1094,8,FALSE),"")</f>
        <v/>
      </c>
      <c r="BE383" s="69" t="str">
        <f>IFERROR(VLOOKUP($AQ383,'(勿動)組件目錄表'!$D$15:$R$1094,9,FALSE),"")</f>
        <v/>
      </c>
      <c r="BF383" s="69" t="str">
        <f>IFERROR(VLOOKUP($AQ383,'(勿動)組件目錄表'!$D$15:$R$1094,10,FALSE),"")</f>
        <v/>
      </c>
      <c r="BG383" s="69" t="str">
        <f>IFERROR(VLOOKUP($AQ383,'(勿動)組件目錄表'!$D$15:$R$1094,11,FALSE),"")</f>
        <v/>
      </c>
      <c r="BH383" s="69" t="str">
        <f>IFERROR(VLOOKUP($AQ383,'(勿動)組件目錄表'!$D$15:$R$1094,12,FALSE),"")</f>
        <v/>
      </c>
      <c r="BI383" s="69" t="str">
        <f>IFERROR(VLOOKUP($AQ383,'(勿動)組件目錄表'!$D$15:$R$1094,13,FALSE),"")</f>
        <v/>
      </c>
      <c r="BJ383" s="69" t="str">
        <f>IFERROR(VLOOKUP($AQ383,'(勿動)組件目錄表'!$D$15:$R$1094,14,FALSE),"")</f>
        <v/>
      </c>
      <c r="BK383" s="69" t="str">
        <f>IFERROR(VLOOKUP($AQ383,'(勿動)組件目錄表'!$D$15:$R$1094,15,FALSE),"")</f>
        <v/>
      </c>
      <c r="BL383" s="81">
        <f ca="1">IFERROR(__xludf.DUMMYFUNCTION("IFERROR(
  LET(
    rowData, FILTER('(勿動)組件目錄表'!J:Q, '(勿動)組件目錄表'!D:D=AQ383),
    IF(ROWS(rowData)=0, 0, 
      (
        IF(AND(BC383&lt;&gt;"""", INDEX(rowData,1,1)=BC383),1,0) +
        IF(AND(BD383&lt;&gt;"""", INDEX(rowData,1,2)=BD383),1,0) +
        IF(AND(BE383"&amp;"&lt;&gt;"""", INDEX(rowData,1,3)=BE383),1,0) +
        IF(AND(BF383&lt;&gt;"""", INDEX(rowData,1,4)=BF383),1,0) +
        IF(AND(BG383&lt;&gt;"""", INDEX(rowData,1,5)=BG383),1,0) +
        IF(AND(BH383&lt;&gt;"""", INDEX(rowData,1,6)=BH383),1,0) +
        IF(AND(BI383&lt;&gt;"""", IND"&amp;"EX(rowData,1,7)=BI383),1,0) +
        IF(AND(BJ383&lt;&gt;"""", INDEX(rowData,1,8)=BJ383),1,0)
      ) - COUNTIF(BC383:BJ383, ""-"")
        - COUNTIF(BC383:BJ383, ""固定格式，不需提供資訊"")
        - COUNTIF(BC383:BJ383, ""由MKT更新，此欄位固定格式，不需提供資訊
(Voucher CID：12917705872)"&amp;""")
        - COUNTIF(BC383:BJ383, ""text固定為以下：
※直播間僅支援手機版"")
        - COUNTIF(BC383:BJ383, ""text固定為以下：
※短影音僅支援手機版"")
    )
  ), 
  0
)
"),0)</f>
        <v>0</v>
      </c>
      <c r="BM383" s="77" t="b">
        <v>0</v>
      </c>
      <c r="BN383" s="85"/>
      <c r="BO383" s="85"/>
    </row>
    <row r="384" spans="1:67" ht="30" customHeight="1">
      <c r="A384" s="73" t="str">
        <f t="array" aca="1" ref="A384" ca="1">IFERROR(TRANSPOSE(INDIRECT('MS section版配(Old)'!$AO384)),"")</f>
        <v/>
      </c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8"/>
      <c r="P384" s="88"/>
      <c r="Q384" s="88"/>
      <c r="R384" s="88"/>
      <c r="S384" s="88"/>
      <c r="T384" s="88"/>
      <c r="U384" s="88"/>
      <c r="V384" s="88"/>
      <c r="W384" s="88"/>
      <c r="X384" s="88"/>
      <c r="Y384" s="88"/>
      <c r="Z384" s="88"/>
      <c r="AA384" s="88"/>
      <c r="AB384" s="88"/>
      <c r="AC384" s="88"/>
      <c r="AD384" s="88"/>
      <c r="AE384" s="397" t="str">
        <f>IFERROR(VLOOKUP($AQ384,'(勿動)組件目錄表'!$D$15:$R$1094,4,FALSE),"")</f>
        <v/>
      </c>
      <c r="AF384" s="384"/>
      <c r="AG384" s="384"/>
      <c r="AH384" s="384"/>
      <c r="AI384" s="384"/>
      <c r="AJ384" s="385"/>
      <c r="AK384" s="54" t="b">
        <v>0</v>
      </c>
      <c r="AL384" s="54" t="b">
        <v>0</v>
      </c>
      <c r="AM384" s="54"/>
      <c r="AN384" s="7" t="str">
        <v>376</v>
      </c>
      <c r="AO384" s="7"/>
      <c r="AP384" s="62"/>
      <c r="AQ384" s="75" t="str">
        <v/>
      </c>
      <c r="AR384" s="75" t="str">
        <v>-</v>
      </c>
      <c r="AS384" s="11"/>
      <c r="AT384" s="77" t="str">
        <v>-</v>
      </c>
      <c r="AU384" s="11" t="str">
        <v>-</v>
      </c>
      <c r="AV384" s="100"/>
      <c r="AW384" s="80" t="str">
        <f ca="1"/>
        <v>-</v>
      </c>
      <c r="AX384" s="80" t="b">
        <v>0</v>
      </c>
      <c r="AY384" s="68" t="str">
        <f t="shared" si="4"/>
        <v/>
      </c>
      <c r="AZ384" s="69" t="str">
        <f t="shared" si="5"/>
        <v/>
      </c>
      <c r="BA384" s="70" t="str">
        <f t="shared" si="6"/>
        <v/>
      </c>
      <c r="BB384" s="68" t="str">
        <f t="shared" si="7"/>
        <v/>
      </c>
      <c r="BC384" s="69" t="str">
        <f>IFERROR(VLOOKUP($AQ384,'(勿動)組件目錄表'!$D$15:$R$1094,7,FALSE),"")</f>
        <v/>
      </c>
      <c r="BD384" s="69" t="str">
        <f>IFERROR(VLOOKUP($AQ384,'(勿動)組件目錄表'!$D$15:$R$1094,8,FALSE),"")</f>
        <v/>
      </c>
      <c r="BE384" s="69" t="str">
        <f>IFERROR(VLOOKUP($AQ384,'(勿動)組件目錄表'!$D$15:$R$1094,9,FALSE),"")</f>
        <v/>
      </c>
      <c r="BF384" s="69" t="str">
        <f>IFERROR(VLOOKUP($AQ384,'(勿動)組件目錄表'!$D$15:$R$1094,10,FALSE),"")</f>
        <v/>
      </c>
      <c r="BG384" s="69" t="str">
        <f>IFERROR(VLOOKUP($AQ384,'(勿動)組件目錄表'!$D$15:$R$1094,11,FALSE),"")</f>
        <v/>
      </c>
      <c r="BH384" s="69" t="str">
        <f>IFERROR(VLOOKUP($AQ384,'(勿動)組件目錄表'!$D$15:$R$1094,12,FALSE),"")</f>
        <v/>
      </c>
      <c r="BI384" s="69" t="str">
        <f>IFERROR(VLOOKUP($AQ384,'(勿動)組件目錄表'!$D$15:$R$1094,13,FALSE),"")</f>
        <v/>
      </c>
      <c r="BJ384" s="69" t="str">
        <f>IFERROR(VLOOKUP($AQ384,'(勿動)組件目錄表'!$D$15:$R$1094,14,FALSE),"")</f>
        <v/>
      </c>
      <c r="BK384" s="69" t="str">
        <f>IFERROR(VLOOKUP($AQ384,'(勿動)組件目錄表'!$D$15:$R$1094,15,FALSE),"")</f>
        <v/>
      </c>
      <c r="BL384" s="81">
        <f ca="1">IFERROR(__xludf.DUMMYFUNCTION("IFERROR(
  LET(
    rowData, FILTER('(勿動)組件目錄表'!J:Q, '(勿動)組件目錄表'!D:D=AQ384),
    IF(ROWS(rowData)=0, 0, 
      (
        IF(AND(BC384&lt;&gt;"""", INDEX(rowData,1,1)=BC384),1,0) +
        IF(AND(BD384&lt;&gt;"""", INDEX(rowData,1,2)=BD384),1,0) +
        IF(AND(BE384"&amp;"&lt;&gt;"""", INDEX(rowData,1,3)=BE384),1,0) +
        IF(AND(BF384&lt;&gt;"""", INDEX(rowData,1,4)=BF384),1,0) +
        IF(AND(BG384&lt;&gt;"""", INDEX(rowData,1,5)=BG384),1,0) +
        IF(AND(BH384&lt;&gt;"""", INDEX(rowData,1,6)=BH384),1,0) +
        IF(AND(BI384&lt;&gt;"""", IND"&amp;"EX(rowData,1,7)=BI384),1,0) +
        IF(AND(BJ384&lt;&gt;"""", INDEX(rowData,1,8)=BJ384),1,0)
      ) - COUNTIF(BC384:BJ384, ""-"")
        - COUNTIF(BC384:BJ384, ""固定格式，不需提供資訊"")
        - COUNTIF(BC384:BJ384, ""由MKT更新，此欄位固定格式，不需提供資訊
(Voucher CID：12917705872)"&amp;""")
        - COUNTIF(BC384:BJ384, ""text固定為以下：
※直播間僅支援手機版"")
        - COUNTIF(BC384:BJ384, ""text固定為以下：
※短影音僅支援手機版"")
    )
  ), 
  0
)
"),0)</f>
        <v>0</v>
      </c>
      <c r="BM384" s="77" t="b">
        <v>0</v>
      </c>
      <c r="BN384" s="85"/>
      <c r="BO384" s="85"/>
    </row>
    <row r="385" spans="1:67" ht="30" customHeight="1">
      <c r="A385" s="73" t="str">
        <f t="array" aca="1" ref="A385" ca="1">IFERROR(TRANSPOSE(INDIRECT('MS section版配(Old)'!$AO385)),"")</f>
        <v/>
      </c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8"/>
      <c r="P385" s="88"/>
      <c r="Q385" s="88"/>
      <c r="R385" s="88"/>
      <c r="S385" s="88"/>
      <c r="T385" s="88"/>
      <c r="U385" s="88"/>
      <c r="V385" s="88"/>
      <c r="W385" s="88"/>
      <c r="X385" s="88"/>
      <c r="Y385" s="88"/>
      <c r="Z385" s="88"/>
      <c r="AA385" s="88"/>
      <c r="AB385" s="88"/>
      <c r="AC385" s="88"/>
      <c r="AD385" s="88"/>
      <c r="AE385" s="397" t="str">
        <f>IFERROR(VLOOKUP($AQ385,'(勿動)組件目錄表'!$D$15:$R$1094,4,FALSE),"")</f>
        <v/>
      </c>
      <c r="AF385" s="384"/>
      <c r="AG385" s="384"/>
      <c r="AH385" s="384"/>
      <c r="AI385" s="384"/>
      <c r="AJ385" s="385"/>
      <c r="AK385" s="54" t="b">
        <v>0</v>
      </c>
      <c r="AL385" s="54" t="b">
        <v>0</v>
      </c>
      <c r="AM385" s="54"/>
      <c r="AN385" s="7" t="str">
        <v>377</v>
      </c>
      <c r="AO385" s="7"/>
      <c r="AP385" s="62"/>
      <c r="AQ385" s="75" t="str">
        <v/>
      </c>
      <c r="AR385" s="75" t="str">
        <v>-</v>
      </c>
      <c r="AS385" s="11"/>
      <c r="AT385" s="77" t="str">
        <v>-</v>
      </c>
      <c r="AU385" s="11" t="str">
        <v>-</v>
      </c>
      <c r="AV385" s="100"/>
      <c r="AW385" s="80" t="str">
        <f ca="1"/>
        <v>-</v>
      </c>
      <c r="AX385" s="80" t="b">
        <v>0</v>
      </c>
      <c r="AY385" s="68" t="str">
        <f t="shared" si="4"/>
        <v/>
      </c>
      <c r="AZ385" s="69" t="str">
        <f t="shared" si="5"/>
        <v/>
      </c>
      <c r="BA385" s="70" t="str">
        <f t="shared" si="6"/>
        <v/>
      </c>
      <c r="BB385" s="68" t="str">
        <f t="shared" si="7"/>
        <v/>
      </c>
      <c r="BC385" s="69" t="str">
        <f>IFERROR(VLOOKUP($AQ385,'(勿動)組件目錄表'!$D$15:$R$1094,7,FALSE),"")</f>
        <v/>
      </c>
      <c r="BD385" s="69" t="str">
        <f>IFERROR(VLOOKUP($AQ385,'(勿動)組件目錄表'!$D$15:$R$1094,8,FALSE),"")</f>
        <v/>
      </c>
      <c r="BE385" s="69" t="str">
        <f>IFERROR(VLOOKUP($AQ385,'(勿動)組件目錄表'!$D$15:$R$1094,9,FALSE),"")</f>
        <v/>
      </c>
      <c r="BF385" s="69" t="str">
        <f>IFERROR(VLOOKUP($AQ385,'(勿動)組件目錄表'!$D$15:$R$1094,10,FALSE),"")</f>
        <v/>
      </c>
      <c r="BG385" s="69" t="str">
        <f>IFERROR(VLOOKUP($AQ385,'(勿動)組件目錄表'!$D$15:$R$1094,11,FALSE),"")</f>
        <v/>
      </c>
      <c r="BH385" s="69" t="str">
        <f>IFERROR(VLOOKUP($AQ385,'(勿動)組件目錄表'!$D$15:$R$1094,12,FALSE),"")</f>
        <v/>
      </c>
      <c r="BI385" s="69" t="str">
        <f>IFERROR(VLOOKUP($AQ385,'(勿動)組件目錄表'!$D$15:$R$1094,13,FALSE),"")</f>
        <v/>
      </c>
      <c r="BJ385" s="69" t="str">
        <f>IFERROR(VLOOKUP($AQ385,'(勿動)組件目錄表'!$D$15:$R$1094,14,FALSE),"")</f>
        <v/>
      </c>
      <c r="BK385" s="69" t="str">
        <f>IFERROR(VLOOKUP($AQ385,'(勿動)組件目錄表'!$D$15:$R$1094,15,FALSE),"")</f>
        <v/>
      </c>
      <c r="BL385" s="81">
        <f ca="1">IFERROR(__xludf.DUMMYFUNCTION("IFERROR(
  LET(
    rowData, FILTER('(勿動)組件目錄表'!J:Q, '(勿動)組件目錄表'!D:D=AQ385),
    IF(ROWS(rowData)=0, 0, 
      (
        IF(AND(BC385&lt;&gt;"""", INDEX(rowData,1,1)=BC385),1,0) +
        IF(AND(BD385&lt;&gt;"""", INDEX(rowData,1,2)=BD385),1,0) +
        IF(AND(BE385"&amp;"&lt;&gt;"""", INDEX(rowData,1,3)=BE385),1,0) +
        IF(AND(BF385&lt;&gt;"""", INDEX(rowData,1,4)=BF385),1,0) +
        IF(AND(BG385&lt;&gt;"""", INDEX(rowData,1,5)=BG385),1,0) +
        IF(AND(BH385&lt;&gt;"""", INDEX(rowData,1,6)=BH385),1,0) +
        IF(AND(BI385&lt;&gt;"""", IND"&amp;"EX(rowData,1,7)=BI385),1,0) +
        IF(AND(BJ385&lt;&gt;"""", INDEX(rowData,1,8)=BJ385),1,0)
      ) - COUNTIF(BC385:BJ385, ""-"")
        - COUNTIF(BC385:BJ385, ""固定格式，不需提供資訊"")
        - COUNTIF(BC385:BJ385, ""由MKT更新，此欄位固定格式，不需提供資訊
(Voucher CID：12917705872)"&amp;""")
        - COUNTIF(BC385:BJ385, ""text固定為以下：
※直播間僅支援手機版"")
        - COUNTIF(BC385:BJ385, ""text固定為以下：
※短影音僅支援手機版"")
    )
  ), 
  0
)
"),0)</f>
        <v>0</v>
      </c>
      <c r="BM385" s="77" t="b">
        <v>0</v>
      </c>
      <c r="BN385" s="85"/>
      <c r="BO385" s="85"/>
    </row>
    <row r="386" spans="1:67" ht="30" customHeight="1">
      <c r="A386" s="73" t="str">
        <f t="array" aca="1" ref="A386" ca="1">IFERROR(TRANSPOSE(INDIRECT('MS section版配(Old)'!$AO386)),"")</f>
        <v/>
      </c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8"/>
      <c r="P386" s="88"/>
      <c r="Q386" s="88"/>
      <c r="R386" s="88"/>
      <c r="S386" s="88"/>
      <c r="T386" s="88"/>
      <c r="U386" s="88"/>
      <c r="V386" s="88"/>
      <c r="W386" s="88"/>
      <c r="X386" s="88"/>
      <c r="Y386" s="88"/>
      <c r="Z386" s="88"/>
      <c r="AA386" s="88"/>
      <c r="AB386" s="88"/>
      <c r="AC386" s="88"/>
      <c r="AD386" s="88"/>
      <c r="AE386" s="397" t="str">
        <f>IFERROR(VLOOKUP($AQ386,'(勿動)組件目錄表'!$D$15:$R$1094,4,FALSE),"")</f>
        <v/>
      </c>
      <c r="AF386" s="384"/>
      <c r="AG386" s="384"/>
      <c r="AH386" s="384"/>
      <c r="AI386" s="384"/>
      <c r="AJ386" s="385"/>
      <c r="AK386" s="54" t="b">
        <v>0</v>
      </c>
      <c r="AL386" s="54" t="b">
        <v>0</v>
      </c>
      <c r="AM386" s="54"/>
      <c r="AN386" s="7" t="str">
        <v>378</v>
      </c>
      <c r="AO386" s="7"/>
      <c r="AP386" s="62"/>
      <c r="AQ386" s="75" t="str">
        <v/>
      </c>
      <c r="AR386" s="75" t="str">
        <v>-</v>
      </c>
      <c r="AS386" s="11"/>
      <c r="AT386" s="77" t="str">
        <v>-</v>
      </c>
      <c r="AU386" s="11" t="str">
        <v>-</v>
      </c>
      <c r="AV386" s="100"/>
      <c r="AW386" s="80" t="str">
        <f ca="1"/>
        <v>-</v>
      </c>
      <c r="AX386" s="80" t="b">
        <v>0</v>
      </c>
      <c r="AY386" s="68" t="str">
        <f t="shared" si="4"/>
        <v/>
      </c>
      <c r="AZ386" s="69" t="str">
        <f t="shared" si="5"/>
        <v/>
      </c>
      <c r="BA386" s="70" t="str">
        <f t="shared" si="6"/>
        <v/>
      </c>
      <c r="BB386" s="68" t="str">
        <f t="shared" si="7"/>
        <v/>
      </c>
      <c r="BC386" s="69" t="str">
        <f>IFERROR(VLOOKUP($AQ386,'(勿動)組件目錄表'!$D$15:$R$1094,7,FALSE),"")</f>
        <v/>
      </c>
      <c r="BD386" s="69" t="str">
        <f>IFERROR(VLOOKUP($AQ386,'(勿動)組件目錄表'!$D$15:$R$1094,8,FALSE),"")</f>
        <v/>
      </c>
      <c r="BE386" s="69" t="str">
        <f>IFERROR(VLOOKUP($AQ386,'(勿動)組件目錄表'!$D$15:$R$1094,9,FALSE),"")</f>
        <v/>
      </c>
      <c r="BF386" s="69" t="str">
        <f>IFERROR(VLOOKUP($AQ386,'(勿動)組件目錄表'!$D$15:$R$1094,10,FALSE),"")</f>
        <v/>
      </c>
      <c r="BG386" s="69" t="str">
        <f>IFERROR(VLOOKUP($AQ386,'(勿動)組件目錄表'!$D$15:$R$1094,11,FALSE),"")</f>
        <v/>
      </c>
      <c r="BH386" s="69" t="str">
        <f>IFERROR(VLOOKUP($AQ386,'(勿動)組件目錄表'!$D$15:$R$1094,12,FALSE),"")</f>
        <v/>
      </c>
      <c r="BI386" s="69" t="str">
        <f>IFERROR(VLOOKUP($AQ386,'(勿動)組件目錄表'!$D$15:$R$1094,13,FALSE),"")</f>
        <v/>
      </c>
      <c r="BJ386" s="69" t="str">
        <f>IFERROR(VLOOKUP($AQ386,'(勿動)組件目錄表'!$D$15:$R$1094,14,FALSE),"")</f>
        <v/>
      </c>
      <c r="BK386" s="69" t="str">
        <f>IFERROR(VLOOKUP($AQ386,'(勿動)組件目錄表'!$D$15:$R$1094,15,FALSE),"")</f>
        <v/>
      </c>
      <c r="BL386" s="81">
        <f ca="1">IFERROR(__xludf.DUMMYFUNCTION("IFERROR(
  LET(
    rowData, FILTER('(勿動)組件目錄表'!J:Q, '(勿動)組件目錄表'!D:D=AQ386),
    IF(ROWS(rowData)=0, 0, 
      (
        IF(AND(BC386&lt;&gt;"""", INDEX(rowData,1,1)=BC386),1,0) +
        IF(AND(BD386&lt;&gt;"""", INDEX(rowData,1,2)=BD386),1,0) +
        IF(AND(BE386"&amp;"&lt;&gt;"""", INDEX(rowData,1,3)=BE386),1,0) +
        IF(AND(BF386&lt;&gt;"""", INDEX(rowData,1,4)=BF386),1,0) +
        IF(AND(BG386&lt;&gt;"""", INDEX(rowData,1,5)=BG386),1,0) +
        IF(AND(BH386&lt;&gt;"""", INDEX(rowData,1,6)=BH386),1,0) +
        IF(AND(BI386&lt;&gt;"""", IND"&amp;"EX(rowData,1,7)=BI386),1,0) +
        IF(AND(BJ386&lt;&gt;"""", INDEX(rowData,1,8)=BJ386),1,0)
      ) - COUNTIF(BC386:BJ386, ""-"")
        - COUNTIF(BC386:BJ386, ""固定格式，不需提供資訊"")
        - COUNTIF(BC386:BJ386, ""由MKT更新，此欄位固定格式，不需提供資訊
(Voucher CID：12917705872)"&amp;""")
        - COUNTIF(BC386:BJ386, ""text固定為以下：
※直播間僅支援手機版"")
        - COUNTIF(BC386:BJ386, ""text固定為以下：
※短影音僅支援手機版"")
    )
  ), 
  0
)
"),0)</f>
        <v>0</v>
      </c>
      <c r="BM386" s="77" t="b">
        <v>0</v>
      </c>
      <c r="BN386" s="85"/>
      <c r="BO386" s="85"/>
    </row>
    <row r="387" spans="1:67" ht="30" customHeight="1">
      <c r="A387" s="73" t="str">
        <f t="array" aca="1" ref="A387" ca="1">IFERROR(TRANSPOSE(INDIRECT('MS section版配(Old)'!$AO387)),"")</f>
        <v/>
      </c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8"/>
      <c r="P387" s="88"/>
      <c r="Q387" s="88"/>
      <c r="R387" s="88"/>
      <c r="S387" s="88"/>
      <c r="T387" s="88"/>
      <c r="U387" s="88"/>
      <c r="V387" s="88"/>
      <c r="W387" s="88"/>
      <c r="X387" s="88"/>
      <c r="Y387" s="88"/>
      <c r="Z387" s="88"/>
      <c r="AA387" s="88"/>
      <c r="AB387" s="88"/>
      <c r="AC387" s="88"/>
      <c r="AD387" s="88"/>
      <c r="AE387" s="397" t="str">
        <f>IFERROR(VLOOKUP($AQ387,'(勿動)組件目錄表'!$D$15:$R$1094,4,FALSE),"")</f>
        <v/>
      </c>
      <c r="AF387" s="384"/>
      <c r="AG387" s="384"/>
      <c r="AH387" s="384"/>
      <c r="AI387" s="384"/>
      <c r="AJ387" s="385"/>
      <c r="AK387" s="54" t="b">
        <v>0</v>
      </c>
      <c r="AL387" s="54" t="b">
        <v>0</v>
      </c>
      <c r="AM387" s="54"/>
      <c r="AN387" s="7" t="str">
        <v>379</v>
      </c>
      <c r="AO387" s="7"/>
      <c r="AP387" s="62"/>
      <c r="AQ387" s="75" t="str">
        <v/>
      </c>
      <c r="AR387" s="75" t="str">
        <v>-</v>
      </c>
      <c r="AS387" s="11"/>
      <c r="AT387" s="77" t="str">
        <v>-</v>
      </c>
      <c r="AU387" s="11" t="str">
        <v>-</v>
      </c>
      <c r="AV387" s="100"/>
      <c r="AW387" s="80" t="str">
        <f ca="1"/>
        <v>-</v>
      </c>
      <c r="AX387" s="80" t="b">
        <v>0</v>
      </c>
      <c r="AY387" s="68" t="str">
        <f t="shared" si="4"/>
        <v/>
      </c>
      <c r="AZ387" s="69" t="str">
        <f t="shared" si="5"/>
        <v/>
      </c>
      <c r="BA387" s="70" t="str">
        <f t="shared" si="6"/>
        <v/>
      </c>
      <c r="BB387" s="68" t="str">
        <f t="shared" si="7"/>
        <v/>
      </c>
      <c r="BC387" s="69" t="str">
        <f>IFERROR(VLOOKUP($AQ387,'(勿動)組件目錄表'!$D$15:$R$1094,7,FALSE),"")</f>
        <v/>
      </c>
      <c r="BD387" s="69" t="str">
        <f>IFERROR(VLOOKUP($AQ387,'(勿動)組件目錄表'!$D$15:$R$1094,8,FALSE),"")</f>
        <v/>
      </c>
      <c r="BE387" s="69" t="str">
        <f>IFERROR(VLOOKUP($AQ387,'(勿動)組件目錄表'!$D$15:$R$1094,9,FALSE),"")</f>
        <v/>
      </c>
      <c r="BF387" s="69" t="str">
        <f>IFERROR(VLOOKUP($AQ387,'(勿動)組件目錄表'!$D$15:$R$1094,10,FALSE),"")</f>
        <v/>
      </c>
      <c r="BG387" s="69" t="str">
        <f>IFERROR(VLOOKUP($AQ387,'(勿動)組件目錄表'!$D$15:$R$1094,11,FALSE),"")</f>
        <v/>
      </c>
      <c r="BH387" s="69" t="str">
        <f>IFERROR(VLOOKUP($AQ387,'(勿動)組件目錄表'!$D$15:$R$1094,12,FALSE),"")</f>
        <v/>
      </c>
      <c r="BI387" s="69" t="str">
        <f>IFERROR(VLOOKUP($AQ387,'(勿動)組件目錄表'!$D$15:$R$1094,13,FALSE),"")</f>
        <v/>
      </c>
      <c r="BJ387" s="69" t="str">
        <f>IFERROR(VLOOKUP($AQ387,'(勿動)組件目錄表'!$D$15:$R$1094,14,FALSE),"")</f>
        <v/>
      </c>
      <c r="BK387" s="69" t="str">
        <f>IFERROR(VLOOKUP($AQ387,'(勿動)組件目錄表'!$D$15:$R$1094,15,FALSE),"")</f>
        <v/>
      </c>
      <c r="BL387" s="81">
        <f ca="1">IFERROR(__xludf.DUMMYFUNCTION("IFERROR(
  LET(
    rowData, FILTER('(勿動)組件目錄表'!J:Q, '(勿動)組件目錄表'!D:D=AQ387),
    IF(ROWS(rowData)=0, 0, 
      (
        IF(AND(BC387&lt;&gt;"""", INDEX(rowData,1,1)=BC387),1,0) +
        IF(AND(BD387&lt;&gt;"""", INDEX(rowData,1,2)=BD387),1,0) +
        IF(AND(BE387"&amp;"&lt;&gt;"""", INDEX(rowData,1,3)=BE387),1,0) +
        IF(AND(BF387&lt;&gt;"""", INDEX(rowData,1,4)=BF387),1,0) +
        IF(AND(BG387&lt;&gt;"""", INDEX(rowData,1,5)=BG387),1,0) +
        IF(AND(BH387&lt;&gt;"""", INDEX(rowData,1,6)=BH387),1,0) +
        IF(AND(BI387&lt;&gt;"""", IND"&amp;"EX(rowData,1,7)=BI387),1,0) +
        IF(AND(BJ387&lt;&gt;"""", INDEX(rowData,1,8)=BJ387),1,0)
      ) - COUNTIF(BC387:BJ387, ""-"")
        - COUNTIF(BC387:BJ387, ""固定格式，不需提供資訊"")
        - COUNTIF(BC387:BJ387, ""由MKT更新，此欄位固定格式，不需提供資訊
(Voucher CID：12917705872)"&amp;""")
        - COUNTIF(BC387:BJ387, ""text固定為以下：
※直播間僅支援手機版"")
        - COUNTIF(BC387:BJ387, ""text固定為以下：
※短影音僅支援手機版"")
    )
  ), 
  0
)
"),0)</f>
        <v>0</v>
      </c>
      <c r="BM387" s="77" t="b">
        <v>0</v>
      </c>
      <c r="BN387" s="85"/>
      <c r="BO387" s="85"/>
    </row>
    <row r="388" spans="1:67" ht="30" customHeight="1">
      <c r="A388" s="73" t="str">
        <f t="array" aca="1" ref="A388" ca="1">IFERROR(TRANSPOSE(INDIRECT('MS section版配(Old)'!$AO388)),"")</f>
        <v/>
      </c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8"/>
      <c r="P388" s="88"/>
      <c r="Q388" s="88"/>
      <c r="R388" s="88"/>
      <c r="S388" s="88"/>
      <c r="T388" s="88"/>
      <c r="U388" s="88"/>
      <c r="V388" s="88"/>
      <c r="W388" s="88"/>
      <c r="X388" s="88"/>
      <c r="Y388" s="88"/>
      <c r="Z388" s="88"/>
      <c r="AA388" s="88"/>
      <c r="AB388" s="88"/>
      <c r="AC388" s="88"/>
      <c r="AD388" s="88"/>
      <c r="AE388" s="397" t="str">
        <f>IFERROR(VLOOKUP($AQ388,'(勿動)組件目錄表'!$D$15:$R$1094,4,FALSE),"")</f>
        <v/>
      </c>
      <c r="AF388" s="384"/>
      <c r="AG388" s="384"/>
      <c r="AH388" s="384"/>
      <c r="AI388" s="384"/>
      <c r="AJ388" s="385"/>
      <c r="AK388" s="54" t="b">
        <v>0</v>
      </c>
      <c r="AL388" s="54" t="b">
        <v>0</v>
      </c>
      <c r="AM388" s="54"/>
      <c r="AN388" s="7" t="str">
        <v>380</v>
      </c>
      <c r="AO388" s="7"/>
      <c r="AP388" s="62"/>
      <c r="AQ388" s="75" t="str">
        <v/>
      </c>
      <c r="AR388" s="75" t="str">
        <v>-</v>
      </c>
      <c r="AS388" s="11"/>
      <c r="AT388" s="77" t="str">
        <v>-</v>
      </c>
      <c r="AU388" s="11" t="str">
        <v>-</v>
      </c>
      <c r="AV388" s="100"/>
      <c r="AW388" s="80" t="str">
        <f ca="1"/>
        <v>-</v>
      </c>
      <c r="AX388" s="80" t="b">
        <v>0</v>
      </c>
      <c r="AY388" s="68" t="str">
        <f t="shared" si="4"/>
        <v/>
      </c>
      <c r="AZ388" s="69" t="str">
        <f t="shared" si="5"/>
        <v/>
      </c>
      <c r="BA388" s="70" t="str">
        <f t="shared" si="6"/>
        <v/>
      </c>
      <c r="BB388" s="68" t="str">
        <f t="shared" si="7"/>
        <v/>
      </c>
      <c r="BC388" s="69" t="str">
        <f>IFERROR(VLOOKUP($AQ388,'(勿動)組件目錄表'!$D$15:$R$1094,7,FALSE),"")</f>
        <v/>
      </c>
      <c r="BD388" s="69" t="str">
        <f>IFERROR(VLOOKUP($AQ388,'(勿動)組件目錄表'!$D$15:$R$1094,8,FALSE),"")</f>
        <v/>
      </c>
      <c r="BE388" s="69" t="str">
        <f>IFERROR(VLOOKUP($AQ388,'(勿動)組件目錄表'!$D$15:$R$1094,9,FALSE),"")</f>
        <v/>
      </c>
      <c r="BF388" s="69" t="str">
        <f>IFERROR(VLOOKUP($AQ388,'(勿動)組件目錄表'!$D$15:$R$1094,10,FALSE),"")</f>
        <v/>
      </c>
      <c r="BG388" s="69" t="str">
        <f>IFERROR(VLOOKUP($AQ388,'(勿動)組件目錄表'!$D$15:$R$1094,11,FALSE),"")</f>
        <v/>
      </c>
      <c r="BH388" s="69" t="str">
        <f>IFERROR(VLOOKUP($AQ388,'(勿動)組件目錄表'!$D$15:$R$1094,12,FALSE),"")</f>
        <v/>
      </c>
      <c r="BI388" s="69" t="str">
        <f>IFERROR(VLOOKUP($AQ388,'(勿動)組件目錄表'!$D$15:$R$1094,13,FALSE),"")</f>
        <v/>
      </c>
      <c r="BJ388" s="69" t="str">
        <f>IFERROR(VLOOKUP($AQ388,'(勿動)組件目錄表'!$D$15:$R$1094,14,FALSE),"")</f>
        <v/>
      </c>
      <c r="BK388" s="69" t="str">
        <f>IFERROR(VLOOKUP($AQ388,'(勿動)組件目錄表'!$D$15:$R$1094,15,FALSE),"")</f>
        <v/>
      </c>
      <c r="BL388" s="81">
        <f ca="1">IFERROR(__xludf.DUMMYFUNCTION("IFERROR(
  LET(
    rowData, FILTER('(勿動)組件目錄表'!J:Q, '(勿動)組件目錄表'!D:D=AQ388),
    IF(ROWS(rowData)=0, 0, 
      (
        IF(AND(BC388&lt;&gt;"""", INDEX(rowData,1,1)=BC388),1,0) +
        IF(AND(BD388&lt;&gt;"""", INDEX(rowData,1,2)=BD388),1,0) +
        IF(AND(BE388"&amp;"&lt;&gt;"""", INDEX(rowData,1,3)=BE388),1,0) +
        IF(AND(BF388&lt;&gt;"""", INDEX(rowData,1,4)=BF388),1,0) +
        IF(AND(BG388&lt;&gt;"""", INDEX(rowData,1,5)=BG388),1,0) +
        IF(AND(BH388&lt;&gt;"""", INDEX(rowData,1,6)=BH388),1,0) +
        IF(AND(BI388&lt;&gt;"""", IND"&amp;"EX(rowData,1,7)=BI388),1,0) +
        IF(AND(BJ388&lt;&gt;"""", INDEX(rowData,1,8)=BJ388),1,0)
      ) - COUNTIF(BC388:BJ388, ""-"")
        - COUNTIF(BC388:BJ388, ""固定格式，不需提供資訊"")
        - COUNTIF(BC388:BJ388, ""由MKT更新，此欄位固定格式，不需提供資訊
(Voucher CID：12917705872)"&amp;""")
        - COUNTIF(BC388:BJ388, ""text固定為以下：
※直播間僅支援手機版"")
        - COUNTIF(BC388:BJ388, ""text固定為以下：
※短影音僅支援手機版"")
    )
  ), 
  0
)
"),0)</f>
        <v>0</v>
      </c>
      <c r="BM388" s="77" t="b">
        <v>0</v>
      </c>
      <c r="BN388" s="85"/>
      <c r="BO388" s="85"/>
    </row>
    <row r="389" spans="1:67" ht="30" customHeight="1">
      <c r="A389" s="73" t="str">
        <f t="array" aca="1" ref="A389" ca="1">IFERROR(TRANSPOSE(INDIRECT('MS section版配(Old)'!$AO389)),"")</f>
        <v/>
      </c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8"/>
      <c r="P389" s="88"/>
      <c r="Q389" s="88"/>
      <c r="R389" s="88"/>
      <c r="S389" s="88"/>
      <c r="T389" s="88"/>
      <c r="U389" s="88"/>
      <c r="V389" s="88"/>
      <c r="W389" s="88"/>
      <c r="X389" s="88"/>
      <c r="Y389" s="88"/>
      <c r="Z389" s="88"/>
      <c r="AA389" s="88"/>
      <c r="AB389" s="88"/>
      <c r="AC389" s="88"/>
      <c r="AD389" s="88"/>
      <c r="AE389" s="397" t="str">
        <f>IFERROR(VLOOKUP($AQ389,'(勿動)組件目錄表'!$D$15:$R$1094,4,FALSE),"")</f>
        <v/>
      </c>
      <c r="AF389" s="384"/>
      <c r="AG389" s="384"/>
      <c r="AH389" s="384"/>
      <c r="AI389" s="384"/>
      <c r="AJ389" s="385"/>
      <c r="AK389" s="54" t="b">
        <v>0</v>
      </c>
      <c r="AL389" s="54" t="b">
        <v>0</v>
      </c>
      <c r="AM389" s="54"/>
      <c r="AN389" s="7" t="str">
        <v>381</v>
      </c>
      <c r="AO389" s="7"/>
      <c r="AP389" s="62"/>
      <c r="AQ389" s="75" t="str">
        <v/>
      </c>
      <c r="AR389" s="75" t="str">
        <v>-</v>
      </c>
      <c r="AS389" s="11"/>
      <c r="AT389" s="77" t="str">
        <v>-</v>
      </c>
      <c r="AU389" s="11" t="str">
        <v>-</v>
      </c>
      <c r="AV389" s="100"/>
      <c r="AW389" s="80" t="str">
        <f ca="1"/>
        <v>-</v>
      </c>
      <c r="AX389" s="80" t="b">
        <v>0</v>
      </c>
      <c r="AY389" s="68" t="str">
        <f t="shared" si="4"/>
        <v/>
      </c>
      <c r="AZ389" s="69" t="str">
        <f t="shared" si="5"/>
        <v/>
      </c>
      <c r="BA389" s="70" t="str">
        <f t="shared" si="6"/>
        <v/>
      </c>
      <c r="BB389" s="68" t="str">
        <f t="shared" si="7"/>
        <v/>
      </c>
      <c r="BC389" s="69" t="str">
        <f>IFERROR(VLOOKUP($AQ389,'(勿動)組件目錄表'!$D$15:$R$1094,7,FALSE),"")</f>
        <v/>
      </c>
      <c r="BD389" s="69" t="str">
        <f>IFERROR(VLOOKUP($AQ389,'(勿動)組件目錄表'!$D$15:$R$1094,8,FALSE),"")</f>
        <v/>
      </c>
      <c r="BE389" s="69" t="str">
        <f>IFERROR(VLOOKUP($AQ389,'(勿動)組件目錄表'!$D$15:$R$1094,9,FALSE),"")</f>
        <v/>
      </c>
      <c r="BF389" s="69" t="str">
        <f>IFERROR(VLOOKUP($AQ389,'(勿動)組件目錄表'!$D$15:$R$1094,10,FALSE),"")</f>
        <v/>
      </c>
      <c r="BG389" s="69" t="str">
        <f>IFERROR(VLOOKUP($AQ389,'(勿動)組件目錄表'!$D$15:$R$1094,11,FALSE),"")</f>
        <v/>
      </c>
      <c r="BH389" s="69" t="str">
        <f>IFERROR(VLOOKUP($AQ389,'(勿動)組件目錄表'!$D$15:$R$1094,12,FALSE),"")</f>
        <v/>
      </c>
      <c r="BI389" s="69" t="str">
        <f>IFERROR(VLOOKUP($AQ389,'(勿動)組件目錄表'!$D$15:$R$1094,13,FALSE),"")</f>
        <v/>
      </c>
      <c r="BJ389" s="69" t="str">
        <f>IFERROR(VLOOKUP($AQ389,'(勿動)組件目錄表'!$D$15:$R$1094,14,FALSE),"")</f>
        <v/>
      </c>
      <c r="BK389" s="69" t="str">
        <f>IFERROR(VLOOKUP($AQ389,'(勿動)組件目錄表'!$D$15:$R$1094,15,FALSE),"")</f>
        <v/>
      </c>
      <c r="BL389" s="81">
        <f ca="1">IFERROR(__xludf.DUMMYFUNCTION("IFERROR(
  LET(
    rowData, FILTER('(勿動)組件目錄表'!J:Q, '(勿動)組件目錄表'!D:D=AQ389),
    IF(ROWS(rowData)=0, 0, 
      (
        IF(AND(BC389&lt;&gt;"""", INDEX(rowData,1,1)=BC389),1,0) +
        IF(AND(BD389&lt;&gt;"""", INDEX(rowData,1,2)=BD389),1,0) +
        IF(AND(BE389"&amp;"&lt;&gt;"""", INDEX(rowData,1,3)=BE389),1,0) +
        IF(AND(BF389&lt;&gt;"""", INDEX(rowData,1,4)=BF389),1,0) +
        IF(AND(BG389&lt;&gt;"""", INDEX(rowData,1,5)=BG389),1,0) +
        IF(AND(BH389&lt;&gt;"""", INDEX(rowData,1,6)=BH389),1,0) +
        IF(AND(BI389&lt;&gt;"""", IND"&amp;"EX(rowData,1,7)=BI389),1,0) +
        IF(AND(BJ389&lt;&gt;"""", INDEX(rowData,1,8)=BJ389),1,0)
      ) - COUNTIF(BC389:BJ389, ""-"")
        - COUNTIF(BC389:BJ389, ""固定格式，不需提供資訊"")
        - COUNTIF(BC389:BJ389, ""由MKT更新，此欄位固定格式，不需提供資訊
(Voucher CID：12917705872)"&amp;""")
        - COUNTIF(BC389:BJ389, ""text固定為以下：
※直播間僅支援手機版"")
        - COUNTIF(BC389:BJ389, ""text固定為以下：
※短影音僅支援手機版"")
    )
  ), 
  0
)
"),0)</f>
        <v>0</v>
      </c>
      <c r="BM389" s="77" t="b">
        <v>0</v>
      </c>
      <c r="BN389" s="85"/>
      <c r="BO389" s="85"/>
    </row>
    <row r="390" spans="1:67" ht="30" customHeight="1">
      <c r="A390" s="73" t="str">
        <f t="array" aca="1" ref="A390" ca="1">IFERROR(TRANSPOSE(INDIRECT('MS section版配(Old)'!$AO390)),"")</f>
        <v/>
      </c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8"/>
      <c r="P390" s="88"/>
      <c r="Q390" s="88"/>
      <c r="R390" s="88"/>
      <c r="S390" s="88"/>
      <c r="T390" s="88"/>
      <c r="U390" s="88"/>
      <c r="V390" s="88"/>
      <c r="W390" s="88"/>
      <c r="X390" s="88"/>
      <c r="Y390" s="88"/>
      <c r="Z390" s="88"/>
      <c r="AA390" s="88"/>
      <c r="AB390" s="88"/>
      <c r="AC390" s="88"/>
      <c r="AD390" s="88"/>
      <c r="AE390" s="397" t="str">
        <f>IFERROR(VLOOKUP($AQ390,'(勿動)組件目錄表'!$D$15:$R$1094,4,FALSE),"")</f>
        <v/>
      </c>
      <c r="AF390" s="384"/>
      <c r="AG390" s="384"/>
      <c r="AH390" s="384"/>
      <c r="AI390" s="384"/>
      <c r="AJ390" s="385"/>
      <c r="AK390" s="54" t="b">
        <v>0</v>
      </c>
      <c r="AL390" s="54" t="b">
        <v>0</v>
      </c>
      <c r="AM390" s="54"/>
      <c r="AN390" s="7" t="str">
        <v>382</v>
      </c>
      <c r="AO390" s="7"/>
      <c r="AP390" s="62"/>
      <c r="AQ390" s="75" t="str">
        <v/>
      </c>
      <c r="AR390" s="75" t="str">
        <v>-</v>
      </c>
      <c r="AS390" s="11"/>
      <c r="AT390" s="77" t="str">
        <v>-</v>
      </c>
      <c r="AU390" s="11" t="str">
        <v>-</v>
      </c>
      <c r="AV390" s="100"/>
      <c r="AW390" s="80" t="str">
        <f ca="1"/>
        <v>-</v>
      </c>
      <c r="AX390" s="80" t="b">
        <v>0</v>
      </c>
      <c r="AY390" s="68" t="str">
        <f t="shared" si="4"/>
        <v/>
      </c>
      <c r="AZ390" s="69" t="str">
        <f t="shared" si="5"/>
        <v/>
      </c>
      <c r="BA390" s="70" t="str">
        <f t="shared" si="6"/>
        <v/>
      </c>
      <c r="BB390" s="68" t="str">
        <f t="shared" si="7"/>
        <v/>
      </c>
      <c r="BC390" s="69" t="str">
        <f>IFERROR(VLOOKUP($AQ390,'(勿動)組件目錄表'!$D$15:$R$1094,7,FALSE),"")</f>
        <v/>
      </c>
      <c r="BD390" s="69" t="str">
        <f>IFERROR(VLOOKUP($AQ390,'(勿動)組件目錄表'!$D$15:$R$1094,8,FALSE),"")</f>
        <v/>
      </c>
      <c r="BE390" s="69" t="str">
        <f>IFERROR(VLOOKUP($AQ390,'(勿動)組件目錄表'!$D$15:$R$1094,9,FALSE),"")</f>
        <v/>
      </c>
      <c r="BF390" s="69" t="str">
        <f>IFERROR(VLOOKUP($AQ390,'(勿動)組件目錄表'!$D$15:$R$1094,10,FALSE),"")</f>
        <v/>
      </c>
      <c r="BG390" s="69" t="str">
        <f>IFERROR(VLOOKUP($AQ390,'(勿動)組件目錄表'!$D$15:$R$1094,11,FALSE),"")</f>
        <v/>
      </c>
      <c r="BH390" s="69" t="str">
        <f>IFERROR(VLOOKUP($AQ390,'(勿動)組件目錄表'!$D$15:$R$1094,12,FALSE),"")</f>
        <v/>
      </c>
      <c r="BI390" s="69" t="str">
        <f>IFERROR(VLOOKUP($AQ390,'(勿動)組件目錄表'!$D$15:$R$1094,13,FALSE),"")</f>
        <v/>
      </c>
      <c r="BJ390" s="69" t="str">
        <f>IFERROR(VLOOKUP($AQ390,'(勿動)組件目錄表'!$D$15:$R$1094,14,FALSE),"")</f>
        <v/>
      </c>
      <c r="BK390" s="69" t="str">
        <f>IFERROR(VLOOKUP($AQ390,'(勿動)組件目錄表'!$D$15:$R$1094,15,FALSE),"")</f>
        <v/>
      </c>
      <c r="BL390" s="81">
        <f ca="1">IFERROR(__xludf.DUMMYFUNCTION("IFERROR(
  LET(
    rowData, FILTER('(勿動)組件目錄表'!J:Q, '(勿動)組件目錄表'!D:D=AQ390),
    IF(ROWS(rowData)=0, 0, 
      (
        IF(AND(BC390&lt;&gt;"""", INDEX(rowData,1,1)=BC390),1,0) +
        IF(AND(BD390&lt;&gt;"""", INDEX(rowData,1,2)=BD390),1,0) +
        IF(AND(BE390"&amp;"&lt;&gt;"""", INDEX(rowData,1,3)=BE390),1,0) +
        IF(AND(BF390&lt;&gt;"""", INDEX(rowData,1,4)=BF390),1,0) +
        IF(AND(BG390&lt;&gt;"""", INDEX(rowData,1,5)=BG390),1,0) +
        IF(AND(BH390&lt;&gt;"""", INDEX(rowData,1,6)=BH390),1,0) +
        IF(AND(BI390&lt;&gt;"""", IND"&amp;"EX(rowData,1,7)=BI390),1,0) +
        IF(AND(BJ390&lt;&gt;"""", INDEX(rowData,1,8)=BJ390),1,0)
      ) - COUNTIF(BC390:BJ390, ""-"")
        - COUNTIF(BC390:BJ390, ""固定格式，不需提供資訊"")
        - COUNTIF(BC390:BJ390, ""由MKT更新，此欄位固定格式，不需提供資訊
(Voucher CID：12917705872)"&amp;""")
        - COUNTIF(BC390:BJ390, ""text固定為以下：
※直播間僅支援手機版"")
        - COUNTIF(BC390:BJ390, ""text固定為以下：
※短影音僅支援手機版"")
    )
  ), 
  0
)
"),0)</f>
        <v>0</v>
      </c>
      <c r="BM390" s="77" t="b">
        <v>0</v>
      </c>
      <c r="BN390" s="85"/>
      <c r="BO390" s="85"/>
    </row>
    <row r="391" spans="1:67" ht="30" customHeight="1">
      <c r="A391" s="73" t="str">
        <f t="array" aca="1" ref="A391" ca="1">IFERROR(TRANSPOSE(INDIRECT('MS section版配(Old)'!$AO391)),"")</f>
        <v/>
      </c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8"/>
      <c r="P391" s="88"/>
      <c r="Q391" s="88"/>
      <c r="R391" s="88"/>
      <c r="S391" s="88"/>
      <c r="T391" s="88"/>
      <c r="U391" s="88"/>
      <c r="V391" s="88"/>
      <c r="W391" s="88"/>
      <c r="X391" s="88"/>
      <c r="Y391" s="88"/>
      <c r="Z391" s="88"/>
      <c r="AA391" s="88"/>
      <c r="AB391" s="88"/>
      <c r="AC391" s="88"/>
      <c r="AD391" s="88"/>
      <c r="AE391" s="397" t="str">
        <f>IFERROR(VLOOKUP($AQ391,'(勿動)組件目錄表'!$D$15:$R$1094,4,FALSE),"")</f>
        <v/>
      </c>
      <c r="AF391" s="384"/>
      <c r="AG391" s="384"/>
      <c r="AH391" s="384"/>
      <c r="AI391" s="384"/>
      <c r="AJ391" s="385"/>
      <c r="AK391" s="54" t="b">
        <v>0</v>
      </c>
      <c r="AL391" s="54" t="b">
        <v>0</v>
      </c>
      <c r="AM391" s="54"/>
      <c r="AN391" s="7" t="str">
        <v>383</v>
      </c>
      <c r="AO391" s="7"/>
      <c r="AP391" s="62"/>
      <c r="AQ391" s="75" t="str">
        <v/>
      </c>
      <c r="AR391" s="75" t="str">
        <v>-</v>
      </c>
      <c r="AS391" s="11"/>
      <c r="AT391" s="77" t="str">
        <v>-</v>
      </c>
      <c r="AU391" s="11" t="str">
        <v>-</v>
      </c>
      <c r="AV391" s="100"/>
      <c r="AW391" s="80" t="str">
        <f ca="1"/>
        <v>-</v>
      </c>
      <c r="AX391" s="80" t="b">
        <v>0</v>
      </c>
      <c r="AY391" s="68" t="str">
        <f t="shared" si="4"/>
        <v/>
      </c>
      <c r="AZ391" s="69" t="str">
        <f t="shared" si="5"/>
        <v/>
      </c>
      <c r="BA391" s="70" t="str">
        <f t="shared" si="6"/>
        <v/>
      </c>
      <c r="BB391" s="68" t="str">
        <f t="shared" si="7"/>
        <v/>
      </c>
      <c r="BC391" s="69" t="str">
        <f>IFERROR(VLOOKUP($AQ391,'(勿動)組件目錄表'!$D$15:$R$1094,7,FALSE),"")</f>
        <v/>
      </c>
      <c r="BD391" s="69" t="str">
        <f>IFERROR(VLOOKUP($AQ391,'(勿動)組件目錄表'!$D$15:$R$1094,8,FALSE),"")</f>
        <v/>
      </c>
      <c r="BE391" s="69" t="str">
        <f>IFERROR(VLOOKUP($AQ391,'(勿動)組件目錄表'!$D$15:$R$1094,9,FALSE),"")</f>
        <v/>
      </c>
      <c r="BF391" s="69" t="str">
        <f>IFERROR(VLOOKUP($AQ391,'(勿動)組件目錄表'!$D$15:$R$1094,10,FALSE),"")</f>
        <v/>
      </c>
      <c r="BG391" s="69" t="str">
        <f>IFERROR(VLOOKUP($AQ391,'(勿動)組件目錄表'!$D$15:$R$1094,11,FALSE),"")</f>
        <v/>
      </c>
      <c r="BH391" s="69" t="str">
        <f>IFERROR(VLOOKUP($AQ391,'(勿動)組件目錄表'!$D$15:$R$1094,12,FALSE),"")</f>
        <v/>
      </c>
      <c r="BI391" s="69" t="str">
        <f>IFERROR(VLOOKUP($AQ391,'(勿動)組件目錄表'!$D$15:$R$1094,13,FALSE),"")</f>
        <v/>
      </c>
      <c r="BJ391" s="69" t="str">
        <f>IFERROR(VLOOKUP($AQ391,'(勿動)組件目錄表'!$D$15:$R$1094,14,FALSE),"")</f>
        <v/>
      </c>
      <c r="BK391" s="69" t="str">
        <f>IFERROR(VLOOKUP($AQ391,'(勿動)組件目錄表'!$D$15:$R$1094,15,FALSE),"")</f>
        <v/>
      </c>
      <c r="BL391" s="81">
        <f ca="1">IFERROR(__xludf.DUMMYFUNCTION("IFERROR(
  LET(
    rowData, FILTER('(勿動)組件目錄表'!J:Q, '(勿動)組件目錄表'!D:D=AQ391),
    IF(ROWS(rowData)=0, 0, 
      (
        IF(AND(BC391&lt;&gt;"""", INDEX(rowData,1,1)=BC391),1,0) +
        IF(AND(BD391&lt;&gt;"""", INDEX(rowData,1,2)=BD391),1,0) +
        IF(AND(BE391"&amp;"&lt;&gt;"""", INDEX(rowData,1,3)=BE391),1,0) +
        IF(AND(BF391&lt;&gt;"""", INDEX(rowData,1,4)=BF391),1,0) +
        IF(AND(BG391&lt;&gt;"""", INDEX(rowData,1,5)=BG391),1,0) +
        IF(AND(BH391&lt;&gt;"""", INDEX(rowData,1,6)=BH391),1,0) +
        IF(AND(BI391&lt;&gt;"""", IND"&amp;"EX(rowData,1,7)=BI391),1,0) +
        IF(AND(BJ391&lt;&gt;"""", INDEX(rowData,1,8)=BJ391),1,0)
      ) - COUNTIF(BC391:BJ391, ""-"")
        - COUNTIF(BC391:BJ391, ""固定格式，不需提供資訊"")
        - COUNTIF(BC391:BJ391, ""由MKT更新，此欄位固定格式，不需提供資訊
(Voucher CID：12917705872)"&amp;""")
        - COUNTIF(BC391:BJ391, ""text固定為以下：
※直播間僅支援手機版"")
        - COUNTIF(BC391:BJ391, ""text固定為以下：
※短影音僅支援手機版"")
    )
  ), 
  0
)
"),0)</f>
        <v>0</v>
      </c>
      <c r="BM391" s="77" t="b">
        <v>0</v>
      </c>
      <c r="BN391" s="85"/>
      <c r="BO391" s="85"/>
    </row>
    <row r="392" spans="1:67" ht="30" customHeight="1">
      <c r="A392" s="73" t="str">
        <f t="array" aca="1" ref="A392" ca="1">IFERROR(TRANSPOSE(INDIRECT('MS section版配(Old)'!$AO392)),"")</f>
        <v/>
      </c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8"/>
      <c r="P392" s="88"/>
      <c r="Q392" s="88"/>
      <c r="R392" s="88"/>
      <c r="S392" s="88"/>
      <c r="T392" s="88"/>
      <c r="U392" s="88"/>
      <c r="V392" s="88"/>
      <c r="W392" s="88"/>
      <c r="X392" s="88"/>
      <c r="Y392" s="88"/>
      <c r="Z392" s="88"/>
      <c r="AA392" s="88"/>
      <c r="AB392" s="88"/>
      <c r="AC392" s="88"/>
      <c r="AD392" s="88"/>
      <c r="AE392" s="397" t="str">
        <f>IFERROR(VLOOKUP($AQ392,'(勿動)組件目錄表'!$D$15:$R$1094,4,FALSE),"")</f>
        <v/>
      </c>
      <c r="AF392" s="384"/>
      <c r="AG392" s="384"/>
      <c r="AH392" s="384"/>
      <c r="AI392" s="384"/>
      <c r="AJ392" s="385"/>
      <c r="AK392" s="54" t="b">
        <v>0</v>
      </c>
      <c r="AL392" s="54" t="b">
        <v>0</v>
      </c>
      <c r="AM392" s="54"/>
      <c r="AN392" s="7" t="str">
        <v>384</v>
      </c>
      <c r="AO392" s="7"/>
      <c r="AP392" s="62"/>
      <c r="AQ392" s="75" t="str">
        <v/>
      </c>
      <c r="AR392" s="75" t="str">
        <v>-</v>
      </c>
      <c r="AS392" s="11"/>
      <c r="AT392" s="77" t="str">
        <v>-</v>
      </c>
      <c r="AU392" s="11" t="str">
        <v>-</v>
      </c>
      <c r="AV392" s="100"/>
      <c r="AW392" s="80" t="str">
        <f ca="1"/>
        <v>-</v>
      </c>
      <c r="AX392" s="80" t="b">
        <v>0</v>
      </c>
      <c r="AY392" s="68" t="str">
        <f t="shared" si="4"/>
        <v/>
      </c>
      <c r="AZ392" s="69" t="str">
        <f t="shared" si="5"/>
        <v/>
      </c>
      <c r="BA392" s="70" t="str">
        <f t="shared" si="6"/>
        <v/>
      </c>
      <c r="BB392" s="68" t="str">
        <f t="shared" si="7"/>
        <v/>
      </c>
      <c r="BC392" s="69" t="str">
        <f>IFERROR(VLOOKUP($AQ392,'(勿動)組件目錄表'!$D$15:$R$1094,7,FALSE),"")</f>
        <v/>
      </c>
      <c r="BD392" s="69" t="str">
        <f>IFERROR(VLOOKUP($AQ392,'(勿動)組件目錄表'!$D$15:$R$1094,8,FALSE),"")</f>
        <v/>
      </c>
      <c r="BE392" s="69" t="str">
        <f>IFERROR(VLOOKUP($AQ392,'(勿動)組件目錄表'!$D$15:$R$1094,9,FALSE),"")</f>
        <v/>
      </c>
      <c r="BF392" s="69" t="str">
        <f>IFERROR(VLOOKUP($AQ392,'(勿動)組件目錄表'!$D$15:$R$1094,10,FALSE),"")</f>
        <v/>
      </c>
      <c r="BG392" s="69" t="str">
        <f>IFERROR(VLOOKUP($AQ392,'(勿動)組件目錄表'!$D$15:$R$1094,11,FALSE),"")</f>
        <v/>
      </c>
      <c r="BH392" s="69" t="str">
        <f>IFERROR(VLOOKUP($AQ392,'(勿動)組件目錄表'!$D$15:$R$1094,12,FALSE),"")</f>
        <v/>
      </c>
      <c r="BI392" s="69" t="str">
        <f>IFERROR(VLOOKUP($AQ392,'(勿動)組件目錄表'!$D$15:$R$1094,13,FALSE),"")</f>
        <v/>
      </c>
      <c r="BJ392" s="69" t="str">
        <f>IFERROR(VLOOKUP($AQ392,'(勿動)組件目錄表'!$D$15:$R$1094,14,FALSE),"")</f>
        <v/>
      </c>
      <c r="BK392" s="69" t="str">
        <f>IFERROR(VLOOKUP($AQ392,'(勿動)組件目錄表'!$D$15:$R$1094,15,FALSE),"")</f>
        <v/>
      </c>
      <c r="BL392" s="81">
        <f ca="1">IFERROR(__xludf.DUMMYFUNCTION("IFERROR(
  LET(
    rowData, FILTER('(勿動)組件目錄表'!J:Q, '(勿動)組件目錄表'!D:D=AQ392),
    IF(ROWS(rowData)=0, 0, 
      (
        IF(AND(BC392&lt;&gt;"""", INDEX(rowData,1,1)=BC392),1,0) +
        IF(AND(BD392&lt;&gt;"""", INDEX(rowData,1,2)=BD392),1,0) +
        IF(AND(BE392"&amp;"&lt;&gt;"""", INDEX(rowData,1,3)=BE392),1,0) +
        IF(AND(BF392&lt;&gt;"""", INDEX(rowData,1,4)=BF392),1,0) +
        IF(AND(BG392&lt;&gt;"""", INDEX(rowData,1,5)=BG392),1,0) +
        IF(AND(BH392&lt;&gt;"""", INDEX(rowData,1,6)=BH392),1,0) +
        IF(AND(BI392&lt;&gt;"""", IND"&amp;"EX(rowData,1,7)=BI392),1,0) +
        IF(AND(BJ392&lt;&gt;"""", INDEX(rowData,1,8)=BJ392),1,0)
      ) - COUNTIF(BC392:BJ392, ""-"")
        - COUNTIF(BC392:BJ392, ""固定格式，不需提供資訊"")
        - COUNTIF(BC392:BJ392, ""由MKT更新，此欄位固定格式，不需提供資訊
(Voucher CID：12917705872)"&amp;""")
        - COUNTIF(BC392:BJ392, ""text固定為以下：
※直播間僅支援手機版"")
        - COUNTIF(BC392:BJ392, ""text固定為以下：
※短影音僅支援手機版"")
    )
  ), 
  0
)
"),0)</f>
        <v>0</v>
      </c>
      <c r="BM392" s="77" t="b">
        <v>0</v>
      </c>
      <c r="BN392" s="85"/>
      <c r="BO392" s="85"/>
    </row>
    <row r="393" spans="1:67" ht="30" customHeight="1">
      <c r="A393" s="73" t="str">
        <f t="array" aca="1" ref="A393" ca="1">IFERROR(TRANSPOSE(INDIRECT('MS section版配(Old)'!$AO393)),"")</f>
        <v/>
      </c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8"/>
      <c r="P393" s="88"/>
      <c r="Q393" s="88"/>
      <c r="R393" s="88"/>
      <c r="S393" s="88"/>
      <c r="T393" s="88"/>
      <c r="U393" s="88"/>
      <c r="V393" s="88"/>
      <c r="W393" s="88"/>
      <c r="X393" s="88"/>
      <c r="Y393" s="88"/>
      <c r="Z393" s="88"/>
      <c r="AA393" s="88"/>
      <c r="AB393" s="88"/>
      <c r="AC393" s="88"/>
      <c r="AD393" s="88"/>
      <c r="AE393" s="397" t="str">
        <f>IFERROR(VLOOKUP($AQ393,'(勿動)組件目錄表'!$D$15:$R$1094,4,FALSE),"")</f>
        <v/>
      </c>
      <c r="AF393" s="384"/>
      <c r="AG393" s="384"/>
      <c r="AH393" s="384"/>
      <c r="AI393" s="384"/>
      <c r="AJ393" s="385"/>
      <c r="AK393" s="54" t="b">
        <v>0</v>
      </c>
      <c r="AL393" s="54" t="b">
        <v>0</v>
      </c>
      <c r="AM393" s="54"/>
      <c r="AN393" s="7" t="str">
        <v>385</v>
      </c>
      <c r="AO393" s="7"/>
      <c r="AP393" s="62"/>
      <c r="AQ393" s="75" t="str">
        <v/>
      </c>
      <c r="AR393" s="75" t="str">
        <v>-</v>
      </c>
      <c r="AS393" s="11"/>
      <c r="AT393" s="77" t="str">
        <v>-</v>
      </c>
      <c r="AU393" s="11" t="str">
        <v>-</v>
      </c>
      <c r="AV393" s="100"/>
      <c r="AW393" s="80" t="str">
        <f ca="1"/>
        <v>-</v>
      </c>
      <c r="AX393" s="80" t="b">
        <v>0</v>
      </c>
      <c r="AY393" s="68" t="str">
        <f t="shared" si="4"/>
        <v/>
      </c>
      <c r="AZ393" s="69" t="str">
        <f t="shared" si="5"/>
        <v/>
      </c>
      <c r="BA393" s="70" t="str">
        <f t="shared" si="6"/>
        <v/>
      </c>
      <c r="BB393" s="68" t="str">
        <f t="shared" si="7"/>
        <v/>
      </c>
      <c r="BC393" s="69" t="str">
        <f>IFERROR(VLOOKUP($AQ393,'(勿動)組件目錄表'!$D$15:$R$1094,7,FALSE),"")</f>
        <v/>
      </c>
      <c r="BD393" s="69" t="str">
        <f>IFERROR(VLOOKUP($AQ393,'(勿動)組件目錄表'!$D$15:$R$1094,8,FALSE),"")</f>
        <v/>
      </c>
      <c r="BE393" s="69" t="str">
        <f>IFERROR(VLOOKUP($AQ393,'(勿動)組件目錄表'!$D$15:$R$1094,9,FALSE),"")</f>
        <v/>
      </c>
      <c r="BF393" s="69" t="str">
        <f>IFERROR(VLOOKUP($AQ393,'(勿動)組件目錄表'!$D$15:$R$1094,10,FALSE),"")</f>
        <v/>
      </c>
      <c r="BG393" s="69" t="str">
        <f>IFERROR(VLOOKUP($AQ393,'(勿動)組件目錄表'!$D$15:$R$1094,11,FALSE),"")</f>
        <v/>
      </c>
      <c r="BH393" s="69" t="str">
        <f>IFERROR(VLOOKUP($AQ393,'(勿動)組件目錄表'!$D$15:$R$1094,12,FALSE),"")</f>
        <v/>
      </c>
      <c r="BI393" s="69" t="str">
        <f>IFERROR(VLOOKUP($AQ393,'(勿動)組件目錄表'!$D$15:$R$1094,13,FALSE),"")</f>
        <v/>
      </c>
      <c r="BJ393" s="69" t="str">
        <f>IFERROR(VLOOKUP($AQ393,'(勿動)組件目錄表'!$D$15:$R$1094,14,FALSE),"")</f>
        <v/>
      </c>
      <c r="BK393" s="69" t="str">
        <f>IFERROR(VLOOKUP($AQ393,'(勿動)組件目錄表'!$D$15:$R$1094,15,FALSE),"")</f>
        <v/>
      </c>
      <c r="BL393" s="81">
        <f ca="1">IFERROR(__xludf.DUMMYFUNCTION("IFERROR(
  LET(
    rowData, FILTER('(勿動)組件目錄表'!J:Q, '(勿動)組件目錄表'!D:D=AQ393),
    IF(ROWS(rowData)=0, 0, 
      (
        IF(AND(BC393&lt;&gt;"""", INDEX(rowData,1,1)=BC393),1,0) +
        IF(AND(BD393&lt;&gt;"""", INDEX(rowData,1,2)=BD393),1,0) +
        IF(AND(BE393"&amp;"&lt;&gt;"""", INDEX(rowData,1,3)=BE393),1,0) +
        IF(AND(BF393&lt;&gt;"""", INDEX(rowData,1,4)=BF393),1,0) +
        IF(AND(BG393&lt;&gt;"""", INDEX(rowData,1,5)=BG393),1,0) +
        IF(AND(BH393&lt;&gt;"""", INDEX(rowData,1,6)=BH393),1,0) +
        IF(AND(BI393&lt;&gt;"""", IND"&amp;"EX(rowData,1,7)=BI393),1,0) +
        IF(AND(BJ393&lt;&gt;"""", INDEX(rowData,1,8)=BJ393),1,0)
      ) - COUNTIF(BC393:BJ393, ""-"")
        - COUNTIF(BC393:BJ393, ""固定格式，不需提供資訊"")
        - COUNTIF(BC393:BJ393, ""由MKT更新，此欄位固定格式，不需提供資訊
(Voucher CID：12917705872)"&amp;""")
        - COUNTIF(BC393:BJ393, ""text固定為以下：
※直播間僅支援手機版"")
        - COUNTIF(BC393:BJ393, ""text固定為以下：
※短影音僅支援手機版"")
    )
  ), 
  0
)
"),0)</f>
        <v>0</v>
      </c>
      <c r="BM393" s="77" t="b">
        <v>0</v>
      </c>
      <c r="BN393" s="85"/>
      <c r="BO393" s="85"/>
    </row>
    <row r="394" spans="1:67" ht="30" customHeight="1">
      <c r="A394" s="73" t="str">
        <f t="array" aca="1" ref="A394" ca="1">IFERROR(TRANSPOSE(INDIRECT('MS section版配(Old)'!$AO394)),"")</f>
        <v/>
      </c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8"/>
      <c r="P394" s="88"/>
      <c r="Q394" s="88"/>
      <c r="R394" s="88"/>
      <c r="S394" s="88"/>
      <c r="T394" s="88"/>
      <c r="U394" s="88"/>
      <c r="V394" s="88"/>
      <c r="W394" s="88"/>
      <c r="X394" s="88"/>
      <c r="Y394" s="88"/>
      <c r="Z394" s="88"/>
      <c r="AA394" s="88"/>
      <c r="AB394" s="88"/>
      <c r="AC394" s="88"/>
      <c r="AD394" s="88"/>
      <c r="AE394" s="397" t="str">
        <f>IFERROR(VLOOKUP($AQ394,'(勿動)組件目錄表'!$D$15:$R$1094,4,FALSE),"")</f>
        <v/>
      </c>
      <c r="AF394" s="384"/>
      <c r="AG394" s="384"/>
      <c r="AH394" s="384"/>
      <c r="AI394" s="384"/>
      <c r="AJ394" s="385"/>
      <c r="AK394" s="54" t="b">
        <v>0</v>
      </c>
      <c r="AL394" s="54" t="b">
        <v>0</v>
      </c>
      <c r="AM394" s="54"/>
      <c r="AN394" s="7" t="str">
        <v>386</v>
      </c>
      <c r="AO394" s="7"/>
      <c r="AP394" s="62"/>
      <c r="AQ394" s="75" t="str">
        <v/>
      </c>
      <c r="AR394" s="75" t="str">
        <v>-</v>
      </c>
      <c r="AS394" s="11"/>
      <c r="AT394" s="77" t="str">
        <v>-</v>
      </c>
      <c r="AU394" s="11" t="str">
        <v>-</v>
      </c>
      <c r="AV394" s="100"/>
      <c r="AW394" s="80" t="str">
        <f ca="1"/>
        <v>-</v>
      </c>
      <c r="AX394" s="80" t="b">
        <v>0</v>
      </c>
      <c r="AY394" s="68" t="str">
        <f t="shared" si="4"/>
        <v/>
      </c>
      <c r="AZ394" s="69" t="str">
        <f t="shared" si="5"/>
        <v/>
      </c>
      <c r="BA394" s="70" t="str">
        <f t="shared" si="6"/>
        <v/>
      </c>
      <c r="BB394" s="68" t="str">
        <f t="shared" si="7"/>
        <v/>
      </c>
      <c r="BC394" s="69" t="str">
        <f>IFERROR(VLOOKUP($AQ394,'(勿動)組件目錄表'!$D$15:$R$1094,7,FALSE),"")</f>
        <v/>
      </c>
      <c r="BD394" s="69" t="str">
        <f>IFERROR(VLOOKUP($AQ394,'(勿動)組件目錄表'!$D$15:$R$1094,8,FALSE),"")</f>
        <v/>
      </c>
      <c r="BE394" s="69" t="str">
        <f>IFERROR(VLOOKUP($AQ394,'(勿動)組件目錄表'!$D$15:$R$1094,9,FALSE),"")</f>
        <v/>
      </c>
      <c r="BF394" s="69" t="str">
        <f>IFERROR(VLOOKUP($AQ394,'(勿動)組件目錄表'!$D$15:$R$1094,10,FALSE),"")</f>
        <v/>
      </c>
      <c r="BG394" s="69" t="str">
        <f>IFERROR(VLOOKUP($AQ394,'(勿動)組件目錄表'!$D$15:$R$1094,11,FALSE),"")</f>
        <v/>
      </c>
      <c r="BH394" s="69" t="str">
        <f>IFERROR(VLOOKUP($AQ394,'(勿動)組件目錄表'!$D$15:$R$1094,12,FALSE),"")</f>
        <v/>
      </c>
      <c r="BI394" s="69" t="str">
        <f>IFERROR(VLOOKUP($AQ394,'(勿動)組件目錄表'!$D$15:$R$1094,13,FALSE),"")</f>
        <v/>
      </c>
      <c r="BJ394" s="69" t="str">
        <f>IFERROR(VLOOKUP($AQ394,'(勿動)組件目錄表'!$D$15:$R$1094,14,FALSE),"")</f>
        <v/>
      </c>
      <c r="BK394" s="69" t="str">
        <f>IFERROR(VLOOKUP($AQ394,'(勿動)組件目錄表'!$D$15:$R$1094,15,FALSE),"")</f>
        <v/>
      </c>
      <c r="BL394" s="81">
        <f ca="1">IFERROR(__xludf.DUMMYFUNCTION("IFERROR(
  LET(
    rowData, FILTER('(勿動)組件目錄表'!J:Q, '(勿動)組件目錄表'!D:D=AQ394),
    IF(ROWS(rowData)=0, 0, 
      (
        IF(AND(BC394&lt;&gt;"""", INDEX(rowData,1,1)=BC394),1,0) +
        IF(AND(BD394&lt;&gt;"""", INDEX(rowData,1,2)=BD394),1,0) +
        IF(AND(BE394"&amp;"&lt;&gt;"""", INDEX(rowData,1,3)=BE394),1,0) +
        IF(AND(BF394&lt;&gt;"""", INDEX(rowData,1,4)=BF394),1,0) +
        IF(AND(BG394&lt;&gt;"""", INDEX(rowData,1,5)=BG394),1,0) +
        IF(AND(BH394&lt;&gt;"""", INDEX(rowData,1,6)=BH394),1,0) +
        IF(AND(BI394&lt;&gt;"""", IND"&amp;"EX(rowData,1,7)=BI394),1,0) +
        IF(AND(BJ394&lt;&gt;"""", INDEX(rowData,1,8)=BJ394),1,0)
      ) - COUNTIF(BC394:BJ394, ""-"")
        - COUNTIF(BC394:BJ394, ""固定格式，不需提供資訊"")
        - COUNTIF(BC394:BJ394, ""由MKT更新，此欄位固定格式，不需提供資訊
(Voucher CID：12917705872)"&amp;""")
        - COUNTIF(BC394:BJ394, ""text固定為以下：
※直播間僅支援手機版"")
        - COUNTIF(BC394:BJ394, ""text固定為以下：
※短影音僅支援手機版"")
    )
  ), 
  0
)
"),0)</f>
        <v>0</v>
      </c>
      <c r="BM394" s="77" t="b">
        <v>0</v>
      </c>
      <c r="BN394" s="85"/>
      <c r="BO394" s="85"/>
    </row>
    <row r="395" spans="1:67" ht="30" customHeight="1">
      <c r="A395" s="73" t="str">
        <f t="array" aca="1" ref="A395" ca="1">IFERROR(TRANSPOSE(INDIRECT('MS section版配(Old)'!$AO395)),"")</f>
        <v/>
      </c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8"/>
      <c r="P395" s="88"/>
      <c r="Q395" s="88"/>
      <c r="R395" s="88"/>
      <c r="S395" s="88"/>
      <c r="T395" s="88"/>
      <c r="U395" s="88"/>
      <c r="V395" s="88"/>
      <c r="W395" s="88"/>
      <c r="X395" s="88"/>
      <c r="Y395" s="88"/>
      <c r="Z395" s="88"/>
      <c r="AA395" s="88"/>
      <c r="AB395" s="88"/>
      <c r="AC395" s="88"/>
      <c r="AD395" s="88"/>
      <c r="AE395" s="397" t="str">
        <f>IFERROR(VLOOKUP($AQ395,'(勿動)組件目錄表'!$D$15:$R$1094,4,FALSE),"")</f>
        <v/>
      </c>
      <c r="AF395" s="384"/>
      <c r="AG395" s="384"/>
      <c r="AH395" s="384"/>
      <c r="AI395" s="384"/>
      <c r="AJ395" s="385"/>
      <c r="AK395" s="54" t="b">
        <v>0</v>
      </c>
      <c r="AL395" s="54" t="b">
        <v>0</v>
      </c>
      <c r="AM395" s="54"/>
      <c r="AN395" s="7" t="str">
        <v>387</v>
      </c>
      <c r="AO395" s="7"/>
      <c r="AP395" s="62"/>
      <c r="AQ395" s="75" t="str">
        <v/>
      </c>
      <c r="AR395" s="75" t="str">
        <v>-</v>
      </c>
      <c r="AS395" s="11"/>
      <c r="AT395" s="77" t="str">
        <v>-</v>
      </c>
      <c r="AU395" s="11" t="str">
        <v>-</v>
      </c>
      <c r="AV395" s="100"/>
      <c r="AW395" s="80" t="str">
        <f ca="1"/>
        <v>-</v>
      </c>
      <c r="AX395" s="80" t="b">
        <v>0</v>
      </c>
      <c r="AY395" s="68" t="str">
        <f t="shared" si="4"/>
        <v/>
      </c>
      <c r="AZ395" s="69" t="str">
        <f t="shared" si="5"/>
        <v/>
      </c>
      <c r="BA395" s="70" t="str">
        <f t="shared" si="6"/>
        <v/>
      </c>
      <c r="BB395" s="68" t="str">
        <f t="shared" si="7"/>
        <v/>
      </c>
      <c r="BC395" s="69" t="str">
        <f>IFERROR(VLOOKUP($AQ395,'(勿動)組件目錄表'!$D$15:$R$1094,7,FALSE),"")</f>
        <v/>
      </c>
      <c r="BD395" s="69" t="str">
        <f>IFERROR(VLOOKUP($AQ395,'(勿動)組件目錄表'!$D$15:$R$1094,8,FALSE),"")</f>
        <v/>
      </c>
      <c r="BE395" s="69" t="str">
        <f>IFERROR(VLOOKUP($AQ395,'(勿動)組件目錄表'!$D$15:$R$1094,9,FALSE),"")</f>
        <v/>
      </c>
      <c r="BF395" s="69" t="str">
        <f>IFERROR(VLOOKUP($AQ395,'(勿動)組件目錄表'!$D$15:$R$1094,10,FALSE),"")</f>
        <v/>
      </c>
      <c r="BG395" s="69" t="str">
        <f>IFERROR(VLOOKUP($AQ395,'(勿動)組件目錄表'!$D$15:$R$1094,11,FALSE),"")</f>
        <v/>
      </c>
      <c r="BH395" s="69" t="str">
        <f>IFERROR(VLOOKUP($AQ395,'(勿動)組件目錄表'!$D$15:$R$1094,12,FALSE),"")</f>
        <v/>
      </c>
      <c r="BI395" s="69" t="str">
        <f>IFERROR(VLOOKUP($AQ395,'(勿動)組件目錄表'!$D$15:$R$1094,13,FALSE),"")</f>
        <v/>
      </c>
      <c r="BJ395" s="69" t="str">
        <f>IFERROR(VLOOKUP($AQ395,'(勿動)組件目錄表'!$D$15:$R$1094,14,FALSE),"")</f>
        <v/>
      </c>
      <c r="BK395" s="69" t="str">
        <f>IFERROR(VLOOKUP($AQ395,'(勿動)組件目錄表'!$D$15:$R$1094,15,FALSE),"")</f>
        <v/>
      </c>
      <c r="BL395" s="81">
        <f ca="1">IFERROR(__xludf.DUMMYFUNCTION("IFERROR(
  LET(
    rowData, FILTER('(勿動)組件目錄表'!J:Q, '(勿動)組件目錄表'!D:D=AQ395),
    IF(ROWS(rowData)=0, 0, 
      (
        IF(AND(BC395&lt;&gt;"""", INDEX(rowData,1,1)=BC395),1,0) +
        IF(AND(BD395&lt;&gt;"""", INDEX(rowData,1,2)=BD395),1,0) +
        IF(AND(BE395"&amp;"&lt;&gt;"""", INDEX(rowData,1,3)=BE395),1,0) +
        IF(AND(BF395&lt;&gt;"""", INDEX(rowData,1,4)=BF395),1,0) +
        IF(AND(BG395&lt;&gt;"""", INDEX(rowData,1,5)=BG395),1,0) +
        IF(AND(BH395&lt;&gt;"""", INDEX(rowData,1,6)=BH395),1,0) +
        IF(AND(BI395&lt;&gt;"""", IND"&amp;"EX(rowData,1,7)=BI395),1,0) +
        IF(AND(BJ395&lt;&gt;"""", INDEX(rowData,1,8)=BJ395),1,0)
      ) - COUNTIF(BC395:BJ395, ""-"")
        - COUNTIF(BC395:BJ395, ""固定格式，不需提供資訊"")
        - COUNTIF(BC395:BJ395, ""由MKT更新，此欄位固定格式，不需提供資訊
(Voucher CID：12917705872)"&amp;""")
        - COUNTIF(BC395:BJ395, ""text固定為以下：
※直播間僅支援手機版"")
        - COUNTIF(BC395:BJ395, ""text固定為以下：
※短影音僅支援手機版"")
    )
  ), 
  0
)
"),0)</f>
        <v>0</v>
      </c>
      <c r="BM395" s="77" t="b">
        <v>0</v>
      </c>
      <c r="BN395" s="85"/>
      <c r="BO395" s="85"/>
    </row>
    <row r="396" spans="1:67" ht="30" customHeight="1">
      <c r="A396" s="73" t="str">
        <f t="array" aca="1" ref="A396" ca="1">IFERROR(TRANSPOSE(INDIRECT('MS section版配(Old)'!$AO396)),"")</f>
        <v/>
      </c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8"/>
      <c r="P396" s="88"/>
      <c r="Q396" s="88"/>
      <c r="R396" s="88"/>
      <c r="S396" s="88"/>
      <c r="T396" s="88"/>
      <c r="U396" s="88"/>
      <c r="V396" s="88"/>
      <c r="W396" s="88"/>
      <c r="X396" s="88"/>
      <c r="Y396" s="88"/>
      <c r="Z396" s="88"/>
      <c r="AA396" s="88"/>
      <c r="AB396" s="88"/>
      <c r="AC396" s="88"/>
      <c r="AD396" s="88"/>
      <c r="AE396" s="397" t="str">
        <f>IFERROR(VLOOKUP($AQ396,'(勿動)組件目錄表'!$D$15:$R$1094,4,FALSE),"")</f>
        <v/>
      </c>
      <c r="AF396" s="384"/>
      <c r="AG396" s="384"/>
      <c r="AH396" s="384"/>
      <c r="AI396" s="384"/>
      <c r="AJ396" s="385"/>
      <c r="AK396" s="54" t="b">
        <v>0</v>
      </c>
      <c r="AL396" s="54" t="b">
        <v>0</v>
      </c>
      <c r="AM396" s="54"/>
      <c r="AN396" s="7" t="str">
        <v>388</v>
      </c>
      <c r="AO396" s="7"/>
      <c r="AP396" s="62"/>
      <c r="AQ396" s="75" t="str">
        <v/>
      </c>
      <c r="AR396" s="75" t="str">
        <v>-</v>
      </c>
      <c r="AS396" s="11"/>
      <c r="AT396" s="77" t="str">
        <v>-</v>
      </c>
      <c r="AU396" s="11" t="str">
        <v>-</v>
      </c>
      <c r="AV396" s="100"/>
      <c r="AW396" s="80" t="str">
        <f ca="1"/>
        <v>-</v>
      </c>
      <c r="AX396" s="80" t="b">
        <v>0</v>
      </c>
      <c r="AY396" s="68" t="str">
        <f t="shared" si="4"/>
        <v/>
      </c>
      <c r="AZ396" s="69" t="str">
        <f t="shared" si="5"/>
        <v/>
      </c>
      <c r="BA396" s="70" t="str">
        <f t="shared" si="6"/>
        <v/>
      </c>
      <c r="BB396" s="68" t="str">
        <f t="shared" si="7"/>
        <v/>
      </c>
      <c r="BC396" s="69" t="str">
        <f>IFERROR(VLOOKUP($AQ396,'(勿動)組件目錄表'!$D$15:$R$1094,7,FALSE),"")</f>
        <v/>
      </c>
      <c r="BD396" s="69" t="str">
        <f>IFERROR(VLOOKUP($AQ396,'(勿動)組件目錄表'!$D$15:$R$1094,8,FALSE),"")</f>
        <v/>
      </c>
      <c r="BE396" s="69" t="str">
        <f>IFERROR(VLOOKUP($AQ396,'(勿動)組件目錄表'!$D$15:$R$1094,9,FALSE),"")</f>
        <v/>
      </c>
      <c r="BF396" s="69" t="str">
        <f>IFERROR(VLOOKUP($AQ396,'(勿動)組件目錄表'!$D$15:$R$1094,10,FALSE),"")</f>
        <v/>
      </c>
      <c r="BG396" s="69" t="str">
        <f>IFERROR(VLOOKUP($AQ396,'(勿動)組件目錄表'!$D$15:$R$1094,11,FALSE),"")</f>
        <v/>
      </c>
      <c r="BH396" s="69" t="str">
        <f>IFERROR(VLOOKUP($AQ396,'(勿動)組件目錄表'!$D$15:$R$1094,12,FALSE),"")</f>
        <v/>
      </c>
      <c r="BI396" s="69" t="str">
        <f>IFERROR(VLOOKUP($AQ396,'(勿動)組件目錄表'!$D$15:$R$1094,13,FALSE),"")</f>
        <v/>
      </c>
      <c r="BJ396" s="69" t="str">
        <f>IFERROR(VLOOKUP($AQ396,'(勿動)組件目錄表'!$D$15:$R$1094,14,FALSE),"")</f>
        <v/>
      </c>
      <c r="BK396" s="69" t="str">
        <f>IFERROR(VLOOKUP($AQ396,'(勿動)組件目錄表'!$D$15:$R$1094,15,FALSE),"")</f>
        <v/>
      </c>
      <c r="BL396" s="81">
        <f ca="1">IFERROR(__xludf.DUMMYFUNCTION("IFERROR(
  LET(
    rowData, FILTER('(勿動)組件目錄表'!J:Q, '(勿動)組件目錄表'!D:D=AQ396),
    IF(ROWS(rowData)=0, 0, 
      (
        IF(AND(BC396&lt;&gt;"""", INDEX(rowData,1,1)=BC396),1,0) +
        IF(AND(BD396&lt;&gt;"""", INDEX(rowData,1,2)=BD396),1,0) +
        IF(AND(BE396"&amp;"&lt;&gt;"""", INDEX(rowData,1,3)=BE396),1,0) +
        IF(AND(BF396&lt;&gt;"""", INDEX(rowData,1,4)=BF396),1,0) +
        IF(AND(BG396&lt;&gt;"""", INDEX(rowData,1,5)=BG396),1,0) +
        IF(AND(BH396&lt;&gt;"""", INDEX(rowData,1,6)=BH396),1,0) +
        IF(AND(BI396&lt;&gt;"""", IND"&amp;"EX(rowData,1,7)=BI396),1,0) +
        IF(AND(BJ396&lt;&gt;"""", INDEX(rowData,1,8)=BJ396),1,0)
      ) - COUNTIF(BC396:BJ396, ""-"")
        - COUNTIF(BC396:BJ396, ""固定格式，不需提供資訊"")
        - COUNTIF(BC396:BJ396, ""由MKT更新，此欄位固定格式，不需提供資訊
(Voucher CID：12917705872)"&amp;""")
        - COUNTIF(BC396:BJ396, ""text固定為以下：
※直播間僅支援手機版"")
        - COUNTIF(BC396:BJ396, ""text固定為以下：
※短影音僅支援手機版"")
    )
  ), 
  0
)
"),0)</f>
        <v>0</v>
      </c>
      <c r="BM396" s="77" t="b">
        <v>0</v>
      </c>
      <c r="BN396" s="85"/>
      <c r="BO396" s="85"/>
    </row>
    <row r="397" spans="1:67" ht="30" customHeight="1">
      <c r="A397" s="73" t="str">
        <f t="array" aca="1" ref="A397" ca="1">IFERROR(TRANSPOSE(INDIRECT('MS section版配(Old)'!$AO397)),"")</f>
        <v/>
      </c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8"/>
      <c r="P397" s="88"/>
      <c r="Q397" s="88"/>
      <c r="R397" s="88"/>
      <c r="S397" s="88"/>
      <c r="T397" s="88"/>
      <c r="U397" s="88"/>
      <c r="V397" s="88"/>
      <c r="W397" s="88"/>
      <c r="X397" s="88"/>
      <c r="Y397" s="88"/>
      <c r="Z397" s="88"/>
      <c r="AA397" s="88"/>
      <c r="AB397" s="88"/>
      <c r="AC397" s="88"/>
      <c r="AD397" s="88"/>
      <c r="AE397" s="397" t="str">
        <f>IFERROR(VLOOKUP($AQ397,'(勿動)組件目錄表'!$D$15:$R$1094,4,FALSE),"")</f>
        <v/>
      </c>
      <c r="AF397" s="384"/>
      <c r="AG397" s="384"/>
      <c r="AH397" s="384"/>
      <c r="AI397" s="384"/>
      <c r="AJ397" s="385"/>
      <c r="AK397" s="54" t="b">
        <v>0</v>
      </c>
      <c r="AL397" s="54" t="b">
        <v>0</v>
      </c>
      <c r="AM397" s="54"/>
      <c r="AN397" s="7" t="str">
        <v>389</v>
      </c>
      <c r="AO397" s="7"/>
      <c r="AP397" s="62"/>
      <c r="AQ397" s="75" t="str">
        <v/>
      </c>
      <c r="AR397" s="75" t="str">
        <v>-</v>
      </c>
      <c r="AS397" s="11"/>
      <c r="AT397" s="77" t="str">
        <v>-</v>
      </c>
      <c r="AU397" s="11" t="str">
        <v>-</v>
      </c>
      <c r="AV397" s="100"/>
      <c r="AW397" s="80" t="str">
        <f ca="1"/>
        <v>-</v>
      </c>
      <c r="AX397" s="80" t="b">
        <v>0</v>
      </c>
      <c r="AY397" s="68" t="str">
        <f t="shared" si="4"/>
        <v/>
      </c>
      <c r="AZ397" s="69" t="str">
        <f t="shared" si="5"/>
        <v/>
      </c>
      <c r="BA397" s="70" t="str">
        <f t="shared" si="6"/>
        <v/>
      </c>
      <c r="BB397" s="68" t="str">
        <f t="shared" si="7"/>
        <v/>
      </c>
      <c r="BC397" s="69" t="str">
        <f>IFERROR(VLOOKUP($AQ397,'(勿動)組件目錄表'!$D$15:$R$1094,7,FALSE),"")</f>
        <v/>
      </c>
      <c r="BD397" s="69" t="str">
        <f>IFERROR(VLOOKUP($AQ397,'(勿動)組件目錄表'!$D$15:$R$1094,8,FALSE),"")</f>
        <v/>
      </c>
      <c r="BE397" s="69" t="str">
        <f>IFERROR(VLOOKUP($AQ397,'(勿動)組件目錄表'!$D$15:$R$1094,9,FALSE),"")</f>
        <v/>
      </c>
      <c r="BF397" s="69" t="str">
        <f>IFERROR(VLOOKUP($AQ397,'(勿動)組件目錄表'!$D$15:$R$1094,10,FALSE),"")</f>
        <v/>
      </c>
      <c r="BG397" s="69" t="str">
        <f>IFERROR(VLOOKUP($AQ397,'(勿動)組件目錄表'!$D$15:$R$1094,11,FALSE),"")</f>
        <v/>
      </c>
      <c r="BH397" s="69" t="str">
        <f>IFERROR(VLOOKUP($AQ397,'(勿動)組件目錄表'!$D$15:$R$1094,12,FALSE),"")</f>
        <v/>
      </c>
      <c r="BI397" s="69" t="str">
        <f>IFERROR(VLOOKUP($AQ397,'(勿動)組件目錄表'!$D$15:$R$1094,13,FALSE),"")</f>
        <v/>
      </c>
      <c r="BJ397" s="69" t="str">
        <f>IFERROR(VLOOKUP($AQ397,'(勿動)組件目錄表'!$D$15:$R$1094,14,FALSE),"")</f>
        <v/>
      </c>
      <c r="BK397" s="69" t="str">
        <f>IFERROR(VLOOKUP($AQ397,'(勿動)組件目錄表'!$D$15:$R$1094,15,FALSE),"")</f>
        <v/>
      </c>
      <c r="BL397" s="81">
        <f ca="1">IFERROR(__xludf.DUMMYFUNCTION("IFERROR(
  LET(
    rowData, FILTER('(勿動)組件目錄表'!J:Q, '(勿動)組件目錄表'!D:D=AQ397),
    IF(ROWS(rowData)=0, 0, 
      (
        IF(AND(BC397&lt;&gt;"""", INDEX(rowData,1,1)=BC397),1,0) +
        IF(AND(BD397&lt;&gt;"""", INDEX(rowData,1,2)=BD397),1,0) +
        IF(AND(BE397"&amp;"&lt;&gt;"""", INDEX(rowData,1,3)=BE397),1,0) +
        IF(AND(BF397&lt;&gt;"""", INDEX(rowData,1,4)=BF397),1,0) +
        IF(AND(BG397&lt;&gt;"""", INDEX(rowData,1,5)=BG397),1,0) +
        IF(AND(BH397&lt;&gt;"""", INDEX(rowData,1,6)=BH397),1,0) +
        IF(AND(BI397&lt;&gt;"""", IND"&amp;"EX(rowData,1,7)=BI397),1,0) +
        IF(AND(BJ397&lt;&gt;"""", INDEX(rowData,1,8)=BJ397),1,0)
      ) - COUNTIF(BC397:BJ397, ""-"")
        - COUNTIF(BC397:BJ397, ""固定格式，不需提供資訊"")
        - COUNTIF(BC397:BJ397, ""由MKT更新，此欄位固定格式，不需提供資訊
(Voucher CID：12917705872)"&amp;""")
        - COUNTIF(BC397:BJ397, ""text固定為以下：
※直播間僅支援手機版"")
        - COUNTIF(BC397:BJ397, ""text固定為以下：
※短影音僅支援手機版"")
    )
  ), 
  0
)
"),0)</f>
        <v>0</v>
      </c>
      <c r="BM397" s="77" t="b">
        <v>0</v>
      </c>
      <c r="BN397" s="85"/>
      <c r="BO397" s="85"/>
    </row>
    <row r="398" spans="1:67" ht="30" customHeight="1">
      <c r="A398" s="73" t="str">
        <f t="array" aca="1" ref="A398" ca="1">IFERROR(TRANSPOSE(INDIRECT('MS section版配(Old)'!$AO398)),"")</f>
        <v/>
      </c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8"/>
      <c r="P398" s="88"/>
      <c r="Q398" s="88"/>
      <c r="R398" s="88"/>
      <c r="S398" s="88"/>
      <c r="T398" s="88"/>
      <c r="U398" s="88"/>
      <c r="V398" s="88"/>
      <c r="W398" s="88"/>
      <c r="X398" s="88"/>
      <c r="Y398" s="88"/>
      <c r="Z398" s="88"/>
      <c r="AA398" s="88"/>
      <c r="AB398" s="88"/>
      <c r="AC398" s="88"/>
      <c r="AD398" s="88"/>
      <c r="AE398" s="397" t="str">
        <f>IFERROR(VLOOKUP($AQ398,'(勿動)組件目錄表'!$D$15:$R$1094,4,FALSE),"")</f>
        <v/>
      </c>
      <c r="AF398" s="384"/>
      <c r="AG398" s="384"/>
      <c r="AH398" s="384"/>
      <c r="AI398" s="384"/>
      <c r="AJ398" s="385"/>
      <c r="AK398" s="54" t="b">
        <v>0</v>
      </c>
      <c r="AL398" s="54" t="b">
        <v>0</v>
      </c>
      <c r="AM398" s="54"/>
      <c r="AN398" s="7" t="str">
        <v>390</v>
      </c>
      <c r="AO398" s="7"/>
      <c r="AP398" s="62"/>
      <c r="AQ398" s="75" t="str">
        <v/>
      </c>
      <c r="AR398" s="75" t="str">
        <v>-</v>
      </c>
      <c r="AS398" s="11"/>
      <c r="AT398" s="77" t="str">
        <v>-</v>
      </c>
      <c r="AU398" s="11" t="str">
        <v>-</v>
      </c>
      <c r="AV398" s="100"/>
      <c r="AW398" s="80" t="str">
        <f ca="1"/>
        <v>-</v>
      </c>
      <c r="AX398" s="80" t="b">
        <v>0</v>
      </c>
      <c r="AY398" s="68" t="str">
        <f t="shared" si="4"/>
        <v/>
      </c>
      <c r="AZ398" s="69" t="str">
        <f t="shared" si="5"/>
        <v/>
      </c>
      <c r="BA398" s="70" t="str">
        <f t="shared" si="6"/>
        <v/>
      </c>
      <c r="BB398" s="68" t="str">
        <f t="shared" si="7"/>
        <v/>
      </c>
      <c r="BC398" s="69" t="str">
        <f>IFERROR(VLOOKUP($AQ398,'(勿動)組件目錄表'!$D$15:$R$1094,7,FALSE),"")</f>
        <v/>
      </c>
      <c r="BD398" s="69" t="str">
        <f>IFERROR(VLOOKUP($AQ398,'(勿動)組件目錄表'!$D$15:$R$1094,8,FALSE),"")</f>
        <v/>
      </c>
      <c r="BE398" s="69" t="str">
        <f>IFERROR(VLOOKUP($AQ398,'(勿動)組件目錄表'!$D$15:$R$1094,9,FALSE),"")</f>
        <v/>
      </c>
      <c r="BF398" s="69" t="str">
        <f>IFERROR(VLOOKUP($AQ398,'(勿動)組件目錄表'!$D$15:$R$1094,10,FALSE),"")</f>
        <v/>
      </c>
      <c r="BG398" s="69" t="str">
        <f>IFERROR(VLOOKUP($AQ398,'(勿動)組件目錄表'!$D$15:$R$1094,11,FALSE),"")</f>
        <v/>
      </c>
      <c r="BH398" s="69" t="str">
        <f>IFERROR(VLOOKUP($AQ398,'(勿動)組件目錄表'!$D$15:$R$1094,12,FALSE),"")</f>
        <v/>
      </c>
      <c r="BI398" s="69" t="str">
        <f>IFERROR(VLOOKUP($AQ398,'(勿動)組件目錄表'!$D$15:$R$1094,13,FALSE),"")</f>
        <v/>
      </c>
      <c r="BJ398" s="69" t="str">
        <f>IFERROR(VLOOKUP($AQ398,'(勿動)組件目錄表'!$D$15:$R$1094,14,FALSE),"")</f>
        <v/>
      </c>
      <c r="BK398" s="69" t="str">
        <f>IFERROR(VLOOKUP($AQ398,'(勿動)組件目錄表'!$D$15:$R$1094,15,FALSE),"")</f>
        <v/>
      </c>
      <c r="BL398" s="81">
        <f ca="1">IFERROR(__xludf.DUMMYFUNCTION("IFERROR(
  LET(
    rowData, FILTER('(勿動)組件目錄表'!J:Q, '(勿動)組件目錄表'!D:D=AQ398),
    IF(ROWS(rowData)=0, 0, 
      (
        IF(AND(BC398&lt;&gt;"""", INDEX(rowData,1,1)=BC398),1,0) +
        IF(AND(BD398&lt;&gt;"""", INDEX(rowData,1,2)=BD398),1,0) +
        IF(AND(BE398"&amp;"&lt;&gt;"""", INDEX(rowData,1,3)=BE398),1,0) +
        IF(AND(BF398&lt;&gt;"""", INDEX(rowData,1,4)=BF398),1,0) +
        IF(AND(BG398&lt;&gt;"""", INDEX(rowData,1,5)=BG398),1,0) +
        IF(AND(BH398&lt;&gt;"""", INDEX(rowData,1,6)=BH398),1,0) +
        IF(AND(BI398&lt;&gt;"""", IND"&amp;"EX(rowData,1,7)=BI398),1,0) +
        IF(AND(BJ398&lt;&gt;"""", INDEX(rowData,1,8)=BJ398),1,0)
      ) - COUNTIF(BC398:BJ398, ""-"")
        - COUNTIF(BC398:BJ398, ""固定格式，不需提供資訊"")
        - COUNTIF(BC398:BJ398, ""由MKT更新，此欄位固定格式，不需提供資訊
(Voucher CID：12917705872)"&amp;""")
        - COUNTIF(BC398:BJ398, ""text固定為以下：
※直播間僅支援手機版"")
        - COUNTIF(BC398:BJ398, ""text固定為以下：
※短影音僅支援手機版"")
    )
  ), 
  0
)
"),0)</f>
        <v>0</v>
      </c>
      <c r="BM398" s="77" t="b">
        <v>0</v>
      </c>
      <c r="BN398" s="85"/>
      <c r="BO398" s="85"/>
    </row>
    <row r="399" spans="1:67" ht="30" customHeight="1">
      <c r="A399" s="73" t="str">
        <f t="array" aca="1" ref="A399" ca="1">IFERROR(TRANSPOSE(INDIRECT('MS section版配(Old)'!$AO399)),"")</f>
        <v/>
      </c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8"/>
      <c r="P399" s="88"/>
      <c r="Q399" s="88"/>
      <c r="R399" s="88"/>
      <c r="S399" s="88"/>
      <c r="T399" s="88"/>
      <c r="U399" s="88"/>
      <c r="V399" s="88"/>
      <c r="W399" s="88"/>
      <c r="X399" s="88"/>
      <c r="Y399" s="88"/>
      <c r="Z399" s="88"/>
      <c r="AA399" s="88"/>
      <c r="AB399" s="88"/>
      <c r="AC399" s="88"/>
      <c r="AD399" s="88"/>
      <c r="AE399" s="397" t="str">
        <f>IFERROR(VLOOKUP($AQ399,'(勿動)組件目錄表'!$D$15:$R$1094,4,FALSE),"")</f>
        <v/>
      </c>
      <c r="AF399" s="384"/>
      <c r="AG399" s="384"/>
      <c r="AH399" s="384"/>
      <c r="AI399" s="384"/>
      <c r="AJ399" s="385"/>
      <c r="AK399" s="54" t="b">
        <v>0</v>
      </c>
      <c r="AL399" s="54" t="b">
        <v>0</v>
      </c>
      <c r="AM399" s="54"/>
      <c r="AN399" s="7" t="str">
        <v>391</v>
      </c>
      <c r="AO399" s="7"/>
      <c r="AP399" s="62"/>
      <c r="AQ399" s="75" t="str">
        <v/>
      </c>
      <c r="AR399" s="75" t="str">
        <v>-</v>
      </c>
      <c r="AS399" s="11"/>
      <c r="AT399" s="77" t="str">
        <v>-</v>
      </c>
      <c r="AU399" s="11" t="str">
        <v>-</v>
      </c>
      <c r="AV399" s="100"/>
      <c r="AW399" s="80" t="str">
        <f ca="1"/>
        <v>-</v>
      </c>
      <c r="AX399" s="80" t="b">
        <v>0</v>
      </c>
      <c r="AY399" s="68" t="str">
        <f t="shared" si="4"/>
        <v/>
      </c>
      <c r="AZ399" s="69" t="str">
        <f t="shared" si="5"/>
        <v/>
      </c>
      <c r="BA399" s="70" t="str">
        <f t="shared" si="6"/>
        <v/>
      </c>
      <c r="BB399" s="68" t="str">
        <f t="shared" si="7"/>
        <v/>
      </c>
      <c r="BC399" s="69" t="str">
        <f>IFERROR(VLOOKUP($AQ399,'(勿動)組件目錄表'!$D$15:$R$1094,7,FALSE),"")</f>
        <v/>
      </c>
      <c r="BD399" s="69" t="str">
        <f>IFERROR(VLOOKUP($AQ399,'(勿動)組件目錄表'!$D$15:$R$1094,8,FALSE),"")</f>
        <v/>
      </c>
      <c r="BE399" s="69" t="str">
        <f>IFERROR(VLOOKUP($AQ399,'(勿動)組件目錄表'!$D$15:$R$1094,9,FALSE),"")</f>
        <v/>
      </c>
      <c r="BF399" s="69" t="str">
        <f>IFERROR(VLOOKUP($AQ399,'(勿動)組件目錄表'!$D$15:$R$1094,10,FALSE),"")</f>
        <v/>
      </c>
      <c r="BG399" s="69" t="str">
        <f>IFERROR(VLOOKUP($AQ399,'(勿動)組件目錄表'!$D$15:$R$1094,11,FALSE),"")</f>
        <v/>
      </c>
      <c r="BH399" s="69" t="str">
        <f>IFERROR(VLOOKUP($AQ399,'(勿動)組件目錄表'!$D$15:$R$1094,12,FALSE),"")</f>
        <v/>
      </c>
      <c r="BI399" s="69" t="str">
        <f>IFERROR(VLOOKUP($AQ399,'(勿動)組件目錄表'!$D$15:$R$1094,13,FALSE),"")</f>
        <v/>
      </c>
      <c r="BJ399" s="69" t="str">
        <f>IFERROR(VLOOKUP($AQ399,'(勿動)組件目錄表'!$D$15:$R$1094,14,FALSE),"")</f>
        <v/>
      </c>
      <c r="BK399" s="69" t="str">
        <f>IFERROR(VLOOKUP($AQ399,'(勿動)組件目錄表'!$D$15:$R$1094,15,FALSE),"")</f>
        <v/>
      </c>
      <c r="BL399" s="81">
        <f ca="1">IFERROR(__xludf.DUMMYFUNCTION("IFERROR(
  LET(
    rowData, FILTER('(勿動)組件目錄表'!J:Q, '(勿動)組件目錄表'!D:D=AQ399),
    IF(ROWS(rowData)=0, 0, 
      (
        IF(AND(BC399&lt;&gt;"""", INDEX(rowData,1,1)=BC399),1,0) +
        IF(AND(BD399&lt;&gt;"""", INDEX(rowData,1,2)=BD399),1,0) +
        IF(AND(BE399"&amp;"&lt;&gt;"""", INDEX(rowData,1,3)=BE399),1,0) +
        IF(AND(BF399&lt;&gt;"""", INDEX(rowData,1,4)=BF399),1,0) +
        IF(AND(BG399&lt;&gt;"""", INDEX(rowData,1,5)=BG399),1,0) +
        IF(AND(BH399&lt;&gt;"""", INDEX(rowData,1,6)=BH399),1,0) +
        IF(AND(BI399&lt;&gt;"""", IND"&amp;"EX(rowData,1,7)=BI399),1,0) +
        IF(AND(BJ399&lt;&gt;"""", INDEX(rowData,1,8)=BJ399),1,0)
      ) - COUNTIF(BC399:BJ399, ""-"")
        - COUNTIF(BC399:BJ399, ""固定格式，不需提供資訊"")
        - COUNTIF(BC399:BJ399, ""由MKT更新，此欄位固定格式，不需提供資訊
(Voucher CID：12917705872)"&amp;""")
        - COUNTIF(BC399:BJ399, ""text固定為以下：
※直播間僅支援手機版"")
        - COUNTIF(BC399:BJ399, ""text固定為以下：
※短影音僅支援手機版"")
    )
  ), 
  0
)
"),0)</f>
        <v>0</v>
      </c>
      <c r="BM399" s="77" t="b">
        <v>0</v>
      </c>
      <c r="BN399" s="85"/>
      <c r="BO399" s="85"/>
    </row>
    <row r="400" spans="1:67" ht="30" customHeight="1">
      <c r="A400" s="73" t="str">
        <f t="array" aca="1" ref="A400" ca="1">IFERROR(TRANSPOSE(INDIRECT('MS section版配(Old)'!$AO400)),"")</f>
        <v/>
      </c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8"/>
      <c r="P400" s="88"/>
      <c r="Q400" s="88"/>
      <c r="R400" s="88"/>
      <c r="S400" s="88"/>
      <c r="T400" s="88"/>
      <c r="U400" s="88"/>
      <c r="V400" s="88"/>
      <c r="W400" s="88"/>
      <c r="X400" s="88"/>
      <c r="Y400" s="88"/>
      <c r="Z400" s="88"/>
      <c r="AA400" s="88"/>
      <c r="AB400" s="88"/>
      <c r="AC400" s="88"/>
      <c r="AD400" s="88"/>
      <c r="AE400" s="397" t="str">
        <f>IFERROR(VLOOKUP($AQ400,'(勿動)組件目錄表'!$D$15:$R$1094,4,FALSE),"")</f>
        <v/>
      </c>
      <c r="AF400" s="384"/>
      <c r="AG400" s="384"/>
      <c r="AH400" s="384"/>
      <c r="AI400" s="384"/>
      <c r="AJ400" s="385"/>
      <c r="AK400" s="54" t="b">
        <v>0</v>
      </c>
      <c r="AL400" s="54" t="b">
        <v>0</v>
      </c>
      <c r="AM400" s="54"/>
      <c r="AN400" s="7" t="str">
        <v>392</v>
      </c>
      <c r="AO400" s="7"/>
      <c r="AP400" s="62"/>
      <c r="AQ400" s="75" t="str">
        <v/>
      </c>
      <c r="AR400" s="75" t="str">
        <v>-</v>
      </c>
      <c r="AS400" s="11"/>
      <c r="AT400" s="77" t="str">
        <v>-</v>
      </c>
      <c r="AU400" s="11" t="str">
        <v>-</v>
      </c>
      <c r="AV400" s="100"/>
      <c r="AW400" s="80" t="str">
        <f ca="1"/>
        <v>-</v>
      </c>
      <c r="AX400" s="80" t="b">
        <v>0</v>
      </c>
      <c r="AY400" s="68" t="str">
        <f t="shared" si="4"/>
        <v/>
      </c>
      <c r="AZ400" s="69" t="str">
        <f t="shared" si="5"/>
        <v/>
      </c>
      <c r="BA400" s="70" t="str">
        <f t="shared" si="6"/>
        <v/>
      </c>
      <c r="BB400" s="68" t="str">
        <f t="shared" si="7"/>
        <v/>
      </c>
      <c r="BC400" s="69" t="str">
        <f>IFERROR(VLOOKUP($AQ400,'(勿動)組件目錄表'!$D$15:$R$1094,7,FALSE),"")</f>
        <v/>
      </c>
      <c r="BD400" s="69" t="str">
        <f>IFERROR(VLOOKUP($AQ400,'(勿動)組件目錄表'!$D$15:$R$1094,8,FALSE),"")</f>
        <v/>
      </c>
      <c r="BE400" s="69" t="str">
        <f>IFERROR(VLOOKUP($AQ400,'(勿動)組件目錄表'!$D$15:$R$1094,9,FALSE),"")</f>
        <v/>
      </c>
      <c r="BF400" s="69" t="str">
        <f>IFERROR(VLOOKUP($AQ400,'(勿動)組件目錄表'!$D$15:$R$1094,10,FALSE),"")</f>
        <v/>
      </c>
      <c r="BG400" s="69" t="str">
        <f>IFERROR(VLOOKUP($AQ400,'(勿動)組件目錄表'!$D$15:$R$1094,11,FALSE),"")</f>
        <v/>
      </c>
      <c r="BH400" s="69" t="str">
        <f>IFERROR(VLOOKUP($AQ400,'(勿動)組件目錄表'!$D$15:$R$1094,12,FALSE),"")</f>
        <v/>
      </c>
      <c r="BI400" s="69" t="str">
        <f>IFERROR(VLOOKUP($AQ400,'(勿動)組件目錄表'!$D$15:$R$1094,13,FALSE),"")</f>
        <v/>
      </c>
      <c r="BJ400" s="69" t="str">
        <f>IFERROR(VLOOKUP($AQ400,'(勿動)組件目錄表'!$D$15:$R$1094,14,FALSE),"")</f>
        <v/>
      </c>
      <c r="BK400" s="69" t="str">
        <f>IFERROR(VLOOKUP($AQ400,'(勿動)組件目錄表'!$D$15:$R$1094,15,FALSE),"")</f>
        <v/>
      </c>
      <c r="BL400" s="81">
        <f ca="1">IFERROR(__xludf.DUMMYFUNCTION("IFERROR(
  LET(
    rowData, FILTER('(勿動)組件目錄表'!J:Q, '(勿動)組件目錄表'!D:D=AQ400),
    IF(ROWS(rowData)=0, 0, 
      (
        IF(AND(BC400&lt;&gt;"""", INDEX(rowData,1,1)=BC400),1,0) +
        IF(AND(BD400&lt;&gt;"""", INDEX(rowData,1,2)=BD400),1,0) +
        IF(AND(BE400"&amp;"&lt;&gt;"""", INDEX(rowData,1,3)=BE400),1,0) +
        IF(AND(BF400&lt;&gt;"""", INDEX(rowData,1,4)=BF400),1,0) +
        IF(AND(BG400&lt;&gt;"""", INDEX(rowData,1,5)=BG400),1,0) +
        IF(AND(BH400&lt;&gt;"""", INDEX(rowData,1,6)=BH400),1,0) +
        IF(AND(BI400&lt;&gt;"""", IND"&amp;"EX(rowData,1,7)=BI400),1,0) +
        IF(AND(BJ400&lt;&gt;"""", INDEX(rowData,1,8)=BJ400),1,0)
      ) - COUNTIF(BC400:BJ400, ""-"")
        - COUNTIF(BC400:BJ400, ""固定格式，不需提供資訊"")
        - COUNTIF(BC400:BJ400, ""由MKT更新，此欄位固定格式，不需提供資訊
(Voucher CID：12917705872)"&amp;""")
        - COUNTIF(BC400:BJ400, ""text固定為以下：
※直播間僅支援手機版"")
        - COUNTIF(BC400:BJ400, ""text固定為以下：
※短影音僅支援手機版"")
    )
  ), 
  0
)
"),0)</f>
        <v>0</v>
      </c>
      <c r="BM400" s="77" t="b">
        <v>0</v>
      </c>
      <c r="BN400" s="85"/>
      <c r="BO400" s="85"/>
    </row>
    <row r="401" spans="1:67" ht="30" customHeight="1">
      <c r="A401" s="73" t="str">
        <f t="array" aca="1" ref="A401" ca="1">IFERROR(TRANSPOSE(INDIRECT('MS section版配(Old)'!$AO401)),"")</f>
        <v/>
      </c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8"/>
      <c r="P401" s="88"/>
      <c r="Q401" s="88"/>
      <c r="R401" s="88"/>
      <c r="S401" s="88"/>
      <c r="T401" s="88"/>
      <c r="U401" s="88"/>
      <c r="V401" s="88"/>
      <c r="W401" s="88"/>
      <c r="X401" s="88"/>
      <c r="Y401" s="88"/>
      <c r="Z401" s="88"/>
      <c r="AA401" s="88"/>
      <c r="AB401" s="88"/>
      <c r="AC401" s="88"/>
      <c r="AD401" s="88"/>
      <c r="AE401" s="397" t="str">
        <f>IFERROR(VLOOKUP($AQ401,'(勿動)組件目錄表'!$D$15:$R$1094,4,FALSE),"")</f>
        <v/>
      </c>
      <c r="AF401" s="384"/>
      <c r="AG401" s="384"/>
      <c r="AH401" s="384"/>
      <c r="AI401" s="384"/>
      <c r="AJ401" s="385"/>
      <c r="AK401" s="54" t="b">
        <v>0</v>
      </c>
      <c r="AL401" s="54" t="b">
        <v>0</v>
      </c>
      <c r="AM401" s="54"/>
      <c r="AN401" s="7" t="str">
        <v>393</v>
      </c>
      <c r="AO401" s="7"/>
      <c r="AP401" s="62"/>
      <c r="AQ401" s="75" t="str">
        <v/>
      </c>
      <c r="AR401" s="75" t="str">
        <v>-</v>
      </c>
      <c r="AS401" s="11"/>
      <c r="AT401" s="77" t="str">
        <v>-</v>
      </c>
      <c r="AU401" s="11" t="str">
        <v>-</v>
      </c>
      <c r="AV401" s="100"/>
      <c r="AW401" s="80" t="str">
        <f ca="1"/>
        <v>-</v>
      </c>
      <c r="AX401" s="80" t="b">
        <v>0</v>
      </c>
      <c r="AY401" s="68" t="str">
        <f t="shared" si="4"/>
        <v/>
      </c>
      <c r="AZ401" s="69" t="str">
        <f t="shared" si="5"/>
        <v/>
      </c>
      <c r="BA401" s="70" t="str">
        <f t="shared" si="6"/>
        <v/>
      </c>
      <c r="BB401" s="68" t="str">
        <f t="shared" si="7"/>
        <v/>
      </c>
      <c r="BC401" s="69" t="str">
        <f>IFERROR(VLOOKUP($AQ401,'(勿動)組件目錄表'!$D$15:$R$1094,7,FALSE),"")</f>
        <v/>
      </c>
      <c r="BD401" s="69" t="str">
        <f>IFERROR(VLOOKUP($AQ401,'(勿動)組件目錄表'!$D$15:$R$1094,8,FALSE),"")</f>
        <v/>
      </c>
      <c r="BE401" s="69" t="str">
        <f>IFERROR(VLOOKUP($AQ401,'(勿動)組件目錄表'!$D$15:$R$1094,9,FALSE),"")</f>
        <v/>
      </c>
      <c r="BF401" s="69" t="str">
        <f>IFERROR(VLOOKUP($AQ401,'(勿動)組件目錄表'!$D$15:$R$1094,10,FALSE),"")</f>
        <v/>
      </c>
      <c r="BG401" s="69" t="str">
        <f>IFERROR(VLOOKUP($AQ401,'(勿動)組件目錄表'!$D$15:$R$1094,11,FALSE),"")</f>
        <v/>
      </c>
      <c r="BH401" s="69" t="str">
        <f>IFERROR(VLOOKUP($AQ401,'(勿動)組件目錄表'!$D$15:$R$1094,12,FALSE),"")</f>
        <v/>
      </c>
      <c r="BI401" s="69" t="str">
        <f>IFERROR(VLOOKUP($AQ401,'(勿動)組件目錄表'!$D$15:$R$1094,13,FALSE),"")</f>
        <v/>
      </c>
      <c r="BJ401" s="69" t="str">
        <f>IFERROR(VLOOKUP($AQ401,'(勿動)組件目錄表'!$D$15:$R$1094,14,FALSE),"")</f>
        <v/>
      </c>
      <c r="BK401" s="69" t="str">
        <f>IFERROR(VLOOKUP($AQ401,'(勿動)組件目錄表'!$D$15:$R$1094,15,FALSE),"")</f>
        <v/>
      </c>
      <c r="BL401" s="81">
        <f ca="1">IFERROR(__xludf.DUMMYFUNCTION("IFERROR(
  LET(
    rowData, FILTER('(勿動)組件目錄表'!J:Q, '(勿動)組件目錄表'!D:D=AQ401),
    IF(ROWS(rowData)=0, 0, 
      (
        IF(AND(BC401&lt;&gt;"""", INDEX(rowData,1,1)=BC401),1,0) +
        IF(AND(BD401&lt;&gt;"""", INDEX(rowData,1,2)=BD401),1,0) +
        IF(AND(BE401"&amp;"&lt;&gt;"""", INDEX(rowData,1,3)=BE401),1,0) +
        IF(AND(BF401&lt;&gt;"""", INDEX(rowData,1,4)=BF401),1,0) +
        IF(AND(BG401&lt;&gt;"""", INDEX(rowData,1,5)=BG401),1,0) +
        IF(AND(BH401&lt;&gt;"""", INDEX(rowData,1,6)=BH401),1,0) +
        IF(AND(BI401&lt;&gt;"""", IND"&amp;"EX(rowData,1,7)=BI401),1,0) +
        IF(AND(BJ401&lt;&gt;"""", INDEX(rowData,1,8)=BJ401),1,0)
      ) - COUNTIF(BC401:BJ401, ""-"")
        - COUNTIF(BC401:BJ401, ""固定格式，不需提供資訊"")
        - COUNTIF(BC401:BJ401, ""由MKT更新，此欄位固定格式，不需提供資訊
(Voucher CID：12917705872)"&amp;""")
        - COUNTIF(BC401:BJ401, ""text固定為以下：
※直播間僅支援手機版"")
        - COUNTIF(BC401:BJ401, ""text固定為以下：
※短影音僅支援手機版"")
    )
  ), 
  0
)
"),0)</f>
        <v>0</v>
      </c>
      <c r="BM401" s="77" t="b">
        <v>0</v>
      </c>
      <c r="BN401" s="85"/>
      <c r="BO401" s="85"/>
    </row>
    <row r="402" spans="1:67" ht="30" customHeight="1">
      <c r="A402" s="73" t="str">
        <f t="array" aca="1" ref="A402" ca="1">IFERROR(TRANSPOSE(INDIRECT('MS section版配(Old)'!$AO402)),"")</f>
        <v/>
      </c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8"/>
      <c r="P402" s="88"/>
      <c r="Q402" s="88"/>
      <c r="R402" s="88"/>
      <c r="S402" s="88"/>
      <c r="T402" s="88"/>
      <c r="U402" s="88"/>
      <c r="V402" s="88"/>
      <c r="W402" s="88"/>
      <c r="X402" s="88"/>
      <c r="Y402" s="88"/>
      <c r="Z402" s="88"/>
      <c r="AA402" s="88"/>
      <c r="AB402" s="88"/>
      <c r="AC402" s="88"/>
      <c r="AD402" s="88"/>
      <c r="AE402" s="397" t="str">
        <f>IFERROR(VLOOKUP($AQ402,'(勿動)組件目錄表'!$D$15:$R$1094,4,FALSE),"")</f>
        <v/>
      </c>
      <c r="AF402" s="384"/>
      <c r="AG402" s="384"/>
      <c r="AH402" s="384"/>
      <c r="AI402" s="384"/>
      <c r="AJ402" s="385"/>
      <c r="AK402" s="54" t="b">
        <v>0</v>
      </c>
      <c r="AL402" s="54" t="b">
        <v>0</v>
      </c>
      <c r="AM402" s="54"/>
      <c r="AN402" s="7" t="str">
        <v>394</v>
      </c>
      <c r="AO402" s="7"/>
      <c r="AP402" s="62"/>
      <c r="AQ402" s="75" t="str">
        <v/>
      </c>
      <c r="AR402" s="75" t="str">
        <v>-</v>
      </c>
      <c r="AS402" s="11"/>
      <c r="AT402" s="77" t="str">
        <v>-</v>
      </c>
      <c r="AU402" s="11" t="str">
        <v>-</v>
      </c>
      <c r="AV402" s="100"/>
      <c r="AW402" s="80" t="str">
        <f ca="1"/>
        <v>-</v>
      </c>
      <c r="AX402" s="80" t="b">
        <v>0</v>
      </c>
      <c r="AY402" s="68" t="str">
        <f t="shared" si="4"/>
        <v/>
      </c>
      <c r="AZ402" s="69" t="str">
        <f t="shared" si="5"/>
        <v/>
      </c>
      <c r="BA402" s="70" t="str">
        <f t="shared" si="6"/>
        <v/>
      </c>
      <c r="BB402" s="68" t="str">
        <f t="shared" si="7"/>
        <v/>
      </c>
      <c r="BC402" s="69" t="str">
        <f>IFERROR(VLOOKUP($AQ402,'(勿動)組件目錄表'!$D$15:$R$1094,7,FALSE),"")</f>
        <v/>
      </c>
      <c r="BD402" s="69" t="str">
        <f>IFERROR(VLOOKUP($AQ402,'(勿動)組件目錄表'!$D$15:$R$1094,8,FALSE),"")</f>
        <v/>
      </c>
      <c r="BE402" s="69" t="str">
        <f>IFERROR(VLOOKUP($AQ402,'(勿動)組件目錄表'!$D$15:$R$1094,9,FALSE),"")</f>
        <v/>
      </c>
      <c r="BF402" s="69" t="str">
        <f>IFERROR(VLOOKUP($AQ402,'(勿動)組件目錄表'!$D$15:$R$1094,10,FALSE),"")</f>
        <v/>
      </c>
      <c r="BG402" s="69" t="str">
        <f>IFERROR(VLOOKUP($AQ402,'(勿動)組件目錄表'!$D$15:$R$1094,11,FALSE),"")</f>
        <v/>
      </c>
      <c r="BH402" s="69" t="str">
        <f>IFERROR(VLOOKUP($AQ402,'(勿動)組件目錄表'!$D$15:$R$1094,12,FALSE),"")</f>
        <v/>
      </c>
      <c r="BI402" s="69" t="str">
        <f>IFERROR(VLOOKUP($AQ402,'(勿動)組件目錄表'!$D$15:$R$1094,13,FALSE),"")</f>
        <v/>
      </c>
      <c r="BJ402" s="69" t="str">
        <f>IFERROR(VLOOKUP($AQ402,'(勿動)組件目錄表'!$D$15:$R$1094,14,FALSE),"")</f>
        <v/>
      </c>
      <c r="BK402" s="69" t="str">
        <f>IFERROR(VLOOKUP($AQ402,'(勿動)組件目錄表'!$D$15:$R$1094,15,FALSE),"")</f>
        <v/>
      </c>
      <c r="BL402" s="81">
        <f ca="1">IFERROR(__xludf.DUMMYFUNCTION("IFERROR(
  LET(
    rowData, FILTER('(勿動)組件目錄表'!J:Q, '(勿動)組件目錄表'!D:D=AQ402),
    IF(ROWS(rowData)=0, 0, 
      (
        IF(AND(BC402&lt;&gt;"""", INDEX(rowData,1,1)=BC402),1,0) +
        IF(AND(BD402&lt;&gt;"""", INDEX(rowData,1,2)=BD402),1,0) +
        IF(AND(BE402"&amp;"&lt;&gt;"""", INDEX(rowData,1,3)=BE402),1,0) +
        IF(AND(BF402&lt;&gt;"""", INDEX(rowData,1,4)=BF402),1,0) +
        IF(AND(BG402&lt;&gt;"""", INDEX(rowData,1,5)=BG402),1,0) +
        IF(AND(BH402&lt;&gt;"""", INDEX(rowData,1,6)=BH402),1,0) +
        IF(AND(BI402&lt;&gt;"""", IND"&amp;"EX(rowData,1,7)=BI402),1,0) +
        IF(AND(BJ402&lt;&gt;"""", INDEX(rowData,1,8)=BJ402),1,0)
      ) - COUNTIF(BC402:BJ402, ""-"")
        - COUNTIF(BC402:BJ402, ""固定格式，不需提供資訊"")
        - COUNTIF(BC402:BJ402, ""由MKT更新，此欄位固定格式，不需提供資訊
(Voucher CID：12917705872)"&amp;""")
        - COUNTIF(BC402:BJ402, ""text固定為以下：
※直播間僅支援手機版"")
        - COUNTIF(BC402:BJ402, ""text固定為以下：
※短影音僅支援手機版"")
    )
  ), 
  0
)
"),0)</f>
        <v>0</v>
      </c>
      <c r="BM402" s="77" t="b">
        <v>0</v>
      </c>
      <c r="BN402" s="85"/>
      <c r="BO402" s="85"/>
    </row>
    <row r="403" spans="1:67" ht="30" customHeight="1">
      <c r="A403" s="73" t="str">
        <f t="array" aca="1" ref="A403" ca="1">IFERROR(TRANSPOSE(INDIRECT('MS section版配(Old)'!$AO403)),"")</f>
        <v/>
      </c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8"/>
      <c r="P403" s="88"/>
      <c r="Q403" s="88"/>
      <c r="R403" s="88"/>
      <c r="S403" s="88"/>
      <c r="T403" s="88"/>
      <c r="U403" s="88"/>
      <c r="V403" s="88"/>
      <c r="W403" s="88"/>
      <c r="X403" s="88"/>
      <c r="Y403" s="88"/>
      <c r="Z403" s="88"/>
      <c r="AA403" s="88"/>
      <c r="AB403" s="88"/>
      <c r="AC403" s="88"/>
      <c r="AD403" s="88"/>
      <c r="AE403" s="397" t="str">
        <f>IFERROR(VLOOKUP($AQ403,'(勿動)組件目錄表'!$D$15:$R$1094,4,FALSE),"")</f>
        <v/>
      </c>
      <c r="AF403" s="384"/>
      <c r="AG403" s="384"/>
      <c r="AH403" s="384"/>
      <c r="AI403" s="384"/>
      <c r="AJ403" s="385"/>
      <c r="AK403" s="54" t="b">
        <v>0</v>
      </c>
      <c r="AL403" s="54" t="b">
        <v>0</v>
      </c>
      <c r="AM403" s="54"/>
      <c r="AN403" s="7" t="str">
        <v>395</v>
      </c>
      <c r="AO403" s="7"/>
      <c r="AP403" s="62"/>
      <c r="AQ403" s="75" t="str">
        <v/>
      </c>
      <c r="AR403" s="75" t="str">
        <v>-</v>
      </c>
      <c r="AS403" s="11"/>
      <c r="AT403" s="77" t="str">
        <v>-</v>
      </c>
      <c r="AU403" s="11" t="str">
        <v>-</v>
      </c>
      <c r="AV403" s="100"/>
      <c r="AW403" s="80" t="str">
        <f ca="1"/>
        <v>-</v>
      </c>
      <c r="AX403" s="80" t="b">
        <v>0</v>
      </c>
      <c r="AY403" s="68" t="str">
        <f t="shared" si="4"/>
        <v/>
      </c>
      <c r="AZ403" s="69" t="str">
        <f t="shared" si="5"/>
        <v/>
      </c>
      <c r="BA403" s="70" t="str">
        <f t="shared" si="6"/>
        <v/>
      </c>
      <c r="BB403" s="68" t="str">
        <f t="shared" si="7"/>
        <v/>
      </c>
      <c r="BC403" s="69" t="str">
        <f>IFERROR(VLOOKUP($AQ403,'(勿動)組件目錄表'!$D$15:$R$1094,7,FALSE),"")</f>
        <v/>
      </c>
      <c r="BD403" s="69" t="str">
        <f>IFERROR(VLOOKUP($AQ403,'(勿動)組件目錄表'!$D$15:$R$1094,8,FALSE),"")</f>
        <v/>
      </c>
      <c r="BE403" s="69" t="str">
        <f>IFERROR(VLOOKUP($AQ403,'(勿動)組件目錄表'!$D$15:$R$1094,9,FALSE),"")</f>
        <v/>
      </c>
      <c r="BF403" s="69" t="str">
        <f>IFERROR(VLOOKUP($AQ403,'(勿動)組件目錄表'!$D$15:$R$1094,10,FALSE),"")</f>
        <v/>
      </c>
      <c r="BG403" s="69" t="str">
        <f>IFERROR(VLOOKUP($AQ403,'(勿動)組件目錄表'!$D$15:$R$1094,11,FALSE),"")</f>
        <v/>
      </c>
      <c r="BH403" s="69" t="str">
        <f>IFERROR(VLOOKUP($AQ403,'(勿動)組件目錄表'!$D$15:$R$1094,12,FALSE),"")</f>
        <v/>
      </c>
      <c r="BI403" s="69" t="str">
        <f>IFERROR(VLOOKUP($AQ403,'(勿動)組件目錄表'!$D$15:$R$1094,13,FALSE),"")</f>
        <v/>
      </c>
      <c r="BJ403" s="69" t="str">
        <f>IFERROR(VLOOKUP($AQ403,'(勿動)組件目錄表'!$D$15:$R$1094,14,FALSE),"")</f>
        <v/>
      </c>
      <c r="BK403" s="69" t="str">
        <f>IFERROR(VLOOKUP($AQ403,'(勿動)組件目錄表'!$D$15:$R$1094,15,FALSE),"")</f>
        <v/>
      </c>
      <c r="BL403" s="81">
        <f ca="1">IFERROR(__xludf.DUMMYFUNCTION("IFERROR(
  LET(
    rowData, FILTER('(勿動)組件目錄表'!J:Q, '(勿動)組件目錄表'!D:D=AQ403),
    IF(ROWS(rowData)=0, 0, 
      (
        IF(AND(BC403&lt;&gt;"""", INDEX(rowData,1,1)=BC403),1,0) +
        IF(AND(BD403&lt;&gt;"""", INDEX(rowData,1,2)=BD403),1,0) +
        IF(AND(BE403"&amp;"&lt;&gt;"""", INDEX(rowData,1,3)=BE403),1,0) +
        IF(AND(BF403&lt;&gt;"""", INDEX(rowData,1,4)=BF403),1,0) +
        IF(AND(BG403&lt;&gt;"""", INDEX(rowData,1,5)=BG403),1,0) +
        IF(AND(BH403&lt;&gt;"""", INDEX(rowData,1,6)=BH403),1,0) +
        IF(AND(BI403&lt;&gt;"""", IND"&amp;"EX(rowData,1,7)=BI403),1,0) +
        IF(AND(BJ403&lt;&gt;"""", INDEX(rowData,1,8)=BJ403),1,0)
      ) - COUNTIF(BC403:BJ403, ""-"")
        - COUNTIF(BC403:BJ403, ""固定格式，不需提供資訊"")
        - COUNTIF(BC403:BJ403, ""由MKT更新，此欄位固定格式，不需提供資訊
(Voucher CID：12917705872)"&amp;""")
        - COUNTIF(BC403:BJ403, ""text固定為以下：
※直播間僅支援手機版"")
        - COUNTIF(BC403:BJ403, ""text固定為以下：
※短影音僅支援手機版"")
    )
  ), 
  0
)
"),0)</f>
        <v>0</v>
      </c>
      <c r="BM403" s="77" t="b">
        <v>0</v>
      </c>
      <c r="BN403" s="85"/>
      <c r="BO403" s="85"/>
    </row>
    <row r="404" spans="1:67" ht="30" customHeight="1">
      <c r="A404" s="73" t="str">
        <f t="array" aca="1" ref="A404" ca="1">IFERROR(TRANSPOSE(INDIRECT('MS section版配(Old)'!$AO404)),"")</f>
        <v/>
      </c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8"/>
      <c r="P404" s="88"/>
      <c r="Q404" s="88"/>
      <c r="R404" s="88"/>
      <c r="S404" s="88"/>
      <c r="T404" s="88"/>
      <c r="U404" s="88"/>
      <c r="V404" s="88"/>
      <c r="W404" s="88"/>
      <c r="X404" s="88"/>
      <c r="Y404" s="88"/>
      <c r="Z404" s="88"/>
      <c r="AA404" s="88"/>
      <c r="AB404" s="88"/>
      <c r="AC404" s="88"/>
      <c r="AD404" s="88"/>
      <c r="AE404" s="397" t="str">
        <f>IFERROR(VLOOKUP($AQ404,'(勿動)組件目錄表'!$D$15:$R$1094,4,FALSE),"")</f>
        <v/>
      </c>
      <c r="AF404" s="384"/>
      <c r="AG404" s="384"/>
      <c r="AH404" s="384"/>
      <c r="AI404" s="384"/>
      <c r="AJ404" s="385"/>
      <c r="AK404" s="54" t="b">
        <v>0</v>
      </c>
      <c r="AL404" s="54" t="b">
        <v>0</v>
      </c>
      <c r="AM404" s="54"/>
      <c r="AN404" s="7" t="str">
        <v>396</v>
      </c>
      <c r="AO404" s="7"/>
      <c r="AP404" s="62"/>
      <c r="AQ404" s="75" t="str">
        <v/>
      </c>
      <c r="AR404" s="75" t="str">
        <v>-</v>
      </c>
      <c r="AS404" s="11"/>
      <c r="AT404" s="77" t="str">
        <v>-</v>
      </c>
      <c r="AU404" s="11" t="str">
        <v>-</v>
      </c>
      <c r="AV404" s="100"/>
      <c r="AW404" s="80" t="str">
        <f ca="1"/>
        <v>-</v>
      </c>
      <c r="AX404" s="80" t="b">
        <v>0</v>
      </c>
      <c r="AY404" s="68" t="str">
        <f t="shared" si="4"/>
        <v/>
      </c>
      <c r="AZ404" s="69" t="str">
        <f t="shared" si="5"/>
        <v/>
      </c>
      <c r="BA404" s="70" t="str">
        <f t="shared" si="6"/>
        <v/>
      </c>
      <c r="BB404" s="68" t="str">
        <f t="shared" si="7"/>
        <v/>
      </c>
      <c r="BC404" s="69" t="str">
        <f>IFERROR(VLOOKUP($AQ404,'(勿動)組件目錄表'!$D$15:$R$1094,7,FALSE),"")</f>
        <v/>
      </c>
      <c r="BD404" s="69" t="str">
        <f>IFERROR(VLOOKUP($AQ404,'(勿動)組件目錄表'!$D$15:$R$1094,8,FALSE),"")</f>
        <v/>
      </c>
      <c r="BE404" s="69" t="str">
        <f>IFERROR(VLOOKUP($AQ404,'(勿動)組件目錄表'!$D$15:$R$1094,9,FALSE),"")</f>
        <v/>
      </c>
      <c r="BF404" s="69" t="str">
        <f>IFERROR(VLOOKUP($AQ404,'(勿動)組件目錄表'!$D$15:$R$1094,10,FALSE),"")</f>
        <v/>
      </c>
      <c r="BG404" s="69" t="str">
        <f>IFERROR(VLOOKUP($AQ404,'(勿動)組件目錄表'!$D$15:$R$1094,11,FALSE),"")</f>
        <v/>
      </c>
      <c r="BH404" s="69" t="str">
        <f>IFERROR(VLOOKUP($AQ404,'(勿動)組件目錄表'!$D$15:$R$1094,12,FALSE),"")</f>
        <v/>
      </c>
      <c r="BI404" s="69" t="str">
        <f>IFERROR(VLOOKUP($AQ404,'(勿動)組件目錄表'!$D$15:$R$1094,13,FALSE),"")</f>
        <v/>
      </c>
      <c r="BJ404" s="69" t="str">
        <f>IFERROR(VLOOKUP($AQ404,'(勿動)組件目錄表'!$D$15:$R$1094,14,FALSE),"")</f>
        <v/>
      </c>
      <c r="BK404" s="69" t="str">
        <f>IFERROR(VLOOKUP($AQ404,'(勿動)組件目錄表'!$D$15:$R$1094,15,FALSE),"")</f>
        <v/>
      </c>
      <c r="BL404" s="81">
        <f ca="1">IFERROR(__xludf.DUMMYFUNCTION("IFERROR(
  LET(
    rowData, FILTER('(勿動)組件目錄表'!J:Q, '(勿動)組件目錄表'!D:D=AQ404),
    IF(ROWS(rowData)=0, 0, 
      (
        IF(AND(BC404&lt;&gt;"""", INDEX(rowData,1,1)=BC404),1,0) +
        IF(AND(BD404&lt;&gt;"""", INDEX(rowData,1,2)=BD404),1,0) +
        IF(AND(BE404"&amp;"&lt;&gt;"""", INDEX(rowData,1,3)=BE404),1,0) +
        IF(AND(BF404&lt;&gt;"""", INDEX(rowData,1,4)=BF404),1,0) +
        IF(AND(BG404&lt;&gt;"""", INDEX(rowData,1,5)=BG404),1,0) +
        IF(AND(BH404&lt;&gt;"""", INDEX(rowData,1,6)=BH404),1,0) +
        IF(AND(BI404&lt;&gt;"""", IND"&amp;"EX(rowData,1,7)=BI404),1,0) +
        IF(AND(BJ404&lt;&gt;"""", INDEX(rowData,1,8)=BJ404),1,0)
      ) - COUNTIF(BC404:BJ404, ""-"")
        - COUNTIF(BC404:BJ404, ""固定格式，不需提供資訊"")
        - COUNTIF(BC404:BJ404, ""由MKT更新，此欄位固定格式，不需提供資訊
(Voucher CID：12917705872)"&amp;""")
        - COUNTIF(BC404:BJ404, ""text固定為以下：
※直播間僅支援手機版"")
        - COUNTIF(BC404:BJ404, ""text固定為以下：
※短影音僅支援手機版"")
    )
  ), 
  0
)
"),0)</f>
        <v>0</v>
      </c>
      <c r="BM404" s="77" t="b">
        <v>0</v>
      </c>
      <c r="BN404" s="85"/>
      <c r="BO404" s="85"/>
    </row>
    <row r="405" spans="1:67" ht="30" customHeight="1">
      <c r="A405" s="73" t="str">
        <f t="array" aca="1" ref="A405" ca="1">IFERROR(TRANSPOSE(INDIRECT('MS section版配(Old)'!$AO405)),"")</f>
        <v/>
      </c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8"/>
      <c r="P405" s="88"/>
      <c r="Q405" s="88"/>
      <c r="R405" s="88"/>
      <c r="S405" s="88"/>
      <c r="T405" s="88"/>
      <c r="U405" s="88"/>
      <c r="V405" s="88"/>
      <c r="W405" s="88"/>
      <c r="X405" s="88"/>
      <c r="Y405" s="88"/>
      <c r="Z405" s="88"/>
      <c r="AA405" s="88"/>
      <c r="AB405" s="88"/>
      <c r="AC405" s="88"/>
      <c r="AD405" s="88"/>
      <c r="AE405" s="397" t="str">
        <f>IFERROR(VLOOKUP($AQ405,'(勿動)組件目錄表'!$D$15:$R$1094,4,FALSE),"")</f>
        <v/>
      </c>
      <c r="AF405" s="384"/>
      <c r="AG405" s="384"/>
      <c r="AH405" s="384"/>
      <c r="AI405" s="384"/>
      <c r="AJ405" s="385"/>
      <c r="AK405" s="54" t="b">
        <v>0</v>
      </c>
      <c r="AL405" s="54" t="b">
        <v>0</v>
      </c>
      <c r="AM405" s="54"/>
      <c r="AN405" s="7" t="str">
        <v>397</v>
      </c>
      <c r="AO405" s="7"/>
      <c r="AP405" s="62"/>
      <c r="AQ405" s="75" t="str">
        <v/>
      </c>
      <c r="AR405" s="75" t="str">
        <v>-</v>
      </c>
      <c r="AS405" s="11"/>
      <c r="AT405" s="77" t="str">
        <v>-</v>
      </c>
      <c r="AU405" s="11" t="str">
        <v>-</v>
      </c>
      <c r="AV405" s="100"/>
      <c r="AW405" s="80" t="str">
        <f ca="1"/>
        <v>-</v>
      </c>
      <c r="AX405" s="80" t="b">
        <v>0</v>
      </c>
      <c r="AY405" s="68" t="str">
        <f t="shared" si="4"/>
        <v/>
      </c>
      <c r="AZ405" s="69" t="str">
        <f t="shared" si="5"/>
        <v/>
      </c>
      <c r="BA405" s="70" t="str">
        <f t="shared" si="6"/>
        <v/>
      </c>
      <c r="BB405" s="68" t="str">
        <f t="shared" si="7"/>
        <v/>
      </c>
      <c r="BC405" s="69" t="str">
        <f>IFERROR(VLOOKUP($AQ405,'(勿動)組件目錄表'!$D$15:$R$1094,7,FALSE),"")</f>
        <v/>
      </c>
      <c r="BD405" s="69" t="str">
        <f>IFERROR(VLOOKUP($AQ405,'(勿動)組件目錄表'!$D$15:$R$1094,8,FALSE),"")</f>
        <v/>
      </c>
      <c r="BE405" s="69" t="str">
        <f>IFERROR(VLOOKUP($AQ405,'(勿動)組件目錄表'!$D$15:$R$1094,9,FALSE),"")</f>
        <v/>
      </c>
      <c r="BF405" s="69" t="str">
        <f>IFERROR(VLOOKUP($AQ405,'(勿動)組件目錄表'!$D$15:$R$1094,10,FALSE),"")</f>
        <v/>
      </c>
      <c r="BG405" s="69" t="str">
        <f>IFERROR(VLOOKUP($AQ405,'(勿動)組件目錄表'!$D$15:$R$1094,11,FALSE),"")</f>
        <v/>
      </c>
      <c r="BH405" s="69" t="str">
        <f>IFERROR(VLOOKUP($AQ405,'(勿動)組件目錄表'!$D$15:$R$1094,12,FALSE),"")</f>
        <v/>
      </c>
      <c r="BI405" s="69" t="str">
        <f>IFERROR(VLOOKUP($AQ405,'(勿動)組件目錄表'!$D$15:$R$1094,13,FALSE),"")</f>
        <v/>
      </c>
      <c r="BJ405" s="69" t="str">
        <f>IFERROR(VLOOKUP($AQ405,'(勿動)組件目錄表'!$D$15:$R$1094,14,FALSE),"")</f>
        <v/>
      </c>
      <c r="BK405" s="69" t="str">
        <f>IFERROR(VLOOKUP($AQ405,'(勿動)組件目錄表'!$D$15:$R$1094,15,FALSE),"")</f>
        <v/>
      </c>
      <c r="BL405" s="81">
        <f ca="1">IFERROR(__xludf.DUMMYFUNCTION("IFERROR(
  LET(
    rowData, FILTER('(勿動)組件目錄表'!J:Q, '(勿動)組件目錄表'!D:D=AQ405),
    IF(ROWS(rowData)=0, 0, 
      (
        IF(AND(BC405&lt;&gt;"""", INDEX(rowData,1,1)=BC405),1,0) +
        IF(AND(BD405&lt;&gt;"""", INDEX(rowData,1,2)=BD405),1,0) +
        IF(AND(BE405"&amp;"&lt;&gt;"""", INDEX(rowData,1,3)=BE405),1,0) +
        IF(AND(BF405&lt;&gt;"""", INDEX(rowData,1,4)=BF405),1,0) +
        IF(AND(BG405&lt;&gt;"""", INDEX(rowData,1,5)=BG405),1,0) +
        IF(AND(BH405&lt;&gt;"""", INDEX(rowData,1,6)=BH405),1,0) +
        IF(AND(BI405&lt;&gt;"""", IND"&amp;"EX(rowData,1,7)=BI405),1,0) +
        IF(AND(BJ405&lt;&gt;"""", INDEX(rowData,1,8)=BJ405),1,0)
      ) - COUNTIF(BC405:BJ405, ""-"")
        - COUNTIF(BC405:BJ405, ""固定格式，不需提供資訊"")
        - COUNTIF(BC405:BJ405, ""由MKT更新，此欄位固定格式，不需提供資訊
(Voucher CID：12917705872)"&amp;""")
        - COUNTIF(BC405:BJ405, ""text固定為以下：
※直播間僅支援手機版"")
        - COUNTIF(BC405:BJ405, ""text固定為以下：
※短影音僅支援手機版"")
    )
  ), 
  0
)
"),0)</f>
        <v>0</v>
      </c>
      <c r="BM405" s="77" t="b">
        <v>0</v>
      </c>
      <c r="BN405" s="85"/>
      <c r="BO405" s="85"/>
    </row>
    <row r="406" spans="1:67" ht="30" customHeight="1">
      <c r="A406" s="73" t="str">
        <f t="array" aca="1" ref="A406" ca="1">IFERROR(TRANSPOSE(INDIRECT('MS section版配(Old)'!$AO406)),"")</f>
        <v/>
      </c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8"/>
      <c r="P406" s="88"/>
      <c r="Q406" s="88"/>
      <c r="R406" s="88"/>
      <c r="S406" s="88"/>
      <c r="T406" s="88"/>
      <c r="U406" s="88"/>
      <c r="V406" s="88"/>
      <c r="W406" s="88"/>
      <c r="X406" s="88"/>
      <c r="Y406" s="88"/>
      <c r="Z406" s="88"/>
      <c r="AA406" s="88"/>
      <c r="AB406" s="88"/>
      <c r="AC406" s="88"/>
      <c r="AD406" s="88"/>
      <c r="AE406" s="397" t="str">
        <f>IFERROR(VLOOKUP($AQ406,'(勿動)組件目錄表'!$D$15:$R$1094,4,FALSE),"")</f>
        <v/>
      </c>
      <c r="AF406" s="384"/>
      <c r="AG406" s="384"/>
      <c r="AH406" s="384"/>
      <c r="AI406" s="384"/>
      <c r="AJ406" s="385"/>
      <c r="AK406" s="54" t="b">
        <v>0</v>
      </c>
      <c r="AL406" s="54" t="b">
        <v>0</v>
      </c>
      <c r="AM406" s="54"/>
      <c r="AN406" s="7" t="str">
        <v>398</v>
      </c>
      <c r="AO406" s="7"/>
      <c r="AP406" s="62"/>
      <c r="AQ406" s="75" t="str">
        <v/>
      </c>
      <c r="AR406" s="75" t="str">
        <v>-</v>
      </c>
      <c r="AS406" s="11"/>
      <c r="AT406" s="77" t="str">
        <v>-</v>
      </c>
      <c r="AU406" s="11" t="str">
        <v>-</v>
      </c>
      <c r="AV406" s="100"/>
      <c r="AW406" s="80" t="str">
        <f ca="1"/>
        <v>-</v>
      </c>
      <c r="AX406" s="80" t="b">
        <v>0</v>
      </c>
      <c r="AY406" s="68" t="str">
        <f t="shared" si="4"/>
        <v/>
      </c>
      <c r="AZ406" s="69" t="str">
        <f t="shared" si="5"/>
        <v/>
      </c>
      <c r="BA406" s="70" t="str">
        <f t="shared" si="6"/>
        <v/>
      </c>
      <c r="BB406" s="68" t="str">
        <f t="shared" si="7"/>
        <v/>
      </c>
      <c r="BC406" s="69" t="str">
        <f>IFERROR(VLOOKUP($AQ406,'(勿動)組件目錄表'!$D$15:$R$1094,7,FALSE),"")</f>
        <v/>
      </c>
      <c r="BD406" s="69" t="str">
        <f>IFERROR(VLOOKUP($AQ406,'(勿動)組件目錄表'!$D$15:$R$1094,8,FALSE),"")</f>
        <v/>
      </c>
      <c r="BE406" s="69" t="str">
        <f>IFERROR(VLOOKUP($AQ406,'(勿動)組件目錄表'!$D$15:$R$1094,9,FALSE),"")</f>
        <v/>
      </c>
      <c r="BF406" s="69" t="str">
        <f>IFERROR(VLOOKUP($AQ406,'(勿動)組件目錄表'!$D$15:$R$1094,10,FALSE),"")</f>
        <v/>
      </c>
      <c r="BG406" s="69" t="str">
        <f>IFERROR(VLOOKUP($AQ406,'(勿動)組件目錄表'!$D$15:$R$1094,11,FALSE),"")</f>
        <v/>
      </c>
      <c r="BH406" s="69" t="str">
        <f>IFERROR(VLOOKUP($AQ406,'(勿動)組件目錄表'!$D$15:$R$1094,12,FALSE),"")</f>
        <v/>
      </c>
      <c r="BI406" s="69" t="str">
        <f>IFERROR(VLOOKUP($AQ406,'(勿動)組件目錄表'!$D$15:$R$1094,13,FALSE),"")</f>
        <v/>
      </c>
      <c r="BJ406" s="69" t="str">
        <f>IFERROR(VLOOKUP($AQ406,'(勿動)組件目錄表'!$D$15:$R$1094,14,FALSE),"")</f>
        <v/>
      </c>
      <c r="BK406" s="69" t="str">
        <f>IFERROR(VLOOKUP($AQ406,'(勿動)組件目錄表'!$D$15:$R$1094,15,FALSE),"")</f>
        <v/>
      </c>
      <c r="BL406" s="81">
        <f ca="1">IFERROR(__xludf.DUMMYFUNCTION("IFERROR(
  LET(
    rowData, FILTER('(勿動)組件目錄表'!J:Q, '(勿動)組件目錄表'!D:D=AQ406),
    IF(ROWS(rowData)=0, 0, 
      (
        IF(AND(BC406&lt;&gt;"""", INDEX(rowData,1,1)=BC406),1,0) +
        IF(AND(BD406&lt;&gt;"""", INDEX(rowData,1,2)=BD406),1,0) +
        IF(AND(BE406"&amp;"&lt;&gt;"""", INDEX(rowData,1,3)=BE406),1,0) +
        IF(AND(BF406&lt;&gt;"""", INDEX(rowData,1,4)=BF406),1,0) +
        IF(AND(BG406&lt;&gt;"""", INDEX(rowData,1,5)=BG406),1,0) +
        IF(AND(BH406&lt;&gt;"""", INDEX(rowData,1,6)=BH406),1,0) +
        IF(AND(BI406&lt;&gt;"""", IND"&amp;"EX(rowData,1,7)=BI406),1,0) +
        IF(AND(BJ406&lt;&gt;"""", INDEX(rowData,1,8)=BJ406),1,0)
      ) - COUNTIF(BC406:BJ406, ""-"")
        - COUNTIF(BC406:BJ406, ""固定格式，不需提供資訊"")
        - COUNTIF(BC406:BJ406, ""由MKT更新，此欄位固定格式，不需提供資訊
(Voucher CID：12917705872)"&amp;""")
        - COUNTIF(BC406:BJ406, ""text固定為以下：
※直播間僅支援手機版"")
        - COUNTIF(BC406:BJ406, ""text固定為以下：
※短影音僅支援手機版"")
    )
  ), 
  0
)
"),0)</f>
        <v>0</v>
      </c>
      <c r="BM406" s="77" t="b">
        <v>0</v>
      </c>
      <c r="BN406" s="85"/>
      <c r="BO406" s="85"/>
    </row>
    <row r="407" spans="1:67" ht="30" customHeight="1">
      <c r="A407" s="73" t="str">
        <f t="array" aca="1" ref="A407" ca="1">IFERROR(TRANSPOSE(INDIRECT('MS section版配(Old)'!$AO407)),"")</f>
        <v/>
      </c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8"/>
      <c r="P407" s="88"/>
      <c r="Q407" s="88"/>
      <c r="R407" s="88"/>
      <c r="S407" s="88"/>
      <c r="T407" s="88"/>
      <c r="U407" s="88"/>
      <c r="V407" s="88"/>
      <c r="W407" s="88"/>
      <c r="X407" s="88"/>
      <c r="Y407" s="88"/>
      <c r="Z407" s="88"/>
      <c r="AA407" s="88"/>
      <c r="AB407" s="88"/>
      <c r="AC407" s="88"/>
      <c r="AD407" s="88"/>
      <c r="AE407" s="397" t="str">
        <f>IFERROR(VLOOKUP($AQ407,'(勿動)組件目錄表'!$D$15:$R$1094,4,FALSE),"")</f>
        <v/>
      </c>
      <c r="AF407" s="384"/>
      <c r="AG407" s="384"/>
      <c r="AH407" s="384"/>
      <c r="AI407" s="384"/>
      <c r="AJ407" s="385"/>
      <c r="AK407" s="54" t="b">
        <v>0</v>
      </c>
      <c r="AL407" s="54" t="b">
        <v>0</v>
      </c>
      <c r="AM407" s="54"/>
      <c r="AN407" s="7" t="str">
        <v>399</v>
      </c>
      <c r="AO407" s="7"/>
      <c r="AP407" s="62"/>
      <c r="AQ407" s="75" t="str">
        <v/>
      </c>
      <c r="AR407" s="75" t="str">
        <v>-</v>
      </c>
      <c r="AS407" s="11"/>
      <c r="AT407" s="77" t="str">
        <v>-</v>
      </c>
      <c r="AU407" s="11" t="str">
        <v>-</v>
      </c>
      <c r="AV407" s="100"/>
      <c r="AW407" s="80" t="str">
        <f ca="1"/>
        <v>-</v>
      </c>
      <c r="AX407" s="80" t="b">
        <v>0</v>
      </c>
      <c r="AY407" s="68" t="str">
        <f t="shared" si="4"/>
        <v/>
      </c>
      <c r="AZ407" s="69" t="str">
        <f t="shared" si="5"/>
        <v/>
      </c>
      <c r="BA407" s="70" t="str">
        <f t="shared" si="6"/>
        <v/>
      </c>
      <c r="BB407" s="68" t="str">
        <f t="shared" si="7"/>
        <v/>
      </c>
      <c r="BC407" s="69" t="str">
        <f>IFERROR(VLOOKUP($AQ407,'(勿動)組件目錄表'!$D$15:$R$1094,7,FALSE),"")</f>
        <v/>
      </c>
      <c r="BD407" s="69" t="str">
        <f>IFERROR(VLOOKUP($AQ407,'(勿動)組件目錄表'!$D$15:$R$1094,8,FALSE),"")</f>
        <v/>
      </c>
      <c r="BE407" s="69" t="str">
        <f>IFERROR(VLOOKUP($AQ407,'(勿動)組件目錄表'!$D$15:$R$1094,9,FALSE),"")</f>
        <v/>
      </c>
      <c r="BF407" s="69" t="str">
        <f>IFERROR(VLOOKUP($AQ407,'(勿動)組件目錄表'!$D$15:$R$1094,10,FALSE),"")</f>
        <v/>
      </c>
      <c r="BG407" s="69" t="str">
        <f>IFERROR(VLOOKUP($AQ407,'(勿動)組件目錄表'!$D$15:$R$1094,11,FALSE),"")</f>
        <v/>
      </c>
      <c r="BH407" s="69" t="str">
        <f>IFERROR(VLOOKUP($AQ407,'(勿動)組件目錄表'!$D$15:$R$1094,12,FALSE),"")</f>
        <v/>
      </c>
      <c r="BI407" s="69" t="str">
        <f>IFERROR(VLOOKUP($AQ407,'(勿動)組件目錄表'!$D$15:$R$1094,13,FALSE),"")</f>
        <v/>
      </c>
      <c r="BJ407" s="69" t="str">
        <f>IFERROR(VLOOKUP($AQ407,'(勿動)組件目錄表'!$D$15:$R$1094,14,FALSE),"")</f>
        <v/>
      </c>
      <c r="BK407" s="69" t="str">
        <f>IFERROR(VLOOKUP($AQ407,'(勿動)組件目錄表'!$D$15:$R$1094,15,FALSE),"")</f>
        <v/>
      </c>
      <c r="BL407" s="81">
        <f ca="1">IFERROR(__xludf.DUMMYFUNCTION("IFERROR(
  LET(
    rowData, FILTER('(勿動)組件目錄表'!J:Q, '(勿動)組件目錄表'!D:D=AQ407),
    IF(ROWS(rowData)=0, 0, 
      (
        IF(AND(BC407&lt;&gt;"""", INDEX(rowData,1,1)=BC407),1,0) +
        IF(AND(BD407&lt;&gt;"""", INDEX(rowData,1,2)=BD407),1,0) +
        IF(AND(BE407"&amp;"&lt;&gt;"""", INDEX(rowData,1,3)=BE407),1,0) +
        IF(AND(BF407&lt;&gt;"""", INDEX(rowData,1,4)=BF407),1,0) +
        IF(AND(BG407&lt;&gt;"""", INDEX(rowData,1,5)=BG407),1,0) +
        IF(AND(BH407&lt;&gt;"""", INDEX(rowData,1,6)=BH407),1,0) +
        IF(AND(BI407&lt;&gt;"""", IND"&amp;"EX(rowData,1,7)=BI407),1,0) +
        IF(AND(BJ407&lt;&gt;"""", INDEX(rowData,1,8)=BJ407),1,0)
      ) - COUNTIF(BC407:BJ407, ""-"")
        - COUNTIF(BC407:BJ407, ""固定格式，不需提供資訊"")
        - COUNTIF(BC407:BJ407, ""由MKT更新，此欄位固定格式，不需提供資訊
(Voucher CID：12917705872)"&amp;""")
        - COUNTIF(BC407:BJ407, ""text固定為以下：
※直播間僅支援手機版"")
        - COUNTIF(BC407:BJ407, ""text固定為以下：
※短影音僅支援手機版"")
    )
  ), 
  0
)
"),0)</f>
        <v>0</v>
      </c>
      <c r="BM407" s="77" t="b">
        <v>0</v>
      </c>
      <c r="BN407" s="85"/>
      <c r="BO407" s="85"/>
    </row>
    <row r="408" spans="1:67" ht="30" customHeight="1">
      <c r="A408" s="73" t="str">
        <f t="array" aca="1" ref="A408" ca="1">IFERROR(TRANSPOSE(INDIRECT('MS section版配(Old)'!$AO408)),"")</f>
        <v/>
      </c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8"/>
      <c r="P408" s="88"/>
      <c r="Q408" s="88"/>
      <c r="R408" s="88"/>
      <c r="S408" s="88"/>
      <c r="T408" s="88"/>
      <c r="U408" s="88"/>
      <c r="V408" s="88"/>
      <c r="W408" s="88"/>
      <c r="X408" s="88"/>
      <c r="Y408" s="88"/>
      <c r="Z408" s="88"/>
      <c r="AA408" s="88"/>
      <c r="AB408" s="88"/>
      <c r="AC408" s="88"/>
      <c r="AD408" s="88"/>
      <c r="AE408" s="397" t="str">
        <f>IFERROR(VLOOKUP($AQ408,'(勿動)組件目錄表'!$D$15:$R$1094,4,FALSE),"")</f>
        <v/>
      </c>
      <c r="AF408" s="384"/>
      <c r="AG408" s="384"/>
      <c r="AH408" s="384"/>
      <c r="AI408" s="384"/>
      <c r="AJ408" s="385"/>
      <c r="AK408" s="54" t="b">
        <v>0</v>
      </c>
      <c r="AL408" s="54" t="b">
        <v>0</v>
      </c>
      <c r="AM408" s="54"/>
      <c r="AN408" s="7" t="str">
        <v>400</v>
      </c>
      <c r="AO408" s="7"/>
      <c r="AP408" s="62"/>
      <c r="AQ408" s="75" t="str">
        <v/>
      </c>
      <c r="AR408" s="75" t="str">
        <v>-</v>
      </c>
      <c r="AS408" s="11"/>
      <c r="AT408" s="77" t="str">
        <v>-</v>
      </c>
      <c r="AU408" s="11" t="str">
        <v>-</v>
      </c>
      <c r="AV408" s="100"/>
      <c r="AW408" s="80" t="str">
        <f ca="1"/>
        <v>-</v>
      </c>
      <c r="AX408" s="80" t="b">
        <v>0</v>
      </c>
      <c r="AY408" s="68" t="str">
        <f t="shared" si="4"/>
        <v/>
      </c>
      <c r="AZ408" s="69" t="str">
        <f t="shared" si="5"/>
        <v/>
      </c>
      <c r="BA408" s="70" t="str">
        <f t="shared" si="6"/>
        <v/>
      </c>
      <c r="BB408" s="68" t="str">
        <f t="shared" si="7"/>
        <v/>
      </c>
      <c r="BC408" s="69" t="str">
        <f>IFERROR(VLOOKUP($AQ408,'(勿動)組件目錄表'!$D$15:$R$1094,7,FALSE),"")</f>
        <v/>
      </c>
      <c r="BD408" s="69" t="str">
        <f>IFERROR(VLOOKUP($AQ408,'(勿動)組件目錄表'!$D$15:$R$1094,8,FALSE),"")</f>
        <v/>
      </c>
      <c r="BE408" s="69" t="str">
        <f>IFERROR(VLOOKUP($AQ408,'(勿動)組件目錄表'!$D$15:$R$1094,9,FALSE),"")</f>
        <v/>
      </c>
      <c r="BF408" s="69" t="str">
        <f>IFERROR(VLOOKUP($AQ408,'(勿動)組件目錄表'!$D$15:$R$1094,10,FALSE),"")</f>
        <v/>
      </c>
      <c r="BG408" s="69" t="str">
        <f>IFERROR(VLOOKUP($AQ408,'(勿動)組件目錄表'!$D$15:$R$1094,11,FALSE),"")</f>
        <v/>
      </c>
      <c r="BH408" s="69" t="str">
        <f>IFERROR(VLOOKUP($AQ408,'(勿動)組件目錄表'!$D$15:$R$1094,12,FALSE),"")</f>
        <v/>
      </c>
      <c r="BI408" s="69" t="str">
        <f>IFERROR(VLOOKUP($AQ408,'(勿動)組件目錄表'!$D$15:$R$1094,13,FALSE),"")</f>
        <v/>
      </c>
      <c r="BJ408" s="69" t="str">
        <f>IFERROR(VLOOKUP($AQ408,'(勿動)組件目錄表'!$D$15:$R$1094,14,FALSE),"")</f>
        <v/>
      </c>
      <c r="BK408" s="69" t="str">
        <f>IFERROR(VLOOKUP($AQ408,'(勿動)組件目錄表'!$D$15:$R$1094,15,FALSE),"")</f>
        <v/>
      </c>
      <c r="BL408" s="81">
        <f ca="1">IFERROR(__xludf.DUMMYFUNCTION("IFERROR(
  LET(
    rowData, FILTER('(勿動)組件目錄表'!J:Q, '(勿動)組件目錄表'!D:D=AQ408),
    IF(ROWS(rowData)=0, 0, 
      (
        IF(AND(BC408&lt;&gt;"""", INDEX(rowData,1,1)=BC408),1,0) +
        IF(AND(BD408&lt;&gt;"""", INDEX(rowData,1,2)=BD408),1,0) +
        IF(AND(BE408"&amp;"&lt;&gt;"""", INDEX(rowData,1,3)=BE408),1,0) +
        IF(AND(BF408&lt;&gt;"""", INDEX(rowData,1,4)=BF408),1,0) +
        IF(AND(BG408&lt;&gt;"""", INDEX(rowData,1,5)=BG408),1,0) +
        IF(AND(BH408&lt;&gt;"""", INDEX(rowData,1,6)=BH408),1,0) +
        IF(AND(BI408&lt;&gt;"""", IND"&amp;"EX(rowData,1,7)=BI408),1,0) +
        IF(AND(BJ408&lt;&gt;"""", INDEX(rowData,1,8)=BJ408),1,0)
      ) - COUNTIF(BC408:BJ408, ""-"")
        - COUNTIF(BC408:BJ408, ""固定格式，不需提供資訊"")
        - COUNTIF(BC408:BJ408, ""由MKT更新，此欄位固定格式，不需提供資訊
(Voucher CID：12917705872)"&amp;""")
        - COUNTIF(BC408:BJ408, ""text固定為以下：
※直播間僅支援手機版"")
        - COUNTIF(BC408:BJ408, ""text固定為以下：
※短影音僅支援手機版"")
    )
  ), 
  0
)
"),0)</f>
        <v>0</v>
      </c>
      <c r="BM408" s="77" t="b">
        <v>0</v>
      </c>
      <c r="BN408" s="85"/>
      <c r="BO408" s="85"/>
    </row>
    <row r="409" spans="1:67" ht="30" customHeight="1">
      <c r="A409" s="73" t="str">
        <f t="array" aca="1" ref="A409" ca="1">IFERROR(TRANSPOSE(INDIRECT('MS section版配(Old)'!$AO409)),"")</f>
        <v/>
      </c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8"/>
      <c r="P409" s="88"/>
      <c r="Q409" s="88"/>
      <c r="R409" s="88"/>
      <c r="S409" s="88"/>
      <c r="T409" s="88"/>
      <c r="U409" s="88"/>
      <c r="V409" s="88"/>
      <c r="W409" s="88"/>
      <c r="X409" s="88"/>
      <c r="Y409" s="88"/>
      <c r="Z409" s="88"/>
      <c r="AA409" s="88"/>
      <c r="AB409" s="88"/>
      <c r="AC409" s="88"/>
      <c r="AD409" s="88"/>
      <c r="AE409" s="397" t="str">
        <f>IFERROR(VLOOKUP($AQ409,'(勿動)組件目錄表'!$D$15:$R$1094,4,FALSE),"")</f>
        <v/>
      </c>
      <c r="AF409" s="384"/>
      <c r="AG409" s="384"/>
      <c r="AH409" s="384"/>
      <c r="AI409" s="384"/>
      <c r="AJ409" s="385"/>
      <c r="AK409" s="54" t="b">
        <v>0</v>
      </c>
      <c r="AL409" s="54" t="b">
        <v>0</v>
      </c>
      <c r="AM409" s="54"/>
      <c r="AN409" s="7" t="str">
        <v>401</v>
      </c>
      <c r="AO409" s="7"/>
      <c r="AP409" s="62"/>
      <c r="AQ409" s="75" t="str">
        <v/>
      </c>
      <c r="AR409" s="75" t="str">
        <v>-</v>
      </c>
      <c r="AS409" s="11"/>
      <c r="AT409" s="77" t="str">
        <v>-</v>
      </c>
      <c r="AU409" s="11" t="str">
        <v>-</v>
      </c>
      <c r="AV409" s="100"/>
      <c r="AW409" s="80" t="str">
        <f ca="1"/>
        <v>-</v>
      </c>
      <c r="AX409" s="80" t="b">
        <v>0</v>
      </c>
      <c r="AY409" s="68" t="str">
        <f t="shared" si="4"/>
        <v/>
      </c>
      <c r="AZ409" s="69" t="str">
        <f t="shared" si="5"/>
        <v/>
      </c>
      <c r="BA409" s="70" t="str">
        <f t="shared" si="6"/>
        <v/>
      </c>
      <c r="BB409" s="68" t="str">
        <f t="shared" si="7"/>
        <v/>
      </c>
      <c r="BC409" s="69" t="str">
        <f>IFERROR(VLOOKUP($AQ409,'(勿動)組件目錄表'!$D$15:$R$1094,7,FALSE),"")</f>
        <v/>
      </c>
      <c r="BD409" s="69" t="str">
        <f>IFERROR(VLOOKUP($AQ409,'(勿動)組件目錄表'!$D$15:$R$1094,8,FALSE),"")</f>
        <v/>
      </c>
      <c r="BE409" s="69" t="str">
        <f>IFERROR(VLOOKUP($AQ409,'(勿動)組件目錄表'!$D$15:$R$1094,9,FALSE),"")</f>
        <v/>
      </c>
      <c r="BF409" s="69" t="str">
        <f>IFERROR(VLOOKUP($AQ409,'(勿動)組件目錄表'!$D$15:$R$1094,10,FALSE),"")</f>
        <v/>
      </c>
      <c r="BG409" s="69" t="str">
        <f>IFERROR(VLOOKUP($AQ409,'(勿動)組件目錄表'!$D$15:$R$1094,11,FALSE),"")</f>
        <v/>
      </c>
      <c r="BH409" s="69" t="str">
        <f>IFERROR(VLOOKUP($AQ409,'(勿動)組件目錄表'!$D$15:$R$1094,12,FALSE),"")</f>
        <v/>
      </c>
      <c r="BI409" s="69" t="str">
        <f>IFERROR(VLOOKUP($AQ409,'(勿動)組件目錄表'!$D$15:$R$1094,13,FALSE),"")</f>
        <v/>
      </c>
      <c r="BJ409" s="69" t="str">
        <f>IFERROR(VLOOKUP($AQ409,'(勿動)組件目錄表'!$D$15:$R$1094,14,FALSE),"")</f>
        <v/>
      </c>
      <c r="BK409" s="69" t="str">
        <f>IFERROR(VLOOKUP($AQ409,'(勿動)組件目錄表'!$D$15:$R$1094,15,FALSE),"")</f>
        <v/>
      </c>
      <c r="BL409" s="81">
        <f ca="1">IFERROR(__xludf.DUMMYFUNCTION("IFERROR(
  LET(
    rowData, FILTER('(勿動)組件目錄表'!J:Q, '(勿動)組件目錄表'!D:D=AQ409),
    IF(ROWS(rowData)=0, 0, 
      (
        IF(AND(BC409&lt;&gt;"""", INDEX(rowData,1,1)=BC409),1,0) +
        IF(AND(BD409&lt;&gt;"""", INDEX(rowData,1,2)=BD409),1,0) +
        IF(AND(BE409"&amp;"&lt;&gt;"""", INDEX(rowData,1,3)=BE409),1,0) +
        IF(AND(BF409&lt;&gt;"""", INDEX(rowData,1,4)=BF409),1,0) +
        IF(AND(BG409&lt;&gt;"""", INDEX(rowData,1,5)=BG409),1,0) +
        IF(AND(BH409&lt;&gt;"""", INDEX(rowData,1,6)=BH409),1,0) +
        IF(AND(BI409&lt;&gt;"""", IND"&amp;"EX(rowData,1,7)=BI409),1,0) +
        IF(AND(BJ409&lt;&gt;"""", INDEX(rowData,1,8)=BJ409),1,0)
      ) - COUNTIF(BC409:BJ409, ""-"")
        - COUNTIF(BC409:BJ409, ""固定格式，不需提供資訊"")
        - COUNTIF(BC409:BJ409, ""由MKT更新，此欄位固定格式，不需提供資訊
(Voucher CID：12917705872)"&amp;""")
        - COUNTIF(BC409:BJ409, ""text固定為以下：
※直播間僅支援手機版"")
        - COUNTIF(BC409:BJ409, ""text固定為以下：
※短影音僅支援手機版"")
    )
  ), 
  0
)
"),0)</f>
        <v>0</v>
      </c>
      <c r="BM409" s="77" t="b">
        <v>0</v>
      </c>
      <c r="BN409" s="85"/>
      <c r="BO409" s="85"/>
    </row>
    <row r="410" spans="1:67" ht="30" customHeight="1">
      <c r="A410" s="73" t="str">
        <f t="array" aca="1" ref="A410" ca="1">IFERROR(TRANSPOSE(INDIRECT('MS section版配(Old)'!$AO410)),"")</f>
        <v/>
      </c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8"/>
      <c r="P410" s="88"/>
      <c r="Q410" s="88"/>
      <c r="R410" s="88"/>
      <c r="S410" s="88"/>
      <c r="T410" s="88"/>
      <c r="U410" s="88"/>
      <c r="V410" s="88"/>
      <c r="W410" s="88"/>
      <c r="X410" s="88"/>
      <c r="Y410" s="88"/>
      <c r="Z410" s="88"/>
      <c r="AA410" s="88"/>
      <c r="AB410" s="88"/>
      <c r="AC410" s="88"/>
      <c r="AD410" s="88"/>
      <c r="AE410" s="397" t="str">
        <f>IFERROR(VLOOKUP($AQ410,'(勿動)組件目錄表'!$D$15:$R$1094,4,FALSE),"")</f>
        <v/>
      </c>
      <c r="AF410" s="384"/>
      <c r="AG410" s="384"/>
      <c r="AH410" s="384"/>
      <c r="AI410" s="384"/>
      <c r="AJ410" s="385"/>
      <c r="AK410" s="54" t="b">
        <v>0</v>
      </c>
      <c r="AL410" s="54" t="b">
        <v>0</v>
      </c>
      <c r="AM410" s="54"/>
      <c r="AN410" s="7" t="str">
        <v>402</v>
      </c>
      <c r="AO410" s="7"/>
      <c r="AP410" s="62"/>
      <c r="AQ410" s="75" t="str">
        <v/>
      </c>
      <c r="AR410" s="75" t="str">
        <v>-</v>
      </c>
      <c r="AS410" s="11"/>
      <c r="AT410" s="77" t="str">
        <v>-</v>
      </c>
      <c r="AU410" s="11" t="str">
        <v>-</v>
      </c>
      <c r="AV410" s="100"/>
      <c r="AW410" s="80" t="str">
        <f ca="1"/>
        <v>-</v>
      </c>
      <c r="AX410" s="80" t="b">
        <v>0</v>
      </c>
      <c r="AY410" s="68" t="str">
        <f t="shared" si="4"/>
        <v/>
      </c>
      <c r="AZ410" s="69" t="str">
        <f t="shared" si="5"/>
        <v/>
      </c>
      <c r="BA410" s="70" t="str">
        <f t="shared" si="6"/>
        <v/>
      </c>
      <c r="BB410" s="68" t="str">
        <f t="shared" si="7"/>
        <v/>
      </c>
      <c r="BC410" s="69" t="str">
        <f>IFERROR(VLOOKUP($AQ410,'(勿動)組件目錄表'!$D$15:$R$1094,7,FALSE),"")</f>
        <v/>
      </c>
      <c r="BD410" s="69" t="str">
        <f>IFERROR(VLOOKUP($AQ410,'(勿動)組件目錄表'!$D$15:$R$1094,8,FALSE),"")</f>
        <v/>
      </c>
      <c r="BE410" s="69" t="str">
        <f>IFERROR(VLOOKUP($AQ410,'(勿動)組件目錄表'!$D$15:$R$1094,9,FALSE),"")</f>
        <v/>
      </c>
      <c r="BF410" s="69" t="str">
        <f>IFERROR(VLOOKUP($AQ410,'(勿動)組件目錄表'!$D$15:$R$1094,10,FALSE),"")</f>
        <v/>
      </c>
      <c r="BG410" s="69" t="str">
        <f>IFERROR(VLOOKUP($AQ410,'(勿動)組件目錄表'!$D$15:$R$1094,11,FALSE),"")</f>
        <v/>
      </c>
      <c r="BH410" s="69" t="str">
        <f>IFERROR(VLOOKUP($AQ410,'(勿動)組件目錄表'!$D$15:$R$1094,12,FALSE),"")</f>
        <v/>
      </c>
      <c r="BI410" s="69" t="str">
        <f>IFERROR(VLOOKUP($AQ410,'(勿動)組件目錄表'!$D$15:$R$1094,13,FALSE),"")</f>
        <v/>
      </c>
      <c r="BJ410" s="69" t="str">
        <f>IFERROR(VLOOKUP($AQ410,'(勿動)組件目錄表'!$D$15:$R$1094,14,FALSE),"")</f>
        <v/>
      </c>
      <c r="BK410" s="69" t="str">
        <f>IFERROR(VLOOKUP($AQ410,'(勿動)組件目錄表'!$D$15:$R$1094,15,FALSE),"")</f>
        <v/>
      </c>
      <c r="BL410" s="81">
        <f ca="1">IFERROR(__xludf.DUMMYFUNCTION("IFERROR(
  LET(
    rowData, FILTER('(勿動)組件目錄表'!J:Q, '(勿動)組件目錄表'!D:D=AQ410),
    IF(ROWS(rowData)=0, 0, 
      (
        IF(AND(BC410&lt;&gt;"""", INDEX(rowData,1,1)=BC410),1,0) +
        IF(AND(BD410&lt;&gt;"""", INDEX(rowData,1,2)=BD410),1,0) +
        IF(AND(BE410"&amp;"&lt;&gt;"""", INDEX(rowData,1,3)=BE410),1,0) +
        IF(AND(BF410&lt;&gt;"""", INDEX(rowData,1,4)=BF410),1,0) +
        IF(AND(BG410&lt;&gt;"""", INDEX(rowData,1,5)=BG410),1,0) +
        IF(AND(BH410&lt;&gt;"""", INDEX(rowData,1,6)=BH410),1,0) +
        IF(AND(BI410&lt;&gt;"""", IND"&amp;"EX(rowData,1,7)=BI410),1,0) +
        IF(AND(BJ410&lt;&gt;"""", INDEX(rowData,1,8)=BJ410),1,0)
      ) - COUNTIF(BC410:BJ410, ""-"")
        - COUNTIF(BC410:BJ410, ""固定格式，不需提供資訊"")
        - COUNTIF(BC410:BJ410, ""由MKT更新，此欄位固定格式，不需提供資訊
(Voucher CID：12917705872)"&amp;""")
        - COUNTIF(BC410:BJ410, ""text固定為以下：
※直播間僅支援手機版"")
        - COUNTIF(BC410:BJ410, ""text固定為以下：
※短影音僅支援手機版"")
    )
  ), 
  0
)
"),0)</f>
        <v>0</v>
      </c>
      <c r="BM410" s="77" t="b">
        <v>0</v>
      </c>
      <c r="BN410" s="85"/>
      <c r="BO410" s="85"/>
    </row>
    <row r="411" spans="1:67" ht="30" customHeight="1">
      <c r="A411" s="73" t="str">
        <f t="array" aca="1" ref="A411" ca="1">IFERROR(TRANSPOSE(INDIRECT('MS section版配(Old)'!$AO411)),"")</f>
        <v/>
      </c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8"/>
      <c r="P411" s="88"/>
      <c r="Q411" s="88"/>
      <c r="R411" s="88"/>
      <c r="S411" s="88"/>
      <c r="T411" s="88"/>
      <c r="U411" s="88"/>
      <c r="V411" s="88"/>
      <c r="W411" s="88"/>
      <c r="X411" s="88"/>
      <c r="Y411" s="88"/>
      <c r="Z411" s="88"/>
      <c r="AA411" s="88"/>
      <c r="AB411" s="88"/>
      <c r="AC411" s="88"/>
      <c r="AD411" s="88"/>
      <c r="AE411" s="397" t="str">
        <f>IFERROR(VLOOKUP($AQ411,'(勿動)組件目錄表'!$D$15:$R$1094,4,FALSE),"")</f>
        <v/>
      </c>
      <c r="AF411" s="384"/>
      <c r="AG411" s="384"/>
      <c r="AH411" s="384"/>
      <c r="AI411" s="384"/>
      <c r="AJ411" s="385"/>
      <c r="AK411" s="54" t="b">
        <v>0</v>
      </c>
      <c r="AL411" s="54" t="b">
        <v>0</v>
      </c>
      <c r="AM411" s="54"/>
      <c r="AN411" s="7" t="str">
        <v>403</v>
      </c>
      <c r="AO411" s="7"/>
      <c r="AP411" s="62"/>
      <c r="AQ411" s="75" t="str">
        <v/>
      </c>
      <c r="AR411" s="75" t="str">
        <v>-</v>
      </c>
      <c r="AS411" s="11"/>
      <c r="AT411" s="77" t="str">
        <v>-</v>
      </c>
      <c r="AU411" s="11" t="str">
        <v>-</v>
      </c>
      <c r="AV411" s="100"/>
      <c r="AW411" s="80" t="str">
        <f ca="1"/>
        <v>-</v>
      </c>
      <c r="AX411" s="80" t="b">
        <v>0</v>
      </c>
      <c r="AY411" s="68" t="str">
        <f t="shared" si="4"/>
        <v/>
      </c>
      <c r="AZ411" s="69" t="str">
        <f t="shared" si="5"/>
        <v/>
      </c>
      <c r="BA411" s="70" t="str">
        <f t="shared" si="6"/>
        <v/>
      </c>
      <c r="BB411" s="68" t="str">
        <f t="shared" si="7"/>
        <v/>
      </c>
      <c r="BC411" s="69" t="str">
        <f>IFERROR(VLOOKUP($AQ411,'(勿動)組件目錄表'!$D$15:$R$1094,7,FALSE),"")</f>
        <v/>
      </c>
      <c r="BD411" s="69" t="str">
        <f>IFERROR(VLOOKUP($AQ411,'(勿動)組件目錄表'!$D$15:$R$1094,8,FALSE),"")</f>
        <v/>
      </c>
      <c r="BE411" s="69" t="str">
        <f>IFERROR(VLOOKUP($AQ411,'(勿動)組件目錄表'!$D$15:$R$1094,9,FALSE),"")</f>
        <v/>
      </c>
      <c r="BF411" s="69" t="str">
        <f>IFERROR(VLOOKUP($AQ411,'(勿動)組件目錄表'!$D$15:$R$1094,10,FALSE),"")</f>
        <v/>
      </c>
      <c r="BG411" s="69" t="str">
        <f>IFERROR(VLOOKUP($AQ411,'(勿動)組件目錄表'!$D$15:$R$1094,11,FALSE),"")</f>
        <v/>
      </c>
      <c r="BH411" s="69" t="str">
        <f>IFERROR(VLOOKUP($AQ411,'(勿動)組件目錄表'!$D$15:$R$1094,12,FALSE),"")</f>
        <v/>
      </c>
      <c r="BI411" s="69" t="str">
        <f>IFERROR(VLOOKUP($AQ411,'(勿動)組件目錄表'!$D$15:$R$1094,13,FALSE),"")</f>
        <v/>
      </c>
      <c r="BJ411" s="69" t="str">
        <f>IFERROR(VLOOKUP($AQ411,'(勿動)組件目錄表'!$D$15:$R$1094,14,FALSE),"")</f>
        <v/>
      </c>
      <c r="BK411" s="69" t="str">
        <f>IFERROR(VLOOKUP($AQ411,'(勿動)組件目錄表'!$D$15:$R$1094,15,FALSE),"")</f>
        <v/>
      </c>
      <c r="BL411" s="81">
        <f ca="1">IFERROR(__xludf.DUMMYFUNCTION("IFERROR(
  LET(
    rowData, FILTER('(勿動)組件目錄表'!J:Q, '(勿動)組件目錄表'!D:D=AQ411),
    IF(ROWS(rowData)=0, 0, 
      (
        IF(AND(BC411&lt;&gt;"""", INDEX(rowData,1,1)=BC411),1,0) +
        IF(AND(BD411&lt;&gt;"""", INDEX(rowData,1,2)=BD411),1,0) +
        IF(AND(BE411"&amp;"&lt;&gt;"""", INDEX(rowData,1,3)=BE411),1,0) +
        IF(AND(BF411&lt;&gt;"""", INDEX(rowData,1,4)=BF411),1,0) +
        IF(AND(BG411&lt;&gt;"""", INDEX(rowData,1,5)=BG411),1,0) +
        IF(AND(BH411&lt;&gt;"""", INDEX(rowData,1,6)=BH411),1,0) +
        IF(AND(BI411&lt;&gt;"""", IND"&amp;"EX(rowData,1,7)=BI411),1,0) +
        IF(AND(BJ411&lt;&gt;"""", INDEX(rowData,1,8)=BJ411),1,0)
      ) - COUNTIF(BC411:BJ411, ""-"")
        - COUNTIF(BC411:BJ411, ""固定格式，不需提供資訊"")
        - COUNTIF(BC411:BJ411, ""由MKT更新，此欄位固定格式，不需提供資訊
(Voucher CID：12917705872)"&amp;""")
        - COUNTIF(BC411:BJ411, ""text固定為以下：
※直播間僅支援手機版"")
        - COUNTIF(BC411:BJ411, ""text固定為以下：
※短影音僅支援手機版"")
    )
  ), 
  0
)
"),0)</f>
        <v>0</v>
      </c>
      <c r="BM411" s="77" t="b">
        <v>0</v>
      </c>
      <c r="BN411" s="85"/>
      <c r="BO411" s="85"/>
    </row>
    <row r="412" spans="1:67" ht="30" customHeight="1">
      <c r="A412" s="73" t="str">
        <f t="array" aca="1" ref="A412" ca="1">IFERROR(TRANSPOSE(INDIRECT('MS section版配(Old)'!$AO412)),"")</f>
        <v/>
      </c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8"/>
      <c r="P412" s="88"/>
      <c r="Q412" s="88"/>
      <c r="R412" s="88"/>
      <c r="S412" s="88"/>
      <c r="T412" s="88"/>
      <c r="U412" s="88"/>
      <c r="V412" s="88"/>
      <c r="W412" s="88"/>
      <c r="X412" s="88"/>
      <c r="Y412" s="88"/>
      <c r="Z412" s="88"/>
      <c r="AA412" s="88"/>
      <c r="AB412" s="88"/>
      <c r="AC412" s="88"/>
      <c r="AD412" s="88"/>
      <c r="AE412" s="397" t="str">
        <f>IFERROR(VLOOKUP($AQ412,'(勿動)組件目錄表'!$D$15:$R$1094,4,FALSE),"")</f>
        <v/>
      </c>
      <c r="AF412" s="384"/>
      <c r="AG412" s="384"/>
      <c r="AH412" s="384"/>
      <c r="AI412" s="384"/>
      <c r="AJ412" s="385"/>
      <c r="AK412" s="54" t="b">
        <v>0</v>
      </c>
      <c r="AL412" s="54" t="b">
        <v>0</v>
      </c>
      <c r="AM412" s="54"/>
      <c r="AN412" s="7" t="str">
        <v>404</v>
      </c>
      <c r="AO412" s="7"/>
      <c r="AP412" s="62"/>
      <c r="AQ412" s="75" t="str">
        <v/>
      </c>
      <c r="AR412" s="75" t="str">
        <v>-</v>
      </c>
      <c r="AS412" s="11"/>
      <c r="AT412" s="77" t="str">
        <v>-</v>
      </c>
      <c r="AU412" s="11" t="str">
        <v>-</v>
      </c>
      <c r="AV412" s="100"/>
      <c r="AW412" s="80" t="str">
        <f ca="1"/>
        <v>-</v>
      </c>
      <c r="AX412" s="80" t="b">
        <v>0</v>
      </c>
      <c r="AY412" s="68" t="str">
        <f t="shared" si="4"/>
        <v/>
      </c>
      <c r="AZ412" s="69" t="str">
        <f t="shared" si="5"/>
        <v/>
      </c>
      <c r="BA412" s="70" t="str">
        <f t="shared" si="6"/>
        <v/>
      </c>
      <c r="BB412" s="68" t="str">
        <f t="shared" si="7"/>
        <v/>
      </c>
      <c r="BC412" s="69" t="str">
        <f>IFERROR(VLOOKUP($AQ412,'(勿動)組件目錄表'!$D$15:$R$1094,7,FALSE),"")</f>
        <v/>
      </c>
      <c r="BD412" s="69" t="str">
        <f>IFERROR(VLOOKUP($AQ412,'(勿動)組件目錄表'!$D$15:$R$1094,8,FALSE),"")</f>
        <v/>
      </c>
      <c r="BE412" s="69" t="str">
        <f>IFERROR(VLOOKUP($AQ412,'(勿動)組件目錄表'!$D$15:$R$1094,9,FALSE),"")</f>
        <v/>
      </c>
      <c r="BF412" s="69" t="str">
        <f>IFERROR(VLOOKUP($AQ412,'(勿動)組件目錄表'!$D$15:$R$1094,10,FALSE),"")</f>
        <v/>
      </c>
      <c r="BG412" s="69" t="str">
        <f>IFERROR(VLOOKUP($AQ412,'(勿動)組件目錄表'!$D$15:$R$1094,11,FALSE),"")</f>
        <v/>
      </c>
      <c r="BH412" s="69" t="str">
        <f>IFERROR(VLOOKUP($AQ412,'(勿動)組件目錄表'!$D$15:$R$1094,12,FALSE),"")</f>
        <v/>
      </c>
      <c r="BI412" s="69" t="str">
        <f>IFERROR(VLOOKUP($AQ412,'(勿動)組件目錄表'!$D$15:$R$1094,13,FALSE),"")</f>
        <v/>
      </c>
      <c r="BJ412" s="69" t="str">
        <f>IFERROR(VLOOKUP($AQ412,'(勿動)組件目錄表'!$D$15:$R$1094,14,FALSE),"")</f>
        <v/>
      </c>
      <c r="BK412" s="69" t="str">
        <f>IFERROR(VLOOKUP($AQ412,'(勿動)組件目錄表'!$D$15:$R$1094,15,FALSE),"")</f>
        <v/>
      </c>
      <c r="BL412" s="81">
        <f ca="1">IFERROR(__xludf.DUMMYFUNCTION("IFERROR(
  LET(
    rowData, FILTER('(勿動)組件目錄表'!J:Q, '(勿動)組件目錄表'!D:D=AQ412),
    IF(ROWS(rowData)=0, 0, 
      (
        IF(AND(BC412&lt;&gt;"""", INDEX(rowData,1,1)=BC412),1,0) +
        IF(AND(BD412&lt;&gt;"""", INDEX(rowData,1,2)=BD412),1,0) +
        IF(AND(BE412"&amp;"&lt;&gt;"""", INDEX(rowData,1,3)=BE412),1,0) +
        IF(AND(BF412&lt;&gt;"""", INDEX(rowData,1,4)=BF412),1,0) +
        IF(AND(BG412&lt;&gt;"""", INDEX(rowData,1,5)=BG412),1,0) +
        IF(AND(BH412&lt;&gt;"""", INDEX(rowData,1,6)=BH412),1,0) +
        IF(AND(BI412&lt;&gt;"""", IND"&amp;"EX(rowData,1,7)=BI412),1,0) +
        IF(AND(BJ412&lt;&gt;"""", INDEX(rowData,1,8)=BJ412),1,0)
      ) - COUNTIF(BC412:BJ412, ""-"")
        - COUNTIF(BC412:BJ412, ""固定格式，不需提供資訊"")
        - COUNTIF(BC412:BJ412, ""由MKT更新，此欄位固定格式，不需提供資訊
(Voucher CID：12917705872)"&amp;""")
        - COUNTIF(BC412:BJ412, ""text固定為以下：
※直播間僅支援手機版"")
        - COUNTIF(BC412:BJ412, ""text固定為以下：
※短影音僅支援手機版"")
    )
  ), 
  0
)
"),0)</f>
        <v>0</v>
      </c>
      <c r="BM412" s="77" t="b">
        <v>0</v>
      </c>
      <c r="BN412" s="85"/>
      <c r="BO412" s="85"/>
    </row>
    <row r="413" spans="1:67" ht="30" customHeight="1">
      <c r="A413" s="73" t="str">
        <f t="array" aca="1" ref="A413" ca="1">IFERROR(TRANSPOSE(INDIRECT('MS section版配(Old)'!$AO413)),"")</f>
        <v/>
      </c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8"/>
      <c r="P413" s="88"/>
      <c r="Q413" s="88"/>
      <c r="R413" s="88"/>
      <c r="S413" s="88"/>
      <c r="T413" s="88"/>
      <c r="U413" s="88"/>
      <c r="V413" s="88"/>
      <c r="W413" s="88"/>
      <c r="X413" s="88"/>
      <c r="Y413" s="88"/>
      <c r="Z413" s="88"/>
      <c r="AA413" s="88"/>
      <c r="AB413" s="88"/>
      <c r="AC413" s="88"/>
      <c r="AD413" s="88"/>
      <c r="AE413" s="397" t="str">
        <f>IFERROR(VLOOKUP($AQ413,'(勿動)組件目錄表'!$D$15:$R$1094,4,FALSE),"")</f>
        <v/>
      </c>
      <c r="AF413" s="384"/>
      <c r="AG413" s="384"/>
      <c r="AH413" s="384"/>
      <c r="AI413" s="384"/>
      <c r="AJ413" s="385"/>
      <c r="AK413" s="54" t="b">
        <v>0</v>
      </c>
      <c r="AL413" s="54" t="b">
        <v>0</v>
      </c>
      <c r="AM413" s="54"/>
      <c r="AN413" s="7" t="str">
        <v>405</v>
      </c>
      <c r="AO413" s="7"/>
      <c r="AP413" s="62"/>
      <c r="AQ413" s="75" t="str">
        <v/>
      </c>
      <c r="AR413" s="75" t="str">
        <v>-</v>
      </c>
      <c r="AS413" s="11"/>
      <c r="AT413" s="77" t="str">
        <v>-</v>
      </c>
      <c r="AU413" s="11" t="str">
        <v>-</v>
      </c>
      <c r="AV413" s="100"/>
      <c r="AW413" s="80" t="str">
        <f ca="1"/>
        <v>-</v>
      </c>
      <c r="AX413" s="80" t="b">
        <v>0</v>
      </c>
      <c r="AY413" s="68" t="str">
        <f t="shared" si="4"/>
        <v/>
      </c>
      <c r="AZ413" s="69" t="str">
        <f t="shared" si="5"/>
        <v/>
      </c>
      <c r="BA413" s="70" t="str">
        <f t="shared" si="6"/>
        <v/>
      </c>
      <c r="BB413" s="68" t="str">
        <f t="shared" si="7"/>
        <v/>
      </c>
      <c r="BC413" s="69" t="str">
        <f>IFERROR(VLOOKUP($AQ413,'(勿動)組件目錄表'!$D$15:$R$1094,7,FALSE),"")</f>
        <v/>
      </c>
      <c r="BD413" s="69" t="str">
        <f>IFERROR(VLOOKUP($AQ413,'(勿動)組件目錄表'!$D$15:$R$1094,8,FALSE),"")</f>
        <v/>
      </c>
      <c r="BE413" s="69" t="str">
        <f>IFERROR(VLOOKUP($AQ413,'(勿動)組件目錄表'!$D$15:$R$1094,9,FALSE),"")</f>
        <v/>
      </c>
      <c r="BF413" s="69" t="str">
        <f>IFERROR(VLOOKUP($AQ413,'(勿動)組件目錄表'!$D$15:$R$1094,10,FALSE),"")</f>
        <v/>
      </c>
      <c r="BG413" s="69" t="str">
        <f>IFERROR(VLOOKUP($AQ413,'(勿動)組件目錄表'!$D$15:$R$1094,11,FALSE),"")</f>
        <v/>
      </c>
      <c r="BH413" s="69" t="str">
        <f>IFERROR(VLOOKUP($AQ413,'(勿動)組件目錄表'!$D$15:$R$1094,12,FALSE),"")</f>
        <v/>
      </c>
      <c r="BI413" s="69" t="str">
        <f>IFERROR(VLOOKUP($AQ413,'(勿動)組件目錄表'!$D$15:$R$1094,13,FALSE),"")</f>
        <v/>
      </c>
      <c r="BJ413" s="69" t="str">
        <f>IFERROR(VLOOKUP($AQ413,'(勿動)組件目錄表'!$D$15:$R$1094,14,FALSE),"")</f>
        <v/>
      </c>
      <c r="BK413" s="69" t="str">
        <f>IFERROR(VLOOKUP($AQ413,'(勿動)組件目錄表'!$D$15:$R$1094,15,FALSE),"")</f>
        <v/>
      </c>
      <c r="BL413" s="81">
        <f ca="1">IFERROR(__xludf.DUMMYFUNCTION("IFERROR(
  LET(
    rowData, FILTER('(勿動)組件目錄表'!J:Q, '(勿動)組件目錄表'!D:D=AQ413),
    IF(ROWS(rowData)=0, 0, 
      (
        IF(AND(BC413&lt;&gt;"""", INDEX(rowData,1,1)=BC413),1,0) +
        IF(AND(BD413&lt;&gt;"""", INDEX(rowData,1,2)=BD413),1,0) +
        IF(AND(BE413"&amp;"&lt;&gt;"""", INDEX(rowData,1,3)=BE413),1,0) +
        IF(AND(BF413&lt;&gt;"""", INDEX(rowData,1,4)=BF413),1,0) +
        IF(AND(BG413&lt;&gt;"""", INDEX(rowData,1,5)=BG413),1,0) +
        IF(AND(BH413&lt;&gt;"""", INDEX(rowData,1,6)=BH413),1,0) +
        IF(AND(BI413&lt;&gt;"""", IND"&amp;"EX(rowData,1,7)=BI413),1,0) +
        IF(AND(BJ413&lt;&gt;"""", INDEX(rowData,1,8)=BJ413),1,0)
      ) - COUNTIF(BC413:BJ413, ""-"")
        - COUNTIF(BC413:BJ413, ""固定格式，不需提供資訊"")
        - COUNTIF(BC413:BJ413, ""由MKT更新，此欄位固定格式，不需提供資訊
(Voucher CID：12917705872)"&amp;""")
        - COUNTIF(BC413:BJ413, ""text固定為以下：
※直播間僅支援手機版"")
        - COUNTIF(BC413:BJ413, ""text固定為以下：
※短影音僅支援手機版"")
    )
  ), 
  0
)
"),0)</f>
        <v>0</v>
      </c>
      <c r="BM413" s="77" t="b">
        <v>0</v>
      </c>
      <c r="BN413" s="85"/>
      <c r="BO413" s="85"/>
    </row>
    <row r="414" spans="1:67" ht="30" customHeight="1">
      <c r="A414" s="73" t="str">
        <f t="array" aca="1" ref="A414" ca="1">IFERROR(TRANSPOSE(INDIRECT('MS section版配(Old)'!$AO414)),"")</f>
        <v/>
      </c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8"/>
      <c r="P414" s="88"/>
      <c r="Q414" s="88"/>
      <c r="R414" s="88"/>
      <c r="S414" s="88"/>
      <c r="T414" s="88"/>
      <c r="U414" s="88"/>
      <c r="V414" s="88"/>
      <c r="W414" s="88"/>
      <c r="X414" s="88"/>
      <c r="Y414" s="88"/>
      <c r="Z414" s="88"/>
      <c r="AA414" s="88"/>
      <c r="AB414" s="88"/>
      <c r="AC414" s="88"/>
      <c r="AD414" s="88"/>
      <c r="AE414" s="397" t="str">
        <f>IFERROR(VLOOKUP($AQ414,'(勿動)組件目錄表'!$D$15:$R$1094,4,FALSE),"")</f>
        <v/>
      </c>
      <c r="AF414" s="384"/>
      <c r="AG414" s="384"/>
      <c r="AH414" s="384"/>
      <c r="AI414" s="384"/>
      <c r="AJ414" s="385"/>
      <c r="AK414" s="54" t="b">
        <v>0</v>
      </c>
      <c r="AL414" s="54" t="b">
        <v>0</v>
      </c>
      <c r="AM414" s="54"/>
      <c r="AN414" s="7" t="str">
        <v>406</v>
      </c>
      <c r="AO414" s="7"/>
      <c r="AP414" s="62"/>
      <c r="AQ414" s="75" t="str">
        <v/>
      </c>
      <c r="AR414" s="75" t="str">
        <v>-</v>
      </c>
      <c r="AS414" s="11"/>
      <c r="AT414" s="77" t="str">
        <v>-</v>
      </c>
      <c r="AU414" s="11" t="str">
        <v>-</v>
      </c>
      <c r="AV414" s="100"/>
      <c r="AW414" s="80" t="str">
        <f ca="1"/>
        <v>-</v>
      </c>
      <c r="AX414" s="80" t="b">
        <v>0</v>
      </c>
      <c r="AY414" s="68" t="str">
        <f t="shared" si="4"/>
        <v/>
      </c>
      <c r="AZ414" s="69" t="str">
        <f t="shared" si="5"/>
        <v/>
      </c>
      <c r="BA414" s="70" t="str">
        <f t="shared" si="6"/>
        <v/>
      </c>
      <c r="BB414" s="68" t="str">
        <f t="shared" si="7"/>
        <v/>
      </c>
      <c r="BC414" s="69" t="str">
        <f>IFERROR(VLOOKUP($AQ414,'(勿動)組件目錄表'!$D$15:$R$1094,7,FALSE),"")</f>
        <v/>
      </c>
      <c r="BD414" s="69" t="str">
        <f>IFERROR(VLOOKUP($AQ414,'(勿動)組件目錄表'!$D$15:$R$1094,8,FALSE),"")</f>
        <v/>
      </c>
      <c r="BE414" s="69" t="str">
        <f>IFERROR(VLOOKUP($AQ414,'(勿動)組件目錄表'!$D$15:$R$1094,9,FALSE),"")</f>
        <v/>
      </c>
      <c r="BF414" s="69" t="str">
        <f>IFERROR(VLOOKUP($AQ414,'(勿動)組件目錄表'!$D$15:$R$1094,10,FALSE),"")</f>
        <v/>
      </c>
      <c r="BG414" s="69" t="str">
        <f>IFERROR(VLOOKUP($AQ414,'(勿動)組件目錄表'!$D$15:$R$1094,11,FALSE),"")</f>
        <v/>
      </c>
      <c r="BH414" s="69" t="str">
        <f>IFERROR(VLOOKUP($AQ414,'(勿動)組件目錄表'!$D$15:$R$1094,12,FALSE),"")</f>
        <v/>
      </c>
      <c r="BI414" s="69" t="str">
        <f>IFERROR(VLOOKUP($AQ414,'(勿動)組件目錄表'!$D$15:$R$1094,13,FALSE),"")</f>
        <v/>
      </c>
      <c r="BJ414" s="69" t="str">
        <f>IFERROR(VLOOKUP($AQ414,'(勿動)組件目錄表'!$D$15:$R$1094,14,FALSE),"")</f>
        <v/>
      </c>
      <c r="BK414" s="69" t="str">
        <f>IFERROR(VLOOKUP($AQ414,'(勿動)組件目錄表'!$D$15:$R$1094,15,FALSE),"")</f>
        <v/>
      </c>
      <c r="BL414" s="81">
        <f ca="1">IFERROR(__xludf.DUMMYFUNCTION("IFERROR(
  LET(
    rowData, FILTER('(勿動)組件目錄表'!J:Q, '(勿動)組件目錄表'!D:D=AQ414),
    IF(ROWS(rowData)=0, 0, 
      (
        IF(AND(BC414&lt;&gt;"""", INDEX(rowData,1,1)=BC414),1,0) +
        IF(AND(BD414&lt;&gt;"""", INDEX(rowData,1,2)=BD414),1,0) +
        IF(AND(BE414"&amp;"&lt;&gt;"""", INDEX(rowData,1,3)=BE414),1,0) +
        IF(AND(BF414&lt;&gt;"""", INDEX(rowData,1,4)=BF414),1,0) +
        IF(AND(BG414&lt;&gt;"""", INDEX(rowData,1,5)=BG414),1,0) +
        IF(AND(BH414&lt;&gt;"""", INDEX(rowData,1,6)=BH414),1,0) +
        IF(AND(BI414&lt;&gt;"""", IND"&amp;"EX(rowData,1,7)=BI414),1,0) +
        IF(AND(BJ414&lt;&gt;"""", INDEX(rowData,1,8)=BJ414),1,0)
      ) - COUNTIF(BC414:BJ414, ""-"")
        - COUNTIF(BC414:BJ414, ""固定格式，不需提供資訊"")
        - COUNTIF(BC414:BJ414, ""由MKT更新，此欄位固定格式，不需提供資訊
(Voucher CID：12917705872)"&amp;""")
        - COUNTIF(BC414:BJ414, ""text固定為以下：
※直播間僅支援手機版"")
        - COUNTIF(BC414:BJ414, ""text固定為以下：
※短影音僅支援手機版"")
    )
  ), 
  0
)
"),0)</f>
        <v>0</v>
      </c>
      <c r="BM414" s="77" t="b">
        <v>0</v>
      </c>
      <c r="BN414" s="85"/>
      <c r="BO414" s="85"/>
    </row>
    <row r="415" spans="1:67" ht="30" customHeight="1">
      <c r="A415" s="73" t="str">
        <f t="array" aca="1" ref="A415" ca="1">IFERROR(TRANSPOSE(INDIRECT('MS section版配(Old)'!$AO415)),"")</f>
        <v/>
      </c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8"/>
      <c r="P415" s="88"/>
      <c r="Q415" s="88"/>
      <c r="R415" s="88"/>
      <c r="S415" s="88"/>
      <c r="T415" s="88"/>
      <c r="U415" s="88"/>
      <c r="V415" s="88"/>
      <c r="W415" s="88"/>
      <c r="X415" s="88"/>
      <c r="Y415" s="88"/>
      <c r="Z415" s="88"/>
      <c r="AA415" s="88"/>
      <c r="AB415" s="88"/>
      <c r="AC415" s="88"/>
      <c r="AD415" s="88"/>
      <c r="AE415" s="397" t="str">
        <f>IFERROR(VLOOKUP($AQ415,'(勿動)組件目錄表'!$D$15:$R$1094,4,FALSE),"")</f>
        <v/>
      </c>
      <c r="AF415" s="384"/>
      <c r="AG415" s="384"/>
      <c r="AH415" s="384"/>
      <c r="AI415" s="384"/>
      <c r="AJ415" s="385"/>
      <c r="AK415" s="54" t="b">
        <v>0</v>
      </c>
      <c r="AL415" s="54" t="b">
        <v>0</v>
      </c>
      <c r="AM415" s="54"/>
      <c r="AN415" s="7" t="str">
        <v>407</v>
      </c>
      <c r="AO415" s="7"/>
      <c r="AP415" s="62"/>
      <c r="AQ415" s="75" t="str">
        <v/>
      </c>
      <c r="AR415" s="75" t="str">
        <v>-</v>
      </c>
      <c r="AS415" s="11"/>
      <c r="AT415" s="77" t="str">
        <v>-</v>
      </c>
      <c r="AU415" s="11" t="str">
        <v>-</v>
      </c>
      <c r="AV415" s="100"/>
      <c r="AW415" s="80" t="str">
        <f ca="1"/>
        <v>-</v>
      </c>
      <c r="AX415" s="80" t="b">
        <v>0</v>
      </c>
      <c r="AY415" s="68" t="str">
        <f t="shared" si="4"/>
        <v/>
      </c>
      <c r="AZ415" s="69" t="str">
        <f t="shared" si="5"/>
        <v/>
      </c>
      <c r="BA415" s="70" t="str">
        <f t="shared" si="6"/>
        <v/>
      </c>
      <c r="BB415" s="68" t="str">
        <f t="shared" si="7"/>
        <v/>
      </c>
      <c r="BC415" s="69" t="str">
        <f>IFERROR(VLOOKUP($AQ415,'(勿動)組件目錄表'!$D$15:$R$1094,7,FALSE),"")</f>
        <v/>
      </c>
      <c r="BD415" s="69" t="str">
        <f>IFERROR(VLOOKUP($AQ415,'(勿動)組件目錄表'!$D$15:$R$1094,8,FALSE),"")</f>
        <v/>
      </c>
      <c r="BE415" s="69" t="str">
        <f>IFERROR(VLOOKUP($AQ415,'(勿動)組件目錄表'!$D$15:$R$1094,9,FALSE),"")</f>
        <v/>
      </c>
      <c r="BF415" s="69" t="str">
        <f>IFERROR(VLOOKUP($AQ415,'(勿動)組件目錄表'!$D$15:$R$1094,10,FALSE),"")</f>
        <v/>
      </c>
      <c r="BG415" s="69" t="str">
        <f>IFERROR(VLOOKUP($AQ415,'(勿動)組件目錄表'!$D$15:$R$1094,11,FALSE),"")</f>
        <v/>
      </c>
      <c r="BH415" s="69" t="str">
        <f>IFERROR(VLOOKUP($AQ415,'(勿動)組件目錄表'!$D$15:$R$1094,12,FALSE),"")</f>
        <v/>
      </c>
      <c r="BI415" s="69" t="str">
        <f>IFERROR(VLOOKUP($AQ415,'(勿動)組件目錄表'!$D$15:$R$1094,13,FALSE),"")</f>
        <v/>
      </c>
      <c r="BJ415" s="69" t="str">
        <f>IFERROR(VLOOKUP($AQ415,'(勿動)組件目錄表'!$D$15:$R$1094,14,FALSE),"")</f>
        <v/>
      </c>
      <c r="BK415" s="69" t="str">
        <f>IFERROR(VLOOKUP($AQ415,'(勿動)組件目錄表'!$D$15:$R$1094,15,FALSE),"")</f>
        <v/>
      </c>
      <c r="BL415" s="81">
        <f ca="1">IFERROR(__xludf.DUMMYFUNCTION("IFERROR(
  LET(
    rowData, FILTER('(勿動)組件目錄表'!J:Q, '(勿動)組件目錄表'!D:D=AQ415),
    IF(ROWS(rowData)=0, 0, 
      (
        IF(AND(BC415&lt;&gt;"""", INDEX(rowData,1,1)=BC415),1,0) +
        IF(AND(BD415&lt;&gt;"""", INDEX(rowData,1,2)=BD415),1,0) +
        IF(AND(BE415"&amp;"&lt;&gt;"""", INDEX(rowData,1,3)=BE415),1,0) +
        IF(AND(BF415&lt;&gt;"""", INDEX(rowData,1,4)=BF415),1,0) +
        IF(AND(BG415&lt;&gt;"""", INDEX(rowData,1,5)=BG415),1,0) +
        IF(AND(BH415&lt;&gt;"""", INDEX(rowData,1,6)=BH415),1,0) +
        IF(AND(BI415&lt;&gt;"""", IND"&amp;"EX(rowData,1,7)=BI415),1,0) +
        IF(AND(BJ415&lt;&gt;"""", INDEX(rowData,1,8)=BJ415),1,0)
      ) - COUNTIF(BC415:BJ415, ""-"")
        - COUNTIF(BC415:BJ415, ""固定格式，不需提供資訊"")
        - COUNTIF(BC415:BJ415, ""由MKT更新，此欄位固定格式，不需提供資訊
(Voucher CID：12917705872)"&amp;""")
        - COUNTIF(BC415:BJ415, ""text固定為以下：
※直播間僅支援手機版"")
        - COUNTIF(BC415:BJ415, ""text固定為以下：
※短影音僅支援手機版"")
    )
  ), 
  0
)
"),0)</f>
        <v>0</v>
      </c>
      <c r="BM415" s="77" t="b">
        <v>0</v>
      </c>
      <c r="BN415" s="85"/>
      <c r="BO415" s="85"/>
    </row>
    <row r="416" spans="1:67" ht="30" customHeight="1">
      <c r="A416" s="73" t="str">
        <f t="array" aca="1" ref="A416" ca="1">IFERROR(TRANSPOSE(INDIRECT('MS section版配(Old)'!$AO416)),"")</f>
        <v/>
      </c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8"/>
      <c r="P416" s="88"/>
      <c r="Q416" s="88"/>
      <c r="R416" s="88"/>
      <c r="S416" s="88"/>
      <c r="T416" s="88"/>
      <c r="U416" s="88"/>
      <c r="V416" s="88"/>
      <c r="W416" s="88"/>
      <c r="X416" s="88"/>
      <c r="Y416" s="88"/>
      <c r="Z416" s="88"/>
      <c r="AA416" s="88"/>
      <c r="AB416" s="88"/>
      <c r="AC416" s="88"/>
      <c r="AD416" s="88"/>
      <c r="AE416" s="397" t="str">
        <f>IFERROR(VLOOKUP($AQ416,'(勿動)組件目錄表'!$D$15:$R$1094,4,FALSE),"")</f>
        <v/>
      </c>
      <c r="AF416" s="384"/>
      <c r="AG416" s="384"/>
      <c r="AH416" s="384"/>
      <c r="AI416" s="384"/>
      <c r="AJ416" s="385"/>
      <c r="AK416" s="54" t="b">
        <v>0</v>
      </c>
      <c r="AL416" s="54" t="b">
        <v>0</v>
      </c>
      <c r="AM416" s="54"/>
      <c r="AN416" s="7" t="str">
        <v>408</v>
      </c>
      <c r="AO416" s="7"/>
      <c r="AP416" s="62"/>
      <c r="AQ416" s="75" t="str">
        <v/>
      </c>
      <c r="AR416" s="75" t="str">
        <v>-</v>
      </c>
      <c r="AS416" s="11"/>
      <c r="AT416" s="77" t="str">
        <v>-</v>
      </c>
      <c r="AU416" s="11" t="str">
        <v>-</v>
      </c>
      <c r="AV416" s="100"/>
      <c r="AW416" s="80" t="str">
        <f ca="1"/>
        <v>-</v>
      </c>
      <c r="AX416" s="80" t="b">
        <v>0</v>
      </c>
      <c r="AY416" s="68" t="str">
        <f t="shared" si="4"/>
        <v/>
      </c>
      <c r="AZ416" s="69" t="str">
        <f t="shared" si="5"/>
        <v/>
      </c>
      <c r="BA416" s="70" t="str">
        <f t="shared" si="6"/>
        <v/>
      </c>
      <c r="BB416" s="68" t="str">
        <f t="shared" si="7"/>
        <v/>
      </c>
      <c r="BC416" s="69" t="str">
        <f>IFERROR(VLOOKUP($AQ416,'(勿動)組件目錄表'!$D$15:$R$1094,7,FALSE),"")</f>
        <v/>
      </c>
      <c r="BD416" s="69" t="str">
        <f>IFERROR(VLOOKUP($AQ416,'(勿動)組件目錄表'!$D$15:$R$1094,8,FALSE),"")</f>
        <v/>
      </c>
      <c r="BE416" s="69" t="str">
        <f>IFERROR(VLOOKUP($AQ416,'(勿動)組件目錄表'!$D$15:$R$1094,9,FALSE),"")</f>
        <v/>
      </c>
      <c r="BF416" s="69" t="str">
        <f>IFERROR(VLOOKUP($AQ416,'(勿動)組件目錄表'!$D$15:$R$1094,10,FALSE),"")</f>
        <v/>
      </c>
      <c r="BG416" s="69" t="str">
        <f>IFERROR(VLOOKUP($AQ416,'(勿動)組件目錄表'!$D$15:$R$1094,11,FALSE),"")</f>
        <v/>
      </c>
      <c r="BH416" s="69" t="str">
        <f>IFERROR(VLOOKUP($AQ416,'(勿動)組件目錄表'!$D$15:$R$1094,12,FALSE),"")</f>
        <v/>
      </c>
      <c r="BI416" s="69" t="str">
        <f>IFERROR(VLOOKUP($AQ416,'(勿動)組件目錄表'!$D$15:$R$1094,13,FALSE),"")</f>
        <v/>
      </c>
      <c r="BJ416" s="69" t="str">
        <f>IFERROR(VLOOKUP($AQ416,'(勿動)組件目錄表'!$D$15:$R$1094,14,FALSE),"")</f>
        <v/>
      </c>
      <c r="BK416" s="69" t="str">
        <f>IFERROR(VLOOKUP($AQ416,'(勿動)組件目錄表'!$D$15:$R$1094,15,FALSE),"")</f>
        <v/>
      </c>
      <c r="BL416" s="81">
        <f ca="1">IFERROR(__xludf.DUMMYFUNCTION("IFERROR(
  LET(
    rowData, FILTER('(勿動)組件目錄表'!J:Q, '(勿動)組件目錄表'!D:D=AQ416),
    IF(ROWS(rowData)=0, 0, 
      (
        IF(AND(BC416&lt;&gt;"""", INDEX(rowData,1,1)=BC416),1,0) +
        IF(AND(BD416&lt;&gt;"""", INDEX(rowData,1,2)=BD416),1,0) +
        IF(AND(BE416"&amp;"&lt;&gt;"""", INDEX(rowData,1,3)=BE416),1,0) +
        IF(AND(BF416&lt;&gt;"""", INDEX(rowData,1,4)=BF416),1,0) +
        IF(AND(BG416&lt;&gt;"""", INDEX(rowData,1,5)=BG416),1,0) +
        IF(AND(BH416&lt;&gt;"""", INDEX(rowData,1,6)=BH416),1,0) +
        IF(AND(BI416&lt;&gt;"""", IND"&amp;"EX(rowData,1,7)=BI416),1,0) +
        IF(AND(BJ416&lt;&gt;"""", INDEX(rowData,1,8)=BJ416),1,0)
      ) - COUNTIF(BC416:BJ416, ""-"")
        - COUNTIF(BC416:BJ416, ""固定格式，不需提供資訊"")
        - COUNTIF(BC416:BJ416, ""由MKT更新，此欄位固定格式，不需提供資訊
(Voucher CID：12917705872)"&amp;""")
        - COUNTIF(BC416:BJ416, ""text固定為以下：
※直播間僅支援手機版"")
        - COUNTIF(BC416:BJ416, ""text固定為以下：
※短影音僅支援手機版"")
    )
  ), 
  0
)
"),0)</f>
        <v>0</v>
      </c>
      <c r="BM416" s="77" t="b">
        <v>0</v>
      </c>
      <c r="BN416" s="85"/>
      <c r="BO416" s="85"/>
    </row>
    <row r="417" spans="1:67" ht="30" customHeight="1">
      <c r="A417" s="73" t="str">
        <f t="array" aca="1" ref="A417" ca="1">IFERROR(TRANSPOSE(INDIRECT('MS section版配(Old)'!$AO417)),"")</f>
        <v/>
      </c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8"/>
      <c r="P417" s="88"/>
      <c r="Q417" s="88"/>
      <c r="R417" s="88"/>
      <c r="S417" s="88"/>
      <c r="T417" s="88"/>
      <c r="U417" s="88"/>
      <c r="V417" s="88"/>
      <c r="W417" s="88"/>
      <c r="X417" s="88"/>
      <c r="Y417" s="88"/>
      <c r="Z417" s="88"/>
      <c r="AA417" s="88"/>
      <c r="AB417" s="88"/>
      <c r="AC417" s="88"/>
      <c r="AD417" s="88"/>
      <c r="AE417" s="397" t="str">
        <f>IFERROR(VLOOKUP($AQ417,'(勿動)組件目錄表'!$D$15:$R$1094,4,FALSE),"")</f>
        <v/>
      </c>
      <c r="AF417" s="384"/>
      <c r="AG417" s="384"/>
      <c r="AH417" s="384"/>
      <c r="AI417" s="384"/>
      <c r="AJ417" s="385"/>
      <c r="AK417" s="54" t="b">
        <v>0</v>
      </c>
      <c r="AL417" s="54" t="b">
        <v>0</v>
      </c>
      <c r="AM417" s="54"/>
      <c r="AN417" s="7" t="str">
        <v>409</v>
      </c>
      <c r="AO417" s="7"/>
      <c r="AP417" s="62"/>
      <c r="AQ417" s="75" t="str">
        <v/>
      </c>
      <c r="AR417" s="75" t="str">
        <v>-</v>
      </c>
      <c r="AS417" s="11"/>
      <c r="AT417" s="77" t="str">
        <v>-</v>
      </c>
      <c r="AU417" s="11" t="str">
        <v>-</v>
      </c>
      <c r="AV417" s="100"/>
      <c r="AW417" s="80" t="str">
        <f ca="1"/>
        <v>-</v>
      </c>
      <c r="AX417" s="80" t="b">
        <v>0</v>
      </c>
      <c r="AY417" s="68" t="str">
        <f t="shared" si="4"/>
        <v/>
      </c>
      <c r="AZ417" s="69" t="str">
        <f t="shared" si="5"/>
        <v/>
      </c>
      <c r="BA417" s="70" t="str">
        <f t="shared" si="6"/>
        <v/>
      </c>
      <c r="BB417" s="68" t="str">
        <f t="shared" si="7"/>
        <v/>
      </c>
      <c r="BC417" s="69" t="str">
        <f>IFERROR(VLOOKUP($AQ417,'(勿動)組件目錄表'!$D$15:$R$1094,7,FALSE),"")</f>
        <v/>
      </c>
      <c r="BD417" s="69" t="str">
        <f>IFERROR(VLOOKUP($AQ417,'(勿動)組件目錄表'!$D$15:$R$1094,8,FALSE),"")</f>
        <v/>
      </c>
      <c r="BE417" s="69" t="str">
        <f>IFERROR(VLOOKUP($AQ417,'(勿動)組件目錄表'!$D$15:$R$1094,9,FALSE),"")</f>
        <v/>
      </c>
      <c r="BF417" s="69" t="str">
        <f>IFERROR(VLOOKUP($AQ417,'(勿動)組件目錄表'!$D$15:$R$1094,10,FALSE),"")</f>
        <v/>
      </c>
      <c r="BG417" s="69" t="str">
        <f>IFERROR(VLOOKUP($AQ417,'(勿動)組件目錄表'!$D$15:$R$1094,11,FALSE),"")</f>
        <v/>
      </c>
      <c r="BH417" s="69" t="str">
        <f>IFERROR(VLOOKUP($AQ417,'(勿動)組件目錄表'!$D$15:$R$1094,12,FALSE),"")</f>
        <v/>
      </c>
      <c r="BI417" s="69" t="str">
        <f>IFERROR(VLOOKUP($AQ417,'(勿動)組件目錄表'!$D$15:$R$1094,13,FALSE),"")</f>
        <v/>
      </c>
      <c r="BJ417" s="69" t="str">
        <f>IFERROR(VLOOKUP($AQ417,'(勿動)組件目錄表'!$D$15:$R$1094,14,FALSE),"")</f>
        <v/>
      </c>
      <c r="BK417" s="69" t="str">
        <f>IFERROR(VLOOKUP($AQ417,'(勿動)組件目錄表'!$D$15:$R$1094,15,FALSE),"")</f>
        <v/>
      </c>
      <c r="BL417" s="81">
        <f ca="1">IFERROR(__xludf.DUMMYFUNCTION("IFERROR(
  LET(
    rowData, FILTER('(勿動)組件目錄表'!J:Q, '(勿動)組件目錄表'!D:D=AQ417),
    IF(ROWS(rowData)=0, 0, 
      (
        IF(AND(BC417&lt;&gt;"""", INDEX(rowData,1,1)=BC417),1,0) +
        IF(AND(BD417&lt;&gt;"""", INDEX(rowData,1,2)=BD417),1,0) +
        IF(AND(BE417"&amp;"&lt;&gt;"""", INDEX(rowData,1,3)=BE417),1,0) +
        IF(AND(BF417&lt;&gt;"""", INDEX(rowData,1,4)=BF417),1,0) +
        IF(AND(BG417&lt;&gt;"""", INDEX(rowData,1,5)=BG417),1,0) +
        IF(AND(BH417&lt;&gt;"""", INDEX(rowData,1,6)=BH417),1,0) +
        IF(AND(BI417&lt;&gt;"""", IND"&amp;"EX(rowData,1,7)=BI417),1,0) +
        IF(AND(BJ417&lt;&gt;"""", INDEX(rowData,1,8)=BJ417),1,0)
      ) - COUNTIF(BC417:BJ417, ""-"")
        - COUNTIF(BC417:BJ417, ""固定格式，不需提供資訊"")
        - COUNTIF(BC417:BJ417, ""由MKT更新，此欄位固定格式，不需提供資訊
(Voucher CID：12917705872)"&amp;""")
        - COUNTIF(BC417:BJ417, ""text固定為以下：
※直播間僅支援手機版"")
        - COUNTIF(BC417:BJ417, ""text固定為以下：
※短影音僅支援手機版"")
    )
  ), 
  0
)
"),0)</f>
        <v>0</v>
      </c>
      <c r="BM417" s="77" t="b">
        <v>0</v>
      </c>
      <c r="BN417" s="85"/>
      <c r="BO417" s="85"/>
    </row>
    <row r="418" spans="1:67" ht="30" customHeight="1">
      <c r="A418" s="73" t="str">
        <f t="array" aca="1" ref="A418" ca="1">IFERROR(TRANSPOSE(INDIRECT('MS section版配(Old)'!$AO418)),"")</f>
        <v/>
      </c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8"/>
      <c r="P418" s="88"/>
      <c r="Q418" s="88"/>
      <c r="R418" s="88"/>
      <c r="S418" s="88"/>
      <c r="T418" s="88"/>
      <c r="U418" s="88"/>
      <c r="V418" s="88"/>
      <c r="W418" s="88"/>
      <c r="X418" s="88"/>
      <c r="Y418" s="88"/>
      <c r="Z418" s="88"/>
      <c r="AA418" s="88"/>
      <c r="AB418" s="88"/>
      <c r="AC418" s="88"/>
      <c r="AD418" s="88"/>
      <c r="AE418" s="397" t="str">
        <f>IFERROR(VLOOKUP($AQ418,'(勿動)組件目錄表'!$D$15:$R$1094,4,FALSE),"")</f>
        <v/>
      </c>
      <c r="AF418" s="384"/>
      <c r="AG418" s="384"/>
      <c r="AH418" s="384"/>
      <c r="AI418" s="384"/>
      <c r="AJ418" s="385"/>
      <c r="AK418" s="54" t="b">
        <v>0</v>
      </c>
      <c r="AL418" s="54" t="b">
        <v>0</v>
      </c>
      <c r="AM418" s="54"/>
      <c r="AN418" s="7" t="str">
        <v>410</v>
      </c>
      <c r="AO418" s="7"/>
      <c r="AP418" s="62"/>
      <c r="AQ418" s="75" t="str">
        <v/>
      </c>
      <c r="AR418" s="75" t="str">
        <v>-</v>
      </c>
      <c r="AS418" s="11"/>
      <c r="AT418" s="77" t="str">
        <v>-</v>
      </c>
      <c r="AU418" s="11" t="str">
        <v>-</v>
      </c>
      <c r="AV418" s="100"/>
      <c r="AW418" s="80" t="str">
        <f ca="1"/>
        <v>-</v>
      </c>
      <c r="AX418" s="80" t="b">
        <v>0</v>
      </c>
      <c r="AY418" s="68" t="str">
        <f t="shared" si="4"/>
        <v/>
      </c>
      <c r="AZ418" s="69" t="str">
        <f t="shared" si="5"/>
        <v/>
      </c>
      <c r="BA418" s="70" t="str">
        <f t="shared" si="6"/>
        <v/>
      </c>
      <c r="BB418" s="68" t="str">
        <f t="shared" si="7"/>
        <v/>
      </c>
      <c r="BC418" s="69" t="str">
        <f>IFERROR(VLOOKUP($AQ418,'(勿動)組件目錄表'!$D$15:$R$1094,7,FALSE),"")</f>
        <v/>
      </c>
      <c r="BD418" s="69" t="str">
        <f>IFERROR(VLOOKUP($AQ418,'(勿動)組件目錄表'!$D$15:$R$1094,8,FALSE),"")</f>
        <v/>
      </c>
      <c r="BE418" s="69" t="str">
        <f>IFERROR(VLOOKUP($AQ418,'(勿動)組件目錄表'!$D$15:$R$1094,9,FALSE),"")</f>
        <v/>
      </c>
      <c r="BF418" s="69" t="str">
        <f>IFERROR(VLOOKUP($AQ418,'(勿動)組件目錄表'!$D$15:$R$1094,10,FALSE),"")</f>
        <v/>
      </c>
      <c r="BG418" s="69" t="str">
        <f>IFERROR(VLOOKUP($AQ418,'(勿動)組件目錄表'!$D$15:$R$1094,11,FALSE),"")</f>
        <v/>
      </c>
      <c r="BH418" s="69" t="str">
        <f>IFERROR(VLOOKUP($AQ418,'(勿動)組件目錄表'!$D$15:$R$1094,12,FALSE),"")</f>
        <v/>
      </c>
      <c r="BI418" s="69" t="str">
        <f>IFERROR(VLOOKUP($AQ418,'(勿動)組件目錄表'!$D$15:$R$1094,13,FALSE),"")</f>
        <v/>
      </c>
      <c r="BJ418" s="69" t="str">
        <f>IFERROR(VLOOKUP($AQ418,'(勿動)組件目錄表'!$D$15:$R$1094,14,FALSE),"")</f>
        <v/>
      </c>
      <c r="BK418" s="69" t="str">
        <f>IFERROR(VLOOKUP($AQ418,'(勿動)組件目錄表'!$D$15:$R$1094,15,FALSE),"")</f>
        <v/>
      </c>
      <c r="BL418" s="81">
        <f ca="1">IFERROR(__xludf.DUMMYFUNCTION("IFERROR(
  LET(
    rowData, FILTER('(勿動)組件目錄表'!J:Q, '(勿動)組件目錄表'!D:D=AQ418),
    IF(ROWS(rowData)=0, 0, 
      (
        IF(AND(BC418&lt;&gt;"""", INDEX(rowData,1,1)=BC418),1,0) +
        IF(AND(BD418&lt;&gt;"""", INDEX(rowData,1,2)=BD418),1,0) +
        IF(AND(BE418"&amp;"&lt;&gt;"""", INDEX(rowData,1,3)=BE418),1,0) +
        IF(AND(BF418&lt;&gt;"""", INDEX(rowData,1,4)=BF418),1,0) +
        IF(AND(BG418&lt;&gt;"""", INDEX(rowData,1,5)=BG418),1,0) +
        IF(AND(BH418&lt;&gt;"""", INDEX(rowData,1,6)=BH418),1,0) +
        IF(AND(BI418&lt;&gt;"""", IND"&amp;"EX(rowData,1,7)=BI418),1,0) +
        IF(AND(BJ418&lt;&gt;"""", INDEX(rowData,1,8)=BJ418),1,0)
      ) - COUNTIF(BC418:BJ418, ""-"")
        - COUNTIF(BC418:BJ418, ""固定格式，不需提供資訊"")
        - COUNTIF(BC418:BJ418, ""由MKT更新，此欄位固定格式，不需提供資訊
(Voucher CID：12917705872)"&amp;""")
        - COUNTIF(BC418:BJ418, ""text固定為以下：
※直播間僅支援手機版"")
        - COUNTIF(BC418:BJ418, ""text固定為以下：
※短影音僅支援手機版"")
    )
  ), 
  0
)
"),0)</f>
        <v>0</v>
      </c>
      <c r="BM418" s="77" t="b">
        <v>0</v>
      </c>
      <c r="BN418" s="85"/>
      <c r="BO418" s="85"/>
    </row>
    <row r="419" spans="1:67" ht="30" customHeight="1">
      <c r="A419" s="73" t="str">
        <f t="array" aca="1" ref="A419" ca="1">IFERROR(TRANSPOSE(INDIRECT('MS section版配(Old)'!$AO419)),"")</f>
        <v/>
      </c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8"/>
      <c r="P419" s="88"/>
      <c r="Q419" s="88"/>
      <c r="R419" s="88"/>
      <c r="S419" s="88"/>
      <c r="T419" s="88"/>
      <c r="U419" s="88"/>
      <c r="V419" s="88"/>
      <c r="W419" s="88"/>
      <c r="X419" s="88"/>
      <c r="Y419" s="88"/>
      <c r="Z419" s="88"/>
      <c r="AA419" s="88"/>
      <c r="AB419" s="88"/>
      <c r="AC419" s="88"/>
      <c r="AD419" s="88"/>
      <c r="AE419" s="397" t="str">
        <f>IFERROR(VLOOKUP($AQ419,'(勿動)組件目錄表'!$D$15:$R$1094,4,FALSE),"")</f>
        <v/>
      </c>
      <c r="AF419" s="384"/>
      <c r="AG419" s="384"/>
      <c r="AH419" s="384"/>
      <c r="AI419" s="384"/>
      <c r="AJ419" s="385"/>
      <c r="AK419" s="54" t="b">
        <v>0</v>
      </c>
      <c r="AL419" s="54" t="b">
        <v>0</v>
      </c>
      <c r="AM419" s="54"/>
      <c r="AN419" s="7" t="str">
        <v>411</v>
      </c>
      <c r="AO419" s="7"/>
      <c r="AP419" s="62"/>
      <c r="AQ419" s="75" t="str">
        <v/>
      </c>
      <c r="AR419" s="75" t="str">
        <v>-</v>
      </c>
      <c r="AS419" s="11"/>
      <c r="AT419" s="77" t="str">
        <v>-</v>
      </c>
      <c r="AU419" s="11" t="str">
        <v>-</v>
      </c>
      <c r="AV419" s="100"/>
      <c r="AW419" s="80" t="str">
        <f ca="1"/>
        <v>-</v>
      </c>
      <c r="AX419" s="80" t="b">
        <v>0</v>
      </c>
      <c r="AY419" s="68" t="str">
        <f t="shared" si="4"/>
        <v/>
      </c>
      <c r="AZ419" s="69" t="str">
        <f t="shared" si="5"/>
        <v/>
      </c>
      <c r="BA419" s="70" t="str">
        <f t="shared" si="6"/>
        <v/>
      </c>
      <c r="BB419" s="68" t="str">
        <f t="shared" si="7"/>
        <v/>
      </c>
      <c r="BC419" s="69" t="str">
        <f>IFERROR(VLOOKUP($AQ419,'(勿動)組件目錄表'!$D$15:$R$1094,7,FALSE),"")</f>
        <v/>
      </c>
      <c r="BD419" s="69" t="str">
        <f>IFERROR(VLOOKUP($AQ419,'(勿動)組件目錄表'!$D$15:$R$1094,8,FALSE),"")</f>
        <v/>
      </c>
      <c r="BE419" s="69" t="str">
        <f>IFERROR(VLOOKUP($AQ419,'(勿動)組件目錄表'!$D$15:$R$1094,9,FALSE),"")</f>
        <v/>
      </c>
      <c r="BF419" s="69" t="str">
        <f>IFERROR(VLOOKUP($AQ419,'(勿動)組件目錄表'!$D$15:$R$1094,10,FALSE),"")</f>
        <v/>
      </c>
      <c r="BG419" s="69" t="str">
        <f>IFERROR(VLOOKUP($AQ419,'(勿動)組件目錄表'!$D$15:$R$1094,11,FALSE),"")</f>
        <v/>
      </c>
      <c r="BH419" s="69" t="str">
        <f>IFERROR(VLOOKUP($AQ419,'(勿動)組件目錄表'!$D$15:$R$1094,12,FALSE),"")</f>
        <v/>
      </c>
      <c r="BI419" s="69" t="str">
        <f>IFERROR(VLOOKUP($AQ419,'(勿動)組件目錄表'!$D$15:$R$1094,13,FALSE),"")</f>
        <v/>
      </c>
      <c r="BJ419" s="69" t="str">
        <f>IFERROR(VLOOKUP($AQ419,'(勿動)組件目錄表'!$D$15:$R$1094,14,FALSE),"")</f>
        <v/>
      </c>
      <c r="BK419" s="69" t="str">
        <f>IFERROR(VLOOKUP($AQ419,'(勿動)組件目錄表'!$D$15:$R$1094,15,FALSE),"")</f>
        <v/>
      </c>
      <c r="BL419" s="81">
        <f ca="1">IFERROR(__xludf.DUMMYFUNCTION("IFERROR(
  LET(
    rowData, FILTER('(勿動)組件目錄表'!J:Q, '(勿動)組件目錄表'!D:D=AQ419),
    IF(ROWS(rowData)=0, 0, 
      (
        IF(AND(BC419&lt;&gt;"""", INDEX(rowData,1,1)=BC419),1,0) +
        IF(AND(BD419&lt;&gt;"""", INDEX(rowData,1,2)=BD419),1,0) +
        IF(AND(BE419"&amp;"&lt;&gt;"""", INDEX(rowData,1,3)=BE419),1,0) +
        IF(AND(BF419&lt;&gt;"""", INDEX(rowData,1,4)=BF419),1,0) +
        IF(AND(BG419&lt;&gt;"""", INDEX(rowData,1,5)=BG419),1,0) +
        IF(AND(BH419&lt;&gt;"""", INDEX(rowData,1,6)=BH419),1,0) +
        IF(AND(BI419&lt;&gt;"""", IND"&amp;"EX(rowData,1,7)=BI419),1,0) +
        IF(AND(BJ419&lt;&gt;"""", INDEX(rowData,1,8)=BJ419),1,0)
      ) - COUNTIF(BC419:BJ419, ""-"")
        - COUNTIF(BC419:BJ419, ""固定格式，不需提供資訊"")
        - COUNTIF(BC419:BJ419, ""由MKT更新，此欄位固定格式，不需提供資訊
(Voucher CID：12917705872)"&amp;""")
        - COUNTIF(BC419:BJ419, ""text固定為以下：
※直播間僅支援手機版"")
        - COUNTIF(BC419:BJ419, ""text固定為以下：
※短影音僅支援手機版"")
    )
  ), 
  0
)
"),0)</f>
        <v>0</v>
      </c>
      <c r="BM419" s="77" t="b">
        <v>0</v>
      </c>
      <c r="BN419" s="85"/>
      <c r="BO419" s="85"/>
    </row>
    <row r="420" spans="1:67" ht="30" customHeight="1">
      <c r="A420" s="73" t="str">
        <f t="array" aca="1" ref="A420" ca="1">IFERROR(TRANSPOSE(INDIRECT('MS section版配(Old)'!$AO420)),"")</f>
        <v/>
      </c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8"/>
      <c r="P420" s="88"/>
      <c r="Q420" s="88"/>
      <c r="R420" s="88"/>
      <c r="S420" s="88"/>
      <c r="T420" s="88"/>
      <c r="U420" s="88"/>
      <c r="V420" s="88"/>
      <c r="W420" s="88"/>
      <c r="X420" s="88"/>
      <c r="Y420" s="88"/>
      <c r="Z420" s="88"/>
      <c r="AA420" s="88"/>
      <c r="AB420" s="88"/>
      <c r="AC420" s="88"/>
      <c r="AD420" s="88"/>
      <c r="AE420" s="397" t="str">
        <f>IFERROR(VLOOKUP($AQ420,'(勿動)組件目錄表'!$D$15:$R$1094,4,FALSE),"")</f>
        <v/>
      </c>
      <c r="AF420" s="384"/>
      <c r="AG420" s="384"/>
      <c r="AH420" s="384"/>
      <c r="AI420" s="384"/>
      <c r="AJ420" s="385"/>
      <c r="AK420" s="54" t="b">
        <v>0</v>
      </c>
      <c r="AL420" s="54" t="b">
        <v>0</v>
      </c>
      <c r="AM420" s="54"/>
      <c r="AN420" s="7" t="str">
        <v>412</v>
      </c>
      <c r="AO420" s="7"/>
      <c r="AP420" s="62"/>
      <c r="AQ420" s="75" t="str">
        <v/>
      </c>
      <c r="AR420" s="75" t="str">
        <v>-</v>
      </c>
      <c r="AS420" s="11"/>
      <c r="AT420" s="77" t="str">
        <v>-</v>
      </c>
      <c r="AU420" s="11" t="str">
        <v>-</v>
      </c>
      <c r="AV420" s="100"/>
      <c r="AW420" s="80" t="str">
        <f ca="1"/>
        <v>-</v>
      </c>
      <c r="AX420" s="80" t="b">
        <v>0</v>
      </c>
      <c r="AY420" s="68" t="str">
        <f t="shared" si="4"/>
        <v/>
      </c>
      <c r="AZ420" s="69" t="str">
        <f t="shared" si="5"/>
        <v/>
      </c>
      <c r="BA420" s="70" t="str">
        <f t="shared" si="6"/>
        <v/>
      </c>
      <c r="BB420" s="68" t="str">
        <f t="shared" si="7"/>
        <v/>
      </c>
      <c r="BC420" s="69" t="str">
        <f>IFERROR(VLOOKUP($AQ420,'(勿動)組件目錄表'!$D$15:$R$1094,7,FALSE),"")</f>
        <v/>
      </c>
      <c r="BD420" s="69" t="str">
        <f>IFERROR(VLOOKUP($AQ420,'(勿動)組件目錄表'!$D$15:$R$1094,8,FALSE),"")</f>
        <v/>
      </c>
      <c r="BE420" s="69" t="str">
        <f>IFERROR(VLOOKUP($AQ420,'(勿動)組件目錄表'!$D$15:$R$1094,9,FALSE),"")</f>
        <v/>
      </c>
      <c r="BF420" s="69" t="str">
        <f>IFERROR(VLOOKUP($AQ420,'(勿動)組件目錄表'!$D$15:$R$1094,10,FALSE),"")</f>
        <v/>
      </c>
      <c r="BG420" s="69" t="str">
        <f>IFERROR(VLOOKUP($AQ420,'(勿動)組件目錄表'!$D$15:$R$1094,11,FALSE),"")</f>
        <v/>
      </c>
      <c r="BH420" s="69" t="str">
        <f>IFERROR(VLOOKUP($AQ420,'(勿動)組件目錄表'!$D$15:$R$1094,12,FALSE),"")</f>
        <v/>
      </c>
      <c r="BI420" s="69" t="str">
        <f>IFERROR(VLOOKUP($AQ420,'(勿動)組件目錄表'!$D$15:$R$1094,13,FALSE),"")</f>
        <v/>
      </c>
      <c r="BJ420" s="69" t="str">
        <f>IFERROR(VLOOKUP($AQ420,'(勿動)組件目錄表'!$D$15:$R$1094,14,FALSE),"")</f>
        <v/>
      </c>
      <c r="BK420" s="69" t="str">
        <f>IFERROR(VLOOKUP($AQ420,'(勿動)組件目錄表'!$D$15:$R$1094,15,FALSE),"")</f>
        <v/>
      </c>
      <c r="BL420" s="81">
        <f ca="1">IFERROR(__xludf.DUMMYFUNCTION("IFERROR(
  LET(
    rowData, FILTER('(勿動)組件目錄表'!J:Q, '(勿動)組件目錄表'!D:D=AQ420),
    IF(ROWS(rowData)=0, 0, 
      (
        IF(AND(BC420&lt;&gt;"""", INDEX(rowData,1,1)=BC420),1,0) +
        IF(AND(BD420&lt;&gt;"""", INDEX(rowData,1,2)=BD420),1,0) +
        IF(AND(BE420"&amp;"&lt;&gt;"""", INDEX(rowData,1,3)=BE420),1,0) +
        IF(AND(BF420&lt;&gt;"""", INDEX(rowData,1,4)=BF420),1,0) +
        IF(AND(BG420&lt;&gt;"""", INDEX(rowData,1,5)=BG420),1,0) +
        IF(AND(BH420&lt;&gt;"""", INDEX(rowData,1,6)=BH420),1,0) +
        IF(AND(BI420&lt;&gt;"""", IND"&amp;"EX(rowData,1,7)=BI420),1,0) +
        IF(AND(BJ420&lt;&gt;"""", INDEX(rowData,1,8)=BJ420),1,0)
      ) - COUNTIF(BC420:BJ420, ""-"")
        - COUNTIF(BC420:BJ420, ""固定格式，不需提供資訊"")
        - COUNTIF(BC420:BJ420, ""由MKT更新，此欄位固定格式，不需提供資訊
(Voucher CID：12917705872)"&amp;""")
        - COUNTIF(BC420:BJ420, ""text固定為以下：
※直播間僅支援手機版"")
        - COUNTIF(BC420:BJ420, ""text固定為以下：
※短影音僅支援手機版"")
    )
  ), 
  0
)
"),0)</f>
        <v>0</v>
      </c>
      <c r="BM420" s="77" t="b">
        <v>0</v>
      </c>
      <c r="BN420" s="85"/>
      <c r="BO420" s="85"/>
    </row>
    <row r="421" spans="1:67" ht="30" customHeight="1">
      <c r="A421" s="73" t="str">
        <f t="array" aca="1" ref="A421" ca="1">IFERROR(TRANSPOSE(INDIRECT('MS section版配(Old)'!$AO421)),"")</f>
        <v/>
      </c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8"/>
      <c r="P421" s="88"/>
      <c r="Q421" s="88"/>
      <c r="R421" s="88"/>
      <c r="S421" s="88"/>
      <c r="T421" s="88"/>
      <c r="U421" s="88"/>
      <c r="V421" s="88"/>
      <c r="W421" s="88"/>
      <c r="X421" s="88"/>
      <c r="Y421" s="88"/>
      <c r="Z421" s="88"/>
      <c r="AA421" s="88"/>
      <c r="AB421" s="88"/>
      <c r="AC421" s="88"/>
      <c r="AD421" s="88"/>
      <c r="AE421" s="397" t="str">
        <f>IFERROR(VLOOKUP($AQ421,'(勿動)組件目錄表'!$D$15:$R$1094,4,FALSE),"")</f>
        <v/>
      </c>
      <c r="AF421" s="384"/>
      <c r="AG421" s="384"/>
      <c r="AH421" s="384"/>
      <c r="AI421" s="384"/>
      <c r="AJ421" s="385"/>
      <c r="AK421" s="54" t="b">
        <v>0</v>
      </c>
      <c r="AL421" s="54" t="b">
        <v>0</v>
      </c>
      <c r="AM421" s="54"/>
      <c r="AN421" s="7" t="str">
        <v>413</v>
      </c>
      <c r="AO421" s="7"/>
      <c r="AP421" s="62"/>
      <c r="AQ421" s="75" t="str">
        <v/>
      </c>
      <c r="AR421" s="75" t="str">
        <v>-</v>
      </c>
      <c r="AS421" s="11"/>
      <c r="AT421" s="77" t="str">
        <v>-</v>
      </c>
      <c r="AU421" s="11" t="str">
        <v>-</v>
      </c>
      <c r="AV421" s="100"/>
      <c r="AW421" s="80" t="str">
        <f ca="1"/>
        <v>-</v>
      </c>
      <c r="AX421" s="80" t="b">
        <v>0</v>
      </c>
      <c r="AY421" s="68" t="str">
        <f t="shared" si="4"/>
        <v/>
      </c>
      <c r="AZ421" s="69" t="str">
        <f t="shared" si="5"/>
        <v/>
      </c>
      <c r="BA421" s="70" t="str">
        <f t="shared" si="6"/>
        <v/>
      </c>
      <c r="BB421" s="68" t="str">
        <f t="shared" si="7"/>
        <v/>
      </c>
      <c r="BC421" s="69" t="str">
        <f>IFERROR(VLOOKUP($AQ421,'(勿動)組件目錄表'!$D$15:$R$1094,7,FALSE),"")</f>
        <v/>
      </c>
      <c r="BD421" s="69" t="str">
        <f>IFERROR(VLOOKUP($AQ421,'(勿動)組件目錄表'!$D$15:$R$1094,8,FALSE),"")</f>
        <v/>
      </c>
      <c r="BE421" s="69" t="str">
        <f>IFERROR(VLOOKUP($AQ421,'(勿動)組件目錄表'!$D$15:$R$1094,9,FALSE),"")</f>
        <v/>
      </c>
      <c r="BF421" s="69" t="str">
        <f>IFERROR(VLOOKUP($AQ421,'(勿動)組件目錄表'!$D$15:$R$1094,10,FALSE),"")</f>
        <v/>
      </c>
      <c r="BG421" s="69" t="str">
        <f>IFERROR(VLOOKUP($AQ421,'(勿動)組件目錄表'!$D$15:$R$1094,11,FALSE),"")</f>
        <v/>
      </c>
      <c r="BH421" s="69" t="str">
        <f>IFERROR(VLOOKUP($AQ421,'(勿動)組件目錄表'!$D$15:$R$1094,12,FALSE),"")</f>
        <v/>
      </c>
      <c r="BI421" s="69" t="str">
        <f>IFERROR(VLOOKUP($AQ421,'(勿動)組件目錄表'!$D$15:$R$1094,13,FALSE),"")</f>
        <v/>
      </c>
      <c r="BJ421" s="69" t="str">
        <f>IFERROR(VLOOKUP($AQ421,'(勿動)組件目錄表'!$D$15:$R$1094,14,FALSE),"")</f>
        <v/>
      </c>
      <c r="BK421" s="69" t="str">
        <f>IFERROR(VLOOKUP($AQ421,'(勿動)組件目錄表'!$D$15:$R$1094,15,FALSE),"")</f>
        <v/>
      </c>
      <c r="BL421" s="81">
        <f ca="1">IFERROR(__xludf.DUMMYFUNCTION("IFERROR(
  LET(
    rowData, FILTER('(勿動)組件目錄表'!J:Q, '(勿動)組件目錄表'!D:D=AQ421),
    IF(ROWS(rowData)=0, 0, 
      (
        IF(AND(BC421&lt;&gt;"""", INDEX(rowData,1,1)=BC421),1,0) +
        IF(AND(BD421&lt;&gt;"""", INDEX(rowData,1,2)=BD421),1,0) +
        IF(AND(BE421"&amp;"&lt;&gt;"""", INDEX(rowData,1,3)=BE421),1,0) +
        IF(AND(BF421&lt;&gt;"""", INDEX(rowData,1,4)=BF421),1,0) +
        IF(AND(BG421&lt;&gt;"""", INDEX(rowData,1,5)=BG421),1,0) +
        IF(AND(BH421&lt;&gt;"""", INDEX(rowData,1,6)=BH421),1,0) +
        IF(AND(BI421&lt;&gt;"""", IND"&amp;"EX(rowData,1,7)=BI421),1,0) +
        IF(AND(BJ421&lt;&gt;"""", INDEX(rowData,1,8)=BJ421),1,0)
      ) - COUNTIF(BC421:BJ421, ""-"")
        - COUNTIF(BC421:BJ421, ""固定格式，不需提供資訊"")
        - COUNTIF(BC421:BJ421, ""由MKT更新，此欄位固定格式，不需提供資訊
(Voucher CID：12917705872)"&amp;""")
        - COUNTIF(BC421:BJ421, ""text固定為以下：
※直播間僅支援手機版"")
        - COUNTIF(BC421:BJ421, ""text固定為以下：
※短影音僅支援手機版"")
    )
  ), 
  0
)
"),0)</f>
        <v>0</v>
      </c>
      <c r="BM421" s="77" t="b">
        <v>0</v>
      </c>
      <c r="BN421" s="85"/>
      <c r="BO421" s="85"/>
    </row>
    <row r="422" spans="1:67" ht="30" customHeight="1">
      <c r="A422" s="73" t="str">
        <f t="array" aca="1" ref="A422" ca="1">IFERROR(TRANSPOSE(INDIRECT('MS section版配(Old)'!$AO422)),"")</f>
        <v/>
      </c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8"/>
      <c r="P422" s="88"/>
      <c r="Q422" s="88"/>
      <c r="R422" s="88"/>
      <c r="S422" s="88"/>
      <c r="T422" s="88"/>
      <c r="U422" s="88"/>
      <c r="V422" s="88"/>
      <c r="W422" s="88"/>
      <c r="X422" s="88"/>
      <c r="Y422" s="88"/>
      <c r="Z422" s="88"/>
      <c r="AA422" s="88"/>
      <c r="AB422" s="88"/>
      <c r="AC422" s="88"/>
      <c r="AD422" s="88"/>
      <c r="AE422" s="397" t="str">
        <f>IFERROR(VLOOKUP($AQ422,'(勿動)組件目錄表'!$D$15:$R$1094,4,FALSE),"")</f>
        <v/>
      </c>
      <c r="AF422" s="384"/>
      <c r="AG422" s="384"/>
      <c r="AH422" s="384"/>
      <c r="AI422" s="384"/>
      <c r="AJ422" s="385"/>
      <c r="AK422" s="54" t="b">
        <v>0</v>
      </c>
      <c r="AL422" s="54" t="b">
        <v>0</v>
      </c>
      <c r="AM422" s="54"/>
      <c r="AN422" s="7" t="str">
        <v>414</v>
      </c>
      <c r="AO422" s="7"/>
      <c r="AP422" s="62"/>
      <c r="AQ422" s="75" t="str">
        <v/>
      </c>
      <c r="AR422" s="75" t="str">
        <v>-</v>
      </c>
      <c r="AS422" s="11"/>
      <c r="AT422" s="77" t="str">
        <v>-</v>
      </c>
      <c r="AU422" s="11" t="str">
        <v>-</v>
      </c>
      <c r="AV422" s="100"/>
      <c r="AW422" s="80" t="str">
        <f ca="1"/>
        <v>-</v>
      </c>
      <c r="AX422" s="80" t="b">
        <v>0</v>
      </c>
      <c r="AY422" s="68" t="str">
        <f t="shared" si="4"/>
        <v/>
      </c>
      <c r="AZ422" s="69" t="str">
        <f t="shared" si="5"/>
        <v/>
      </c>
      <c r="BA422" s="70" t="str">
        <f t="shared" si="6"/>
        <v/>
      </c>
      <c r="BB422" s="68" t="str">
        <f t="shared" si="7"/>
        <v/>
      </c>
      <c r="BC422" s="69" t="str">
        <f>IFERROR(VLOOKUP($AQ422,'(勿動)組件目錄表'!$D$15:$R$1094,7,FALSE),"")</f>
        <v/>
      </c>
      <c r="BD422" s="69" t="str">
        <f>IFERROR(VLOOKUP($AQ422,'(勿動)組件目錄表'!$D$15:$R$1094,8,FALSE),"")</f>
        <v/>
      </c>
      <c r="BE422" s="69" t="str">
        <f>IFERROR(VLOOKUP($AQ422,'(勿動)組件目錄表'!$D$15:$R$1094,9,FALSE),"")</f>
        <v/>
      </c>
      <c r="BF422" s="69" t="str">
        <f>IFERROR(VLOOKUP($AQ422,'(勿動)組件目錄表'!$D$15:$R$1094,10,FALSE),"")</f>
        <v/>
      </c>
      <c r="BG422" s="69" t="str">
        <f>IFERROR(VLOOKUP($AQ422,'(勿動)組件目錄表'!$D$15:$R$1094,11,FALSE),"")</f>
        <v/>
      </c>
      <c r="BH422" s="69" t="str">
        <f>IFERROR(VLOOKUP($AQ422,'(勿動)組件目錄表'!$D$15:$R$1094,12,FALSE),"")</f>
        <v/>
      </c>
      <c r="BI422" s="69" t="str">
        <f>IFERROR(VLOOKUP($AQ422,'(勿動)組件目錄表'!$D$15:$R$1094,13,FALSE),"")</f>
        <v/>
      </c>
      <c r="BJ422" s="69" t="str">
        <f>IFERROR(VLOOKUP($AQ422,'(勿動)組件目錄表'!$D$15:$R$1094,14,FALSE),"")</f>
        <v/>
      </c>
      <c r="BK422" s="69" t="str">
        <f>IFERROR(VLOOKUP($AQ422,'(勿動)組件目錄表'!$D$15:$R$1094,15,FALSE),"")</f>
        <v/>
      </c>
      <c r="BL422" s="81">
        <f ca="1">IFERROR(__xludf.DUMMYFUNCTION("IFERROR(
  LET(
    rowData, FILTER('(勿動)組件目錄表'!J:Q, '(勿動)組件目錄表'!D:D=AQ422),
    IF(ROWS(rowData)=0, 0, 
      (
        IF(AND(BC422&lt;&gt;"""", INDEX(rowData,1,1)=BC422),1,0) +
        IF(AND(BD422&lt;&gt;"""", INDEX(rowData,1,2)=BD422),1,0) +
        IF(AND(BE422"&amp;"&lt;&gt;"""", INDEX(rowData,1,3)=BE422),1,0) +
        IF(AND(BF422&lt;&gt;"""", INDEX(rowData,1,4)=BF422),1,0) +
        IF(AND(BG422&lt;&gt;"""", INDEX(rowData,1,5)=BG422),1,0) +
        IF(AND(BH422&lt;&gt;"""", INDEX(rowData,1,6)=BH422),1,0) +
        IF(AND(BI422&lt;&gt;"""", IND"&amp;"EX(rowData,1,7)=BI422),1,0) +
        IF(AND(BJ422&lt;&gt;"""", INDEX(rowData,1,8)=BJ422),1,0)
      ) - COUNTIF(BC422:BJ422, ""-"")
        - COUNTIF(BC422:BJ422, ""固定格式，不需提供資訊"")
        - COUNTIF(BC422:BJ422, ""由MKT更新，此欄位固定格式，不需提供資訊
(Voucher CID：12917705872)"&amp;""")
        - COUNTIF(BC422:BJ422, ""text固定為以下：
※直播間僅支援手機版"")
        - COUNTIF(BC422:BJ422, ""text固定為以下：
※短影音僅支援手機版"")
    )
  ), 
  0
)
"),0)</f>
        <v>0</v>
      </c>
      <c r="BM422" s="77" t="b">
        <v>0</v>
      </c>
      <c r="BN422" s="85"/>
      <c r="BO422" s="85"/>
    </row>
    <row r="423" spans="1:67" ht="30" customHeight="1">
      <c r="A423" s="73" t="str">
        <f t="array" aca="1" ref="A423" ca="1">IFERROR(TRANSPOSE(INDIRECT('MS section版配(Old)'!$AO423)),"")</f>
        <v/>
      </c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8"/>
      <c r="P423" s="88"/>
      <c r="Q423" s="88"/>
      <c r="R423" s="88"/>
      <c r="S423" s="88"/>
      <c r="T423" s="88"/>
      <c r="U423" s="88"/>
      <c r="V423" s="88"/>
      <c r="W423" s="88"/>
      <c r="X423" s="88"/>
      <c r="Y423" s="88"/>
      <c r="Z423" s="88"/>
      <c r="AA423" s="88"/>
      <c r="AB423" s="88"/>
      <c r="AC423" s="88"/>
      <c r="AD423" s="88"/>
      <c r="AE423" s="397" t="str">
        <f>IFERROR(VLOOKUP($AQ423,'(勿動)組件目錄表'!$D$15:$R$1094,4,FALSE),"")</f>
        <v/>
      </c>
      <c r="AF423" s="384"/>
      <c r="AG423" s="384"/>
      <c r="AH423" s="384"/>
      <c r="AI423" s="384"/>
      <c r="AJ423" s="385"/>
      <c r="AK423" s="54" t="b">
        <v>0</v>
      </c>
      <c r="AL423" s="54" t="b">
        <v>0</v>
      </c>
      <c r="AM423" s="54"/>
      <c r="AN423" s="7" t="str">
        <v>415</v>
      </c>
      <c r="AO423" s="7"/>
      <c r="AP423" s="62"/>
      <c r="AQ423" s="75" t="str">
        <v/>
      </c>
      <c r="AR423" s="75" t="str">
        <v>-</v>
      </c>
      <c r="AS423" s="11"/>
      <c r="AT423" s="77" t="str">
        <v>-</v>
      </c>
      <c r="AU423" s="11" t="str">
        <v>-</v>
      </c>
      <c r="AV423" s="100"/>
      <c r="AW423" s="80" t="str">
        <f ca="1"/>
        <v>-</v>
      </c>
      <c r="AX423" s="80" t="b">
        <v>0</v>
      </c>
      <c r="AY423" s="68" t="str">
        <f t="shared" si="4"/>
        <v/>
      </c>
      <c r="AZ423" s="69" t="str">
        <f t="shared" si="5"/>
        <v/>
      </c>
      <c r="BA423" s="70" t="str">
        <f t="shared" si="6"/>
        <v/>
      </c>
      <c r="BB423" s="68" t="str">
        <f t="shared" si="7"/>
        <v/>
      </c>
      <c r="BC423" s="69" t="str">
        <f>IFERROR(VLOOKUP($AQ423,'(勿動)組件目錄表'!$D$15:$R$1094,7,FALSE),"")</f>
        <v/>
      </c>
      <c r="BD423" s="69" t="str">
        <f>IFERROR(VLOOKUP($AQ423,'(勿動)組件目錄表'!$D$15:$R$1094,8,FALSE),"")</f>
        <v/>
      </c>
      <c r="BE423" s="69" t="str">
        <f>IFERROR(VLOOKUP($AQ423,'(勿動)組件目錄表'!$D$15:$R$1094,9,FALSE),"")</f>
        <v/>
      </c>
      <c r="BF423" s="69" t="str">
        <f>IFERROR(VLOOKUP($AQ423,'(勿動)組件目錄表'!$D$15:$R$1094,10,FALSE),"")</f>
        <v/>
      </c>
      <c r="BG423" s="69" t="str">
        <f>IFERROR(VLOOKUP($AQ423,'(勿動)組件目錄表'!$D$15:$R$1094,11,FALSE),"")</f>
        <v/>
      </c>
      <c r="BH423" s="69" t="str">
        <f>IFERROR(VLOOKUP($AQ423,'(勿動)組件目錄表'!$D$15:$R$1094,12,FALSE),"")</f>
        <v/>
      </c>
      <c r="BI423" s="69" t="str">
        <f>IFERROR(VLOOKUP($AQ423,'(勿動)組件目錄表'!$D$15:$R$1094,13,FALSE),"")</f>
        <v/>
      </c>
      <c r="BJ423" s="69" t="str">
        <f>IFERROR(VLOOKUP($AQ423,'(勿動)組件目錄表'!$D$15:$R$1094,14,FALSE),"")</f>
        <v/>
      </c>
      <c r="BK423" s="69" t="str">
        <f>IFERROR(VLOOKUP($AQ423,'(勿動)組件目錄表'!$D$15:$R$1094,15,FALSE),"")</f>
        <v/>
      </c>
      <c r="BL423" s="81">
        <f ca="1">IFERROR(__xludf.DUMMYFUNCTION("IFERROR(
  LET(
    rowData, FILTER('(勿動)組件目錄表'!J:Q, '(勿動)組件目錄表'!D:D=AQ423),
    IF(ROWS(rowData)=0, 0, 
      (
        IF(AND(BC423&lt;&gt;"""", INDEX(rowData,1,1)=BC423),1,0) +
        IF(AND(BD423&lt;&gt;"""", INDEX(rowData,1,2)=BD423),1,0) +
        IF(AND(BE423"&amp;"&lt;&gt;"""", INDEX(rowData,1,3)=BE423),1,0) +
        IF(AND(BF423&lt;&gt;"""", INDEX(rowData,1,4)=BF423),1,0) +
        IF(AND(BG423&lt;&gt;"""", INDEX(rowData,1,5)=BG423),1,0) +
        IF(AND(BH423&lt;&gt;"""", INDEX(rowData,1,6)=BH423),1,0) +
        IF(AND(BI423&lt;&gt;"""", IND"&amp;"EX(rowData,1,7)=BI423),1,0) +
        IF(AND(BJ423&lt;&gt;"""", INDEX(rowData,1,8)=BJ423),1,0)
      ) - COUNTIF(BC423:BJ423, ""-"")
        - COUNTIF(BC423:BJ423, ""固定格式，不需提供資訊"")
        - COUNTIF(BC423:BJ423, ""由MKT更新，此欄位固定格式，不需提供資訊
(Voucher CID：12917705872)"&amp;""")
        - COUNTIF(BC423:BJ423, ""text固定為以下：
※直播間僅支援手機版"")
        - COUNTIF(BC423:BJ423, ""text固定為以下：
※短影音僅支援手機版"")
    )
  ), 
  0
)
"),0)</f>
        <v>0</v>
      </c>
      <c r="BM423" s="77" t="b">
        <v>0</v>
      </c>
      <c r="BN423" s="85"/>
      <c r="BO423" s="85"/>
    </row>
    <row r="424" spans="1:67" ht="30" customHeight="1">
      <c r="A424" s="73" t="str">
        <f t="array" aca="1" ref="A424" ca="1">IFERROR(TRANSPOSE(INDIRECT('MS section版配(Old)'!$AO424)),"")</f>
        <v/>
      </c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8"/>
      <c r="P424" s="88"/>
      <c r="Q424" s="88"/>
      <c r="R424" s="88"/>
      <c r="S424" s="88"/>
      <c r="T424" s="88"/>
      <c r="U424" s="88"/>
      <c r="V424" s="88"/>
      <c r="W424" s="88"/>
      <c r="X424" s="88"/>
      <c r="Y424" s="88"/>
      <c r="Z424" s="88"/>
      <c r="AA424" s="88"/>
      <c r="AB424" s="88"/>
      <c r="AC424" s="88"/>
      <c r="AD424" s="88"/>
      <c r="AE424" s="397" t="str">
        <f>IFERROR(VLOOKUP($AQ424,'(勿動)組件目錄表'!$D$15:$R$1094,4,FALSE),"")</f>
        <v/>
      </c>
      <c r="AF424" s="384"/>
      <c r="AG424" s="384"/>
      <c r="AH424" s="384"/>
      <c r="AI424" s="384"/>
      <c r="AJ424" s="385"/>
      <c r="AK424" s="54" t="b">
        <v>0</v>
      </c>
      <c r="AL424" s="54" t="b">
        <v>0</v>
      </c>
      <c r="AM424" s="54"/>
      <c r="AN424" s="7" t="str">
        <v>416</v>
      </c>
      <c r="AO424" s="7"/>
      <c r="AP424" s="62"/>
      <c r="AQ424" s="75" t="str">
        <v/>
      </c>
      <c r="AR424" s="75" t="str">
        <v>-</v>
      </c>
      <c r="AS424" s="11"/>
      <c r="AT424" s="77" t="str">
        <v>-</v>
      </c>
      <c r="AU424" s="11" t="str">
        <v>-</v>
      </c>
      <c r="AV424" s="100"/>
      <c r="AW424" s="80" t="str">
        <f ca="1"/>
        <v>-</v>
      </c>
      <c r="AX424" s="80" t="b">
        <v>0</v>
      </c>
      <c r="AY424" s="68" t="str">
        <f t="shared" si="4"/>
        <v/>
      </c>
      <c r="AZ424" s="69" t="str">
        <f t="shared" si="5"/>
        <v/>
      </c>
      <c r="BA424" s="70" t="str">
        <f t="shared" si="6"/>
        <v/>
      </c>
      <c r="BB424" s="68" t="str">
        <f t="shared" si="7"/>
        <v/>
      </c>
      <c r="BC424" s="69" t="str">
        <f>IFERROR(VLOOKUP($AQ424,'(勿動)組件目錄表'!$D$15:$R$1094,7,FALSE),"")</f>
        <v/>
      </c>
      <c r="BD424" s="69" t="str">
        <f>IFERROR(VLOOKUP($AQ424,'(勿動)組件目錄表'!$D$15:$R$1094,8,FALSE),"")</f>
        <v/>
      </c>
      <c r="BE424" s="69" t="str">
        <f>IFERROR(VLOOKUP($AQ424,'(勿動)組件目錄表'!$D$15:$R$1094,9,FALSE),"")</f>
        <v/>
      </c>
      <c r="BF424" s="69" t="str">
        <f>IFERROR(VLOOKUP($AQ424,'(勿動)組件目錄表'!$D$15:$R$1094,10,FALSE),"")</f>
        <v/>
      </c>
      <c r="BG424" s="69" t="str">
        <f>IFERROR(VLOOKUP($AQ424,'(勿動)組件目錄表'!$D$15:$R$1094,11,FALSE),"")</f>
        <v/>
      </c>
      <c r="BH424" s="69" t="str">
        <f>IFERROR(VLOOKUP($AQ424,'(勿動)組件目錄表'!$D$15:$R$1094,12,FALSE),"")</f>
        <v/>
      </c>
      <c r="BI424" s="69" t="str">
        <f>IFERROR(VLOOKUP($AQ424,'(勿動)組件目錄表'!$D$15:$R$1094,13,FALSE),"")</f>
        <v/>
      </c>
      <c r="BJ424" s="69" t="str">
        <f>IFERROR(VLOOKUP($AQ424,'(勿動)組件目錄表'!$D$15:$R$1094,14,FALSE),"")</f>
        <v/>
      </c>
      <c r="BK424" s="69" t="str">
        <f>IFERROR(VLOOKUP($AQ424,'(勿動)組件目錄表'!$D$15:$R$1094,15,FALSE),"")</f>
        <v/>
      </c>
      <c r="BL424" s="81">
        <f ca="1">IFERROR(__xludf.DUMMYFUNCTION("IFERROR(
  LET(
    rowData, FILTER('(勿動)組件目錄表'!J:Q, '(勿動)組件目錄表'!D:D=AQ424),
    IF(ROWS(rowData)=0, 0, 
      (
        IF(AND(BC424&lt;&gt;"""", INDEX(rowData,1,1)=BC424),1,0) +
        IF(AND(BD424&lt;&gt;"""", INDEX(rowData,1,2)=BD424),1,0) +
        IF(AND(BE424"&amp;"&lt;&gt;"""", INDEX(rowData,1,3)=BE424),1,0) +
        IF(AND(BF424&lt;&gt;"""", INDEX(rowData,1,4)=BF424),1,0) +
        IF(AND(BG424&lt;&gt;"""", INDEX(rowData,1,5)=BG424),1,0) +
        IF(AND(BH424&lt;&gt;"""", INDEX(rowData,1,6)=BH424),1,0) +
        IF(AND(BI424&lt;&gt;"""", IND"&amp;"EX(rowData,1,7)=BI424),1,0) +
        IF(AND(BJ424&lt;&gt;"""", INDEX(rowData,1,8)=BJ424),1,0)
      ) - COUNTIF(BC424:BJ424, ""-"")
        - COUNTIF(BC424:BJ424, ""固定格式，不需提供資訊"")
        - COUNTIF(BC424:BJ424, ""由MKT更新，此欄位固定格式，不需提供資訊
(Voucher CID：12917705872)"&amp;""")
        - COUNTIF(BC424:BJ424, ""text固定為以下：
※直播間僅支援手機版"")
        - COUNTIF(BC424:BJ424, ""text固定為以下：
※短影音僅支援手機版"")
    )
  ), 
  0
)
"),0)</f>
        <v>0</v>
      </c>
      <c r="BM424" s="77" t="b">
        <v>0</v>
      </c>
      <c r="BN424" s="85"/>
      <c r="BO424" s="85"/>
    </row>
    <row r="425" spans="1:67" ht="30" customHeight="1">
      <c r="A425" s="73" t="str">
        <f t="array" aca="1" ref="A425" ca="1">IFERROR(TRANSPOSE(INDIRECT('MS section版配(Old)'!$AO425)),"")</f>
        <v/>
      </c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8"/>
      <c r="P425" s="88"/>
      <c r="Q425" s="88"/>
      <c r="R425" s="88"/>
      <c r="S425" s="88"/>
      <c r="T425" s="88"/>
      <c r="U425" s="88"/>
      <c r="V425" s="88"/>
      <c r="W425" s="88"/>
      <c r="X425" s="88"/>
      <c r="Y425" s="88"/>
      <c r="Z425" s="88"/>
      <c r="AA425" s="88"/>
      <c r="AB425" s="88"/>
      <c r="AC425" s="88"/>
      <c r="AD425" s="88"/>
      <c r="AE425" s="397" t="str">
        <f>IFERROR(VLOOKUP($AQ425,'(勿動)組件目錄表'!$D$15:$R$1094,4,FALSE),"")</f>
        <v/>
      </c>
      <c r="AF425" s="384"/>
      <c r="AG425" s="384"/>
      <c r="AH425" s="384"/>
      <c r="AI425" s="384"/>
      <c r="AJ425" s="385"/>
      <c r="AK425" s="54" t="b">
        <v>0</v>
      </c>
      <c r="AL425" s="54" t="b">
        <v>0</v>
      </c>
      <c r="AM425" s="54"/>
      <c r="AN425" s="7" t="str">
        <v>417</v>
      </c>
      <c r="AO425" s="7"/>
      <c r="AP425" s="62"/>
      <c r="AQ425" s="75" t="str">
        <v/>
      </c>
      <c r="AR425" s="75" t="str">
        <v>-</v>
      </c>
      <c r="AS425" s="11"/>
      <c r="AT425" s="77" t="str">
        <v>-</v>
      </c>
      <c r="AU425" s="11" t="str">
        <v>-</v>
      </c>
      <c r="AV425" s="100"/>
      <c r="AW425" s="80" t="str">
        <f ca="1"/>
        <v>-</v>
      </c>
      <c r="AX425" s="80" t="b">
        <v>0</v>
      </c>
      <c r="AY425" s="68" t="str">
        <f t="shared" si="4"/>
        <v/>
      </c>
      <c r="AZ425" s="69" t="str">
        <f t="shared" si="5"/>
        <v/>
      </c>
      <c r="BA425" s="70" t="str">
        <f t="shared" si="6"/>
        <v/>
      </c>
      <c r="BB425" s="68" t="str">
        <f t="shared" si="7"/>
        <v/>
      </c>
      <c r="BC425" s="69" t="str">
        <f>IFERROR(VLOOKUP($AQ425,'(勿動)組件目錄表'!$D$15:$R$1094,7,FALSE),"")</f>
        <v/>
      </c>
      <c r="BD425" s="69" t="str">
        <f>IFERROR(VLOOKUP($AQ425,'(勿動)組件目錄表'!$D$15:$R$1094,8,FALSE),"")</f>
        <v/>
      </c>
      <c r="BE425" s="69" t="str">
        <f>IFERROR(VLOOKUP($AQ425,'(勿動)組件目錄表'!$D$15:$R$1094,9,FALSE),"")</f>
        <v/>
      </c>
      <c r="BF425" s="69" t="str">
        <f>IFERROR(VLOOKUP($AQ425,'(勿動)組件目錄表'!$D$15:$R$1094,10,FALSE),"")</f>
        <v/>
      </c>
      <c r="BG425" s="69" t="str">
        <f>IFERROR(VLOOKUP($AQ425,'(勿動)組件目錄表'!$D$15:$R$1094,11,FALSE),"")</f>
        <v/>
      </c>
      <c r="BH425" s="69" t="str">
        <f>IFERROR(VLOOKUP($AQ425,'(勿動)組件目錄表'!$D$15:$R$1094,12,FALSE),"")</f>
        <v/>
      </c>
      <c r="BI425" s="69" t="str">
        <f>IFERROR(VLOOKUP($AQ425,'(勿動)組件目錄表'!$D$15:$R$1094,13,FALSE),"")</f>
        <v/>
      </c>
      <c r="BJ425" s="69" t="str">
        <f>IFERROR(VLOOKUP($AQ425,'(勿動)組件目錄表'!$D$15:$R$1094,14,FALSE),"")</f>
        <v/>
      </c>
      <c r="BK425" s="69" t="str">
        <f>IFERROR(VLOOKUP($AQ425,'(勿動)組件目錄表'!$D$15:$R$1094,15,FALSE),"")</f>
        <v/>
      </c>
      <c r="BL425" s="81">
        <f ca="1">IFERROR(__xludf.DUMMYFUNCTION("IFERROR(
  LET(
    rowData, FILTER('(勿動)組件目錄表'!J:Q, '(勿動)組件目錄表'!D:D=AQ425),
    IF(ROWS(rowData)=0, 0, 
      (
        IF(AND(BC425&lt;&gt;"""", INDEX(rowData,1,1)=BC425),1,0) +
        IF(AND(BD425&lt;&gt;"""", INDEX(rowData,1,2)=BD425),1,0) +
        IF(AND(BE425"&amp;"&lt;&gt;"""", INDEX(rowData,1,3)=BE425),1,0) +
        IF(AND(BF425&lt;&gt;"""", INDEX(rowData,1,4)=BF425),1,0) +
        IF(AND(BG425&lt;&gt;"""", INDEX(rowData,1,5)=BG425),1,0) +
        IF(AND(BH425&lt;&gt;"""", INDEX(rowData,1,6)=BH425),1,0) +
        IF(AND(BI425&lt;&gt;"""", IND"&amp;"EX(rowData,1,7)=BI425),1,0) +
        IF(AND(BJ425&lt;&gt;"""", INDEX(rowData,1,8)=BJ425),1,0)
      ) - COUNTIF(BC425:BJ425, ""-"")
        - COUNTIF(BC425:BJ425, ""固定格式，不需提供資訊"")
        - COUNTIF(BC425:BJ425, ""由MKT更新，此欄位固定格式，不需提供資訊
(Voucher CID：12917705872)"&amp;""")
        - COUNTIF(BC425:BJ425, ""text固定為以下：
※直播間僅支援手機版"")
        - COUNTIF(BC425:BJ425, ""text固定為以下：
※短影音僅支援手機版"")
    )
  ), 
  0
)
"),0)</f>
        <v>0</v>
      </c>
      <c r="BM425" s="77" t="b">
        <v>0</v>
      </c>
      <c r="BN425" s="85"/>
      <c r="BO425" s="85"/>
    </row>
    <row r="426" spans="1:67" ht="30" customHeight="1">
      <c r="A426" s="73" t="str">
        <f t="array" aca="1" ref="A426" ca="1">IFERROR(TRANSPOSE(INDIRECT('MS section版配(Old)'!$AO426)),"")</f>
        <v/>
      </c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8"/>
      <c r="P426" s="88"/>
      <c r="Q426" s="88"/>
      <c r="R426" s="88"/>
      <c r="S426" s="88"/>
      <c r="T426" s="88"/>
      <c r="U426" s="88"/>
      <c r="V426" s="88"/>
      <c r="W426" s="88"/>
      <c r="X426" s="88"/>
      <c r="Y426" s="88"/>
      <c r="Z426" s="88"/>
      <c r="AA426" s="88"/>
      <c r="AB426" s="88"/>
      <c r="AC426" s="88"/>
      <c r="AD426" s="88"/>
      <c r="AE426" s="397" t="str">
        <f>IFERROR(VLOOKUP($AQ426,'(勿動)組件目錄表'!$D$15:$R$1094,4,FALSE),"")</f>
        <v/>
      </c>
      <c r="AF426" s="384"/>
      <c r="AG426" s="384"/>
      <c r="AH426" s="384"/>
      <c r="AI426" s="384"/>
      <c r="AJ426" s="385"/>
      <c r="AK426" s="54" t="b">
        <v>0</v>
      </c>
      <c r="AL426" s="54" t="b">
        <v>0</v>
      </c>
      <c r="AM426" s="54"/>
      <c r="AN426" s="7" t="str">
        <v>418</v>
      </c>
      <c r="AO426" s="7"/>
      <c r="AP426" s="62"/>
      <c r="AQ426" s="75" t="str">
        <v/>
      </c>
      <c r="AR426" s="75" t="str">
        <v>-</v>
      </c>
      <c r="AS426" s="11"/>
      <c r="AT426" s="77" t="str">
        <v>-</v>
      </c>
      <c r="AU426" s="11" t="str">
        <v>-</v>
      </c>
      <c r="AV426" s="100"/>
      <c r="AW426" s="80" t="str">
        <f ca="1"/>
        <v>-</v>
      </c>
      <c r="AX426" s="80" t="b">
        <v>0</v>
      </c>
      <c r="AY426" s="68" t="str">
        <f t="shared" si="4"/>
        <v/>
      </c>
      <c r="AZ426" s="69" t="str">
        <f t="shared" si="5"/>
        <v/>
      </c>
      <c r="BA426" s="70" t="str">
        <f t="shared" si="6"/>
        <v/>
      </c>
      <c r="BB426" s="68" t="str">
        <f t="shared" si="7"/>
        <v/>
      </c>
      <c r="BC426" s="69" t="str">
        <f>IFERROR(VLOOKUP($AQ426,'(勿動)組件目錄表'!$D$15:$R$1094,7,FALSE),"")</f>
        <v/>
      </c>
      <c r="BD426" s="69" t="str">
        <f>IFERROR(VLOOKUP($AQ426,'(勿動)組件目錄表'!$D$15:$R$1094,8,FALSE),"")</f>
        <v/>
      </c>
      <c r="BE426" s="69" t="str">
        <f>IFERROR(VLOOKUP($AQ426,'(勿動)組件目錄表'!$D$15:$R$1094,9,FALSE),"")</f>
        <v/>
      </c>
      <c r="BF426" s="69" t="str">
        <f>IFERROR(VLOOKUP($AQ426,'(勿動)組件目錄表'!$D$15:$R$1094,10,FALSE),"")</f>
        <v/>
      </c>
      <c r="BG426" s="69" t="str">
        <f>IFERROR(VLOOKUP($AQ426,'(勿動)組件目錄表'!$D$15:$R$1094,11,FALSE),"")</f>
        <v/>
      </c>
      <c r="BH426" s="69" t="str">
        <f>IFERROR(VLOOKUP($AQ426,'(勿動)組件目錄表'!$D$15:$R$1094,12,FALSE),"")</f>
        <v/>
      </c>
      <c r="BI426" s="69" t="str">
        <f>IFERROR(VLOOKUP($AQ426,'(勿動)組件目錄表'!$D$15:$R$1094,13,FALSE),"")</f>
        <v/>
      </c>
      <c r="BJ426" s="69" t="str">
        <f>IFERROR(VLOOKUP($AQ426,'(勿動)組件目錄表'!$D$15:$R$1094,14,FALSE),"")</f>
        <v/>
      </c>
      <c r="BK426" s="69" t="str">
        <f>IFERROR(VLOOKUP($AQ426,'(勿動)組件目錄表'!$D$15:$R$1094,15,FALSE),"")</f>
        <v/>
      </c>
      <c r="BL426" s="81">
        <f ca="1">IFERROR(__xludf.DUMMYFUNCTION("IFERROR(
  LET(
    rowData, FILTER('(勿動)組件目錄表'!J:Q, '(勿動)組件目錄表'!D:D=AQ426),
    IF(ROWS(rowData)=0, 0, 
      (
        IF(AND(BC426&lt;&gt;"""", INDEX(rowData,1,1)=BC426),1,0) +
        IF(AND(BD426&lt;&gt;"""", INDEX(rowData,1,2)=BD426),1,0) +
        IF(AND(BE426"&amp;"&lt;&gt;"""", INDEX(rowData,1,3)=BE426),1,0) +
        IF(AND(BF426&lt;&gt;"""", INDEX(rowData,1,4)=BF426),1,0) +
        IF(AND(BG426&lt;&gt;"""", INDEX(rowData,1,5)=BG426),1,0) +
        IF(AND(BH426&lt;&gt;"""", INDEX(rowData,1,6)=BH426),1,0) +
        IF(AND(BI426&lt;&gt;"""", IND"&amp;"EX(rowData,1,7)=BI426),1,0) +
        IF(AND(BJ426&lt;&gt;"""", INDEX(rowData,1,8)=BJ426),1,0)
      ) - COUNTIF(BC426:BJ426, ""-"")
        - COUNTIF(BC426:BJ426, ""固定格式，不需提供資訊"")
        - COUNTIF(BC426:BJ426, ""由MKT更新，此欄位固定格式，不需提供資訊
(Voucher CID：12917705872)"&amp;""")
        - COUNTIF(BC426:BJ426, ""text固定為以下：
※直播間僅支援手機版"")
        - COUNTIF(BC426:BJ426, ""text固定為以下：
※短影音僅支援手機版"")
    )
  ), 
  0
)
"),0)</f>
        <v>0</v>
      </c>
      <c r="BM426" s="77" t="b">
        <v>0</v>
      </c>
      <c r="BN426" s="85"/>
      <c r="BO426" s="85"/>
    </row>
    <row r="427" spans="1:67" ht="30" customHeight="1">
      <c r="A427" s="73" t="str">
        <f t="array" aca="1" ref="A427" ca="1">IFERROR(TRANSPOSE(INDIRECT('MS section版配(Old)'!$AO427)),"")</f>
        <v/>
      </c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8"/>
      <c r="P427" s="88"/>
      <c r="Q427" s="88"/>
      <c r="R427" s="88"/>
      <c r="S427" s="88"/>
      <c r="T427" s="88"/>
      <c r="U427" s="88"/>
      <c r="V427" s="88"/>
      <c r="W427" s="88"/>
      <c r="X427" s="88"/>
      <c r="Y427" s="88"/>
      <c r="Z427" s="88"/>
      <c r="AA427" s="88"/>
      <c r="AB427" s="88"/>
      <c r="AC427" s="88"/>
      <c r="AD427" s="88"/>
      <c r="AE427" s="397" t="str">
        <f>IFERROR(VLOOKUP($AQ427,'(勿動)組件目錄表'!$D$15:$R$1094,4,FALSE),"")</f>
        <v/>
      </c>
      <c r="AF427" s="384"/>
      <c r="AG427" s="384"/>
      <c r="AH427" s="384"/>
      <c r="AI427" s="384"/>
      <c r="AJ427" s="385"/>
      <c r="AK427" s="54" t="b">
        <v>0</v>
      </c>
      <c r="AL427" s="54" t="b">
        <v>0</v>
      </c>
      <c r="AM427" s="54"/>
      <c r="AN427" s="7" t="str">
        <v>419</v>
      </c>
      <c r="AO427" s="7"/>
      <c r="AP427" s="62"/>
      <c r="AQ427" s="75" t="str">
        <v/>
      </c>
      <c r="AR427" s="75" t="str">
        <v>-</v>
      </c>
      <c r="AS427" s="11"/>
      <c r="AT427" s="77" t="str">
        <v>-</v>
      </c>
      <c r="AU427" s="11" t="str">
        <v>-</v>
      </c>
      <c r="AV427" s="100"/>
      <c r="AW427" s="80" t="str">
        <f ca="1"/>
        <v>-</v>
      </c>
      <c r="AX427" s="80" t="b">
        <v>0</v>
      </c>
      <c r="AY427" s="68" t="str">
        <f t="shared" si="4"/>
        <v/>
      </c>
      <c r="AZ427" s="69" t="str">
        <f t="shared" si="5"/>
        <v/>
      </c>
      <c r="BA427" s="70" t="str">
        <f t="shared" si="6"/>
        <v/>
      </c>
      <c r="BB427" s="68" t="str">
        <f t="shared" si="7"/>
        <v/>
      </c>
      <c r="BC427" s="69" t="str">
        <f>IFERROR(VLOOKUP($AQ427,'(勿動)組件目錄表'!$D$15:$R$1094,7,FALSE),"")</f>
        <v/>
      </c>
      <c r="BD427" s="69" t="str">
        <f>IFERROR(VLOOKUP($AQ427,'(勿動)組件目錄表'!$D$15:$R$1094,8,FALSE),"")</f>
        <v/>
      </c>
      <c r="BE427" s="69" t="str">
        <f>IFERROR(VLOOKUP($AQ427,'(勿動)組件目錄表'!$D$15:$R$1094,9,FALSE),"")</f>
        <v/>
      </c>
      <c r="BF427" s="69" t="str">
        <f>IFERROR(VLOOKUP($AQ427,'(勿動)組件目錄表'!$D$15:$R$1094,10,FALSE),"")</f>
        <v/>
      </c>
      <c r="BG427" s="69" t="str">
        <f>IFERROR(VLOOKUP($AQ427,'(勿動)組件目錄表'!$D$15:$R$1094,11,FALSE),"")</f>
        <v/>
      </c>
      <c r="BH427" s="69" t="str">
        <f>IFERROR(VLOOKUP($AQ427,'(勿動)組件目錄表'!$D$15:$R$1094,12,FALSE),"")</f>
        <v/>
      </c>
      <c r="BI427" s="69" t="str">
        <f>IFERROR(VLOOKUP($AQ427,'(勿動)組件目錄表'!$D$15:$R$1094,13,FALSE),"")</f>
        <v/>
      </c>
      <c r="BJ427" s="69" t="str">
        <f>IFERROR(VLOOKUP($AQ427,'(勿動)組件目錄表'!$D$15:$R$1094,14,FALSE),"")</f>
        <v/>
      </c>
      <c r="BK427" s="69" t="str">
        <f>IFERROR(VLOOKUP($AQ427,'(勿動)組件目錄表'!$D$15:$R$1094,15,FALSE),"")</f>
        <v/>
      </c>
      <c r="BL427" s="81">
        <f ca="1">IFERROR(__xludf.DUMMYFUNCTION("IFERROR(
  LET(
    rowData, FILTER('(勿動)組件目錄表'!J:Q, '(勿動)組件目錄表'!D:D=AQ427),
    IF(ROWS(rowData)=0, 0, 
      (
        IF(AND(BC427&lt;&gt;"""", INDEX(rowData,1,1)=BC427),1,0) +
        IF(AND(BD427&lt;&gt;"""", INDEX(rowData,1,2)=BD427),1,0) +
        IF(AND(BE427"&amp;"&lt;&gt;"""", INDEX(rowData,1,3)=BE427),1,0) +
        IF(AND(BF427&lt;&gt;"""", INDEX(rowData,1,4)=BF427),1,0) +
        IF(AND(BG427&lt;&gt;"""", INDEX(rowData,1,5)=BG427),1,0) +
        IF(AND(BH427&lt;&gt;"""", INDEX(rowData,1,6)=BH427),1,0) +
        IF(AND(BI427&lt;&gt;"""", IND"&amp;"EX(rowData,1,7)=BI427),1,0) +
        IF(AND(BJ427&lt;&gt;"""", INDEX(rowData,1,8)=BJ427),1,0)
      ) - COUNTIF(BC427:BJ427, ""-"")
        - COUNTIF(BC427:BJ427, ""固定格式，不需提供資訊"")
        - COUNTIF(BC427:BJ427, ""由MKT更新，此欄位固定格式，不需提供資訊
(Voucher CID：12917705872)"&amp;""")
        - COUNTIF(BC427:BJ427, ""text固定為以下：
※直播間僅支援手機版"")
        - COUNTIF(BC427:BJ427, ""text固定為以下：
※短影音僅支援手機版"")
    )
  ), 
  0
)
"),0)</f>
        <v>0</v>
      </c>
      <c r="BM427" s="77" t="b">
        <v>0</v>
      </c>
      <c r="BN427" s="85"/>
      <c r="BO427" s="85"/>
    </row>
    <row r="428" spans="1:67" ht="30" customHeight="1">
      <c r="A428" s="73" t="str">
        <f t="array" aca="1" ref="A428" ca="1">IFERROR(TRANSPOSE(INDIRECT('MS section版配(Old)'!$AO428)),"")</f>
        <v/>
      </c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8"/>
      <c r="P428" s="88"/>
      <c r="Q428" s="88"/>
      <c r="R428" s="88"/>
      <c r="S428" s="88"/>
      <c r="T428" s="88"/>
      <c r="U428" s="88"/>
      <c r="V428" s="88"/>
      <c r="W428" s="88"/>
      <c r="X428" s="88"/>
      <c r="Y428" s="88"/>
      <c r="Z428" s="88"/>
      <c r="AA428" s="88"/>
      <c r="AB428" s="88"/>
      <c r="AC428" s="88"/>
      <c r="AD428" s="88"/>
      <c r="AE428" s="397" t="str">
        <f>IFERROR(VLOOKUP($AQ428,'(勿動)組件目錄表'!$D$15:$R$1094,4,FALSE),"")</f>
        <v/>
      </c>
      <c r="AF428" s="384"/>
      <c r="AG428" s="384"/>
      <c r="AH428" s="384"/>
      <c r="AI428" s="384"/>
      <c r="AJ428" s="385"/>
      <c r="AK428" s="54" t="b">
        <v>0</v>
      </c>
      <c r="AL428" s="54" t="b">
        <v>0</v>
      </c>
      <c r="AM428" s="54"/>
      <c r="AN428" s="7" t="str">
        <v>420</v>
      </c>
      <c r="AO428" s="7"/>
      <c r="AP428" s="62"/>
      <c r="AQ428" s="75" t="str">
        <v/>
      </c>
      <c r="AR428" s="75" t="str">
        <v>-</v>
      </c>
      <c r="AS428" s="11"/>
      <c r="AT428" s="77" t="str">
        <v>-</v>
      </c>
      <c r="AU428" s="11" t="str">
        <v>-</v>
      </c>
      <c r="AV428" s="100"/>
      <c r="AW428" s="80" t="str">
        <f ca="1"/>
        <v>-</v>
      </c>
      <c r="AX428" s="80" t="b">
        <v>0</v>
      </c>
      <c r="AY428" s="68" t="str">
        <f t="shared" si="4"/>
        <v/>
      </c>
      <c r="AZ428" s="69" t="str">
        <f t="shared" si="5"/>
        <v/>
      </c>
      <c r="BA428" s="70" t="str">
        <f t="shared" si="6"/>
        <v/>
      </c>
      <c r="BB428" s="68" t="str">
        <f t="shared" si="7"/>
        <v/>
      </c>
      <c r="BC428" s="69" t="str">
        <f>IFERROR(VLOOKUP($AQ428,'(勿動)組件目錄表'!$D$15:$R$1094,7,FALSE),"")</f>
        <v/>
      </c>
      <c r="BD428" s="69" t="str">
        <f>IFERROR(VLOOKUP($AQ428,'(勿動)組件目錄表'!$D$15:$R$1094,8,FALSE),"")</f>
        <v/>
      </c>
      <c r="BE428" s="69" t="str">
        <f>IFERROR(VLOOKUP($AQ428,'(勿動)組件目錄表'!$D$15:$R$1094,9,FALSE),"")</f>
        <v/>
      </c>
      <c r="BF428" s="69" t="str">
        <f>IFERROR(VLOOKUP($AQ428,'(勿動)組件目錄表'!$D$15:$R$1094,10,FALSE),"")</f>
        <v/>
      </c>
      <c r="BG428" s="69" t="str">
        <f>IFERROR(VLOOKUP($AQ428,'(勿動)組件目錄表'!$D$15:$R$1094,11,FALSE),"")</f>
        <v/>
      </c>
      <c r="BH428" s="69" t="str">
        <f>IFERROR(VLOOKUP($AQ428,'(勿動)組件目錄表'!$D$15:$R$1094,12,FALSE),"")</f>
        <v/>
      </c>
      <c r="BI428" s="69" t="str">
        <f>IFERROR(VLOOKUP($AQ428,'(勿動)組件目錄表'!$D$15:$R$1094,13,FALSE),"")</f>
        <v/>
      </c>
      <c r="BJ428" s="69" t="str">
        <f>IFERROR(VLOOKUP($AQ428,'(勿動)組件目錄表'!$D$15:$R$1094,14,FALSE),"")</f>
        <v/>
      </c>
      <c r="BK428" s="69" t="str">
        <f>IFERROR(VLOOKUP($AQ428,'(勿動)組件目錄表'!$D$15:$R$1094,15,FALSE),"")</f>
        <v/>
      </c>
      <c r="BL428" s="81">
        <f ca="1">IFERROR(__xludf.DUMMYFUNCTION("IFERROR(
  LET(
    rowData, FILTER('(勿動)組件目錄表'!J:Q, '(勿動)組件目錄表'!D:D=AQ428),
    IF(ROWS(rowData)=0, 0, 
      (
        IF(AND(BC428&lt;&gt;"""", INDEX(rowData,1,1)=BC428),1,0) +
        IF(AND(BD428&lt;&gt;"""", INDEX(rowData,1,2)=BD428),1,0) +
        IF(AND(BE428"&amp;"&lt;&gt;"""", INDEX(rowData,1,3)=BE428),1,0) +
        IF(AND(BF428&lt;&gt;"""", INDEX(rowData,1,4)=BF428),1,0) +
        IF(AND(BG428&lt;&gt;"""", INDEX(rowData,1,5)=BG428),1,0) +
        IF(AND(BH428&lt;&gt;"""", INDEX(rowData,1,6)=BH428),1,0) +
        IF(AND(BI428&lt;&gt;"""", IND"&amp;"EX(rowData,1,7)=BI428),1,0) +
        IF(AND(BJ428&lt;&gt;"""", INDEX(rowData,1,8)=BJ428),1,0)
      ) - COUNTIF(BC428:BJ428, ""-"")
        - COUNTIF(BC428:BJ428, ""固定格式，不需提供資訊"")
        - COUNTIF(BC428:BJ428, ""由MKT更新，此欄位固定格式，不需提供資訊
(Voucher CID：12917705872)"&amp;""")
        - COUNTIF(BC428:BJ428, ""text固定為以下：
※直播間僅支援手機版"")
        - COUNTIF(BC428:BJ428, ""text固定為以下：
※短影音僅支援手機版"")
    )
  ), 
  0
)
"),0)</f>
        <v>0</v>
      </c>
      <c r="BM428" s="77" t="b">
        <v>0</v>
      </c>
      <c r="BN428" s="85"/>
      <c r="BO428" s="85"/>
    </row>
    <row r="429" spans="1:67" ht="30" customHeight="1">
      <c r="A429" s="73" t="str">
        <f t="array" aca="1" ref="A429" ca="1">IFERROR(TRANSPOSE(INDIRECT('MS section版配(Old)'!$AO429)),"")</f>
        <v/>
      </c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8"/>
      <c r="V429" s="88"/>
      <c r="W429" s="88"/>
      <c r="X429" s="88"/>
      <c r="Y429" s="88"/>
      <c r="Z429" s="88"/>
      <c r="AA429" s="88"/>
      <c r="AB429" s="88"/>
      <c r="AC429" s="88"/>
      <c r="AD429" s="88"/>
      <c r="AE429" s="397" t="str">
        <f>IFERROR(VLOOKUP($AQ429,'(勿動)組件目錄表'!$D$15:$R$1094,4,FALSE),"")</f>
        <v/>
      </c>
      <c r="AF429" s="384"/>
      <c r="AG429" s="384"/>
      <c r="AH429" s="384"/>
      <c r="AI429" s="384"/>
      <c r="AJ429" s="385"/>
      <c r="AK429" s="54" t="b">
        <v>0</v>
      </c>
      <c r="AL429" s="54" t="b">
        <v>0</v>
      </c>
      <c r="AM429" s="54"/>
      <c r="AN429" s="7" t="str">
        <v>421</v>
      </c>
      <c r="AO429" s="7"/>
      <c r="AP429" s="62"/>
      <c r="AQ429" s="75" t="str">
        <v/>
      </c>
      <c r="AR429" s="75" t="str">
        <v>-</v>
      </c>
      <c r="AS429" s="11"/>
      <c r="AT429" s="77" t="str">
        <v>-</v>
      </c>
      <c r="AU429" s="11" t="str">
        <v>-</v>
      </c>
      <c r="AV429" s="100"/>
      <c r="AW429" s="80" t="str">
        <f ca="1"/>
        <v>-</v>
      </c>
      <c r="AX429" s="80" t="b">
        <v>0</v>
      </c>
      <c r="AY429" s="68" t="str">
        <f t="shared" si="4"/>
        <v/>
      </c>
      <c r="AZ429" s="69" t="str">
        <f t="shared" si="5"/>
        <v/>
      </c>
      <c r="BA429" s="70" t="str">
        <f t="shared" si="6"/>
        <v/>
      </c>
      <c r="BB429" s="68" t="str">
        <f t="shared" si="7"/>
        <v/>
      </c>
      <c r="BC429" s="69" t="str">
        <f>IFERROR(VLOOKUP($AQ429,'(勿動)組件目錄表'!$D$15:$R$1094,7,FALSE),"")</f>
        <v/>
      </c>
      <c r="BD429" s="69" t="str">
        <f>IFERROR(VLOOKUP($AQ429,'(勿動)組件目錄表'!$D$15:$R$1094,8,FALSE),"")</f>
        <v/>
      </c>
      <c r="BE429" s="69" t="str">
        <f>IFERROR(VLOOKUP($AQ429,'(勿動)組件目錄表'!$D$15:$R$1094,9,FALSE),"")</f>
        <v/>
      </c>
      <c r="BF429" s="69" t="str">
        <f>IFERROR(VLOOKUP($AQ429,'(勿動)組件目錄表'!$D$15:$R$1094,10,FALSE),"")</f>
        <v/>
      </c>
      <c r="BG429" s="69" t="str">
        <f>IFERROR(VLOOKUP($AQ429,'(勿動)組件目錄表'!$D$15:$R$1094,11,FALSE),"")</f>
        <v/>
      </c>
      <c r="BH429" s="69" t="str">
        <f>IFERROR(VLOOKUP($AQ429,'(勿動)組件目錄表'!$D$15:$R$1094,12,FALSE),"")</f>
        <v/>
      </c>
      <c r="BI429" s="69" t="str">
        <f>IFERROR(VLOOKUP($AQ429,'(勿動)組件目錄表'!$D$15:$R$1094,13,FALSE),"")</f>
        <v/>
      </c>
      <c r="BJ429" s="69" t="str">
        <f>IFERROR(VLOOKUP($AQ429,'(勿動)組件目錄表'!$D$15:$R$1094,14,FALSE),"")</f>
        <v/>
      </c>
      <c r="BK429" s="69" t="str">
        <f>IFERROR(VLOOKUP($AQ429,'(勿動)組件目錄表'!$D$15:$R$1094,15,FALSE),"")</f>
        <v/>
      </c>
      <c r="BL429" s="81">
        <f ca="1">IFERROR(__xludf.DUMMYFUNCTION("IFERROR(
  LET(
    rowData, FILTER('(勿動)組件目錄表'!J:Q, '(勿動)組件目錄表'!D:D=AQ429),
    IF(ROWS(rowData)=0, 0, 
      (
        IF(AND(BC429&lt;&gt;"""", INDEX(rowData,1,1)=BC429),1,0) +
        IF(AND(BD429&lt;&gt;"""", INDEX(rowData,1,2)=BD429),1,0) +
        IF(AND(BE429"&amp;"&lt;&gt;"""", INDEX(rowData,1,3)=BE429),1,0) +
        IF(AND(BF429&lt;&gt;"""", INDEX(rowData,1,4)=BF429),1,0) +
        IF(AND(BG429&lt;&gt;"""", INDEX(rowData,1,5)=BG429),1,0) +
        IF(AND(BH429&lt;&gt;"""", INDEX(rowData,1,6)=BH429),1,0) +
        IF(AND(BI429&lt;&gt;"""", IND"&amp;"EX(rowData,1,7)=BI429),1,0) +
        IF(AND(BJ429&lt;&gt;"""", INDEX(rowData,1,8)=BJ429),1,0)
      ) - COUNTIF(BC429:BJ429, ""-"")
        - COUNTIF(BC429:BJ429, ""固定格式，不需提供資訊"")
        - COUNTIF(BC429:BJ429, ""由MKT更新，此欄位固定格式，不需提供資訊
(Voucher CID：12917705872)"&amp;""")
        - COUNTIF(BC429:BJ429, ""text固定為以下：
※直播間僅支援手機版"")
        - COUNTIF(BC429:BJ429, ""text固定為以下：
※短影音僅支援手機版"")
    )
  ), 
  0
)
"),0)</f>
        <v>0</v>
      </c>
      <c r="BM429" s="77" t="b">
        <v>0</v>
      </c>
      <c r="BN429" s="85"/>
      <c r="BO429" s="85"/>
    </row>
    <row r="430" spans="1:67" ht="30" customHeight="1">
      <c r="A430" s="73" t="str">
        <f t="array" aca="1" ref="A430" ca="1">IFERROR(TRANSPOSE(INDIRECT('MS section版配(Old)'!$AO430)),"")</f>
        <v/>
      </c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8"/>
      <c r="P430" s="88"/>
      <c r="Q430" s="88"/>
      <c r="R430" s="88"/>
      <c r="S430" s="88"/>
      <c r="T430" s="88"/>
      <c r="U430" s="88"/>
      <c r="V430" s="88"/>
      <c r="W430" s="88"/>
      <c r="X430" s="88"/>
      <c r="Y430" s="88"/>
      <c r="Z430" s="88"/>
      <c r="AA430" s="88"/>
      <c r="AB430" s="88"/>
      <c r="AC430" s="88"/>
      <c r="AD430" s="88"/>
      <c r="AE430" s="397" t="str">
        <f>IFERROR(VLOOKUP($AQ430,'(勿動)組件目錄表'!$D$15:$R$1094,4,FALSE),"")</f>
        <v/>
      </c>
      <c r="AF430" s="384"/>
      <c r="AG430" s="384"/>
      <c r="AH430" s="384"/>
      <c r="AI430" s="384"/>
      <c r="AJ430" s="385"/>
      <c r="AK430" s="54" t="b">
        <v>0</v>
      </c>
      <c r="AL430" s="54" t="b">
        <v>0</v>
      </c>
      <c r="AM430" s="54"/>
      <c r="AN430" s="7" t="str">
        <v>422</v>
      </c>
      <c r="AO430" s="7"/>
      <c r="AP430" s="62"/>
      <c r="AQ430" s="75" t="str">
        <v/>
      </c>
      <c r="AR430" s="75" t="str">
        <v>-</v>
      </c>
      <c r="AS430" s="11"/>
      <c r="AT430" s="77" t="str">
        <v>-</v>
      </c>
      <c r="AU430" s="11" t="str">
        <v>-</v>
      </c>
      <c r="AV430" s="100"/>
      <c r="AW430" s="80" t="str">
        <f ca="1"/>
        <v>-</v>
      </c>
      <c r="AX430" s="80" t="b">
        <v>0</v>
      </c>
      <c r="AY430" s="68" t="str">
        <f t="shared" si="4"/>
        <v/>
      </c>
      <c r="AZ430" s="69" t="str">
        <f t="shared" si="5"/>
        <v/>
      </c>
      <c r="BA430" s="70" t="str">
        <f t="shared" si="6"/>
        <v/>
      </c>
      <c r="BB430" s="68" t="str">
        <f t="shared" si="7"/>
        <v/>
      </c>
      <c r="BC430" s="69" t="str">
        <f>IFERROR(VLOOKUP($AQ430,'(勿動)組件目錄表'!$D$15:$R$1094,7,FALSE),"")</f>
        <v/>
      </c>
      <c r="BD430" s="69" t="str">
        <f>IFERROR(VLOOKUP($AQ430,'(勿動)組件目錄表'!$D$15:$R$1094,8,FALSE),"")</f>
        <v/>
      </c>
      <c r="BE430" s="69" t="str">
        <f>IFERROR(VLOOKUP($AQ430,'(勿動)組件目錄表'!$D$15:$R$1094,9,FALSE),"")</f>
        <v/>
      </c>
      <c r="BF430" s="69" t="str">
        <f>IFERROR(VLOOKUP($AQ430,'(勿動)組件目錄表'!$D$15:$R$1094,10,FALSE),"")</f>
        <v/>
      </c>
      <c r="BG430" s="69" t="str">
        <f>IFERROR(VLOOKUP($AQ430,'(勿動)組件目錄表'!$D$15:$R$1094,11,FALSE),"")</f>
        <v/>
      </c>
      <c r="BH430" s="69" t="str">
        <f>IFERROR(VLOOKUP($AQ430,'(勿動)組件目錄表'!$D$15:$R$1094,12,FALSE),"")</f>
        <v/>
      </c>
      <c r="BI430" s="69" t="str">
        <f>IFERROR(VLOOKUP($AQ430,'(勿動)組件目錄表'!$D$15:$R$1094,13,FALSE),"")</f>
        <v/>
      </c>
      <c r="BJ430" s="69" t="str">
        <f>IFERROR(VLOOKUP($AQ430,'(勿動)組件目錄表'!$D$15:$R$1094,14,FALSE),"")</f>
        <v/>
      </c>
      <c r="BK430" s="69" t="str">
        <f>IFERROR(VLOOKUP($AQ430,'(勿動)組件目錄表'!$D$15:$R$1094,15,FALSE),"")</f>
        <v/>
      </c>
      <c r="BL430" s="81">
        <f ca="1">IFERROR(__xludf.DUMMYFUNCTION("IFERROR(
  LET(
    rowData, FILTER('(勿動)組件目錄表'!J:Q, '(勿動)組件目錄表'!D:D=AQ430),
    IF(ROWS(rowData)=0, 0, 
      (
        IF(AND(BC430&lt;&gt;"""", INDEX(rowData,1,1)=BC430),1,0) +
        IF(AND(BD430&lt;&gt;"""", INDEX(rowData,1,2)=BD430),1,0) +
        IF(AND(BE430"&amp;"&lt;&gt;"""", INDEX(rowData,1,3)=BE430),1,0) +
        IF(AND(BF430&lt;&gt;"""", INDEX(rowData,1,4)=BF430),1,0) +
        IF(AND(BG430&lt;&gt;"""", INDEX(rowData,1,5)=BG430),1,0) +
        IF(AND(BH430&lt;&gt;"""", INDEX(rowData,1,6)=BH430),1,0) +
        IF(AND(BI430&lt;&gt;"""", IND"&amp;"EX(rowData,1,7)=BI430),1,0) +
        IF(AND(BJ430&lt;&gt;"""", INDEX(rowData,1,8)=BJ430),1,0)
      ) - COUNTIF(BC430:BJ430, ""-"")
        - COUNTIF(BC430:BJ430, ""固定格式，不需提供資訊"")
        - COUNTIF(BC430:BJ430, ""由MKT更新，此欄位固定格式，不需提供資訊
(Voucher CID：12917705872)"&amp;""")
        - COUNTIF(BC430:BJ430, ""text固定為以下：
※直播間僅支援手機版"")
        - COUNTIF(BC430:BJ430, ""text固定為以下：
※短影音僅支援手機版"")
    )
  ), 
  0
)
"),0)</f>
        <v>0</v>
      </c>
      <c r="BM430" s="77" t="b">
        <v>0</v>
      </c>
      <c r="BN430" s="85"/>
      <c r="BO430" s="85"/>
    </row>
    <row r="431" spans="1:67" ht="30" customHeight="1">
      <c r="A431" s="73" t="str">
        <f t="array" aca="1" ref="A431" ca="1">IFERROR(TRANSPOSE(INDIRECT('MS section版配(Old)'!$AO431)),"")</f>
        <v/>
      </c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8"/>
      <c r="P431" s="88"/>
      <c r="Q431" s="88"/>
      <c r="R431" s="88"/>
      <c r="S431" s="88"/>
      <c r="T431" s="88"/>
      <c r="U431" s="88"/>
      <c r="V431" s="88"/>
      <c r="W431" s="88"/>
      <c r="X431" s="88"/>
      <c r="Y431" s="88"/>
      <c r="Z431" s="88"/>
      <c r="AA431" s="88"/>
      <c r="AB431" s="88"/>
      <c r="AC431" s="88"/>
      <c r="AD431" s="88"/>
      <c r="AE431" s="397" t="str">
        <f>IFERROR(VLOOKUP($AQ431,'(勿動)組件目錄表'!$D$15:$R$1094,4,FALSE),"")</f>
        <v/>
      </c>
      <c r="AF431" s="384"/>
      <c r="AG431" s="384"/>
      <c r="AH431" s="384"/>
      <c r="AI431" s="384"/>
      <c r="AJ431" s="385"/>
      <c r="AK431" s="54" t="b">
        <v>0</v>
      </c>
      <c r="AL431" s="54" t="b">
        <v>0</v>
      </c>
      <c r="AM431" s="54"/>
      <c r="AN431" s="7" t="str">
        <v>423</v>
      </c>
      <c r="AO431" s="7"/>
      <c r="AP431" s="62"/>
      <c r="AQ431" s="75" t="str">
        <v/>
      </c>
      <c r="AR431" s="75" t="str">
        <v>-</v>
      </c>
      <c r="AS431" s="11"/>
      <c r="AT431" s="77" t="str">
        <v>-</v>
      </c>
      <c r="AU431" s="11" t="str">
        <v>-</v>
      </c>
      <c r="AV431" s="100"/>
      <c r="AW431" s="80" t="str">
        <f ca="1"/>
        <v>-</v>
      </c>
      <c r="AX431" s="80" t="b">
        <v>0</v>
      </c>
      <c r="AY431" s="68" t="str">
        <f t="shared" si="4"/>
        <v/>
      </c>
      <c r="AZ431" s="69" t="str">
        <f t="shared" si="5"/>
        <v/>
      </c>
      <c r="BA431" s="70" t="str">
        <f t="shared" si="6"/>
        <v/>
      </c>
      <c r="BB431" s="68" t="str">
        <f t="shared" si="7"/>
        <v/>
      </c>
      <c r="BC431" s="69" t="str">
        <f>IFERROR(VLOOKUP($AQ431,'(勿動)組件目錄表'!$D$15:$R$1094,7,FALSE),"")</f>
        <v/>
      </c>
      <c r="BD431" s="69" t="str">
        <f>IFERROR(VLOOKUP($AQ431,'(勿動)組件目錄表'!$D$15:$R$1094,8,FALSE),"")</f>
        <v/>
      </c>
      <c r="BE431" s="69" t="str">
        <f>IFERROR(VLOOKUP($AQ431,'(勿動)組件目錄表'!$D$15:$R$1094,9,FALSE),"")</f>
        <v/>
      </c>
      <c r="BF431" s="69" t="str">
        <f>IFERROR(VLOOKUP($AQ431,'(勿動)組件目錄表'!$D$15:$R$1094,10,FALSE),"")</f>
        <v/>
      </c>
      <c r="BG431" s="69" t="str">
        <f>IFERROR(VLOOKUP($AQ431,'(勿動)組件目錄表'!$D$15:$R$1094,11,FALSE),"")</f>
        <v/>
      </c>
      <c r="BH431" s="69" t="str">
        <f>IFERROR(VLOOKUP($AQ431,'(勿動)組件目錄表'!$D$15:$R$1094,12,FALSE),"")</f>
        <v/>
      </c>
      <c r="BI431" s="69" t="str">
        <f>IFERROR(VLOOKUP($AQ431,'(勿動)組件目錄表'!$D$15:$R$1094,13,FALSE),"")</f>
        <v/>
      </c>
      <c r="BJ431" s="69" t="str">
        <f>IFERROR(VLOOKUP($AQ431,'(勿動)組件目錄表'!$D$15:$R$1094,14,FALSE),"")</f>
        <v/>
      </c>
      <c r="BK431" s="69" t="str">
        <f>IFERROR(VLOOKUP($AQ431,'(勿動)組件目錄表'!$D$15:$R$1094,15,FALSE),"")</f>
        <v/>
      </c>
      <c r="BL431" s="81">
        <f ca="1">IFERROR(__xludf.DUMMYFUNCTION("IFERROR(
  LET(
    rowData, FILTER('(勿動)組件目錄表'!J:Q, '(勿動)組件目錄表'!D:D=AQ431),
    IF(ROWS(rowData)=0, 0, 
      (
        IF(AND(BC431&lt;&gt;"""", INDEX(rowData,1,1)=BC431),1,0) +
        IF(AND(BD431&lt;&gt;"""", INDEX(rowData,1,2)=BD431),1,0) +
        IF(AND(BE431"&amp;"&lt;&gt;"""", INDEX(rowData,1,3)=BE431),1,0) +
        IF(AND(BF431&lt;&gt;"""", INDEX(rowData,1,4)=BF431),1,0) +
        IF(AND(BG431&lt;&gt;"""", INDEX(rowData,1,5)=BG431),1,0) +
        IF(AND(BH431&lt;&gt;"""", INDEX(rowData,1,6)=BH431),1,0) +
        IF(AND(BI431&lt;&gt;"""", IND"&amp;"EX(rowData,1,7)=BI431),1,0) +
        IF(AND(BJ431&lt;&gt;"""", INDEX(rowData,1,8)=BJ431),1,0)
      ) - COUNTIF(BC431:BJ431, ""-"")
        - COUNTIF(BC431:BJ431, ""固定格式，不需提供資訊"")
        - COUNTIF(BC431:BJ431, ""由MKT更新，此欄位固定格式，不需提供資訊
(Voucher CID：12917705872)"&amp;""")
        - COUNTIF(BC431:BJ431, ""text固定為以下：
※直播間僅支援手機版"")
        - COUNTIF(BC431:BJ431, ""text固定為以下：
※短影音僅支援手機版"")
    )
  ), 
  0
)
"),0)</f>
        <v>0</v>
      </c>
      <c r="BM431" s="77" t="b">
        <v>0</v>
      </c>
      <c r="BN431" s="85"/>
      <c r="BO431" s="85"/>
    </row>
    <row r="432" spans="1:67" ht="30" customHeight="1">
      <c r="A432" s="73" t="str">
        <f t="array" aca="1" ref="A432" ca="1">IFERROR(TRANSPOSE(INDIRECT('MS section版配(Old)'!$AO432)),"")</f>
        <v/>
      </c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8"/>
      <c r="P432" s="88"/>
      <c r="Q432" s="88"/>
      <c r="R432" s="88"/>
      <c r="S432" s="88"/>
      <c r="T432" s="88"/>
      <c r="U432" s="88"/>
      <c r="V432" s="88"/>
      <c r="W432" s="88"/>
      <c r="X432" s="88"/>
      <c r="Y432" s="88"/>
      <c r="Z432" s="88"/>
      <c r="AA432" s="88"/>
      <c r="AB432" s="88"/>
      <c r="AC432" s="88"/>
      <c r="AD432" s="88"/>
      <c r="AE432" s="397" t="str">
        <f>IFERROR(VLOOKUP($AQ432,'(勿動)組件目錄表'!$D$15:$R$1094,4,FALSE),"")</f>
        <v/>
      </c>
      <c r="AF432" s="384"/>
      <c r="AG432" s="384"/>
      <c r="AH432" s="384"/>
      <c r="AI432" s="384"/>
      <c r="AJ432" s="385"/>
      <c r="AK432" s="54" t="b">
        <v>0</v>
      </c>
      <c r="AL432" s="54" t="b">
        <v>0</v>
      </c>
      <c r="AM432" s="54"/>
      <c r="AN432" s="7" t="str">
        <v>424</v>
      </c>
      <c r="AO432" s="7"/>
      <c r="AP432" s="62"/>
      <c r="AQ432" s="75" t="str">
        <v/>
      </c>
      <c r="AR432" s="75" t="str">
        <v>-</v>
      </c>
      <c r="AS432" s="11"/>
      <c r="AT432" s="77" t="str">
        <v>-</v>
      </c>
      <c r="AU432" s="11" t="str">
        <v>-</v>
      </c>
      <c r="AV432" s="100"/>
      <c r="AW432" s="80" t="str">
        <f ca="1"/>
        <v>-</v>
      </c>
      <c r="AX432" s="80" t="b">
        <v>0</v>
      </c>
      <c r="AY432" s="68" t="str">
        <f t="shared" si="4"/>
        <v/>
      </c>
      <c r="AZ432" s="69" t="str">
        <f t="shared" si="5"/>
        <v/>
      </c>
      <c r="BA432" s="70" t="str">
        <f t="shared" si="6"/>
        <v/>
      </c>
      <c r="BB432" s="68" t="str">
        <f t="shared" si="7"/>
        <v/>
      </c>
      <c r="BC432" s="69" t="str">
        <f>IFERROR(VLOOKUP($AQ432,'(勿動)組件目錄表'!$D$15:$R$1094,7,FALSE),"")</f>
        <v/>
      </c>
      <c r="BD432" s="69" t="str">
        <f>IFERROR(VLOOKUP($AQ432,'(勿動)組件目錄表'!$D$15:$R$1094,8,FALSE),"")</f>
        <v/>
      </c>
      <c r="BE432" s="69" t="str">
        <f>IFERROR(VLOOKUP($AQ432,'(勿動)組件目錄表'!$D$15:$R$1094,9,FALSE),"")</f>
        <v/>
      </c>
      <c r="BF432" s="69" t="str">
        <f>IFERROR(VLOOKUP($AQ432,'(勿動)組件目錄表'!$D$15:$R$1094,10,FALSE),"")</f>
        <v/>
      </c>
      <c r="BG432" s="69" t="str">
        <f>IFERROR(VLOOKUP($AQ432,'(勿動)組件目錄表'!$D$15:$R$1094,11,FALSE),"")</f>
        <v/>
      </c>
      <c r="BH432" s="69" t="str">
        <f>IFERROR(VLOOKUP($AQ432,'(勿動)組件目錄表'!$D$15:$R$1094,12,FALSE),"")</f>
        <v/>
      </c>
      <c r="BI432" s="69" t="str">
        <f>IFERROR(VLOOKUP($AQ432,'(勿動)組件目錄表'!$D$15:$R$1094,13,FALSE),"")</f>
        <v/>
      </c>
      <c r="BJ432" s="69" t="str">
        <f>IFERROR(VLOOKUP($AQ432,'(勿動)組件目錄表'!$D$15:$R$1094,14,FALSE),"")</f>
        <v/>
      </c>
      <c r="BK432" s="69" t="str">
        <f>IFERROR(VLOOKUP($AQ432,'(勿動)組件目錄表'!$D$15:$R$1094,15,FALSE),"")</f>
        <v/>
      </c>
      <c r="BL432" s="81">
        <f ca="1">IFERROR(__xludf.DUMMYFUNCTION("IFERROR(
  LET(
    rowData, FILTER('(勿動)組件目錄表'!J:Q, '(勿動)組件目錄表'!D:D=AQ432),
    IF(ROWS(rowData)=0, 0, 
      (
        IF(AND(BC432&lt;&gt;"""", INDEX(rowData,1,1)=BC432),1,0) +
        IF(AND(BD432&lt;&gt;"""", INDEX(rowData,1,2)=BD432),1,0) +
        IF(AND(BE432"&amp;"&lt;&gt;"""", INDEX(rowData,1,3)=BE432),1,0) +
        IF(AND(BF432&lt;&gt;"""", INDEX(rowData,1,4)=BF432),1,0) +
        IF(AND(BG432&lt;&gt;"""", INDEX(rowData,1,5)=BG432),1,0) +
        IF(AND(BH432&lt;&gt;"""", INDEX(rowData,1,6)=BH432),1,0) +
        IF(AND(BI432&lt;&gt;"""", IND"&amp;"EX(rowData,1,7)=BI432),1,0) +
        IF(AND(BJ432&lt;&gt;"""", INDEX(rowData,1,8)=BJ432),1,0)
      ) - COUNTIF(BC432:BJ432, ""-"")
        - COUNTIF(BC432:BJ432, ""固定格式，不需提供資訊"")
        - COUNTIF(BC432:BJ432, ""由MKT更新，此欄位固定格式，不需提供資訊
(Voucher CID：12917705872)"&amp;""")
        - COUNTIF(BC432:BJ432, ""text固定為以下：
※直播間僅支援手機版"")
        - COUNTIF(BC432:BJ432, ""text固定為以下：
※短影音僅支援手機版"")
    )
  ), 
  0
)
"),0)</f>
        <v>0</v>
      </c>
      <c r="BM432" s="77" t="b">
        <v>0</v>
      </c>
      <c r="BN432" s="85"/>
      <c r="BO432" s="85"/>
    </row>
    <row r="433" spans="1:67" ht="30" customHeight="1">
      <c r="A433" s="73" t="str">
        <f t="array" aca="1" ref="A433" ca="1">IFERROR(TRANSPOSE(INDIRECT('MS section版配(Old)'!$AO433)),"")</f>
        <v/>
      </c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8"/>
      <c r="P433" s="88"/>
      <c r="Q433" s="88"/>
      <c r="R433" s="88"/>
      <c r="S433" s="88"/>
      <c r="T433" s="88"/>
      <c r="U433" s="88"/>
      <c r="V433" s="88"/>
      <c r="W433" s="88"/>
      <c r="X433" s="88"/>
      <c r="Y433" s="88"/>
      <c r="Z433" s="88"/>
      <c r="AA433" s="88"/>
      <c r="AB433" s="88"/>
      <c r="AC433" s="88"/>
      <c r="AD433" s="88"/>
      <c r="AE433" s="397" t="str">
        <f>IFERROR(VLOOKUP($AQ433,'(勿動)組件目錄表'!$D$15:$R$1094,4,FALSE),"")</f>
        <v/>
      </c>
      <c r="AF433" s="384"/>
      <c r="AG433" s="384"/>
      <c r="AH433" s="384"/>
      <c r="AI433" s="384"/>
      <c r="AJ433" s="385"/>
      <c r="AK433" s="54" t="b">
        <v>0</v>
      </c>
      <c r="AL433" s="54" t="b">
        <v>0</v>
      </c>
      <c r="AM433" s="54"/>
      <c r="AN433" s="7" t="str">
        <v>425</v>
      </c>
      <c r="AO433" s="7"/>
      <c r="AP433" s="62"/>
      <c r="AQ433" s="75" t="str">
        <v/>
      </c>
      <c r="AR433" s="75" t="str">
        <v>-</v>
      </c>
      <c r="AS433" s="11"/>
      <c r="AT433" s="77" t="str">
        <v>-</v>
      </c>
      <c r="AU433" s="11" t="str">
        <v>-</v>
      </c>
      <c r="AV433" s="100"/>
      <c r="AW433" s="80" t="str">
        <f ca="1"/>
        <v>-</v>
      </c>
      <c r="AX433" s="80" t="b">
        <v>0</v>
      </c>
      <c r="AY433" s="68" t="str">
        <f t="shared" si="4"/>
        <v/>
      </c>
      <c r="AZ433" s="69" t="str">
        <f t="shared" si="5"/>
        <v/>
      </c>
      <c r="BA433" s="70" t="str">
        <f t="shared" si="6"/>
        <v/>
      </c>
      <c r="BB433" s="68" t="str">
        <f t="shared" si="7"/>
        <v/>
      </c>
      <c r="BC433" s="69" t="str">
        <f>IFERROR(VLOOKUP($AQ433,'(勿動)組件目錄表'!$D$15:$R$1094,7,FALSE),"")</f>
        <v/>
      </c>
      <c r="BD433" s="69" t="str">
        <f>IFERROR(VLOOKUP($AQ433,'(勿動)組件目錄表'!$D$15:$R$1094,8,FALSE),"")</f>
        <v/>
      </c>
      <c r="BE433" s="69" t="str">
        <f>IFERROR(VLOOKUP($AQ433,'(勿動)組件目錄表'!$D$15:$R$1094,9,FALSE),"")</f>
        <v/>
      </c>
      <c r="BF433" s="69" t="str">
        <f>IFERROR(VLOOKUP($AQ433,'(勿動)組件目錄表'!$D$15:$R$1094,10,FALSE),"")</f>
        <v/>
      </c>
      <c r="BG433" s="69" t="str">
        <f>IFERROR(VLOOKUP($AQ433,'(勿動)組件目錄表'!$D$15:$R$1094,11,FALSE),"")</f>
        <v/>
      </c>
      <c r="BH433" s="69" t="str">
        <f>IFERROR(VLOOKUP($AQ433,'(勿動)組件目錄表'!$D$15:$R$1094,12,FALSE),"")</f>
        <v/>
      </c>
      <c r="BI433" s="69" t="str">
        <f>IFERROR(VLOOKUP($AQ433,'(勿動)組件目錄表'!$D$15:$R$1094,13,FALSE),"")</f>
        <v/>
      </c>
      <c r="BJ433" s="69" t="str">
        <f>IFERROR(VLOOKUP($AQ433,'(勿動)組件目錄表'!$D$15:$R$1094,14,FALSE),"")</f>
        <v/>
      </c>
      <c r="BK433" s="69" t="str">
        <f>IFERROR(VLOOKUP($AQ433,'(勿動)組件目錄表'!$D$15:$R$1094,15,FALSE),"")</f>
        <v/>
      </c>
      <c r="BL433" s="81">
        <f ca="1">IFERROR(__xludf.DUMMYFUNCTION("IFERROR(
  LET(
    rowData, FILTER('(勿動)組件目錄表'!J:Q, '(勿動)組件目錄表'!D:D=AQ433),
    IF(ROWS(rowData)=0, 0, 
      (
        IF(AND(BC433&lt;&gt;"""", INDEX(rowData,1,1)=BC433),1,0) +
        IF(AND(BD433&lt;&gt;"""", INDEX(rowData,1,2)=BD433),1,0) +
        IF(AND(BE433"&amp;"&lt;&gt;"""", INDEX(rowData,1,3)=BE433),1,0) +
        IF(AND(BF433&lt;&gt;"""", INDEX(rowData,1,4)=BF433),1,0) +
        IF(AND(BG433&lt;&gt;"""", INDEX(rowData,1,5)=BG433),1,0) +
        IF(AND(BH433&lt;&gt;"""", INDEX(rowData,1,6)=BH433),1,0) +
        IF(AND(BI433&lt;&gt;"""", IND"&amp;"EX(rowData,1,7)=BI433),1,0) +
        IF(AND(BJ433&lt;&gt;"""", INDEX(rowData,1,8)=BJ433),1,0)
      ) - COUNTIF(BC433:BJ433, ""-"")
        - COUNTIF(BC433:BJ433, ""固定格式，不需提供資訊"")
        - COUNTIF(BC433:BJ433, ""由MKT更新，此欄位固定格式，不需提供資訊
(Voucher CID：12917705872)"&amp;""")
        - COUNTIF(BC433:BJ433, ""text固定為以下：
※直播間僅支援手機版"")
        - COUNTIF(BC433:BJ433, ""text固定為以下：
※短影音僅支援手機版"")
    )
  ), 
  0
)
"),0)</f>
        <v>0</v>
      </c>
      <c r="BM433" s="77" t="b">
        <v>0</v>
      </c>
      <c r="BN433" s="85"/>
      <c r="BO433" s="85"/>
    </row>
    <row r="434" spans="1:67" ht="30" customHeight="1">
      <c r="A434" s="73" t="str">
        <f t="array" aca="1" ref="A434" ca="1">IFERROR(TRANSPOSE(INDIRECT('MS section版配(Old)'!$AO434)),"")</f>
        <v/>
      </c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8"/>
      <c r="P434" s="88"/>
      <c r="Q434" s="88"/>
      <c r="R434" s="88"/>
      <c r="S434" s="88"/>
      <c r="T434" s="88"/>
      <c r="U434" s="88"/>
      <c r="V434" s="88"/>
      <c r="W434" s="88"/>
      <c r="X434" s="88"/>
      <c r="Y434" s="88"/>
      <c r="Z434" s="88"/>
      <c r="AA434" s="88"/>
      <c r="AB434" s="88"/>
      <c r="AC434" s="88"/>
      <c r="AD434" s="88"/>
      <c r="AE434" s="397" t="str">
        <f>IFERROR(VLOOKUP($AQ434,'(勿動)組件目錄表'!$D$15:$R$1094,4,FALSE),"")</f>
        <v/>
      </c>
      <c r="AF434" s="384"/>
      <c r="AG434" s="384"/>
      <c r="AH434" s="384"/>
      <c r="AI434" s="384"/>
      <c r="AJ434" s="385"/>
      <c r="AK434" s="54" t="b">
        <v>0</v>
      </c>
      <c r="AL434" s="54" t="b">
        <v>0</v>
      </c>
      <c r="AM434" s="54"/>
      <c r="AN434" s="7" t="str">
        <v>426</v>
      </c>
      <c r="AO434" s="7"/>
      <c r="AP434" s="62"/>
      <c r="AQ434" s="75" t="str">
        <v/>
      </c>
      <c r="AR434" s="75" t="str">
        <v>-</v>
      </c>
      <c r="AS434" s="11"/>
      <c r="AT434" s="77" t="str">
        <v>-</v>
      </c>
      <c r="AU434" s="11" t="str">
        <v>-</v>
      </c>
      <c r="AV434" s="100"/>
      <c r="AW434" s="80" t="str">
        <f ca="1"/>
        <v>-</v>
      </c>
      <c r="AX434" s="80" t="b">
        <v>0</v>
      </c>
      <c r="AY434" s="68" t="str">
        <f t="shared" si="4"/>
        <v/>
      </c>
      <c r="AZ434" s="69" t="str">
        <f t="shared" si="5"/>
        <v/>
      </c>
      <c r="BA434" s="70" t="str">
        <f t="shared" si="6"/>
        <v/>
      </c>
      <c r="BB434" s="68" t="str">
        <f t="shared" si="7"/>
        <v/>
      </c>
      <c r="BC434" s="69" t="str">
        <f>IFERROR(VLOOKUP($AQ434,'(勿動)組件目錄表'!$D$15:$R$1094,7,FALSE),"")</f>
        <v/>
      </c>
      <c r="BD434" s="69" t="str">
        <f>IFERROR(VLOOKUP($AQ434,'(勿動)組件目錄表'!$D$15:$R$1094,8,FALSE),"")</f>
        <v/>
      </c>
      <c r="BE434" s="69" t="str">
        <f>IFERROR(VLOOKUP($AQ434,'(勿動)組件目錄表'!$D$15:$R$1094,9,FALSE),"")</f>
        <v/>
      </c>
      <c r="BF434" s="69" t="str">
        <f>IFERROR(VLOOKUP($AQ434,'(勿動)組件目錄表'!$D$15:$R$1094,10,FALSE),"")</f>
        <v/>
      </c>
      <c r="BG434" s="69" t="str">
        <f>IFERROR(VLOOKUP($AQ434,'(勿動)組件目錄表'!$D$15:$R$1094,11,FALSE),"")</f>
        <v/>
      </c>
      <c r="BH434" s="69" t="str">
        <f>IFERROR(VLOOKUP($AQ434,'(勿動)組件目錄表'!$D$15:$R$1094,12,FALSE),"")</f>
        <v/>
      </c>
      <c r="BI434" s="69" t="str">
        <f>IFERROR(VLOOKUP($AQ434,'(勿動)組件目錄表'!$D$15:$R$1094,13,FALSE),"")</f>
        <v/>
      </c>
      <c r="BJ434" s="69" t="str">
        <f>IFERROR(VLOOKUP($AQ434,'(勿動)組件目錄表'!$D$15:$R$1094,14,FALSE),"")</f>
        <v/>
      </c>
      <c r="BK434" s="69" t="str">
        <f>IFERROR(VLOOKUP($AQ434,'(勿動)組件目錄表'!$D$15:$R$1094,15,FALSE),"")</f>
        <v/>
      </c>
      <c r="BL434" s="81">
        <f ca="1">IFERROR(__xludf.DUMMYFUNCTION("IFERROR(
  LET(
    rowData, FILTER('(勿動)組件目錄表'!J:Q, '(勿動)組件目錄表'!D:D=AQ434),
    IF(ROWS(rowData)=0, 0, 
      (
        IF(AND(BC434&lt;&gt;"""", INDEX(rowData,1,1)=BC434),1,0) +
        IF(AND(BD434&lt;&gt;"""", INDEX(rowData,1,2)=BD434),1,0) +
        IF(AND(BE434"&amp;"&lt;&gt;"""", INDEX(rowData,1,3)=BE434),1,0) +
        IF(AND(BF434&lt;&gt;"""", INDEX(rowData,1,4)=BF434),1,0) +
        IF(AND(BG434&lt;&gt;"""", INDEX(rowData,1,5)=BG434),1,0) +
        IF(AND(BH434&lt;&gt;"""", INDEX(rowData,1,6)=BH434),1,0) +
        IF(AND(BI434&lt;&gt;"""", IND"&amp;"EX(rowData,1,7)=BI434),1,0) +
        IF(AND(BJ434&lt;&gt;"""", INDEX(rowData,1,8)=BJ434),1,0)
      ) - COUNTIF(BC434:BJ434, ""-"")
        - COUNTIF(BC434:BJ434, ""固定格式，不需提供資訊"")
        - COUNTIF(BC434:BJ434, ""由MKT更新，此欄位固定格式，不需提供資訊
(Voucher CID：12917705872)"&amp;""")
        - COUNTIF(BC434:BJ434, ""text固定為以下：
※直播間僅支援手機版"")
        - COUNTIF(BC434:BJ434, ""text固定為以下：
※短影音僅支援手機版"")
    )
  ), 
  0
)
"),0)</f>
        <v>0</v>
      </c>
      <c r="BM434" s="77" t="b">
        <v>0</v>
      </c>
      <c r="BN434" s="85"/>
      <c r="BO434" s="85"/>
    </row>
    <row r="435" spans="1:67" ht="30" customHeight="1">
      <c r="A435" s="73" t="str">
        <f t="array" aca="1" ref="A435" ca="1">IFERROR(TRANSPOSE(INDIRECT('MS section版配(Old)'!$AO435)),"")</f>
        <v/>
      </c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8"/>
      <c r="P435" s="88"/>
      <c r="Q435" s="88"/>
      <c r="R435" s="88"/>
      <c r="S435" s="88"/>
      <c r="T435" s="88"/>
      <c r="U435" s="88"/>
      <c r="V435" s="88"/>
      <c r="W435" s="88"/>
      <c r="X435" s="88"/>
      <c r="Y435" s="88"/>
      <c r="Z435" s="88"/>
      <c r="AA435" s="88"/>
      <c r="AB435" s="88"/>
      <c r="AC435" s="88"/>
      <c r="AD435" s="88"/>
      <c r="AE435" s="397" t="str">
        <f>IFERROR(VLOOKUP($AQ435,'(勿動)組件目錄表'!$D$15:$R$1094,4,FALSE),"")</f>
        <v/>
      </c>
      <c r="AF435" s="384"/>
      <c r="AG435" s="384"/>
      <c r="AH435" s="384"/>
      <c r="AI435" s="384"/>
      <c r="AJ435" s="385"/>
      <c r="AK435" s="54" t="b">
        <v>0</v>
      </c>
      <c r="AL435" s="54" t="b">
        <v>0</v>
      </c>
      <c r="AM435" s="54"/>
      <c r="AN435" s="7" t="str">
        <v>427</v>
      </c>
      <c r="AO435" s="7"/>
      <c r="AP435" s="62"/>
      <c r="AQ435" s="75" t="str">
        <v/>
      </c>
      <c r="AR435" s="75" t="str">
        <v>-</v>
      </c>
      <c r="AS435" s="11"/>
      <c r="AT435" s="77" t="str">
        <v>-</v>
      </c>
      <c r="AU435" s="11" t="str">
        <v>-</v>
      </c>
      <c r="AV435" s="100"/>
      <c r="AW435" s="80" t="str">
        <f ca="1"/>
        <v>-</v>
      </c>
      <c r="AX435" s="80" t="b">
        <v>0</v>
      </c>
      <c r="AY435" s="68" t="str">
        <f t="shared" si="4"/>
        <v/>
      </c>
      <c r="AZ435" s="69" t="str">
        <f t="shared" si="5"/>
        <v/>
      </c>
      <c r="BA435" s="70" t="str">
        <f t="shared" si="6"/>
        <v/>
      </c>
      <c r="BB435" s="68" t="str">
        <f t="shared" si="7"/>
        <v/>
      </c>
      <c r="BC435" s="69" t="str">
        <f>IFERROR(VLOOKUP($AQ435,'(勿動)組件目錄表'!$D$15:$R$1094,7,FALSE),"")</f>
        <v/>
      </c>
      <c r="BD435" s="69" t="str">
        <f>IFERROR(VLOOKUP($AQ435,'(勿動)組件目錄表'!$D$15:$R$1094,8,FALSE),"")</f>
        <v/>
      </c>
      <c r="BE435" s="69" t="str">
        <f>IFERROR(VLOOKUP($AQ435,'(勿動)組件目錄表'!$D$15:$R$1094,9,FALSE),"")</f>
        <v/>
      </c>
      <c r="BF435" s="69" t="str">
        <f>IFERROR(VLOOKUP($AQ435,'(勿動)組件目錄表'!$D$15:$R$1094,10,FALSE),"")</f>
        <v/>
      </c>
      <c r="BG435" s="69" t="str">
        <f>IFERROR(VLOOKUP($AQ435,'(勿動)組件目錄表'!$D$15:$R$1094,11,FALSE),"")</f>
        <v/>
      </c>
      <c r="BH435" s="69" t="str">
        <f>IFERROR(VLOOKUP($AQ435,'(勿動)組件目錄表'!$D$15:$R$1094,12,FALSE),"")</f>
        <v/>
      </c>
      <c r="BI435" s="69" t="str">
        <f>IFERROR(VLOOKUP($AQ435,'(勿動)組件目錄表'!$D$15:$R$1094,13,FALSE),"")</f>
        <v/>
      </c>
      <c r="BJ435" s="69" t="str">
        <f>IFERROR(VLOOKUP($AQ435,'(勿動)組件目錄表'!$D$15:$R$1094,14,FALSE),"")</f>
        <v/>
      </c>
      <c r="BK435" s="69" t="str">
        <f>IFERROR(VLOOKUP($AQ435,'(勿動)組件目錄表'!$D$15:$R$1094,15,FALSE),"")</f>
        <v/>
      </c>
      <c r="BL435" s="81">
        <f ca="1">IFERROR(__xludf.DUMMYFUNCTION("IFERROR(
  LET(
    rowData, FILTER('(勿動)組件目錄表'!J:Q, '(勿動)組件目錄表'!D:D=AQ435),
    IF(ROWS(rowData)=0, 0, 
      (
        IF(AND(BC435&lt;&gt;"""", INDEX(rowData,1,1)=BC435),1,0) +
        IF(AND(BD435&lt;&gt;"""", INDEX(rowData,1,2)=BD435),1,0) +
        IF(AND(BE435"&amp;"&lt;&gt;"""", INDEX(rowData,1,3)=BE435),1,0) +
        IF(AND(BF435&lt;&gt;"""", INDEX(rowData,1,4)=BF435),1,0) +
        IF(AND(BG435&lt;&gt;"""", INDEX(rowData,1,5)=BG435),1,0) +
        IF(AND(BH435&lt;&gt;"""", INDEX(rowData,1,6)=BH435),1,0) +
        IF(AND(BI435&lt;&gt;"""", IND"&amp;"EX(rowData,1,7)=BI435),1,0) +
        IF(AND(BJ435&lt;&gt;"""", INDEX(rowData,1,8)=BJ435),1,0)
      ) - COUNTIF(BC435:BJ435, ""-"")
        - COUNTIF(BC435:BJ435, ""固定格式，不需提供資訊"")
        - COUNTIF(BC435:BJ435, ""由MKT更新，此欄位固定格式，不需提供資訊
(Voucher CID：12917705872)"&amp;""")
        - COUNTIF(BC435:BJ435, ""text固定為以下：
※直播間僅支援手機版"")
        - COUNTIF(BC435:BJ435, ""text固定為以下：
※短影音僅支援手機版"")
    )
  ), 
  0
)
"),0)</f>
        <v>0</v>
      </c>
      <c r="BM435" s="77" t="b">
        <v>0</v>
      </c>
      <c r="BN435" s="85"/>
      <c r="BO435" s="85"/>
    </row>
    <row r="436" spans="1:67" ht="30" customHeight="1">
      <c r="A436" s="73" t="str">
        <f t="array" aca="1" ref="A436" ca="1">IFERROR(TRANSPOSE(INDIRECT('MS section版配(Old)'!$AO436)),"")</f>
        <v/>
      </c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8"/>
      <c r="P436" s="88"/>
      <c r="Q436" s="88"/>
      <c r="R436" s="88"/>
      <c r="S436" s="88"/>
      <c r="T436" s="88"/>
      <c r="U436" s="88"/>
      <c r="V436" s="88"/>
      <c r="W436" s="88"/>
      <c r="X436" s="88"/>
      <c r="Y436" s="88"/>
      <c r="Z436" s="88"/>
      <c r="AA436" s="88"/>
      <c r="AB436" s="88"/>
      <c r="AC436" s="88"/>
      <c r="AD436" s="88"/>
      <c r="AE436" s="397" t="str">
        <f>IFERROR(VLOOKUP($AQ436,'(勿動)組件目錄表'!$D$15:$R$1094,4,FALSE),"")</f>
        <v/>
      </c>
      <c r="AF436" s="384"/>
      <c r="AG436" s="384"/>
      <c r="AH436" s="384"/>
      <c r="AI436" s="384"/>
      <c r="AJ436" s="385"/>
      <c r="AK436" s="54" t="b">
        <v>0</v>
      </c>
      <c r="AL436" s="54" t="b">
        <v>0</v>
      </c>
      <c r="AM436" s="54"/>
      <c r="AN436" s="7" t="str">
        <v>428</v>
      </c>
      <c r="AO436" s="7"/>
      <c r="AP436" s="62"/>
      <c r="AQ436" s="75" t="str">
        <v/>
      </c>
      <c r="AR436" s="75" t="str">
        <v>-</v>
      </c>
      <c r="AS436" s="11"/>
      <c r="AT436" s="77" t="str">
        <v>-</v>
      </c>
      <c r="AU436" s="11" t="str">
        <v>-</v>
      </c>
      <c r="AV436" s="100"/>
      <c r="AW436" s="80" t="str">
        <f ca="1"/>
        <v>-</v>
      </c>
      <c r="AX436" s="80" t="b">
        <v>0</v>
      </c>
      <c r="AY436" s="68" t="str">
        <f t="shared" si="4"/>
        <v/>
      </c>
      <c r="AZ436" s="69" t="str">
        <f t="shared" si="5"/>
        <v/>
      </c>
      <c r="BA436" s="70" t="str">
        <f t="shared" si="6"/>
        <v/>
      </c>
      <c r="BB436" s="68" t="str">
        <f t="shared" si="7"/>
        <v/>
      </c>
      <c r="BC436" s="69" t="str">
        <f>IFERROR(VLOOKUP($AQ436,'(勿動)組件目錄表'!$D$15:$R$1094,7,FALSE),"")</f>
        <v/>
      </c>
      <c r="BD436" s="69" t="str">
        <f>IFERROR(VLOOKUP($AQ436,'(勿動)組件目錄表'!$D$15:$R$1094,8,FALSE),"")</f>
        <v/>
      </c>
      <c r="BE436" s="69" t="str">
        <f>IFERROR(VLOOKUP($AQ436,'(勿動)組件目錄表'!$D$15:$R$1094,9,FALSE),"")</f>
        <v/>
      </c>
      <c r="BF436" s="69" t="str">
        <f>IFERROR(VLOOKUP($AQ436,'(勿動)組件目錄表'!$D$15:$R$1094,10,FALSE),"")</f>
        <v/>
      </c>
      <c r="BG436" s="69" t="str">
        <f>IFERROR(VLOOKUP($AQ436,'(勿動)組件目錄表'!$D$15:$R$1094,11,FALSE),"")</f>
        <v/>
      </c>
      <c r="BH436" s="69" t="str">
        <f>IFERROR(VLOOKUP($AQ436,'(勿動)組件目錄表'!$D$15:$R$1094,12,FALSE),"")</f>
        <v/>
      </c>
      <c r="BI436" s="69" t="str">
        <f>IFERROR(VLOOKUP($AQ436,'(勿動)組件目錄表'!$D$15:$R$1094,13,FALSE),"")</f>
        <v/>
      </c>
      <c r="BJ436" s="69" t="str">
        <f>IFERROR(VLOOKUP($AQ436,'(勿動)組件目錄表'!$D$15:$R$1094,14,FALSE),"")</f>
        <v/>
      </c>
      <c r="BK436" s="69" t="str">
        <f>IFERROR(VLOOKUP($AQ436,'(勿動)組件目錄表'!$D$15:$R$1094,15,FALSE),"")</f>
        <v/>
      </c>
      <c r="BL436" s="81">
        <f ca="1">IFERROR(__xludf.DUMMYFUNCTION("IFERROR(
  LET(
    rowData, FILTER('(勿動)組件目錄表'!J:Q, '(勿動)組件目錄表'!D:D=AQ436),
    IF(ROWS(rowData)=0, 0, 
      (
        IF(AND(BC436&lt;&gt;"""", INDEX(rowData,1,1)=BC436),1,0) +
        IF(AND(BD436&lt;&gt;"""", INDEX(rowData,1,2)=BD436),1,0) +
        IF(AND(BE436"&amp;"&lt;&gt;"""", INDEX(rowData,1,3)=BE436),1,0) +
        IF(AND(BF436&lt;&gt;"""", INDEX(rowData,1,4)=BF436),1,0) +
        IF(AND(BG436&lt;&gt;"""", INDEX(rowData,1,5)=BG436),1,0) +
        IF(AND(BH436&lt;&gt;"""", INDEX(rowData,1,6)=BH436),1,0) +
        IF(AND(BI436&lt;&gt;"""", IND"&amp;"EX(rowData,1,7)=BI436),1,0) +
        IF(AND(BJ436&lt;&gt;"""", INDEX(rowData,1,8)=BJ436),1,0)
      ) - COUNTIF(BC436:BJ436, ""-"")
        - COUNTIF(BC436:BJ436, ""固定格式，不需提供資訊"")
        - COUNTIF(BC436:BJ436, ""由MKT更新，此欄位固定格式，不需提供資訊
(Voucher CID：12917705872)"&amp;""")
        - COUNTIF(BC436:BJ436, ""text固定為以下：
※直播間僅支援手機版"")
        - COUNTIF(BC436:BJ436, ""text固定為以下：
※短影音僅支援手機版"")
    )
  ), 
  0
)
"),0)</f>
        <v>0</v>
      </c>
      <c r="BM436" s="77" t="b">
        <v>0</v>
      </c>
      <c r="BN436" s="85"/>
      <c r="BO436" s="85"/>
    </row>
    <row r="437" spans="1:67" ht="30" customHeight="1">
      <c r="A437" s="73" t="str">
        <f t="array" aca="1" ref="A437" ca="1">IFERROR(TRANSPOSE(INDIRECT('MS section版配(Old)'!$AO437)),"")</f>
        <v/>
      </c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8"/>
      <c r="P437" s="88"/>
      <c r="Q437" s="88"/>
      <c r="R437" s="88"/>
      <c r="S437" s="88"/>
      <c r="T437" s="88"/>
      <c r="U437" s="88"/>
      <c r="V437" s="88"/>
      <c r="W437" s="88"/>
      <c r="X437" s="88"/>
      <c r="Y437" s="88"/>
      <c r="Z437" s="88"/>
      <c r="AA437" s="88"/>
      <c r="AB437" s="88"/>
      <c r="AC437" s="88"/>
      <c r="AD437" s="88"/>
      <c r="AE437" s="397" t="str">
        <f>IFERROR(VLOOKUP($AQ437,'(勿動)組件目錄表'!$D$15:$R$1094,4,FALSE),"")</f>
        <v/>
      </c>
      <c r="AF437" s="384"/>
      <c r="AG437" s="384"/>
      <c r="AH437" s="384"/>
      <c r="AI437" s="384"/>
      <c r="AJ437" s="385"/>
      <c r="AK437" s="54" t="b">
        <v>0</v>
      </c>
      <c r="AL437" s="54" t="b">
        <v>0</v>
      </c>
      <c r="AM437" s="54"/>
      <c r="AN437" s="7" t="str">
        <v>429</v>
      </c>
      <c r="AO437" s="7"/>
      <c r="AP437" s="62"/>
      <c r="AQ437" s="75" t="str">
        <v/>
      </c>
      <c r="AR437" s="75" t="str">
        <v>-</v>
      </c>
      <c r="AS437" s="11"/>
      <c r="AT437" s="77" t="str">
        <v>-</v>
      </c>
      <c r="AU437" s="11" t="str">
        <v>-</v>
      </c>
      <c r="AV437" s="100"/>
      <c r="AW437" s="80" t="str">
        <f ca="1"/>
        <v>-</v>
      </c>
      <c r="AX437" s="80" t="b">
        <v>0</v>
      </c>
      <c r="AY437" s="68" t="str">
        <f t="shared" si="4"/>
        <v/>
      </c>
      <c r="AZ437" s="69" t="str">
        <f t="shared" si="5"/>
        <v/>
      </c>
      <c r="BA437" s="70" t="str">
        <f t="shared" si="6"/>
        <v/>
      </c>
      <c r="BB437" s="68" t="str">
        <f t="shared" si="7"/>
        <v/>
      </c>
      <c r="BC437" s="69" t="str">
        <f>IFERROR(VLOOKUP($AQ437,'(勿動)組件目錄表'!$D$15:$R$1094,7,FALSE),"")</f>
        <v/>
      </c>
      <c r="BD437" s="69" t="str">
        <f>IFERROR(VLOOKUP($AQ437,'(勿動)組件目錄表'!$D$15:$R$1094,8,FALSE),"")</f>
        <v/>
      </c>
      <c r="BE437" s="69" t="str">
        <f>IFERROR(VLOOKUP($AQ437,'(勿動)組件目錄表'!$D$15:$R$1094,9,FALSE),"")</f>
        <v/>
      </c>
      <c r="BF437" s="69" t="str">
        <f>IFERROR(VLOOKUP($AQ437,'(勿動)組件目錄表'!$D$15:$R$1094,10,FALSE),"")</f>
        <v/>
      </c>
      <c r="BG437" s="69" t="str">
        <f>IFERROR(VLOOKUP($AQ437,'(勿動)組件目錄表'!$D$15:$R$1094,11,FALSE),"")</f>
        <v/>
      </c>
      <c r="BH437" s="69" t="str">
        <f>IFERROR(VLOOKUP($AQ437,'(勿動)組件目錄表'!$D$15:$R$1094,12,FALSE),"")</f>
        <v/>
      </c>
      <c r="BI437" s="69" t="str">
        <f>IFERROR(VLOOKUP($AQ437,'(勿動)組件目錄表'!$D$15:$R$1094,13,FALSE),"")</f>
        <v/>
      </c>
      <c r="BJ437" s="69" t="str">
        <f>IFERROR(VLOOKUP($AQ437,'(勿動)組件目錄表'!$D$15:$R$1094,14,FALSE),"")</f>
        <v/>
      </c>
      <c r="BK437" s="69" t="str">
        <f>IFERROR(VLOOKUP($AQ437,'(勿動)組件目錄表'!$D$15:$R$1094,15,FALSE),"")</f>
        <v/>
      </c>
      <c r="BL437" s="81">
        <f ca="1">IFERROR(__xludf.DUMMYFUNCTION("IFERROR(
  LET(
    rowData, FILTER('(勿動)組件目錄表'!J:Q, '(勿動)組件目錄表'!D:D=AQ437),
    IF(ROWS(rowData)=0, 0, 
      (
        IF(AND(BC437&lt;&gt;"""", INDEX(rowData,1,1)=BC437),1,0) +
        IF(AND(BD437&lt;&gt;"""", INDEX(rowData,1,2)=BD437),1,0) +
        IF(AND(BE437"&amp;"&lt;&gt;"""", INDEX(rowData,1,3)=BE437),1,0) +
        IF(AND(BF437&lt;&gt;"""", INDEX(rowData,1,4)=BF437),1,0) +
        IF(AND(BG437&lt;&gt;"""", INDEX(rowData,1,5)=BG437),1,0) +
        IF(AND(BH437&lt;&gt;"""", INDEX(rowData,1,6)=BH437),1,0) +
        IF(AND(BI437&lt;&gt;"""", IND"&amp;"EX(rowData,1,7)=BI437),1,0) +
        IF(AND(BJ437&lt;&gt;"""", INDEX(rowData,1,8)=BJ437),1,0)
      ) - COUNTIF(BC437:BJ437, ""-"")
        - COUNTIF(BC437:BJ437, ""固定格式，不需提供資訊"")
        - COUNTIF(BC437:BJ437, ""由MKT更新，此欄位固定格式，不需提供資訊
(Voucher CID：12917705872)"&amp;""")
        - COUNTIF(BC437:BJ437, ""text固定為以下：
※直播間僅支援手機版"")
        - COUNTIF(BC437:BJ437, ""text固定為以下：
※短影音僅支援手機版"")
    )
  ), 
  0
)
"),0)</f>
        <v>0</v>
      </c>
      <c r="BM437" s="77" t="b">
        <v>0</v>
      </c>
      <c r="BN437" s="85"/>
      <c r="BO437" s="85"/>
    </row>
    <row r="438" spans="1:67" ht="30" customHeight="1">
      <c r="A438" s="73" t="str">
        <f t="array" aca="1" ref="A438" ca="1">IFERROR(TRANSPOSE(INDIRECT('MS section版配(Old)'!$AO438)),"")</f>
        <v/>
      </c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8"/>
      <c r="P438" s="88"/>
      <c r="Q438" s="88"/>
      <c r="R438" s="88"/>
      <c r="S438" s="88"/>
      <c r="T438" s="88"/>
      <c r="U438" s="88"/>
      <c r="V438" s="88"/>
      <c r="W438" s="88"/>
      <c r="X438" s="88"/>
      <c r="Y438" s="88"/>
      <c r="Z438" s="88"/>
      <c r="AA438" s="88"/>
      <c r="AB438" s="88"/>
      <c r="AC438" s="88"/>
      <c r="AD438" s="88"/>
      <c r="AE438" s="397" t="str">
        <f>IFERROR(VLOOKUP($AQ438,'(勿動)組件目錄表'!$D$15:$R$1094,4,FALSE),"")</f>
        <v/>
      </c>
      <c r="AF438" s="384"/>
      <c r="AG438" s="384"/>
      <c r="AH438" s="384"/>
      <c r="AI438" s="384"/>
      <c r="AJ438" s="385"/>
      <c r="AK438" s="54" t="b">
        <v>0</v>
      </c>
      <c r="AL438" s="54" t="b">
        <v>0</v>
      </c>
      <c r="AM438" s="54"/>
      <c r="AN438" s="7" t="str">
        <v>430</v>
      </c>
      <c r="AO438" s="7"/>
      <c r="AP438" s="62"/>
      <c r="AQ438" s="75" t="str">
        <v/>
      </c>
      <c r="AR438" s="75" t="str">
        <v>-</v>
      </c>
      <c r="AS438" s="11"/>
      <c r="AT438" s="77" t="str">
        <v>-</v>
      </c>
      <c r="AU438" s="11" t="str">
        <v>-</v>
      </c>
      <c r="AV438" s="100"/>
      <c r="AW438" s="80" t="str">
        <f ca="1"/>
        <v>-</v>
      </c>
      <c r="AX438" s="80" t="b">
        <v>0</v>
      </c>
      <c r="AY438" s="68" t="str">
        <f t="shared" si="4"/>
        <v/>
      </c>
      <c r="AZ438" s="69" t="str">
        <f t="shared" si="5"/>
        <v/>
      </c>
      <c r="BA438" s="70" t="str">
        <f t="shared" si="6"/>
        <v/>
      </c>
      <c r="BB438" s="68" t="str">
        <f t="shared" si="7"/>
        <v/>
      </c>
      <c r="BC438" s="69" t="str">
        <f>IFERROR(VLOOKUP($AQ438,'(勿動)組件目錄表'!$D$15:$R$1094,7,FALSE),"")</f>
        <v/>
      </c>
      <c r="BD438" s="69" t="str">
        <f>IFERROR(VLOOKUP($AQ438,'(勿動)組件目錄表'!$D$15:$R$1094,8,FALSE),"")</f>
        <v/>
      </c>
      <c r="BE438" s="69" t="str">
        <f>IFERROR(VLOOKUP($AQ438,'(勿動)組件目錄表'!$D$15:$R$1094,9,FALSE),"")</f>
        <v/>
      </c>
      <c r="BF438" s="69" t="str">
        <f>IFERROR(VLOOKUP($AQ438,'(勿動)組件目錄表'!$D$15:$R$1094,10,FALSE),"")</f>
        <v/>
      </c>
      <c r="BG438" s="69" t="str">
        <f>IFERROR(VLOOKUP($AQ438,'(勿動)組件目錄表'!$D$15:$R$1094,11,FALSE),"")</f>
        <v/>
      </c>
      <c r="BH438" s="69" t="str">
        <f>IFERROR(VLOOKUP($AQ438,'(勿動)組件目錄表'!$D$15:$R$1094,12,FALSE),"")</f>
        <v/>
      </c>
      <c r="BI438" s="69" t="str">
        <f>IFERROR(VLOOKUP($AQ438,'(勿動)組件目錄表'!$D$15:$R$1094,13,FALSE),"")</f>
        <v/>
      </c>
      <c r="BJ438" s="69" t="str">
        <f>IFERROR(VLOOKUP($AQ438,'(勿動)組件目錄表'!$D$15:$R$1094,14,FALSE),"")</f>
        <v/>
      </c>
      <c r="BK438" s="69" t="str">
        <f>IFERROR(VLOOKUP($AQ438,'(勿動)組件目錄表'!$D$15:$R$1094,15,FALSE),"")</f>
        <v/>
      </c>
      <c r="BL438" s="81">
        <f ca="1">IFERROR(__xludf.DUMMYFUNCTION("IFERROR(
  LET(
    rowData, FILTER('(勿動)組件目錄表'!J:Q, '(勿動)組件目錄表'!D:D=AQ438),
    IF(ROWS(rowData)=0, 0, 
      (
        IF(AND(BC438&lt;&gt;"""", INDEX(rowData,1,1)=BC438),1,0) +
        IF(AND(BD438&lt;&gt;"""", INDEX(rowData,1,2)=BD438),1,0) +
        IF(AND(BE438"&amp;"&lt;&gt;"""", INDEX(rowData,1,3)=BE438),1,0) +
        IF(AND(BF438&lt;&gt;"""", INDEX(rowData,1,4)=BF438),1,0) +
        IF(AND(BG438&lt;&gt;"""", INDEX(rowData,1,5)=BG438),1,0) +
        IF(AND(BH438&lt;&gt;"""", INDEX(rowData,1,6)=BH438),1,0) +
        IF(AND(BI438&lt;&gt;"""", IND"&amp;"EX(rowData,1,7)=BI438),1,0) +
        IF(AND(BJ438&lt;&gt;"""", INDEX(rowData,1,8)=BJ438),1,0)
      ) - COUNTIF(BC438:BJ438, ""-"")
        - COUNTIF(BC438:BJ438, ""固定格式，不需提供資訊"")
        - COUNTIF(BC438:BJ438, ""由MKT更新，此欄位固定格式，不需提供資訊
(Voucher CID：12917705872)"&amp;""")
        - COUNTIF(BC438:BJ438, ""text固定為以下：
※直播間僅支援手機版"")
        - COUNTIF(BC438:BJ438, ""text固定為以下：
※短影音僅支援手機版"")
    )
  ), 
  0
)
"),0)</f>
        <v>0</v>
      </c>
      <c r="BM438" s="77" t="b">
        <v>0</v>
      </c>
      <c r="BN438" s="85"/>
      <c r="BO438" s="85"/>
    </row>
    <row r="439" spans="1:67" ht="30" customHeight="1">
      <c r="A439" s="73" t="str">
        <f t="array" aca="1" ref="A439" ca="1">IFERROR(TRANSPOSE(INDIRECT('MS section版配(Old)'!$AO439)),"")</f>
        <v/>
      </c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8"/>
      <c r="P439" s="88"/>
      <c r="Q439" s="88"/>
      <c r="R439" s="88"/>
      <c r="S439" s="88"/>
      <c r="T439" s="88"/>
      <c r="U439" s="88"/>
      <c r="V439" s="88"/>
      <c r="W439" s="88"/>
      <c r="X439" s="88"/>
      <c r="Y439" s="88"/>
      <c r="Z439" s="88"/>
      <c r="AA439" s="88"/>
      <c r="AB439" s="88"/>
      <c r="AC439" s="88"/>
      <c r="AD439" s="88"/>
      <c r="AE439" s="397" t="str">
        <f>IFERROR(VLOOKUP($AQ439,'(勿動)組件目錄表'!$D$15:$R$1094,4,FALSE),"")</f>
        <v/>
      </c>
      <c r="AF439" s="384"/>
      <c r="AG439" s="384"/>
      <c r="AH439" s="384"/>
      <c r="AI439" s="384"/>
      <c r="AJ439" s="385"/>
      <c r="AK439" s="54" t="b">
        <v>0</v>
      </c>
      <c r="AL439" s="54" t="b">
        <v>0</v>
      </c>
      <c r="AM439" s="54"/>
      <c r="AN439" s="7" t="str">
        <v>431</v>
      </c>
      <c r="AO439" s="7"/>
      <c r="AP439" s="62"/>
      <c r="AQ439" s="75" t="str">
        <v/>
      </c>
      <c r="AR439" s="75" t="str">
        <v>-</v>
      </c>
      <c r="AS439" s="11"/>
      <c r="AT439" s="77" t="str">
        <v>-</v>
      </c>
      <c r="AU439" s="11" t="str">
        <v>-</v>
      </c>
      <c r="AV439" s="100"/>
      <c r="AW439" s="80" t="str">
        <f ca="1"/>
        <v>-</v>
      </c>
      <c r="AX439" s="80" t="b">
        <v>0</v>
      </c>
      <c r="AY439" s="68" t="str">
        <f t="shared" si="4"/>
        <v/>
      </c>
      <c r="AZ439" s="69" t="str">
        <f t="shared" si="5"/>
        <v/>
      </c>
      <c r="BA439" s="70" t="str">
        <f t="shared" si="6"/>
        <v/>
      </c>
      <c r="BB439" s="68" t="str">
        <f t="shared" si="7"/>
        <v/>
      </c>
      <c r="BC439" s="69" t="str">
        <f>IFERROR(VLOOKUP($AQ439,'(勿動)組件目錄表'!$D$15:$R$1094,7,FALSE),"")</f>
        <v/>
      </c>
      <c r="BD439" s="69" t="str">
        <f>IFERROR(VLOOKUP($AQ439,'(勿動)組件目錄表'!$D$15:$R$1094,8,FALSE),"")</f>
        <v/>
      </c>
      <c r="BE439" s="69" t="str">
        <f>IFERROR(VLOOKUP($AQ439,'(勿動)組件目錄表'!$D$15:$R$1094,9,FALSE),"")</f>
        <v/>
      </c>
      <c r="BF439" s="69" t="str">
        <f>IFERROR(VLOOKUP($AQ439,'(勿動)組件目錄表'!$D$15:$R$1094,10,FALSE),"")</f>
        <v/>
      </c>
      <c r="BG439" s="69" t="str">
        <f>IFERROR(VLOOKUP($AQ439,'(勿動)組件目錄表'!$D$15:$R$1094,11,FALSE),"")</f>
        <v/>
      </c>
      <c r="BH439" s="69" t="str">
        <f>IFERROR(VLOOKUP($AQ439,'(勿動)組件目錄表'!$D$15:$R$1094,12,FALSE),"")</f>
        <v/>
      </c>
      <c r="BI439" s="69" t="str">
        <f>IFERROR(VLOOKUP($AQ439,'(勿動)組件目錄表'!$D$15:$R$1094,13,FALSE),"")</f>
        <v/>
      </c>
      <c r="BJ439" s="69" t="str">
        <f>IFERROR(VLOOKUP($AQ439,'(勿動)組件目錄表'!$D$15:$R$1094,14,FALSE),"")</f>
        <v/>
      </c>
      <c r="BK439" s="69" t="str">
        <f>IFERROR(VLOOKUP($AQ439,'(勿動)組件目錄表'!$D$15:$R$1094,15,FALSE),"")</f>
        <v/>
      </c>
      <c r="BL439" s="81">
        <f ca="1">IFERROR(__xludf.DUMMYFUNCTION("IFERROR(
  LET(
    rowData, FILTER('(勿動)組件目錄表'!J:Q, '(勿動)組件目錄表'!D:D=AQ439),
    IF(ROWS(rowData)=0, 0, 
      (
        IF(AND(BC439&lt;&gt;"""", INDEX(rowData,1,1)=BC439),1,0) +
        IF(AND(BD439&lt;&gt;"""", INDEX(rowData,1,2)=BD439),1,0) +
        IF(AND(BE439"&amp;"&lt;&gt;"""", INDEX(rowData,1,3)=BE439),1,0) +
        IF(AND(BF439&lt;&gt;"""", INDEX(rowData,1,4)=BF439),1,0) +
        IF(AND(BG439&lt;&gt;"""", INDEX(rowData,1,5)=BG439),1,0) +
        IF(AND(BH439&lt;&gt;"""", INDEX(rowData,1,6)=BH439),1,0) +
        IF(AND(BI439&lt;&gt;"""", IND"&amp;"EX(rowData,1,7)=BI439),1,0) +
        IF(AND(BJ439&lt;&gt;"""", INDEX(rowData,1,8)=BJ439),1,0)
      ) - COUNTIF(BC439:BJ439, ""-"")
        - COUNTIF(BC439:BJ439, ""固定格式，不需提供資訊"")
        - COUNTIF(BC439:BJ439, ""由MKT更新，此欄位固定格式，不需提供資訊
(Voucher CID：12917705872)"&amp;""")
        - COUNTIF(BC439:BJ439, ""text固定為以下：
※直播間僅支援手機版"")
        - COUNTIF(BC439:BJ439, ""text固定為以下：
※短影音僅支援手機版"")
    )
  ), 
  0
)
"),0)</f>
        <v>0</v>
      </c>
      <c r="BM439" s="77" t="b">
        <v>0</v>
      </c>
      <c r="BN439" s="85"/>
      <c r="BO439" s="85"/>
    </row>
    <row r="440" spans="1:67" ht="30" customHeight="1">
      <c r="A440" s="73" t="str">
        <f t="array" aca="1" ref="A440" ca="1">IFERROR(TRANSPOSE(INDIRECT('MS section版配(Old)'!$AO440)),"")</f>
        <v/>
      </c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8"/>
      <c r="P440" s="88"/>
      <c r="Q440" s="88"/>
      <c r="R440" s="88"/>
      <c r="S440" s="88"/>
      <c r="T440" s="88"/>
      <c r="U440" s="88"/>
      <c r="V440" s="88"/>
      <c r="W440" s="88"/>
      <c r="X440" s="88"/>
      <c r="Y440" s="88"/>
      <c r="Z440" s="88"/>
      <c r="AA440" s="88"/>
      <c r="AB440" s="88"/>
      <c r="AC440" s="88"/>
      <c r="AD440" s="88"/>
      <c r="AE440" s="397" t="str">
        <f>IFERROR(VLOOKUP($AQ440,'(勿動)組件目錄表'!$D$15:$R$1094,4,FALSE),"")</f>
        <v/>
      </c>
      <c r="AF440" s="384"/>
      <c r="AG440" s="384"/>
      <c r="AH440" s="384"/>
      <c r="AI440" s="384"/>
      <c r="AJ440" s="385"/>
      <c r="AK440" s="54" t="b">
        <v>0</v>
      </c>
      <c r="AL440" s="54" t="b">
        <v>0</v>
      </c>
      <c r="AM440" s="54"/>
      <c r="AN440" s="7" t="str">
        <v>432</v>
      </c>
      <c r="AO440" s="7"/>
      <c r="AP440" s="62"/>
      <c r="AQ440" s="75" t="str">
        <v/>
      </c>
      <c r="AR440" s="75" t="str">
        <v>-</v>
      </c>
      <c r="AS440" s="11"/>
      <c r="AT440" s="77" t="str">
        <v>-</v>
      </c>
      <c r="AU440" s="11" t="str">
        <v>-</v>
      </c>
      <c r="AV440" s="100"/>
      <c r="AW440" s="80" t="str">
        <f ca="1"/>
        <v>-</v>
      </c>
      <c r="AX440" s="80" t="b">
        <v>0</v>
      </c>
      <c r="AY440" s="68" t="str">
        <f t="shared" si="4"/>
        <v/>
      </c>
      <c r="AZ440" s="69" t="str">
        <f t="shared" si="5"/>
        <v/>
      </c>
      <c r="BA440" s="70" t="str">
        <f t="shared" si="6"/>
        <v/>
      </c>
      <c r="BB440" s="68" t="str">
        <f t="shared" si="7"/>
        <v/>
      </c>
      <c r="BC440" s="69" t="str">
        <f>IFERROR(VLOOKUP($AQ440,'(勿動)組件目錄表'!$D$15:$R$1094,7,FALSE),"")</f>
        <v/>
      </c>
      <c r="BD440" s="69" t="str">
        <f>IFERROR(VLOOKUP($AQ440,'(勿動)組件目錄表'!$D$15:$R$1094,8,FALSE),"")</f>
        <v/>
      </c>
      <c r="BE440" s="69" t="str">
        <f>IFERROR(VLOOKUP($AQ440,'(勿動)組件目錄表'!$D$15:$R$1094,9,FALSE),"")</f>
        <v/>
      </c>
      <c r="BF440" s="69" t="str">
        <f>IFERROR(VLOOKUP($AQ440,'(勿動)組件目錄表'!$D$15:$R$1094,10,FALSE),"")</f>
        <v/>
      </c>
      <c r="BG440" s="69" t="str">
        <f>IFERROR(VLOOKUP($AQ440,'(勿動)組件目錄表'!$D$15:$R$1094,11,FALSE),"")</f>
        <v/>
      </c>
      <c r="BH440" s="69" t="str">
        <f>IFERROR(VLOOKUP($AQ440,'(勿動)組件目錄表'!$D$15:$R$1094,12,FALSE),"")</f>
        <v/>
      </c>
      <c r="BI440" s="69" t="str">
        <f>IFERROR(VLOOKUP($AQ440,'(勿動)組件目錄表'!$D$15:$R$1094,13,FALSE),"")</f>
        <v/>
      </c>
      <c r="BJ440" s="69" t="str">
        <f>IFERROR(VLOOKUP($AQ440,'(勿動)組件目錄表'!$D$15:$R$1094,14,FALSE),"")</f>
        <v/>
      </c>
      <c r="BK440" s="69" t="str">
        <f>IFERROR(VLOOKUP($AQ440,'(勿動)組件目錄表'!$D$15:$R$1094,15,FALSE),"")</f>
        <v/>
      </c>
      <c r="BL440" s="81">
        <f ca="1">IFERROR(__xludf.DUMMYFUNCTION("IFERROR(
  LET(
    rowData, FILTER('(勿動)組件目錄表'!J:Q, '(勿動)組件目錄表'!D:D=AQ440),
    IF(ROWS(rowData)=0, 0, 
      (
        IF(AND(BC440&lt;&gt;"""", INDEX(rowData,1,1)=BC440),1,0) +
        IF(AND(BD440&lt;&gt;"""", INDEX(rowData,1,2)=BD440),1,0) +
        IF(AND(BE440"&amp;"&lt;&gt;"""", INDEX(rowData,1,3)=BE440),1,0) +
        IF(AND(BF440&lt;&gt;"""", INDEX(rowData,1,4)=BF440),1,0) +
        IF(AND(BG440&lt;&gt;"""", INDEX(rowData,1,5)=BG440),1,0) +
        IF(AND(BH440&lt;&gt;"""", INDEX(rowData,1,6)=BH440),1,0) +
        IF(AND(BI440&lt;&gt;"""", IND"&amp;"EX(rowData,1,7)=BI440),1,0) +
        IF(AND(BJ440&lt;&gt;"""", INDEX(rowData,1,8)=BJ440),1,0)
      ) - COUNTIF(BC440:BJ440, ""-"")
        - COUNTIF(BC440:BJ440, ""固定格式，不需提供資訊"")
        - COUNTIF(BC440:BJ440, ""由MKT更新，此欄位固定格式，不需提供資訊
(Voucher CID：12917705872)"&amp;""")
        - COUNTIF(BC440:BJ440, ""text固定為以下：
※直播間僅支援手機版"")
        - COUNTIF(BC440:BJ440, ""text固定為以下：
※短影音僅支援手機版"")
    )
  ), 
  0
)
"),0)</f>
        <v>0</v>
      </c>
      <c r="BM440" s="77" t="b">
        <v>0</v>
      </c>
      <c r="BN440" s="85"/>
      <c r="BO440" s="85"/>
    </row>
    <row r="441" spans="1:67" ht="30" customHeight="1">
      <c r="A441" s="73" t="str">
        <f t="array" aca="1" ref="A441" ca="1">IFERROR(TRANSPOSE(INDIRECT('MS section版配(Old)'!$AO441)),"")</f>
        <v/>
      </c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8"/>
      <c r="P441" s="88"/>
      <c r="Q441" s="88"/>
      <c r="R441" s="88"/>
      <c r="S441" s="88"/>
      <c r="T441" s="88"/>
      <c r="U441" s="88"/>
      <c r="V441" s="88"/>
      <c r="W441" s="88"/>
      <c r="X441" s="88"/>
      <c r="Y441" s="88"/>
      <c r="Z441" s="88"/>
      <c r="AA441" s="88"/>
      <c r="AB441" s="88"/>
      <c r="AC441" s="88"/>
      <c r="AD441" s="88"/>
      <c r="AE441" s="397" t="str">
        <f>IFERROR(VLOOKUP($AQ441,'(勿動)組件目錄表'!$D$15:$R$1094,4,FALSE),"")</f>
        <v/>
      </c>
      <c r="AF441" s="384"/>
      <c r="AG441" s="384"/>
      <c r="AH441" s="384"/>
      <c r="AI441" s="384"/>
      <c r="AJ441" s="385"/>
      <c r="AK441" s="54" t="b">
        <v>0</v>
      </c>
      <c r="AL441" s="54" t="b">
        <v>0</v>
      </c>
      <c r="AM441" s="54"/>
      <c r="AN441" s="7" t="str">
        <v>433</v>
      </c>
      <c r="AO441" s="7"/>
      <c r="AP441" s="62"/>
      <c r="AQ441" s="75" t="str">
        <v/>
      </c>
      <c r="AR441" s="75" t="str">
        <v>-</v>
      </c>
      <c r="AS441" s="11"/>
      <c r="AT441" s="77" t="str">
        <v>-</v>
      </c>
      <c r="AU441" s="11" t="str">
        <v>-</v>
      </c>
      <c r="AV441" s="100"/>
      <c r="AW441" s="80" t="str">
        <f ca="1"/>
        <v>-</v>
      </c>
      <c r="AX441" s="80" t="b">
        <v>0</v>
      </c>
      <c r="AY441" s="68" t="str">
        <f t="shared" si="4"/>
        <v/>
      </c>
      <c r="AZ441" s="69" t="str">
        <f t="shared" si="5"/>
        <v/>
      </c>
      <c r="BA441" s="70" t="str">
        <f t="shared" si="6"/>
        <v/>
      </c>
      <c r="BB441" s="68" t="str">
        <f t="shared" si="7"/>
        <v/>
      </c>
      <c r="BC441" s="69" t="str">
        <f>IFERROR(VLOOKUP($AQ441,'(勿動)組件目錄表'!$D$15:$R$1094,7,FALSE),"")</f>
        <v/>
      </c>
      <c r="BD441" s="69" t="str">
        <f>IFERROR(VLOOKUP($AQ441,'(勿動)組件目錄表'!$D$15:$R$1094,8,FALSE),"")</f>
        <v/>
      </c>
      <c r="BE441" s="69" t="str">
        <f>IFERROR(VLOOKUP($AQ441,'(勿動)組件目錄表'!$D$15:$R$1094,9,FALSE),"")</f>
        <v/>
      </c>
      <c r="BF441" s="69" t="str">
        <f>IFERROR(VLOOKUP($AQ441,'(勿動)組件目錄表'!$D$15:$R$1094,10,FALSE),"")</f>
        <v/>
      </c>
      <c r="BG441" s="69" t="str">
        <f>IFERROR(VLOOKUP($AQ441,'(勿動)組件目錄表'!$D$15:$R$1094,11,FALSE),"")</f>
        <v/>
      </c>
      <c r="BH441" s="69" t="str">
        <f>IFERROR(VLOOKUP($AQ441,'(勿動)組件目錄表'!$D$15:$R$1094,12,FALSE),"")</f>
        <v/>
      </c>
      <c r="BI441" s="69" t="str">
        <f>IFERROR(VLOOKUP($AQ441,'(勿動)組件目錄表'!$D$15:$R$1094,13,FALSE),"")</f>
        <v/>
      </c>
      <c r="BJ441" s="69" t="str">
        <f>IFERROR(VLOOKUP($AQ441,'(勿動)組件目錄表'!$D$15:$R$1094,14,FALSE),"")</f>
        <v/>
      </c>
      <c r="BK441" s="69" t="str">
        <f>IFERROR(VLOOKUP($AQ441,'(勿動)組件目錄表'!$D$15:$R$1094,15,FALSE),"")</f>
        <v/>
      </c>
      <c r="BL441" s="81">
        <f ca="1">IFERROR(__xludf.DUMMYFUNCTION("IFERROR(
  LET(
    rowData, FILTER('(勿動)組件目錄表'!J:Q, '(勿動)組件目錄表'!D:D=AQ441),
    IF(ROWS(rowData)=0, 0, 
      (
        IF(AND(BC441&lt;&gt;"""", INDEX(rowData,1,1)=BC441),1,0) +
        IF(AND(BD441&lt;&gt;"""", INDEX(rowData,1,2)=BD441),1,0) +
        IF(AND(BE441"&amp;"&lt;&gt;"""", INDEX(rowData,1,3)=BE441),1,0) +
        IF(AND(BF441&lt;&gt;"""", INDEX(rowData,1,4)=BF441),1,0) +
        IF(AND(BG441&lt;&gt;"""", INDEX(rowData,1,5)=BG441),1,0) +
        IF(AND(BH441&lt;&gt;"""", INDEX(rowData,1,6)=BH441),1,0) +
        IF(AND(BI441&lt;&gt;"""", IND"&amp;"EX(rowData,1,7)=BI441),1,0) +
        IF(AND(BJ441&lt;&gt;"""", INDEX(rowData,1,8)=BJ441),1,0)
      ) - COUNTIF(BC441:BJ441, ""-"")
        - COUNTIF(BC441:BJ441, ""固定格式，不需提供資訊"")
        - COUNTIF(BC441:BJ441, ""由MKT更新，此欄位固定格式，不需提供資訊
(Voucher CID：12917705872)"&amp;""")
        - COUNTIF(BC441:BJ441, ""text固定為以下：
※直播間僅支援手機版"")
        - COUNTIF(BC441:BJ441, ""text固定為以下：
※短影音僅支援手機版"")
    )
  ), 
  0
)
"),0)</f>
        <v>0</v>
      </c>
      <c r="BM441" s="77" t="b">
        <v>0</v>
      </c>
      <c r="BN441" s="85"/>
      <c r="BO441" s="85"/>
    </row>
    <row r="442" spans="1:67" ht="30" customHeight="1">
      <c r="A442" s="73" t="str">
        <f t="array" aca="1" ref="A442" ca="1">IFERROR(TRANSPOSE(INDIRECT('MS section版配(Old)'!$AO442)),"")</f>
        <v/>
      </c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8"/>
      <c r="P442" s="88"/>
      <c r="Q442" s="88"/>
      <c r="R442" s="88"/>
      <c r="S442" s="88"/>
      <c r="T442" s="88"/>
      <c r="U442" s="88"/>
      <c r="V442" s="88"/>
      <c r="W442" s="88"/>
      <c r="X442" s="88"/>
      <c r="Y442" s="88"/>
      <c r="Z442" s="88"/>
      <c r="AA442" s="88"/>
      <c r="AB442" s="88"/>
      <c r="AC442" s="88"/>
      <c r="AD442" s="88"/>
      <c r="AE442" s="397" t="str">
        <f>IFERROR(VLOOKUP($AQ442,'(勿動)組件目錄表'!$D$15:$R$1094,4,FALSE),"")</f>
        <v/>
      </c>
      <c r="AF442" s="384"/>
      <c r="AG442" s="384"/>
      <c r="AH442" s="384"/>
      <c r="AI442" s="384"/>
      <c r="AJ442" s="385"/>
      <c r="AK442" s="54" t="b">
        <v>0</v>
      </c>
      <c r="AL442" s="54" t="b">
        <v>0</v>
      </c>
      <c r="AM442" s="54"/>
      <c r="AN442" s="7" t="str">
        <v>434</v>
      </c>
      <c r="AO442" s="7"/>
      <c r="AP442" s="62"/>
      <c r="AQ442" s="75" t="str">
        <v/>
      </c>
      <c r="AR442" s="75" t="str">
        <v>-</v>
      </c>
      <c r="AS442" s="11"/>
      <c r="AT442" s="77" t="str">
        <v>-</v>
      </c>
      <c r="AU442" s="11" t="str">
        <v>-</v>
      </c>
      <c r="AV442" s="100"/>
      <c r="AW442" s="80" t="str">
        <f ca="1"/>
        <v>-</v>
      </c>
      <c r="AX442" s="80" t="b">
        <v>0</v>
      </c>
      <c r="AY442" s="68" t="str">
        <f t="shared" si="4"/>
        <v/>
      </c>
      <c r="AZ442" s="69" t="str">
        <f t="shared" si="5"/>
        <v/>
      </c>
      <c r="BA442" s="70" t="str">
        <f t="shared" si="6"/>
        <v/>
      </c>
      <c r="BB442" s="68" t="str">
        <f t="shared" si="7"/>
        <v/>
      </c>
      <c r="BC442" s="69" t="str">
        <f>IFERROR(VLOOKUP($AQ442,'(勿動)組件目錄表'!$D$15:$R$1094,7,FALSE),"")</f>
        <v/>
      </c>
      <c r="BD442" s="69" t="str">
        <f>IFERROR(VLOOKUP($AQ442,'(勿動)組件目錄表'!$D$15:$R$1094,8,FALSE),"")</f>
        <v/>
      </c>
      <c r="BE442" s="69" t="str">
        <f>IFERROR(VLOOKUP($AQ442,'(勿動)組件目錄表'!$D$15:$R$1094,9,FALSE),"")</f>
        <v/>
      </c>
      <c r="BF442" s="69" t="str">
        <f>IFERROR(VLOOKUP($AQ442,'(勿動)組件目錄表'!$D$15:$R$1094,10,FALSE),"")</f>
        <v/>
      </c>
      <c r="BG442" s="69" t="str">
        <f>IFERROR(VLOOKUP($AQ442,'(勿動)組件目錄表'!$D$15:$R$1094,11,FALSE),"")</f>
        <v/>
      </c>
      <c r="BH442" s="69" t="str">
        <f>IFERROR(VLOOKUP($AQ442,'(勿動)組件目錄表'!$D$15:$R$1094,12,FALSE),"")</f>
        <v/>
      </c>
      <c r="BI442" s="69" t="str">
        <f>IFERROR(VLOOKUP($AQ442,'(勿動)組件目錄表'!$D$15:$R$1094,13,FALSE),"")</f>
        <v/>
      </c>
      <c r="BJ442" s="69" t="str">
        <f>IFERROR(VLOOKUP($AQ442,'(勿動)組件目錄表'!$D$15:$R$1094,14,FALSE),"")</f>
        <v/>
      </c>
      <c r="BK442" s="69" t="str">
        <f>IFERROR(VLOOKUP($AQ442,'(勿動)組件目錄表'!$D$15:$R$1094,15,FALSE),"")</f>
        <v/>
      </c>
      <c r="BL442" s="81">
        <f ca="1">IFERROR(__xludf.DUMMYFUNCTION("IFERROR(
  LET(
    rowData, FILTER('(勿動)組件目錄表'!J:Q, '(勿動)組件目錄表'!D:D=AQ442),
    IF(ROWS(rowData)=0, 0, 
      (
        IF(AND(BC442&lt;&gt;"""", INDEX(rowData,1,1)=BC442),1,0) +
        IF(AND(BD442&lt;&gt;"""", INDEX(rowData,1,2)=BD442),1,0) +
        IF(AND(BE442"&amp;"&lt;&gt;"""", INDEX(rowData,1,3)=BE442),1,0) +
        IF(AND(BF442&lt;&gt;"""", INDEX(rowData,1,4)=BF442),1,0) +
        IF(AND(BG442&lt;&gt;"""", INDEX(rowData,1,5)=BG442),1,0) +
        IF(AND(BH442&lt;&gt;"""", INDEX(rowData,1,6)=BH442),1,0) +
        IF(AND(BI442&lt;&gt;"""", IND"&amp;"EX(rowData,1,7)=BI442),1,0) +
        IF(AND(BJ442&lt;&gt;"""", INDEX(rowData,1,8)=BJ442),1,0)
      ) - COUNTIF(BC442:BJ442, ""-"")
        - COUNTIF(BC442:BJ442, ""固定格式，不需提供資訊"")
        - COUNTIF(BC442:BJ442, ""由MKT更新，此欄位固定格式，不需提供資訊
(Voucher CID：12917705872)"&amp;""")
        - COUNTIF(BC442:BJ442, ""text固定為以下：
※直播間僅支援手機版"")
        - COUNTIF(BC442:BJ442, ""text固定為以下：
※短影音僅支援手機版"")
    )
  ), 
  0
)
"),0)</f>
        <v>0</v>
      </c>
      <c r="BM442" s="77" t="b">
        <v>0</v>
      </c>
      <c r="BN442" s="85"/>
      <c r="BO442" s="85"/>
    </row>
    <row r="443" spans="1:67" ht="30" customHeight="1">
      <c r="A443" s="73" t="str">
        <f t="array" aca="1" ref="A443" ca="1">IFERROR(TRANSPOSE(INDIRECT('MS section版配(Old)'!$AO443)),"")</f>
        <v/>
      </c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8"/>
      <c r="P443" s="88"/>
      <c r="Q443" s="88"/>
      <c r="R443" s="88"/>
      <c r="S443" s="88"/>
      <c r="T443" s="88"/>
      <c r="U443" s="88"/>
      <c r="V443" s="88"/>
      <c r="W443" s="88"/>
      <c r="X443" s="88"/>
      <c r="Y443" s="88"/>
      <c r="Z443" s="88"/>
      <c r="AA443" s="88"/>
      <c r="AB443" s="88"/>
      <c r="AC443" s="88"/>
      <c r="AD443" s="88"/>
      <c r="AE443" s="397" t="str">
        <f>IFERROR(VLOOKUP($AQ443,'(勿動)組件目錄表'!$D$15:$R$1094,4,FALSE),"")</f>
        <v/>
      </c>
      <c r="AF443" s="384"/>
      <c r="AG443" s="384"/>
      <c r="AH443" s="384"/>
      <c r="AI443" s="384"/>
      <c r="AJ443" s="385"/>
      <c r="AK443" s="54" t="b">
        <v>0</v>
      </c>
      <c r="AL443" s="54" t="b">
        <v>0</v>
      </c>
      <c r="AM443" s="54"/>
      <c r="AN443" s="7" t="str">
        <v>435</v>
      </c>
      <c r="AO443" s="7"/>
      <c r="AP443" s="62"/>
      <c r="AQ443" s="75" t="str">
        <v/>
      </c>
      <c r="AR443" s="75" t="str">
        <v>-</v>
      </c>
      <c r="AS443" s="11"/>
      <c r="AT443" s="77" t="str">
        <v>-</v>
      </c>
      <c r="AU443" s="11" t="str">
        <v>-</v>
      </c>
      <c r="AV443" s="100"/>
      <c r="AW443" s="80" t="str">
        <f ca="1"/>
        <v>-</v>
      </c>
      <c r="AX443" s="80" t="b">
        <v>0</v>
      </c>
      <c r="AY443" s="68" t="str">
        <f t="shared" si="4"/>
        <v/>
      </c>
      <c r="AZ443" s="69" t="str">
        <f t="shared" si="5"/>
        <v/>
      </c>
      <c r="BA443" s="70" t="str">
        <f t="shared" si="6"/>
        <v/>
      </c>
      <c r="BB443" s="68" t="str">
        <f t="shared" si="7"/>
        <v/>
      </c>
      <c r="BC443" s="69" t="str">
        <f>IFERROR(VLOOKUP($AQ443,'(勿動)組件目錄表'!$D$15:$R$1094,7,FALSE),"")</f>
        <v/>
      </c>
      <c r="BD443" s="69" t="str">
        <f>IFERROR(VLOOKUP($AQ443,'(勿動)組件目錄表'!$D$15:$R$1094,8,FALSE),"")</f>
        <v/>
      </c>
      <c r="BE443" s="69" t="str">
        <f>IFERROR(VLOOKUP($AQ443,'(勿動)組件目錄表'!$D$15:$R$1094,9,FALSE),"")</f>
        <v/>
      </c>
      <c r="BF443" s="69" t="str">
        <f>IFERROR(VLOOKUP($AQ443,'(勿動)組件目錄表'!$D$15:$R$1094,10,FALSE),"")</f>
        <v/>
      </c>
      <c r="BG443" s="69" t="str">
        <f>IFERROR(VLOOKUP($AQ443,'(勿動)組件目錄表'!$D$15:$R$1094,11,FALSE),"")</f>
        <v/>
      </c>
      <c r="BH443" s="69" t="str">
        <f>IFERROR(VLOOKUP($AQ443,'(勿動)組件目錄表'!$D$15:$R$1094,12,FALSE),"")</f>
        <v/>
      </c>
      <c r="BI443" s="69" t="str">
        <f>IFERROR(VLOOKUP($AQ443,'(勿動)組件目錄表'!$D$15:$R$1094,13,FALSE),"")</f>
        <v/>
      </c>
      <c r="BJ443" s="69" t="str">
        <f>IFERROR(VLOOKUP($AQ443,'(勿動)組件目錄表'!$D$15:$R$1094,14,FALSE),"")</f>
        <v/>
      </c>
      <c r="BK443" s="69" t="str">
        <f>IFERROR(VLOOKUP($AQ443,'(勿動)組件目錄表'!$D$15:$R$1094,15,FALSE),"")</f>
        <v/>
      </c>
      <c r="BL443" s="81">
        <f ca="1">IFERROR(__xludf.DUMMYFUNCTION("IFERROR(
  LET(
    rowData, FILTER('(勿動)組件目錄表'!J:Q, '(勿動)組件目錄表'!D:D=AQ443),
    IF(ROWS(rowData)=0, 0, 
      (
        IF(AND(BC443&lt;&gt;"""", INDEX(rowData,1,1)=BC443),1,0) +
        IF(AND(BD443&lt;&gt;"""", INDEX(rowData,1,2)=BD443),1,0) +
        IF(AND(BE443"&amp;"&lt;&gt;"""", INDEX(rowData,1,3)=BE443),1,0) +
        IF(AND(BF443&lt;&gt;"""", INDEX(rowData,1,4)=BF443),1,0) +
        IF(AND(BG443&lt;&gt;"""", INDEX(rowData,1,5)=BG443),1,0) +
        IF(AND(BH443&lt;&gt;"""", INDEX(rowData,1,6)=BH443),1,0) +
        IF(AND(BI443&lt;&gt;"""", IND"&amp;"EX(rowData,1,7)=BI443),1,0) +
        IF(AND(BJ443&lt;&gt;"""", INDEX(rowData,1,8)=BJ443),1,0)
      ) - COUNTIF(BC443:BJ443, ""-"")
        - COUNTIF(BC443:BJ443, ""固定格式，不需提供資訊"")
        - COUNTIF(BC443:BJ443, ""由MKT更新，此欄位固定格式，不需提供資訊
(Voucher CID：12917705872)"&amp;""")
        - COUNTIF(BC443:BJ443, ""text固定為以下：
※直播間僅支援手機版"")
        - COUNTIF(BC443:BJ443, ""text固定為以下：
※短影音僅支援手機版"")
    )
  ), 
  0
)
"),0)</f>
        <v>0</v>
      </c>
      <c r="BM443" s="77" t="b">
        <v>0</v>
      </c>
      <c r="BN443" s="85"/>
      <c r="BO443" s="85"/>
    </row>
    <row r="444" spans="1:67" ht="30" customHeight="1">
      <c r="A444" s="73" t="str">
        <f t="array" aca="1" ref="A444" ca="1">IFERROR(TRANSPOSE(INDIRECT('MS section版配(Old)'!$AO444)),"")</f>
        <v/>
      </c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8"/>
      <c r="P444" s="88"/>
      <c r="Q444" s="88"/>
      <c r="R444" s="88"/>
      <c r="S444" s="88"/>
      <c r="T444" s="88"/>
      <c r="U444" s="88"/>
      <c r="V444" s="88"/>
      <c r="W444" s="88"/>
      <c r="X444" s="88"/>
      <c r="Y444" s="88"/>
      <c r="Z444" s="88"/>
      <c r="AA444" s="88"/>
      <c r="AB444" s="88"/>
      <c r="AC444" s="88"/>
      <c r="AD444" s="88"/>
      <c r="AE444" s="397" t="str">
        <f>IFERROR(VLOOKUP($AQ444,'(勿動)組件目錄表'!$D$15:$R$1094,4,FALSE),"")</f>
        <v/>
      </c>
      <c r="AF444" s="384"/>
      <c r="AG444" s="384"/>
      <c r="AH444" s="384"/>
      <c r="AI444" s="384"/>
      <c r="AJ444" s="385"/>
      <c r="AK444" s="54" t="b">
        <v>0</v>
      </c>
      <c r="AL444" s="54" t="b">
        <v>0</v>
      </c>
      <c r="AM444" s="54"/>
      <c r="AN444" s="7" t="str">
        <v>436</v>
      </c>
      <c r="AO444" s="7"/>
      <c r="AP444" s="62"/>
      <c r="AQ444" s="75" t="str">
        <v/>
      </c>
      <c r="AR444" s="75" t="str">
        <v>-</v>
      </c>
      <c r="AS444" s="11"/>
      <c r="AT444" s="77" t="str">
        <v>-</v>
      </c>
      <c r="AU444" s="11" t="str">
        <v>-</v>
      </c>
      <c r="AV444" s="100"/>
      <c r="AW444" s="80" t="str">
        <f ca="1"/>
        <v>-</v>
      </c>
      <c r="AX444" s="80" t="b">
        <v>0</v>
      </c>
      <c r="AY444" s="68" t="str">
        <f t="shared" si="4"/>
        <v/>
      </c>
      <c r="AZ444" s="69" t="str">
        <f t="shared" si="5"/>
        <v/>
      </c>
      <c r="BA444" s="70" t="str">
        <f t="shared" si="6"/>
        <v/>
      </c>
      <c r="BB444" s="68" t="str">
        <f t="shared" si="7"/>
        <v/>
      </c>
      <c r="BC444" s="69" t="str">
        <f>IFERROR(VLOOKUP($AQ444,'(勿動)組件目錄表'!$D$15:$R$1094,7,FALSE),"")</f>
        <v/>
      </c>
      <c r="BD444" s="69" t="str">
        <f>IFERROR(VLOOKUP($AQ444,'(勿動)組件目錄表'!$D$15:$R$1094,8,FALSE),"")</f>
        <v/>
      </c>
      <c r="BE444" s="69" t="str">
        <f>IFERROR(VLOOKUP($AQ444,'(勿動)組件目錄表'!$D$15:$R$1094,9,FALSE),"")</f>
        <v/>
      </c>
      <c r="BF444" s="69" t="str">
        <f>IFERROR(VLOOKUP($AQ444,'(勿動)組件目錄表'!$D$15:$R$1094,10,FALSE),"")</f>
        <v/>
      </c>
      <c r="BG444" s="69" t="str">
        <f>IFERROR(VLOOKUP($AQ444,'(勿動)組件目錄表'!$D$15:$R$1094,11,FALSE),"")</f>
        <v/>
      </c>
      <c r="BH444" s="69" t="str">
        <f>IFERROR(VLOOKUP($AQ444,'(勿動)組件目錄表'!$D$15:$R$1094,12,FALSE),"")</f>
        <v/>
      </c>
      <c r="BI444" s="69" t="str">
        <f>IFERROR(VLOOKUP($AQ444,'(勿動)組件目錄表'!$D$15:$R$1094,13,FALSE),"")</f>
        <v/>
      </c>
      <c r="BJ444" s="69" t="str">
        <f>IFERROR(VLOOKUP($AQ444,'(勿動)組件目錄表'!$D$15:$R$1094,14,FALSE),"")</f>
        <v/>
      </c>
      <c r="BK444" s="69" t="str">
        <f>IFERROR(VLOOKUP($AQ444,'(勿動)組件目錄表'!$D$15:$R$1094,15,FALSE),"")</f>
        <v/>
      </c>
      <c r="BL444" s="81">
        <f ca="1">IFERROR(__xludf.DUMMYFUNCTION("IFERROR(
  LET(
    rowData, FILTER('(勿動)組件目錄表'!J:Q, '(勿動)組件目錄表'!D:D=AQ444),
    IF(ROWS(rowData)=0, 0, 
      (
        IF(AND(BC444&lt;&gt;"""", INDEX(rowData,1,1)=BC444),1,0) +
        IF(AND(BD444&lt;&gt;"""", INDEX(rowData,1,2)=BD444),1,0) +
        IF(AND(BE444"&amp;"&lt;&gt;"""", INDEX(rowData,1,3)=BE444),1,0) +
        IF(AND(BF444&lt;&gt;"""", INDEX(rowData,1,4)=BF444),1,0) +
        IF(AND(BG444&lt;&gt;"""", INDEX(rowData,1,5)=BG444),1,0) +
        IF(AND(BH444&lt;&gt;"""", INDEX(rowData,1,6)=BH444),1,0) +
        IF(AND(BI444&lt;&gt;"""", IND"&amp;"EX(rowData,1,7)=BI444),1,0) +
        IF(AND(BJ444&lt;&gt;"""", INDEX(rowData,1,8)=BJ444),1,0)
      ) - COUNTIF(BC444:BJ444, ""-"")
        - COUNTIF(BC444:BJ444, ""固定格式，不需提供資訊"")
        - COUNTIF(BC444:BJ444, ""由MKT更新，此欄位固定格式，不需提供資訊
(Voucher CID：12917705872)"&amp;""")
        - COUNTIF(BC444:BJ444, ""text固定為以下：
※直播間僅支援手機版"")
        - COUNTIF(BC444:BJ444, ""text固定為以下：
※短影音僅支援手機版"")
    )
  ), 
  0
)
"),0)</f>
        <v>0</v>
      </c>
      <c r="BM444" s="77" t="b">
        <v>0</v>
      </c>
      <c r="BN444" s="85"/>
      <c r="BO444" s="85"/>
    </row>
    <row r="445" spans="1:67" ht="30" customHeight="1">
      <c r="A445" s="73" t="str">
        <f t="array" aca="1" ref="A445" ca="1">IFERROR(TRANSPOSE(INDIRECT('MS section版配(Old)'!$AO445)),"")</f>
        <v/>
      </c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8"/>
      <c r="P445" s="88"/>
      <c r="Q445" s="88"/>
      <c r="R445" s="88"/>
      <c r="S445" s="88"/>
      <c r="T445" s="88"/>
      <c r="U445" s="88"/>
      <c r="V445" s="88"/>
      <c r="W445" s="88"/>
      <c r="X445" s="88"/>
      <c r="Y445" s="88"/>
      <c r="Z445" s="88"/>
      <c r="AA445" s="88"/>
      <c r="AB445" s="88"/>
      <c r="AC445" s="88"/>
      <c r="AD445" s="88"/>
      <c r="AE445" s="397" t="str">
        <f>IFERROR(VLOOKUP($AQ445,'(勿動)組件目錄表'!$D$15:$R$1094,4,FALSE),"")</f>
        <v/>
      </c>
      <c r="AF445" s="384"/>
      <c r="AG445" s="384"/>
      <c r="AH445" s="384"/>
      <c r="AI445" s="384"/>
      <c r="AJ445" s="385"/>
      <c r="AK445" s="54" t="b">
        <v>0</v>
      </c>
      <c r="AL445" s="54" t="b">
        <v>0</v>
      </c>
      <c r="AM445" s="54"/>
      <c r="AN445" s="7" t="str">
        <v>437</v>
      </c>
      <c r="AO445" s="7"/>
      <c r="AP445" s="62"/>
      <c r="AQ445" s="75" t="str">
        <v/>
      </c>
      <c r="AR445" s="75" t="str">
        <v>-</v>
      </c>
      <c r="AS445" s="11"/>
      <c r="AT445" s="77" t="str">
        <v>-</v>
      </c>
      <c r="AU445" s="11" t="str">
        <v>-</v>
      </c>
      <c r="AV445" s="100"/>
      <c r="AW445" s="80" t="str">
        <f ca="1"/>
        <v>-</v>
      </c>
      <c r="AX445" s="80" t="b">
        <v>0</v>
      </c>
      <c r="AY445" s="68" t="str">
        <f t="shared" si="4"/>
        <v/>
      </c>
      <c r="AZ445" s="69" t="str">
        <f t="shared" si="5"/>
        <v/>
      </c>
      <c r="BA445" s="70" t="str">
        <f t="shared" si="6"/>
        <v/>
      </c>
      <c r="BB445" s="68" t="str">
        <f t="shared" si="7"/>
        <v/>
      </c>
      <c r="BC445" s="69" t="str">
        <f>IFERROR(VLOOKUP($AQ445,'(勿動)組件目錄表'!$D$15:$R$1094,7,FALSE),"")</f>
        <v/>
      </c>
      <c r="BD445" s="69" t="str">
        <f>IFERROR(VLOOKUP($AQ445,'(勿動)組件目錄表'!$D$15:$R$1094,8,FALSE),"")</f>
        <v/>
      </c>
      <c r="BE445" s="69" t="str">
        <f>IFERROR(VLOOKUP($AQ445,'(勿動)組件目錄表'!$D$15:$R$1094,9,FALSE),"")</f>
        <v/>
      </c>
      <c r="BF445" s="69" t="str">
        <f>IFERROR(VLOOKUP($AQ445,'(勿動)組件目錄表'!$D$15:$R$1094,10,FALSE),"")</f>
        <v/>
      </c>
      <c r="BG445" s="69" t="str">
        <f>IFERROR(VLOOKUP($AQ445,'(勿動)組件目錄表'!$D$15:$R$1094,11,FALSE),"")</f>
        <v/>
      </c>
      <c r="BH445" s="69" t="str">
        <f>IFERROR(VLOOKUP($AQ445,'(勿動)組件目錄表'!$D$15:$R$1094,12,FALSE),"")</f>
        <v/>
      </c>
      <c r="BI445" s="69" t="str">
        <f>IFERROR(VLOOKUP($AQ445,'(勿動)組件目錄表'!$D$15:$R$1094,13,FALSE),"")</f>
        <v/>
      </c>
      <c r="BJ445" s="69" t="str">
        <f>IFERROR(VLOOKUP($AQ445,'(勿動)組件目錄表'!$D$15:$R$1094,14,FALSE),"")</f>
        <v/>
      </c>
      <c r="BK445" s="69" t="str">
        <f>IFERROR(VLOOKUP($AQ445,'(勿動)組件目錄表'!$D$15:$R$1094,15,FALSE),"")</f>
        <v/>
      </c>
      <c r="BL445" s="81">
        <f ca="1">IFERROR(__xludf.DUMMYFUNCTION("IFERROR(
  LET(
    rowData, FILTER('(勿動)組件目錄表'!J:Q, '(勿動)組件目錄表'!D:D=AQ445),
    IF(ROWS(rowData)=0, 0, 
      (
        IF(AND(BC445&lt;&gt;"""", INDEX(rowData,1,1)=BC445),1,0) +
        IF(AND(BD445&lt;&gt;"""", INDEX(rowData,1,2)=BD445),1,0) +
        IF(AND(BE445"&amp;"&lt;&gt;"""", INDEX(rowData,1,3)=BE445),1,0) +
        IF(AND(BF445&lt;&gt;"""", INDEX(rowData,1,4)=BF445),1,0) +
        IF(AND(BG445&lt;&gt;"""", INDEX(rowData,1,5)=BG445),1,0) +
        IF(AND(BH445&lt;&gt;"""", INDEX(rowData,1,6)=BH445),1,0) +
        IF(AND(BI445&lt;&gt;"""", IND"&amp;"EX(rowData,1,7)=BI445),1,0) +
        IF(AND(BJ445&lt;&gt;"""", INDEX(rowData,1,8)=BJ445),1,0)
      ) - COUNTIF(BC445:BJ445, ""-"")
        - COUNTIF(BC445:BJ445, ""固定格式，不需提供資訊"")
        - COUNTIF(BC445:BJ445, ""由MKT更新，此欄位固定格式，不需提供資訊
(Voucher CID：12917705872)"&amp;""")
        - COUNTIF(BC445:BJ445, ""text固定為以下：
※直播間僅支援手機版"")
        - COUNTIF(BC445:BJ445, ""text固定為以下：
※短影音僅支援手機版"")
    )
  ), 
  0
)
"),0)</f>
        <v>0</v>
      </c>
      <c r="BM445" s="77" t="b">
        <v>0</v>
      </c>
      <c r="BN445" s="85"/>
      <c r="BO445" s="85"/>
    </row>
    <row r="446" spans="1:67" ht="30" customHeight="1">
      <c r="A446" s="73" t="str">
        <f t="array" aca="1" ref="A446" ca="1">IFERROR(TRANSPOSE(INDIRECT('MS section版配(Old)'!$AO446)),"")</f>
        <v/>
      </c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8"/>
      <c r="P446" s="88"/>
      <c r="Q446" s="88"/>
      <c r="R446" s="88"/>
      <c r="S446" s="88"/>
      <c r="T446" s="88"/>
      <c r="U446" s="88"/>
      <c r="V446" s="88"/>
      <c r="W446" s="88"/>
      <c r="X446" s="88"/>
      <c r="Y446" s="88"/>
      <c r="Z446" s="88"/>
      <c r="AA446" s="88"/>
      <c r="AB446" s="88"/>
      <c r="AC446" s="88"/>
      <c r="AD446" s="88"/>
      <c r="AE446" s="397" t="str">
        <f>IFERROR(VLOOKUP($AQ446,'(勿動)組件目錄表'!$D$15:$R$1094,4,FALSE),"")</f>
        <v/>
      </c>
      <c r="AF446" s="384"/>
      <c r="AG446" s="384"/>
      <c r="AH446" s="384"/>
      <c r="AI446" s="384"/>
      <c r="AJ446" s="385"/>
      <c r="AK446" s="54" t="b">
        <v>0</v>
      </c>
      <c r="AL446" s="54" t="b">
        <v>0</v>
      </c>
      <c r="AM446" s="54"/>
      <c r="AN446" s="7" t="str">
        <v>438</v>
      </c>
      <c r="AO446" s="7"/>
      <c r="AP446" s="62"/>
      <c r="AQ446" s="75" t="str">
        <v/>
      </c>
      <c r="AR446" s="75" t="str">
        <v>-</v>
      </c>
      <c r="AS446" s="11"/>
      <c r="AT446" s="77" t="str">
        <v>-</v>
      </c>
      <c r="AU446" s="11" t="str">
        <v>-</v>
      </c>
      <c r="AV446" s="100"/>
      <c r="AW446" s="80" t="str">
        <f ca="1"/>
        <v>-</v>
      </c>
      <c r="AX446" s="80" t="b">
        <v>0</v>
      </c>
      <c r="AY446" s="68" t="str">
        <f t="shared" si="4"/>
        <v/>
      </c>
      <c r="AZ446" s="69" t="str">
        <f t="shared" si="5"/>
        <v/>
      </c>
      <c r="BA446" s="70" t="str">
        <f t="shared" si="6"/>
        <v/>
      </c>
      <c r="BB446" s="68" t="str">
        <f t="shared" si="7"/>
        <v/>
      </c>
      <c r="BC446" s="69" t="str">
        <f>IFERROR(VLOOKUP($AQ446,'(勿動)組件目錄表'!$D$15:$R$1094,7,FALSE),"")</f>
        <v/>
      </c>
      <c r="BD446" s="69" t="str">
        <f>IFERROR(VLOOKUP($AQ446,'(勿動)組件目錄表'!$D$15:$R$1094,8,FALSE),"")</f>
        <v/>
      </c>
      <c r="BE446" s="69" t="str">
        <f>IFERROR(VLOOKUP($AQ446,'(勿動)組件目錄表'!$D$15:$R$1094,9,FALSE),"")</f>
        <v/>
      </c>
      <c r="BF446" s="69" t="str">
        <f>IFERROR(VLOOKUP($AQ446,'(勿動)組件目錄表'!$D$15:$R$1094,10,FALSE),"")</f>
        <v/>
      </c>
      <c r="BG446" s="69" t="str">
        <f>IFERROR(VLOOKUP($AQ446,'(勿動)組件目錄表'!$D$15:$R$1094,11,FALSE),"")</f>
        <v/>
      </c>
      <c r="BH446" s="69" t="str">
        <f>IFERROR(VLOOKUP($AQ446,'(勿動)組件目錄表'!$D$15:$R$1094,12,FALSE),"")</f>
        <v/>
      </c>
      <c r="BI446" s="69" t="str">
        <f>IFERROR(VLOOKUP($AQ446,'(勿動)組件目錄表'!$D$15:$R$1094,13,FALSE),"")</f>
        <v/>
      </c>
      <c r="BJ446" s="69" t="str">
        <f>IFERROR(VLOOKUP($AQ446,'(勿動)組件目錄表'!$D$15:$R$1094,14,FALSE),"")</f>
        <v/>
      </c>
      <c r="BK446" s="69" t="str">
        <f>IFERROR(VLOOKUP($AQ446,'(勿動)組件目錄表'!$D$15:$R$1094,15,FALSE),"")</f>
        <v/>
      </c>
      <c r="BL446" s="81">
        <f ca="1">IFERROR(__xludf.DUMMYFUNCTION("IFERROR(
  LET(
    rowData, FILTER('(勿動)組件目錄表'!J:Q, '(勿動)組件目錄表'!D:D=AQ446),
    IF(ROWS(rowData)=0, 0, 
      (
        IF(AND(BC446&lt;&gt;"""", INDEX(rowData,1,1)=BC446),1,0) +
        IF(AND(BD446&lt;&gt;"""", INDEX(rowData,1,2)=BD446),1,0) +
        IF(AND(BE446"&amp;"&lt;&gt;"""", INDEX(rowData,1,3)=BE446),1,0) +
        IF(AND(BF446&lt;&gt;"""", INDEX(rowData,1,4)=BF446),1,0) +
        IF(AND(BG446&lt;&gt;"""", INDEX(rowData,1,5)=BG446),1,0) +
        IF(AND(BH446&lt;&gt;"""", INDEX(rowData,1,6)=BH446),1,0) +
        IF(AND(BI446&lt;&gt;"""", IND"&amp;"EX(rowData,1,7)=BI446),1,0) +
        IF(AND(BJ446&lt;&gt;"""", INDEX(rowData,1,8)=BJ446),1,0)
      ) - COUNTIF(BC446:BJ446, ""-"")
        - COUNTIF(BC446:BJ446, ""固定格式，不需提供資訊"")
        - COUNTIF(BC446:BJ446, ""由MKT更新，此欄位固定格式，不需提供資訊
(Voucher CID：12917705872)"&amp;""")
        - COUNTIF(BC446:BJ446, ""text固定為以下：
※直播間僅支援手機版"")
        - COUNTIF(BC446:BJ446, ""text固定為以下：
※短影音僅支援手機版"")
    )
  ), 
  0
)
"),0)</f>
        <v>0</v>
      </c>
      <c r="BM446" s="77" t="b">
        <v>0</v>
      </c>
      <c r="BN446" s="85"/>
      <c r="BO446" s="85"/>
    </row>
    <row r="447" spans="1:67" ht="30" customHeight="1">
      <c r="A447" s="73" t="str">
        <f t="array" aca="1" ref="A447" ca="1">IFERROR(TRANSPOSE(INDIRECT('MS section版配(Old)'!$AO447)),"")</f>
        <v/>
      </c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8"/>
      <c r="P447" s="88"/>
      <c r="Q447" s="88"/>
      <c r="R447" s="88"/>
      <c r="S447" s="88"/>
      <c r="T447" s="88"/>
      <c r="U447" s="88"/>
      <c r="V447" s="88"/>
      <c r="W447" s="88"/>
      <c r="X447" s="88"/>
      <c r="Y447" s="88"/>
      <c r="Z447" s="88"/>
      <c r="AA447" s="88"/>
      <c r="AB447" s="88"/>
      <c r="AC447" s="88"/>
      <c r="AD447" s="88"/>
      <c r="AE447" s="397" t="str">
        <f>IFERROR(VLOOKUP($AQ447,'(勿動)組件目錄表'!$D$15:$R$1094,4,FALSE),"")</f>
        <v/>
      </c>
      <c r="AF447" s="384"/>
      <c r="AG447" s="384"/>
      <c r="AH447" s="384"/>
      <c r="AI447" s="384"/>
      <c r="AJ447" s="385"/>
      <c r="AK447" s="54" t="b">
        <v>0</v>
      </c>
      <c r="AL447" s="54" t="b">
        <v>0</v>
      </c>
      <c r="AM447" s="54"/>
      <c r="AN447" s="7" t="str">
        <v>439</v>
      </c>
      <c r="AO447" s="7"/>
      <c r="AP447" s="62"/>
      <c r="AQ447" s="75" t="str">
        <v/>
      </c>
      <c r="AR447" s="75" t="str">
        <v>-</v>
      </c>
      <c r="AS447" s="11"/>
      <c r="AT447" s="77" t="str">
        <v>-</v>
      </c>
      <c r="AU447" s="11" t="str">
        <v>-</v>
      </c>
      <c r="AV447" s="100"/>
      <c r="AW447" s="80" t="str">
        <f ca="1"/>
        <v>-</v>
      </c>
      <c r="AX447" s="80" t="b">
        <v>0</v>
      </c>
      <c r="AY447" s="68" t="str">
        <f t="shared" si="4"/>
        <v/>
      </c>
      <c r="AZ447" s="69" t="str">
        <f t="shared" si="5"/>
        <v/>
      </c>
      <c r="BA447" s="70" t="str">
        <f t="shared" si="6"/>
        <v/>
      </c>
      <c r="BB447" s="68" t="str">
        <f t="shared" si="7"/>
        <v/>
      </c>
      <c r="BC447" s="69" t="str">
        <f>IFERROR(VLOOKUP($AQ447,'(勿動)組件目錄表'!$D$15:$R$1094,7,FALSE),"")</f>
        <v/>
      </c>
      <c r="BD447" s="69" t="str">
        <f>IFERROR(VLOOKUP($AQ447,'(勿動)組件目錄表'!$D$15:$R$1094,8,FALSE),"")</f>
        <v/>
      </c>
      <c r="BE447" s="69" t="str">
        <f>IFERROR(VLOOKUP($AQ447,'(勿動)組件目錄表'!$D$15:$R$1094,9,FALSE),"")</f>
        <v/>
      </c>
      <c r="BF447" s="69" t="str">
        <f>IFERROR(VLOOKUP($AQ447,'(勿動)組件目錄表'!$D$15:$R$1094,10,FALSE),"")</f>
        <v/>
      </c>
      <c r="BG447" s="69" t="str">
        <f>IFERROR(VLOOKUP($AQ447,'(勿動)組件目錄表'!$D$15:$R$1094,11,FALSE),"")</f>
        <v/>
      </c>
      <c r="BH447" s="69" t="str">
        <f>IFERROR(VLOOKUP($AQ447,'(勿動)組件目錄表'!$D$15:$R$1094,12,FALSE),"")</f>
        <v/>
      </c>
      <c r="BI447" s="69" t="str">
        <f>IFERROR(VLOOKUP($AQ447,'(勿動)組件目錄表'!$D$15:$R$1094,13,FALSE),"")</f>
        <v/>
      </c>
      <c r="BJ447" s="69" t="str">
        <f>IFERROR(VLOOKUP($AQ447,'(勿動)組件目錄表'!$D$15:$R$1094,14,FALSE),"")</f>
        <v/>
      </c>
      <c r="BK447" s="69" t="str">
        <f>IFERROR(VLOOKUP($AQ447,'(勿動)組件目錄表'!$D$15:$R$1094,15,FALSE),"")</f>
        <v/>
      </c>
      <c r="BL447" s="81">
        <f ca="1">IFERROR(__xludf.DUMMYFUNCTION("IFERROR(
  LET(
    rowData, FILTER('(勿動)組件目錄表'!J:Q, '(勿動)組件目錄表'!D:D=AQ447),
    IF(ROWS(rowData)=0, 0, 
      (
        IF(AND(BC447&lt;&gt;"""", INDEX(rowData,1,1)=BC447),1,0) +
        IF(AND(BD447&lt;&gt;"""", INDEX(rowData,1,2)=BD447),1,0) +
        IF(AND(BE447"&amp;"&lt;&gt;"""", INDEX(rowData,1,3)=BE447),1,0) +
        IF(AND(BF447&lt;&gt;"""", INDEX(rowData,1,4)=BF447),1,0) +
        IF(AND(BG447&lt;&gt;"""", INDEX(rowData,1,5)=BG447),1,0) +
        IF(AND(BH447&lt;&gt;"""", INDEX(rowData,1,6)=BH447),1,0) +
        IF(AND(BI447&lt;&gt;"""", IND"&amp;"EX(rowData,1,7)=BI447),1,0) +
        IF(AND(BJ447&lt;&gt;"""", INDEX(rowData,1,8)=BJ447),1,0)
      ) - COUNTIF(BC447:BJ447, ""-"")
        - COUNTIF(BC447:BJ447, ""固定格式，不需提供資訊"")
        - COUNTIF(BC447:BJ447, ""由MKT更新，此欄位固定格式，不需提供資訊
(Voucher CID：12917705872)"&amp;""")
        - COUNTIF(BC447:BJ447, ""text固定為以下：
※直播間僅支援手機版"")
        - COUNTIF(BC447:BJ447, ""text固定為以下：
※短影音僅支援手機版"")
    )
  ), 
  0
)
"),0)</f>
        <v>0</v>
      </c>
      <c r="BM447" s="77" t="b">
        <v>0</v>
      </c>
      <c r="BN447" s="85"/>
      <c r="BO447" s="85"/>
    </row>
    <row r="448" spans="1:67" ht="30" customHeight="1">
      <c r="A448" s="73" t="str">
        <f t="array" aca="1" ref="A448" ca="1">IFERROR(TRANSPOSE(INDIRECT('MS section版配(Old)'!$AO448)),"")</f>
        <v/>
      </c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8"/>
      <c r="P448" s="88"/>
      <c r="Q448" s="88"/>
      <c r="R448" s="88"/>
      <c r="S448" s="88"/>
      <c r="T448" s="88"/>
      <c r="U448" s="88"/>
      <c r="V448" s="88"/>
      <c r="W448" s="88"/>
      <c r="X448" s="88"/>
      <c r="Y448" s="88"/>
      <c r="Z448" s="88"/>
      <c r="AA448" s="88"/>
      <c r="AB448" s="88"/>
      <c r="AC448" s="88"/>
      <c r="AD448" s="88"/>
      <c r="AE448" s="397" t="str">
        <f>IFERROR(VLOOKUP($AQ448,'(勿動)組件目錄表'!$D$15:$R$1094,4,FALSE),"")</f>
        <v/>
      </c>
      <c r="AF448" s="384"/>
      <c r="AG448" s="384"/>
      <c r="AH448" s="384"/>
      <c r="AI448" s="384"/>
      <c r="AJ448" s="385"/>
      <c r="AK448" s="54" t="b">
        <v>0</v>
      </c>
      <c r="AL448" s="54" t="b">
        <v>0</v>
      </c>
      <c r="AM448" s="54"/>
      <c r="AN448" s="7" t="str">
        <v>440</v>
      </c>
      <c r="AO448" s="7"/>
      <c r="AP448" s="62"/>
      <c r="AQ448" s="75" t="str">
        <v/>
      </c>
      <c r="AR448" s="75" t="str">
        <v>-</v>
      </c>
      <c r="AS448" s="11"/>
      <c r="AT448" s="77" t="str">
        <v>-</v>
      </c>
      <c r="AU448" s="11" t="str">
        <v>-</v>
      </c>
      <c r="AV448" s="100"/>
      <c r="AW448" s="80" t="str">
        <f ca="1"/>
        <v>-</v>
      </c>
      <c r="AX448" s="80" t="b">
        <v>0</v>
      </c>
      <c r="AY448" s="68" t="str">
        <f t="shared" si="4"/>
        <v/>
      </c>
      <c r="AZ448" s="69" t="str">
        <f t="shared" si="5"/>
        <v/>
      </c>
      <c r="BA448" s="70" t="str">
        <f t="shared" si="6"/>
        <v/>
      </c>
      <c r="BB448" s="68" t="str">
        <f t="shared" si="7"/>
        <v/>
      </c>
      <c r="BC448" s="69" t="str">
        <f>IFERROR(VLOOKUP($AQ448,'(勿動)組件目錄表'!$D$15:$R$1094,7,FALSE),"")</f>
        <v/>
      </c>
      <c r="BD448" s="69" t="str">
        <f>IFERROR(VLOOKUP($AQ448,'(勿動)組件目錄表'!$D$15:$R$1094,8,FALSE),"")</f>
        <v/>
      </c>
      <c r="BE448" s="69" t="str">
        <f>IFERROR(VLOOKUP($AQ448,'(勿動)組件目錄表'!$D$15:$R$1094,9,FALSE),"")</f>
        <v/>
      </c>
      <c r="BF448" s="69" t="str">
        <f>IFERROR(VLOOKUP($AQ448,'(勿動)組件目錄表'!$D$15:$R$1094,10,FALSE),"")</f>
        <v/>
      </c>
      <c r="BG448" s="69" t="str">
        <f>IFERROR(VLOOKUP($AQ448,'(勿動)組件目錄表'!$D$15:$R$1094,11,FALSE),"")</f>
        <v/>
      </c>
      <c r="BH448" s="69" t="str">
        <f>IFERROR(VLOOKUP($AQ448,'(勿動)組件目錄表'!$D$15:$R$1094,12,FALSE),"")</f>
        <v/>
      </c>
      <c r="BI448" s="69" t="str">
        <f>IFERROR(VLOOKUP($AQ448,'(勿動)組件目錄表'!$D$15:$R$1094,13,FALSE),"")</f>
        <v/>
      </c>
      <c r="BJ448" s="69" t="str">
        <f>IFERROR(VLOOKUP($AQ448,'(勿動)組件目錄表'!$D$15:$R$1094,14,FALSE),"")</f>
        <v/>
      </c>
      <c r="BK448" s="69" t="str">
        <f>IFERROR(VLOOKUP($AQ448,'(勿動)組件目錄表'!$D$15:$R$1094,15,FALSE),"")</f>
        <v/>
      </c>
      <c r="BL448" s="81">
        <f ca="1">IFERROR(__xludf.DUMMYFUNCTION("IFERROR(
  LET(
    rowData, FILTER('(勿動)組件目錄表'!J:Q, '(勿動)組件目錄表'!D:D=AQ448),
    IF(ROWS(rowData)=0, 0, 
      (
        IF(AND(BC448&lt;&gt;"""", INDEX(rowData,1,1)=BC448),1,0) +
        IF(AND(BD448&lt;&gt;"""", INDEX(rowData,1,2)=BD448),1,0) +
        IF(AND(BE448"&amp;"&lt;&gt;"""", INDEX(rowData,1,3)=BE448),1,0) +
        IF(AND(BF448&lt;&gt;"""", INDEX(rowData,1,4)=BF448),1,0) +
        IF(AND(BG448&lt;&gt;"""", INDEX(rowData,1,5)=BG448),1,0) +
        IF(AND(BH448&lt;&gt;"""", INDEX(rowData,1,6)=BH448),1,0) +
        IF(AND(BI448&lt;&gt;"""", IND"&amp;"EX(rowData,1,7)=BI448),1,0) +
        IF(AND(BJ448&lt;&gt;"""", INDEX(rowData,1,8)=BJ448),1,0)
      ) - COUNTIF(BC448:BJ448, ""-"")
        - COUNTIF(BC448:BJ448, ""固定格式，不需提供資訊"")
        - COUNTIF(BC448:BJ448, ""由MKT更新，此欄位固定格式，不需提供資訊
(Voucher CID：12917705872)"&amp;""")
        - COUNTIF(BC448:BJ448, ""text固定為以下：
※直播間僅支援手機版"")
        - COUNTIF(BC448:BJ448, ""text固定為以下：
※短影音僅支援手機版"")
    )
  ), 
  0
)
"),0)</f>
        <v>0</v>
      </c>
      <c r="BM448" s="77" t="b">
        <v>0</v>
      </c>
      <c r="BN448" s="85"/>
      <c r="BO448" s="85"/>
    </row>
    <row r="449" spans="1:67" ht="30" customHeight="1">
      <c r="A449" s="73" t="str">
        <f t="array" aca="1" ref="A449" ca="1">IFERROR(TRANSPOSE(INDIRECT('MS section版配(Old)'!$AO449)),"")</f>
        <v/>
      </c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8"/>
      <c r="P449" s="88"/>
      <c r="Q449" s="88"/>
      <c r="R449" s="88"/>
      <c r="S449" s="88"/>
      <c r="T449" s="88"/>
      <c r="U449" s="88"/>
      <c r="V449" s="88"/>
      <c r="W449" s="88"/>
      <c r="X449" s="88"/>
      <c r="Y449" s="88"/>
      <c r="Z449" s="88"/>
      <c r="AA449" s="88"/>
      <c r="AB449" s="88"/>
      <c r="AC449" s="88"/>
      <c r="AD449" s="88"/>
      <c r="AE449" s="397" t="str">
        <f>IFERROR(VLOOKUP($AQ449,'(勿動)組件目錄表'!$D$15:$R$1094,4,FALSE),"")</f>
        <v/>
      </c>
      <c r="AF449" s="384"/>
      <c r="AG449" s="384"/>
      <c r="AH449" s="384"/>
      <c r="AI449" s="384"/>
      <c r="AJ449" s="385"/>
      <c r="AK449" s="54" t="b">
        <v>0</v>
      </c>
      <c r="AL449" s="54" t="b">
        <v>0</v>
      </c>
      <c r="AM449" s="54"/>
      <c r="AN449" s="7" t="str">
        <v>441</v>
      </c>
      <c r="AO449" s="7"/>
      <c r="AP449" s="62"/>
      <c r="AQ449" s="75" t="str">
        <v/>
      </c>
      <c r="AR449" s="75" t="str">
        <v>-</v>
      </c>
      <c r="AS449" s="11"/>
      <c r="AT449" s="77" t="str">
        <v>-</v>
      </c>
      <c r="AU449" s="11" t="str">
        <v>-</v>
      </c>
      <c r="AV449" s="100"/>
      <c r="AW449" s="80" t="str">
        <f ca="1"/>
        <v>-</v>
      </c>
      <c r="AX449" s="80" t="b">
        <v>0</v>
      </c>
      <c r="AY449" s="68" t="str">
        <f t="shared" si="4"/>
        <v/>
      </c>
      <c r="AZ449" s="69" t="str">
        <f t="shared" si="5"/>
        <v/>
      </c>
      <c r="BA449" s="70" t="str">
        <f t="shared" si="6"/>
        <v/>
      </c>
      <c r="BB449" s="68" t="str">
        <f t="shared" si="7"/>
        <v/>
      </c>
      <c r="BC449" s="69" t="str">
        <f>IFERROR(VLOOKUP($AQ449,'(勿動)組件目錄表'!$D$15:$R$1094,7,FALSE),"")</f>
        <v/>
      </c>
      <c r="BD449" s="69" t="str">
        <f>IFERROR(VLOOKUP($AQ449,'(勿動)組件目錄表'!$D$15:$R$1094,8,FALSE),"")</f>
        <v/>
      </c>
      <c r="BE449" s="69" t="str">
        <f>IFERROR(VLOOKUP($AQ449,'(勿動)組件目錄表'!$D$15:$R$1094,9,FALSE),"")</f>
        <v/>
      </c>
      <c r="BF449" s="69" t="str">
        <f>IFERROR(VLOOKUP($AQ449,'(勿動)組件目錄表'!$D$15:$R$1094,10,FALSE),"")</f>
        <v/>
      </c>
      <c r="BG449" s="69" t="str">
        <f>IFERROR(VLOOKUP($AQ449,'(勿動)組件目錄表'!$D$15:$R$1094,11,FALSE),"")</f>
        <v/>
      </c>
      <c r="BH449" s="69" t="str">
        <f>IFERROR(VLOOKUP($AQ449,'(勿動)組件目錄表'!$D$15:$R$1094,12,FALSE),"")</f>
        <v/>
      </c>
      <c r="BI449" s="69" t="str">
        <f>IFERROR(VLOOKUP($AQ449,'(勿動)組件目錄表'!$D$15:$R$1094,13,FALSE),"")</f>
        <v/>
      </c>
      <c r="BJ449" s="69" t="str">
        <f>IFERROR(VLOOKUP($AQ449,'(勿動)組件目錄表'!$D$15:$R$1094,14,FALSE),"")</f>
        <v/>
      </c>
      <c r="BK449" s="69" t="str">
        <f>IFERROR(VLOOKUP($AQ449,'(勿動)組件目錄表'!$D$15:$R$1094,15,FALSE),"")</f>
        <v/>
      </c>
      <c r="BL449" s="81">
        <f ca="1">IFERROR(__xludf.DUMMYFUNCTION("IFERROR(
  LET(
    rowData, FILTER('(勿動)組件目錄表'!J:Q, '(勿動)組件目錄表'!D:D=AQ449),
    IF(ROWS(rowData)=0, 0, 
      (
        IF(AND(BC449&lt;&gt;"""", INDEX(rowData,1,1)=BC449),1,0) +
        IF(AND(BD449&lt;&gt;"""", INDEX(rowData,1,2)=BD449),1,0) +
        IF(AND(BE449"&amp;"&lt;&gt;"""", INDEX(rowData,1,3)=BE449),1,0) +
        IF(AND(BF449&lt;&gt;"""", INDEX(rowData,1,4)=BF449),1,0) +
        IF(AND(BG449&lt;&gt;"""", INDEX(rowData,1,5)=BG449),1,0) +
        IF(AND(BH449&lt;&gt;"""", INDEX(rowData,1,6)=BH449),1,0) +
        IF(AND(BI449&lt;&gt;"""", IND"&amp;"EX(rowData,1,7)=BI449),1,0) +
        IF(AND(BJ449&lt;&gt;"""", INDEX(rowData,1,8)=BJ449),1,0)
      ) - COUNTIF(BC449:BJ449, ""-"")
        - COUNTIF(BC449:BJ449, ""固定格式，不需提供資訊"")
        - COUNTIF(BC449:BJ449, ""由MKT更新，此欄位固定格式，不需提供資訊
(Voucher CID：12917705872)"&amp;""")
        - COUNTIF(BC449:BJ449, ""text固定為以下：
※直播間僅支援手機版"")
        - COUNTIF(BC449:BJ449, ""text固定為以下：
※短影音僅支援手機版"")
    )
  ), 
  0
)
"),0)</f>
        <v>0</v>
      </c>
      <c r="BM449" s="77" t="b">
        <v>0</v>
      </c>
      <c r="BN449" s="85"/>
      <c r="BO449" s="85"/>
    </row>
    <row r="450" spans="1:67" ht="30" customHeight="1">
      <c r="A450" s="73" t="str">
        <f t="array" aca="1" ref="A450" ca="1">IFERROR(TRANSPOSE(INDIRECT('MS section版配(Old)'!$AO450)),"")</f>
        <v/>
      </c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8"/>
      <c r="P450" s="88"/>
      <c r="Q450" s="88"/>
      <c r="R450" s="88"/>
      <c r="S450" s="88"/>
      <c r="T450" s="88"/>
      <c r="U450" s="88"/>
      <c r="V450" s="88"/>
      <c r="W450" s="88"/>
      <c r="X450" s="88"/>
      <c r="Y450" s="88"/>
      <c r="Z450" s="88"/>
      <c r="AA450" s="88"/>
      <c r="AB450" s="88"/>
      <c r="AC450" s="88"/>
      <c r="AD450" s="88"/>
      <c r="AE450" s="397" t="str">
        <f>IFERROR(VLOOKUP($AQ450,'(勿動)組件目錄表'!$D$15:$R$1094,4,FALSE),"")</f>
        <v/>
      </c>
      <c r="AF450" s="384"/>
      <c r="AG450" s="384"/>
      <c r="AH450" s="384"/>
      <c r="AI450" s="384"/>
      <c r="AJ450" s="385"/>
      <c r="AK450" s="54" t="b">
        <v>0</v>
      </c>
      <c r="AL450" s="54" t="b">
        <v>0</v>
      </c>
      <c r="AM450" s="54"/>
      <c r="AN450" s="7" t="str">
        <v>442</v>
      </c>
      <c r="AO450" s="7"/>
      <c r="AP450" s="62"/>
      <c r="AQ450" s="75" t="str">
        <v/>
      </c>
      <c r="AR450" s="75" t="str">
        <v>-</v>
      </c>
      <c r="AS450" s="11"/>
      <c r="AT450" s="77" t="str">
        <v>-</v>
      </c>
      <c r="AU450" s="11" t="str">
        <v>-</v>
      </c>
      <c r="AV450" s="100"/>
      <c r="AW450" s="80" t="str">
        <f ca="1"/>
        <v>-</v>
      </c>
      <c r="AX450" s="80" t="b">
        <v>0</v>
      </c>
      <c r="AY450" s="68" t="str">
        <f t="shared" si="4"/>
        <v/>
      </c>
      <c r="AZ450" s="69" t="str">
        <f t="shared" si="5"/>
        <v/>
      </c>
      <c r="BA450" s="70" t="str">
        <f t="shared" si="6"/>
        <v/>
      </c>
      <c r="BB450" s="68" t="str">
        <f t="shared" si="7"/>
        <v/>
      </c>
      <c r="BC450" s="69" t="str">
        <f>IFERROR(VLOOKUP($AQ450,'(勿動)組件目錄表'!$D$15:$R$1094,7,FALSE),"")</f>
        <v/>
      </c>
      <c r="BD450" s="69" t="str">
        <f>IFERROR(VLOOKUP($AQ450,'(勿動)組件目錄表'!$D$15:$R$1094,8,FALSE),"")</f>
        <v/>
      </c>
      <c r="BE450" s="69" t="str">
        <f>IFERROR(VLOOKUP($AQ450,'(勿動)組件目錄表'!$D$15:$R$1094,9,FALSE),"")</f>
        <v/>
      </c>
      <c r="BF450" s="69" t="str">
        <f>IFERROR(VLOOKUP($AQ450,'(勿動)組件目錄表'!$D$15:$R$1094,10,FALSE),"")</f>
        <v/>
      </c>
      <c r="BG450" s="69" t="str">
        <f>IFERROR(VLOOKUP($AQ450,'(勿動)組件目錄表'!$D$15:$R$1094,11,FALSE),"")</f>
        <v/>
      </c>
      <c r="BH450" s="69" t="str">
        <f>IFERROR(VLOOKUP($AQ450,'(勿動)組件目錄表'!$D$15:$R$1094,12,FALSE),"")</f>
        <v/>
      </c>
      <c r="BI450" s="69" t="str">
        <f>IFERROR(VLOOKUP($AQ450,'(勿動)組件目錄表'!$D$15:$R$1094,13,FALSE),"")</f>
        <v/>
      </c>
      <c r="BJ450" s="69" t="str">
        <f>IFERROR(VLOOKUP($AQ450,'(勿動)組件目錄表'!$D$15:$R$1094,14,FALSE),"")</f>
        <v/>
      </c>
      <c r="BK450" s="69" t="str">
        <f>IFERROR(VLOOKUP($AQ450,'(勿動)組件目錄表'!$D$15:$R$1094,15,FALSE),"")</f>
        <v/>
      </c>
      <c r="BL450" s="81">
        <f ca="1">IFERROR(__xludf.DUMMYFUNCTION("IFERROR(
  LET(
    rowData, FILTER('(勿動)組件目錄表'!J:Q, '(勿動)組件目錄表'!D:D=AQ450),
    IF(ROWS(rowData)=0, 0, 
      (
        IF(AND(BC450&lt;&gt;"""", INDEX(rowData,1,1)=BC450),1,0) +
        IF(AND(BD450&lt;&gt;"""", INDEX(rowData,1,2)=BD450),1,0) +
        IF(AND(BE450"&amp;"&lt;&gt;"""", INDEX(rowData,1,3)=BE450),1,0) +
        IF(AND(BF450&lt;&gt;"""", INDEX(rowData,1,4)=BF450),1,0) +
        IF(AND(BG450&lt;&gt;"""", INDEX(rowData,1,5)=BG450),1,0) +
        IF(AND(BH450&lt;&gt;"""", INDEX(rowData,1,6)=BH450),1,0) +
        IF(AND(BI450&lt;&gt;"""", IND"&amp;"EX(rowData,1,7)=BI450),1,0) +
        IF(AND(BJ450&lt;&gt;"""", INDEX(rowData,1,8)=BJ450),1,0)
      ) - COUNTIF(BC450:BJ450, ""-"")
        - COUNTIF(BC450:BJ450, ""固定格式，不需提供資訊"")
        - COUNTIF(BC450:BJ450, ""由MKT更新，此欄位固定格式，不需提供資訊
(Voucher CID：12917705872)"&amp;""")
        - COUNTIF(BC450:BJ450, ""text固定為以下：
※直播間僅支援手機版"")
        - COUNTIF(BC450:BJ450, ""text固定為以下：
※短影音僅支援手機版"")
    )
  ), 
  0
)
"),0)</f>
        <v>0</v>
      </c>
      <c r="BM450" s="77" t="b">
        <v>0</v>
      </c>
      <c r="BN450" s="85"/>
      <c r="BO450" s="85"/>
    </row>
    <row r="451" spans="1:67" ht="30" customHeight="1">
      <c r="A451" s="73" t="str">
        <f t="array" aca="1" ref="A451" ca="1">IFERROR(TRANSPOSE(INDIRECT('MS section版配(Old)'!$AO451)),"")</f>
        <v/>
      </c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8"/>
      <c r="P451" s="88"/>
      <c r="Q451" s="88"/>
      <c r="R451" s="88"/>
      <c r="S451" s="88"/>
      <c r="T451" s="88"/>
      <c r="U451" s="88"/>
      <c r="V451" s="88"/>
      <c r="W451" s="88"/>
      <c r="X451" s="88"/>
      <c r="Y451" s="88"/>
      <c r="Z451" s="88"/>
      <c r="AA451" s="88"/>
      <c r="AB451" s="88"/>
      <c r="AC451" s="88"/>
      <c r="AD451" s="88"/>
      <c r="AE451" s="397" t="str">
        <f>IFERROR(VLOOKUP($AQ451,'(勿動)組件目錄表'!$D$15:$R$1094,4,FALSE),"")</f>
        <v/>
      </c>
      <c r="AF451" s="384"/>
      <c r="AG451" s="384"/>
      <c r="AH451" s="384"/>
      <c r="AI451" s="384"/>
      <c r="AJ451" s="385"/>
      <c r="AK451" s="54" t="b">
        <v>0</v>
      </c>
      <c r="AL451" s="54" t="b">
        <v>0</v>
      </c>
      <c r="AM451" s="54"/>
      <c r="AN451" s="7" t="str">
        <v>443</v>
      </c>
      <c r="AO451" s="7"/>
      <c r="AP451" s="62"/>
      <c r="AQ451" s="75" t="str">
        <v/>
      </c>
      <c r="AR451" s="75" t="str">
        <v>-</v>
      </c>
      <c r="AS451" s="11"/>
      <c r="AT451" s="77" t="str">
        <v>-</v>
      </c>
      <c r="AU451" s="11" t="str">
        <v>-</v>
      </c>
      <c r="AV451" s="100"/>
      <c r="AW451" s="80" t="str">
        <f ca="1"/>
        <v>-</v>
      </c>
      <c r="AX451" s="80" t="b">
        <v>0</v>
      </c>
      <c r="AY451" s="68" t="str">
        <f t="shared" si="4"/>
        <v/>
      </c>
      <c r="AZ451" s="69" t="str">
        <f t="shared" si="5"/>
        <v/>
      </c>
      <c r="BA451" s="70" t="str">
        <f t="shared" si="6"/>
        <v/>
      </c>
      <c r="BB451" s="68" t="str">
        <f t="shared" si="7"/>
        <v/>
      </c>
      <c r="BC451" s="69" t="str">
        <f>IFERROR(VLOOKUP($AQ451,'(勿動)組件目錄表'!$D$15:$R$1094,7,FALSE),"")</f>
        <v/>
      </c>
      <c r="BD451" s="69" t="str">
        <f>IFERROR(VLOOKUP($AQ451,'(勿動)組件目錄表'!$D$15:$R$1094,8,FALSE),"")</f>
        <v/>
      </c>
      <c r="BE451" s="69" t="str">
        <f>IFERROR(VLOOKUP($AQ451,'(勿動)組件目錄表'!$D$15:$R$1094,9,FALSE),"")</f>
        <v/>
      </c>
      <c r="BF451" s="69" t="str">
        <f>IFERROR(VLOOKUP($AQ451,'(勿動)組件目錄表'!$D$15:$R$1094,10,FALSE),"")</f>
        <v/>
      </c>
      <c r="BG451" s="69" t="str">
        <f>IFERROR(VLOOKUP($AQ451,'(勿動)組件目錄表'!$D$15:$R$1094,11,FALSE),"")</f>
        <v/>
      </c>
      <c r="BH451" s="69" t="str">
        <f>IFERROR(VLOOKUP($AQ451,'(勿動)組件目錄表'!$D$15:$R$1094,12,FALSE),"")</f>
        <v/>
      </c>
      <c r="BI451" s="69" t="str">
        <f>IFERROR(VLOOKUP($AQ451,'(勿動)組件目錄表'!$D$15:$R$1094,13,FALSE),"")</f>
        <v/>
      </c>
      <c r="BJ451" s="69" t="str">
        <f>IFERROR(VLOOKUP($AQ451,'(勿動)組件目錄表'!$D$15:$R$1094,14,FALSE),"")</f>
        <v/>
      </c>
      <c r="BK451" s="69" t="str">
        <f>IFERROR(VLOOKUP($AQ451,'(勿動)組件目錄表'!$D$15:$R$1094,15,FALSE),"")</f>
        <v/>
      </c>
      <c r="BL451" s="81">
        <f ca="1">IFERROR(__xludf.DUMMYFUNCTION("IFERROR(
  LET(
    rowData, FILTER('(勿動)組件目錄表'!J:Q, '(勿動)組件目錄表'!D:D=AQ451),
    IF(ROWS(rowData)=0, 0, 
      (
        IF(AND(BC451&lt;&gt;"""", INDEX(rowData,1,1)=BC451),1,0) +
        IF(AND(BD451&lt;&gt;"""", INDEX(rowData,1,2)=BD451),1,0) +
        IF(AND(BE451"&amp;"&lt;&gt;"""", INDEX(rowData,1,3)=BE451),1,0) +
        IF(AND(BF451&lt;&gt;"""", INDEX(rowData,1,4)=BF451),1,0) +
        IF(AND(BG451&lt;&gt;"""", INDEX(rowData,1,5)=BG451),1,0) +
        IF(AND(BH451&lt;&gt;"""", INDEX(rowData,1,6)=BH451),1,0) +
        IF(AND(BI451&lt;&gt;"""", IND"&amp;"EX(rowData,1,7)=BI451),1,0) +
        IF(AND(BJ451&lt;&gt;"""", INDEX(rowData,1,8)=BJ451),1,0)
      ) - COUNTIF(BC451:BJ451, ""-"")
        - COUNTIF(BC451:BJ451, ""固定格式，不需提供資訊"")
        - COUNTIF(BC451:BJ451, ""由MKT更新，此欄位固定格式，不需提供資訊
(Voucher CID：12917705872)"&amp;""")
        - COUNTIF(BC451:BJ451, ""text固定為以下：
※直播間僅支援手機版"")
        - COUNTIF(BC451:BJ451, ""text固定為以下：
※短影音僅支援手機版"")
    )
  ), 
  0
)
"),0)</f>
        <v>0</v>
      </c>
      <c r="BM451" s="77" t="b">
        <v>0</v>
      </c>
      <c r="BN451" s="85"/>
      <c r="BO451" s="85"/>
    </row>
    <row r="452" spans="1:67" ht="30" customHeight="1">
      <c r="A452" s="73" t="str">
        <f t="array" aca="1" ref="A452" ca="1">IFERROR(TRANSPOSE(INDIRECT('MS section版配(Old)'!$AO452)),"")</f>
        <v/>
      </c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8"/>
      <c r="P452" s="88"/>
      <c r="Q452" s="88"/>
      <c r="R452" s="88"/>
      <c r="S452" s="88"/>
      <c r="T452" s="88"/>
      <c r="U452" s="88"/>
      <c r="V452" s="88"/>
      <c r="W452" s="88"/>
      <c r="X452" s="88"/>
      <c r="Y452" s="88"/>
      <c r="Z452" s="88"/>
      <c r="AA452" s="88"/>
      <c r="AB452" s="88"/>
      <c r="AC452" s="88"/>
      <c r="AD452" s="88"/>
      <c r="AE452" s="397" t="str">
        <f>IFERROR(VLOOKUP($AQ452,'(勿動)組件目錄表'!$D$15:$R$1094,4,FALSE),"")</f>
        <v/>
      </c>
      <c r="AF452" s="384"/>
      <c r="AG452" s="384"/>
      <c r="AH452" s="384"/>
      <c r="AI452" s="384"/>
      <c r="AJ452" s="385"/>
      <c r="AK452" s="54" t="b">
        <v>0</v>
      </c>
      <c r="AL452" s="54" t="b">
        <v>0</v>
      </c>
      <c r="AM452" s="54"/>
      <c r="AN452" s="7" t="str">
        <v>444</v>
      </c>
      <c r="AO452" s="7"/>
      <c r="AP452" s="62"/>
      <c r="AQ452" s="75" t="str">
        <v/>
      </c>
      <c r="AR452" s="75" t="str">
        <v>-</v>
      </c>
      <c r="AS452" s="11"/>
      <c r="AT452" s="77" t="str">
        <v>-</v>
      </c>
      <c r="AU452" s="11" t="str">
        <v>-</v>
      </c>
      <c r="AV452" s="100"/>
      <c r="AW452" s="80" t="str">
        <f ca="1"/>
        <v>-</v>
      </c>
      <c r="AX452" s="80" t="b">
        <v>0</v>
      </c>
      <c r="AY452" s="68" t="str">
        <f t="shared" si="4"/>
        <v/>
      </c>
      <c r="AZ452" s="69" t="str">
        <f t="shared" si="5"/>
        <v/>
      </c>
      <c r="BA452" s="70" t="str">
        <f t="shared" si="6"/>
        <v/>
      </c>
      <c r="BB452" s="68" t="str">
        <f t="shared" si="7"/>
        <v/>
      </c>
      <c r="BC452" s="69" t="str">
        <f>IFERROR(VLOOKUP($AQ452,'(勿動)組件目錄表'!$D$15:$R$1094,7,FALSE),"")</f>
        <v/>
      </c>
      <c r="BD452" s="69" t="str">
        <f>IFERROR(VLOOKUP($AQ452,'(勿動)組件目錄表'!$D$15:$R$1094,8,FALSE),"")</f>
        <v/>
      </c>
      <c r="BE452" s="69" t="str">
        <f>IFERROR(VLOOKUP($AQ452,'(勿動)組件目錄表'!$D$15:$R$1094,9,FALSE),"")</f>
        <v/>
      </c>
      <c r="BF452" s="69" t="str">
        <f>IFERROR(VLOOKUP($AQ452,'(勿動)組件目錄表'!$D$15:$R$1094,10,FALSE),"")</f>
        <v/>
      </c>
      <c r="BG452" s="69" t="str">
        <f>IFERROR(VLOOKUP($AQ452,'(勿動)組件目錄表'!$D$15:$R$1094,11,FALSE),"")</f>
        <v/>
      </c>
      <c r="BH452" s="69" t="str">
        <f>IFERROR(VLOOKUP($AQ452,'(勿動)組件目錄表'!$D$15:$R$1094,12,FALSE),"")</f>
        <v/>
      </c>
      <c r="BI452" s="69" t="str">
        <f>IFERROR(VLOOKUP($AQ452,'(勿動)組件目錄表'!$D$15:$R$1094,13,FALSE),"")</f>
        <v/>
      </c>
      <c r="BJ452" s="69" t="str">
        <f>IFERROR(VLOOKUP($AQ452,'(勿動)組件目錄表'!$D$15:$R$1094,14,FALSE),"")</f>
        <v/>
      </c>
      <c r="BK452" s="69" t="str">
        <f>IFERROR(VLOOKUP($AQ452,'(勿動)組件目錄表'!$D$15:$R$1094,15,FALSE),"")</f>
        <v/>
      </c>
      <c r="BL452" s="81">
        <f ca="1">IFERROR(__xludf.DUMMYFUNCTION("IFERROR(
  LET(
    rowData, FILTER('(勿動)組件目錄表'!J:Q, '(勿動)組件目錄表'!D:D=AQ452),
    IF(ROWS(rowData)=0, 0, 
      (
        IF(AND(BC452&lt;&gt;"""", INDEX(rowData,1,1)=BC452),1,0) +
        IF(AND(BD452&lt;&gt;"""", INDEX(rowData,1,2)=BD452),1,0) +
        IF(AND(BE452"&amp;"&lt;&gt;"""", INDEX(rowData,1,3)=BE452),1,0) +
        IF(AND(BF452&lt;&gt;"""", INDEX(rowData,1,4)=BF452),1,0) +
        IF(AND(BG452&lt;&gt;"""", INDEX(rowData,1,5)=BG452),1,0) +
        IF(AND(BH452&lt;&gt;"""", INDEX(rowData,1,6)=BH452),1,0) +
        IF(AND(BI452&lt;&gt;"""", IND"&amp;"EX(rowData,1,7)=BI452),1,0) +
        IF(AND(BJ452&lt;&gt;"""", INDEX(rowData,1,8)=BJ452),1,0)
      ) - COUNTIF(BC452:BJ452, ""-"")
        - COUNTIF(BC452:BJ452, ""固定格式，不需提供資訊"")
        - COUNTIF(BC452:BJ452, ""由MKT更新，此欄位固定格式，不需提供資訊
(Voucher CID：12917705872)"&amp;""")
        - COUNTIF(BC452:BJ452, ""text固定為以下：
※直播間僅支援手機版"")
        - COUNTIF(BC452:BJ452, ""text固定為以下：
※短影音僅支援手機版"")
    )
  ), 
  0
)
"),0)</f>
        <v>0</v>
      </c>
      <c r="BM452" s="77" t="b">
        <v>0</v>
      </c>
      <c r="BN452" s="85"/>
      <c r="BO452" s="85"/>
    </row>
    <row r="453" spans="1:67" ht="30" customHeight="1">
      <c r="A453" s="73" t="str">
        <f t="array" aca="1" ref="A453" ca="1">IFERROR(TRANSPOSE(INDIRECT('MS section版配(Old)'!$AO453)),"")</f>
        <v/>
      </c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8"/>
      <c r="P453" s="88"/>
      <c r="Q453" s="88"/>
      <c r="R453" s="88"/>
      <c r="S453" s="88"/>
      <c r="T453" s="88"/>
      <c r="U453" s="88"/>
      <c r="V453" s="88"/>
      <c r="W453" s="88"/>
      <c r="X453" s="88"/>
      <c r="Y453" s="88"/>
      <c r="Z453" s="88"/>
      <c r="AA453" s="88"/>
      <c r="AB453" s="88"/>
      <c r="AC453" s="88"/>
      <c r="AD453" s="88"/>
      <c r="AE453" s="397" t="str">
        <f>IFERROR(VLOOKUP($AQ453,'(勿動)組件目錄表'!$D$15:$R$1094,4,FALSE),"")</f>
        <v/>
      </c>
      <c r="AF453" s="384"/>
      <c r="AG453" s="384"/>
      <c r="AH453" s="384"/>
      <c r="AI453" s="384"/>
      <c r="AJ453" s="385"/>
      <c r="AK453" s="54" t="b">
        <v>0</v>
      </c>
      <c r="AL453" s="54" t="b">
        <v>0</v>
      </c>
      <c r="AM453" s="54"/>
      <c r="AN453" s="7" t="str">
        <v>445</v>
      </c>
      <c r="AO453" s="7"/>
      <c r="AP453" s="62"/>
      <c r="AQ453" s="75" t="str">
        <v/>
      </c>
      <c r="AR453" s="75" t="str">
        <v>-</v>
      </c>
      <c r="AS453" s="11"/>
      <c r="AT453" s="77" t="str">
        <v>-</v>
      </c>
      <c r="AU453" s="11" t="str">
        <v>-</v>
      </c>
      <c r="AV453" s="100"/>
      <c r="AW453" s="80" t="str">
        <f ca="1"/>
        <v>-</v>
      </c>
      <c r="AX453" s="80" t="b">
        <v>0</v>
      </c>
      <c r="AY453" s="68" t="str">
        <f t="shared" si="4"/>
        <v/>
      </c>
      <c r="AZ453" s="69" t="str">
        <f t="shared" si="5"/>
        <v/>
      </c>
      <c r="BA453" s="70" t="str">
        <f t="shared" si="6"/>
        <v/>
      </c>
      <c r="BB453" s="68" t="str">
        <f t="shared" si="7"/>
        <v/>
      </c>
      <c r="BC453" s="69" t="str">
        <f>IFERROR(VLOOKUP($AQ453,'(勿動)組件目錄表'!$D$15:$R$1094,7,FALSE),"")</f>
        <v/>
      </c>
      <c r="BD453" s="69" t="str">
        <f>IFERROR(VLOOKUP($AQ453,'(勿動)組件目錄表'!$D$15:$R$1094,8,FALSE),"")</f>
        <v/>
      </c>
      <c r="BE453" s="69" t="str">
        <f>IFERROR(VLOOKUP($AQ453,'(勿動)組件目錄表'!$D$15:$R$1094,9,FALSE),"")</f>
        <v/>
      </c>
      <c r="BF453" s="69" t="str">
        <f>IFERROR(VLOOKUP($AQ453,'(勿動)組件目錄表'!$D$15:$R$1094,10,FALSE),"")</f>
        <v/>
      </c>
      <c r="BG453" s="69" t="str">
        <f>IFERROR(VLOOKUP($AQ453,'(勿動)組件目錄表'!$D$15:$R$1094,11,FALSE),"")</f>
        <v/>
      </c>
      <c r="BH453" s="69" t="str">
        <f>IFERROR(VLOOKUP($AQ453,'(勿動)組件目錄表'!$D$15:$R$1094,12,FALSE),"")</f>
        <v/>
      </c>
      <c r="BI453" s="69" t="str">
        <f>IFERROR(VLOOKUP($AQ453,'(勿動)組件目錄表'!$D$15:$R$1094,13,FALSE),"")</f>
        <v/>
      </c>
      <c r="BJ453" s="69" t="str">
        <f>IFERROR(VLOOKUP($AQ453,'(勿動)組件目錄表'!$D$15:$R$1094,14,FALSE),"")</f>
        <v/>
      </c>
      <c r="BK453" s="69" t="str">
        <f>IFERROR(VLOOKUP($AQ453,'(勿動)組件目錄表'!$D$15:$R$1094,15,FALSE),"")</f>
        <v/>
      </c>
      <c r="BL453" s="81">
        <f ca="1">IFERROR(__xludf.DUMMYFUNCTION("IFERROR(
  LET(
    rowData, FILTER('(勿動)組件目錄表'!J:Q, '(勿動)組件目錄表'!D:D=AQ453),
    IF(ROWS(rowData)=0, 0, 
      (
        IF(AND(BC453&lt;&gt;"""", INDEX(rowData,1,1)=BC453),1,0) +
        IF(AND(BD453&lt;&gt;"""", INDEX(rowData,1,2)=BD453),1,0) +
        IF(AND(BE453"&amp;"&lt;&gt;"""", INDEX(rowData,1,3)=BE453),1,0) +
        IF(AND(BF453&lt;&gt;"""", INDEX(rowData,1,4)=BF453),1,0) +
        IF(AND(BG453&lt;&gt;"""", INDEX(rowData,1,5)=BG453),1,0) +
        IF(AND(BH453&lt;&gt;"""", INDEX(rowData,1,6)=BH453),1,0) +
        IF(AND(BI453&lt;&gt;"""", IND"&amp;"EX(rowData,1,7)=BI453),1,0) +
        IF(AND(BJ453&lt;&gt;"""", INDEX(rowData,1,8)=BJ453),1,0)
      ) - COUNTIF(BC453:BJ453, ""-"")
        - COUNTIF(BC453:BJ453, ""固定格式，不需提供資訊"")
        - COUNTIF(BC453:BJ453, ""由MKT更新，此欄位固定格式，不需提供資訊
(Voucher CID：12917705872)"&amp;""")
        - COUNTIF(BC453:BJ453, ""text固定為以下：
※直播間僅支援手機版"")
        - COUNTIF(BC453:BJ453, ""text固定為以下：
※短影音僅支援手機版"")
    )
  ), 
  0
)
"),0)</f>
        <v>0</v>
      </c>
      <c r="BM453" s="77" t="b">
        <v>0</v>
      </c>
      <c r="BN453" s="85"/>
      <c r="BO453" s="85"/>
    </row>
    <row r="454" spans="1:67" ht="30" customHeight="1">
      <c r="A454" s="73" t="str">
        <f t="array" aca="1" ref="A454" ca="1">IFERROR(TRANSPOSE(INDIRECT('MS section版配(Old)'!$AO454)),"")</f>
        <v/>
      </c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8"/>
      <c r="P454" s="88"/>
      <c r="Q454" s="88"/>
      <c r="R454" s="88"/>
      <c r="S454" s="88"/>
      <c r="T454" s="88"/>
      <c r="U454" s="88"/>
      <c r="V454" s="88"/>
      <c r="W454" s="88"/>
      <c r="X454" s="88"/>
      <c r="Y454" s="88"/>
      <c r="Z454" s="88"/>
      <c r="AA454" s="88"/>
      <c r="AB454" s="88"/>
      <c r="AC454" s="88"/>
      <c r="AD454" s="88"/>
      <c r="AE454" s="397" t="str">
        <f>IFERROR(VLOOKUP($AQ454,'(勿動)組件目錄表'!$D$15:$R$1094,4,FALSE),"")</f>
        <v/>
      </c>
      <c r="AF454" s="384"/>
      <c r="AG454" s="384"/>
      <c r="AH454" s="384"/>
      <c r="AI454" s="384"/>
      <c r="AJ454" s="385"/>
      <c r="AK454" s="54" t="b">
        <v>0</v>
      </c>
      <c r="AL454" s="54" t="b">
        <v>0</v>
      </c>
      <c r="AM454" s="54"/>
      <c r="AN454" s="7" t="str">
        <v>446</v>
      </c>
      <c r="AO454" s="7"/>
      <c r="AP454" s="62"/>
      <c r="AQ454" s="75" t="str">
        <v/>
      </c>
      <c r="AR454" s="75" t="str">
        <v>-</v>
      </c>
      <c r="AS454" s="11"/>
      <c r="AT454" s="77" t="str">
        <v>-</v>
      </c>
      <c r="AU454" s="11" t="str">
        <v>-</v>
      </c>
      <c r="AV454" s="100"/>
      <c r="AW454" s="80" t="str">
        <f ca="1"/>
        <v>-</v>
      </c>
      <c r="AX454" s="80" t="b">
        <v>0</v>
      </c>
      <c r="AY454" s="68" t="str">
        <f t="shared" si="4"/>
        <v/>
      </c>
      <c r="AZ454" s="69" t="str">
        <f t="shared" si="5"/>
        <v/>
      </c>
      <c r="BA454" s="70" t="str">
        <f t="shared" si="6"/>
        <v/>
      </c>
      <c r="BB454" s="68" t="str">
        <f t="shared" si="7"/>
        <v/>
      </c>
      <c r="BC454" s="69" t="str">
        <f>IFERROR(VLOOKUP($AQ454,'(勿動)組件目錄表'!$D$15:$R$1094,7,FALSE),"")</f>
        <v/>
      </c>
      <c r="BD454" s="69" t="str">
        <f>IFERROR(VLOOKUP($AQ454,'(勿動)組件目錄表'!$D$15:$R$1094,8,FALSE),"")</f>
        <v/>
      </c>
      <c r="BE454" s="69" t="str">
        <f>IFERROR(VLOOKUP($AQ454,'(勿動)組件目錄表'!$D$15:$R$1094,9,FALSE),"")</f>
        <v/>
      </c>
      <c r="BF454" s="69" t="str">
        <f>IFERROR(VLOOKUP($AQ454,'(勿動)組件目錄表'!$D$15:$R$1094,10,FALSE),"")</f>
        <v/>
      </c>
      <c r="BG454" s="69" t="str">
        <f>IFERROR(VLOOKUP($AQ454,'(勿動)組件目錄表'!$D$15:$R$1094,11,FALSE),"")</f>
        <v/>
      </c>
      <c r="BH454" s="69" t="str">
        <f>IFERROR(VLOOKUP($AQ454,'(勿動)組件目錄表'!$D$15:$R$1094,12,FALSE),"")</f>
        <v/>
      </c>
      <c r="BI454" s="69" t="str">
        <f>IFERROR(VLOOKUP($AQ454,'(勿動)組件目錄表'!$D$15:$R$1094,13,FALSE),"")</f>
        <v/>
      </c>
      <c r="BJ454" s="69" t="str">
        <f>IFERROR(VLOOKUP($AQ454,'(勿動)組件目錄表'!$D$15:$R$1094,14,FALSE),"")</f>
        <v/>
      </c>
      <c r="BK454" s="69" t="str">
        <f>IFERROR(VLOOKUP($AQ454,'(勿動)組件目錄表'!$D$15:$R$1094,15,FALSE),"")</f>
        <v/>
      </c>
      <c r="BL454" s="81">
        <f ca="1">IFERROR(__xludf.DUMMYFUNCTION("IFERROR(
  LET(
    rowData, FILTER('(勿動)組件目錄表'!J:Q, '(勿動)組件目錄表'!D:D=AQ454),
    IF(ROWS(rowData)=0, 0, 
      (
        IF(AND(BC454&lt;&gt;"""", INDEX(rowData,1,1)=BC454),1,0) +
        IF(AND(BD454&lt;&gt;"""", INDEX(rowData,1,2)=BD454),1,0) +
        IF(AND(BE454"&amp;"&lt;&gt;"""", INDEX(rowData,1,3)=BE454),1,0) +
        IF(AND(BF454&lt;&gt;"""", INDEX(rowData,1,4)=BF454),1,0) +
        IF(AND(BG454&lt;&gt;"""", INDEX(rowData,1,5)=BG454),1,0) +
        IF(AND(BH454&lt;&gt;"""", INDEX(rowData,1,6)=BH454),1,0) +
        IF(AND(BI454&lt;&gt;"""", IND"&amp;"EX(rowData,1,7)=BI454),1,0) +
        IF(AND(BJ454&lt;&gt;"""", INDEX(rowData,1,8)=BJ454),1,0)
      ) - COUNTIF(BC454:BJ454, ""-"")
        - COUNTIF(BC454:BJ454, ""固定格式，不需提供資訊"")
        - COUNTIF(BC454:BJ454, ""由MKT更新，此欄位固定格式，不需提供資訊
(Voucher CID：12917705872)"&amp;""")
        - COUNTIF(BC454:BJ454, ""text固定為以下：
※直播間僅支援手機版"")
        - COUNTIF(BC454:BJ454, ""text固定為以下：
※短影音僅支援手機版"")
    )
  ), 
  0
)
"),0)</f>
        <v>0</v>
      </c>
      <c r="BM454" s="77" t="b">
        <v>0</v>
      </c>
      <c r="BN454" s="85"/>
      <c r="BO454" s="85"/>
    </row>
    <row r="455" spans="1:67" ht="30" customHeight="1">
      <c r="A455" s="73" t="str">
        <f t="array" aca="1" ref="A455" ca="1">IFERROR(TRANSPOSE(INDIRECT('MS section版配(Old)'!$AO455)),"")</f>
        <v/>
      </c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8"/>
      <c r="P455" s="88"/>
      <c r="Q455" s="88"/>
      <c r="R455" s="88"/>
      <c r="S455" s="88"/>
      <c r="T455" s="88"/>
      <c r="U455" s="88"/>
      <c r="V455" s="88"/>
      <c r="W455" s="88"/>
      <c r="X455" s="88"/>
      <c r="Y455" s="88"/>
      <c r="Z455" s="88"/>
      <c r="AA455" s="88"/>
      <c r="AB455" s="88"/>
      <c r="AC455" s="88"/>
      <c r="AD455" s="88"/>
      <c r="AE455" s="397" t="str">
        <f>IFERROR(VLOOKUP($AQ455,'(勿動)組件目錄表'!$D$15:$R$1094,4,FALSE),"")</f>
        <v/>
      </c>
      <c r="AF455" s="384"/>
      <c r="AG455" s="384"/>
      <c r="AH455" s="384"/>
      <c r="AI455" s="384"/>
      <c r="AJ455" s="385"/>
      <c r="AK455" s="54" t="b">
        <v>0</v>
      </c>
      <c r="AL455" s="54" t="b">
        <v>0</v>
      </c>
      <c r="AM455" s="54"/>
      <c r="AN455" s="7" t="str">
        <v>447</v>
      </c>
      <c r="AO455" s="7"/>
      <c r="AP455" s="62"/>
      <c r="AQ455" s="75" t="str">
        <v/>
      </c>
      <c r="AR455" s="75" t="str">
        <v>-</v>
      </c>
      <c r="AS455" s="11"/>
      <c r="AT455" s="77" t="str">
        <v>-</v>
      </c>
      <c r="AU455" s="11" t="str">
        <v>-</v>
      </c>
      <c r="AV455" s="100"/>
      <c r="AW455" s="80" t="str">
        <f ca="1"/>
        <v>-</v>
      </c>
      <c r="AX455" s="80" t="b">
        <v>0</v>
      </c>
      <c r="AY455" s="68" t="str">
        <f t="shared" si="4"/>
        <v/>
      </c>
      <c r="AZ455" s="69" t="str">
        <f t="shared" si="5"/>
        <v/>
      </c>
      <c r="BA455" s="70" t="str">
        <f t="shared" si="6"/>
        <v/>
      </c>
      <c r="BB455" s="68" t="str">
        <f t="shared" si="7"/>
        <v/>
      </c>
      <c r="BC455" s="69" t="str">
        <f>IFERROR(VLOOKUP($AQ455,'(勿動)組件目錄表'!$D$15:$R$1094,7,FALSE),"")</f>
        <v/>
      </c>
      <c r="BD455" s="69" t="str">
        <f>IFERROR(VLOOKUP($AQ455,'(勿動)組件目錄表'!$D$15:$R$1094,8,FALSE),"")</f>
        <v/>
      </c>
      <c r="BE455" s="69" t="str">
        <f>IFERROR(VLOOKUP($AQ455,'(勿動)組件目錄表'!$D$15:$R$1094,9,FALSE),"")</f>
        <v/>
      </c>
      <c r="BF455" s="69" t="str">
        <f>IFERROR(VLOOKUP($AQ455,'(勿動)組件目錄表'!$D$15:$R$1094,10,FALSE),"")</f>
        <v/>
      </c>
      <c r="BG455" s="69" t="str">
        <f>IFERROR(VLOOKUP($AQ455,'(勿動)組件目錄表'!$D$15:$R$1094,11,FALSE),"")</f>
        <v/>
      </c>
      <c r="BH455" s="69" t="str">
        <f>IFERROR(VLOOKUP($AQ455,'(勿動)組件目錄表'!$D$15:$R$1094,12,FALSE),"")</f>
        <v/>
      </c>
      <c r="BI455" s="69" t="str">
        <f>IFERROR(VLOOKUP($AQ455,'(勿動)組件目錄表'!$D$15:$R$1094,13,FALSE),"")</f>
        <v/>
      </c>
      <c r="BJ455" s="69" t="str">
        <f>IFERROR(VLOOKUP($AQ455,'(勿動)組件目錄表'!$D$15:$R$1094,14,FALSE),"")</f>
        <v/>
      </c>
      <c r="BK455" s="69" t="str">
        <f>IFERROR(VLOOKUP($AQ455,'(勿動)組件目錄表'!$D$15:$R$1094,15,FALSE),"")</f>
        <v/>
      </c>
      <c r="BL455" s="81">
        <f ca="1">IFERROR(__xludf.DUMMYFUNCTION("IFERROR(
  LET(
    rowData, FILTER('(勿動)組件目錄表'!J:Q, '(勿動)組件目錄表'!D:D=AQ455),
    IF(ROWS(rowData)=0, 0, 
      (
        IF(AND(BC455&lt;&gt;"""", INDEX(rowData,1,1)=BC455),1,0) +
        IF(AND(BD455&lt;&gt;"""", INDEX(rowData,1,2)=BD455),1,0) +
        IF(AND(BE455"&amp;"&lt;&gt;"""", INDEX(rowData,1,3)=BE455),1,0) +
        IF(AND(BF455&lt;&gt;"""", INDEX(rowData,1,4)=BF455),1,0) +
        IF(AND(BG455&lt;&gt;"""", INDEX(rowData,1,5)=BG455),1,0) +
        IF(AND(BH455&lt;&gt;"""", INDEX(rowData,1,6)=BH455),1,0) +
        IF(AND(BI455&lt;&gt;"""", IND"&amp;"EX(rowData,1,7)=BI455),1,0) +
        IF(AND(BJ455&lt;&gt;"""", INDEX(rowData,1,8)=BJ455),1,0)
      ) - COUNTIF(BC455:BJ455, ""-"")
        - COUNTIF(BC455:BJ455, ""固定格式，不需提供資訊"")
        - COUNTIF(BC455:BJ455, ""由MKT更新，此欄位固定格式，不需提供資訊
(Voucher CID：12917705872)"&amp;""")
        - COUNTIF(BC455:BJ455, ""text固定為以下：
※直播間僅支援手機版"")
        - COUNTIF(BC455:BJ455, ""text固定為以下：
※短影音僅支援手機版"")
    )
  ), 
  0
)
"),0)</f>
        <v>0</v>
      </c>
      <c r="BM455" s="77" t="b">
        <v>0</v>
      </c>
      <c r="BN455" s="85"/>
      <c r="BO455" s="85"/>
    </row>
    <row r="456" spans="1:67" ht="30" customHeight="1">
      <c r="A456" s="73" t="str">
        <f t="array" aca="1" ref="A456" ca="1">IFERROR(TRANSPOSE(INDIRECT('MS section版配(Old)'!$AO456)),"")</f>
        <v/>
      </c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8"/>
      <c r="P456" s="88"/>
      <c r="Q456" s="88"/>
      <c r="R456" s="88"/>
      <c r="S456" s="88"/>
      <c r="T456" s="88"/>
      <c r="U456" s="88"/>
      <c r="V456" s="88"/>
      <c r="W456" s="88"/>
      <c r="X456" s="88"/>
      <c r="Y456" s="88"/>
      <c r="Z456" s="88"/>
      <c r="AA456" s="88"/>
      <c r="AB456" s="88"/>
      <c r="AC456" s="88"/>
      <c r="AD456" s="88"/>
      <c r="AE456" s="397" t="str">
        <f>IFERROR(VLOOKUP($AQ456,'(勿動)組件目錄表'!$D$15:$R$1094,4,FALSE),"")</f>
        <v/>
      </c>
      <c r="AF456" s="384"/>
      <c r="AG456" s="384"/>
      <c r="AH456" s="384"/>
      <c r="AI456" s="384"/>
      <c r="AJ456" s="385"/>
      <c r="AK456" s="54" t="b">
        <v>0</v>
      </c>
      <c r="AL456" s="54" t="b">
        <v>0</v>
      </c>
      <c r="AM456" s="54"/>
      <c r="AN456" s="7" t="str">
        <v>448</v>
      </c>
      <c r="AO456" s="7"/>
      <c r="AP456" s="62"/>
      <c r="AQ456" s="75" t="str">
        <v/>
      </c>
      <c r="AR456" s="75" t="str">
        <v>-</v>
      </c>
      <c r="AS456" s="11"/>
      <c r="AT456" s="77" t="str">
        <v>-</v>
      </c>
      <c r="AU456" s="11" t="str">
        <v>-</v>
      </c>
      <c r="AV456" s="100"/>
      <c r="AW456" s="80" t="str">
        <f ca="1"/>
        <v>-</v>
      </c>
      <c r="AX456" s="80" t="b">
        <v>0</v>
      </c>
      <c r="AY456" s="68" t="str">
        <f t="shared" si="4"/>
        <v/>
      </c>
      <c r="AZ456" s="69" t="str">
        <f t="shared" si="5"/>
        <v/>
      </c>
      <c r="BA456" s="70" t="str">
        <f t="shared" si="6"/>
        <v/>
      </c>
      <c r="BB456" s="68" t="str">
        <f t="shared" si="7"/>
        <v/>
      </c>
      <c r="BC456" s="69" t="str">
        <f>IFERROR(VLOOKUP($AQ456,'(勿動)組件目錄表'!$D$15:$R$1094,7,FALSE),"")</f>
        <v/>
      </c>
      <c r="BD456" s="69" t="str">
        <f>IFERROR(VLOOKUP($AQ456,'(勿動)組件目錄表'!$D$15:$R$1094,8,FALSE),"")</f>
        <v/>
      </c>
      <c r="BE456" s="69" t="str">
        <f>IFERROR(VLOOKUP($AQ456,'(勿動)組件目錄表'!$D$15:$R$1094,9,FALSE),"")</f>
        <v/>
      </c>
      <c r="BF456" s="69" t="str">
        <f>IFERROR(VLOOKUP($AQ456,'(勿動)組件目錄表'!$D$15:$R$1094,10,FALSE),"")</f>
        <v/>
      </c>
      <c r="BG456" s="69" t="str">
        <f>IFERROR(VLOOKUP($AQ456,'(勿動)組件目錄表'!$D$15:$R$1094,11,FALSE),"")</f>
        <v/>
      </c>
      <c r="BH456" s="69" t="str">
        <f>IFERROR(VLOOKUP($AQ456,'(勿動)組件目錄表'!$D$15:$R$1094,12,FALSE),"")</f>
        <v/>
      </c>
      <c r="BI456" s="69" t="str">
        <f>IFERROR(VLOOKUP($AQ456,'(勿動)組件目錄表'!$D$15:$R$1094,13,FALSE),"")</f>
        <v/>
      </c>
      <c r="BJ456" s="69" t="str">
        <f>IFERROR(VLOOKUP($AQ456,'(勿動)組件目錄表'!$D$15:$R$1094,14,FALSE),"")</f>
        <v/>
      </c>
      <c r="BK456" s="69" t="str">
        <f>IFERROR(VLOOKUP($AQ456,'(勿動)組件目錄表'!$D$15:$R$1094,15,FALSE),"")</f>
        <v/>
      </c>
      <c r="BL456" s="81">
        <f ca="1">IFERROR(__xludf.DUMMYFUNCTION("IFERROR(
  LET(
    rowData, FILTER('(勿動)組件目錄表'!J:Q, '(勿動)組件目錄表'!D:D=AQ456),
    IF(ROWS(rowData)=0, 0, 
      (
        IF(AND(BC456&lt;&gt;"""", INDEX(rowData,1,1)=BC456),1,0) +
        IF(AND(BD456&lt;&gt;"""", INDEX(rowData,1,2)=BD456),1,0) +
        IF(AND(BE456"&amp;"&lt;&gt;"""", INDEX(rowData,1,3)=BE456),1,0) +
        IF(AND(BF456&lt;&gt;"""", INDEX(rowData,1,4)=BF456),1,0) +
        IF(AND(BG456&lt;&gt;"""", INDEX(rowData,1,5)=BG456),1,0) +
        IF(AND(BH456&lt;&gt;"""", INDEX(rowData,1,6)=BH456),1,0) +
        IF(AND(BI456&lt;&gt;"""", IND"&amp;"EX(rowData,1,7)=BI456),1,0) +
        IF(AND(BJ456&lt;&gt;"""", INDEX(rowData,1,8)=BJ456),1,0)
      ) - COUNTIF(BC456:BJ456, ""-"")
        - COUNTIF(BC456:BJ456, ""固定格式，不需提供資訊"")
        - COUNTIF(BC456:BJ456, ""由MKT更新，此欄位固定格式，不需提供資訊
(Voucher CID：12917705872)"&amp;""")
        - COUNTIF(BC456:BJ456, ""text固定為以下：
※直播間僅支援手機版"")
        - COUNTIF(BC456:BJ456, ""text固定為以下：
※短影音僅支援手機版"")
    )
  ), 
  0
)
"),0)</f>
        <v>0</v>
      </c>
      <c r="BM456" s="77" t="b">
        <v>0</v>
      </c>
      <c r="BN456" s="85"/>
      <c r="BO456" s="85"/>
    </row>
    <row r="457" spans="1:67" ht="30" customHeight="1">
      <c r="A457" s="73" t="str">
        <f t="array" aca="1" ref="A457" ca="1">IFERROR(TRANSPOSE(INDIRECT('MS section版配(Old)'!$AO457)),"")</f>
        <v/>
      </c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8"/>
      <c r="P457" s="88"/>
      <c r="Q457" s="88"/>
      <c r="R457" s="88"/>
      <c r="S457" s="88"/>
      <c r="T457" s="88"/>
      <c r="U457" s="88"/>
      <c r="V457" s="88"/>
      <c r="W457" s="88"/>
      <c r="X457" s="88"/>
      <c r="Y457" s="88"/>
      <c r="Z457" s="88"/>
      <c r="AA457" s="88"/>
      <c r="AB457" s="88"/>
      <c r="AC457" s="88"/>
      <c r="AD457" s="88"/>
      <c r="AE457" s="397" t="str">
        <f>IFERROR(VLOOKUP($AQ457,'(勿動)組件目錄表'!$D$15:$R$1094,4,FALSE),"")</f>
        <v/>
      </c>
      <c r="AF457" s="384"/>
      <c r="AG457" s="384"/>
      <c r="AH457" s="384"/>
      <c r="AI457" s="384"/>
      <c r="AJ457" s="385"/>
      <c r="AK457" s="54" t="b">
        <v>0</v>
      </c>
      <c r="AL457" s="54" t="b">
        <v>0</v>
      </c>
      <c r="AM457" s="54"/>
      <c r="AN457" s="7" t="str">
        <v>449</v>
      </c>
      <c r="AO457" s="7"/>
      <c r="AP457" s="62"/>
      <c r="AQ457" s="75" t="str">
        <v/>
      </c>
      <c r="AR457" s="75" t="str">
        <v>-</v>
      </c>
      <c r="AS457" s="11"/>
      <c r="AT457" s="77" t="str">
        <v>-</v>
      </c>
      <c r="AU457" s="11" t="str">
        <v>-</v>
      </c>
      <c r="AV457" s="100"/>
      <c r="AW457" s="80" t="str">
        <f ca="1"/>
        <v>-</v>
      </c>
      <c r="AX457" s="80" t="b">
        <v>0</v>
      </c>
      <c r="AY457" s="68" t="str">
        <f t="shared" si="4"/>
        <v/>
      </c>
      <c r="AZ457" s="69" t="str">
        <f t="shared" si="5"/>
        <v/>
      </c>
      <c r="BA457" s="70" t="str">
        <f t="shared" si="6"/>
        <v/>
      </c>
      <c r="BB457" s="68" t="str">
        <f t="shared" si="7"/>
        <v/>
      </c>
      <c r="BC457" s="69" t="str">
        <f>IFERROR(VLOOKUP($AQ457,'(勿動)組件目錄表'!$D$15:$R$1094,7,FALSE),"")</f>
        <v/>
      </c>
      <c r="BD457" s="69" t="str">
        <f>IFERROR(VLOOKUP($AQ457,'(勿動)組件目錄表'!$D$15:$R$1094,8,FALSE),"")</f>
        <v/>
      </c>
      <c r="BE457" s="69" t="str">
        <f>IFERROR(VLOOKUP($AQ457,'(勿動)組件目錄表'!$D$15:$R$1094,9,FALSE),"")</f>
        <v/>
      </c>
      <c r="BF457" s="69" t="str">
        <f>IFERROR(VLOOKUP($AQ457,'(勿動)組件目錄表'!$D$15:$R$1094,10,FALSE),"")</f>
        <v/>
      </c>
      <c r="BG457" s="69" t="str">
        <f>IFERROR(VLOOKUP($AQ457,'(勿動)組件目錄表'!$D$15:$R$1094,11,FALSE),"")</f>
        <v/>
      </c>
      <c r="BH457" s="69" t="str">
        <f>IFERROR(VLOOKUP($AQ457,'(勿動)組件目錄表'!$D$15:$R$1094,12,FALSE),"")</f>
        <v/>
      </c>
      <c r="BI457" s="69" t="str">
        <f>IFERROR(VLOOKUP($AQ457,'(勿動)組件目錄表'!$D$15:$R$1094,13,FALSE),"")</f>
        <v/>
      </c>
      <c r="BJ457" s="69" t="str">
        <f>IFERROR(VLOOKUP($AQ457,'(勿動)組件目錄表'!$D$15:$R$1094,14,FALSE),"")</f>
        <v/>
      </c>
      <c r="BK457" s="69" t="str">
        <f>IFERROR(VLOOKUP($AQ457,'(勿動)組件目錄表'!$D$15:$R$1094,15,FALSE),"")</f>
        <v/>
      </c>
      <c r="BL457" s="81">
        <f ca="1">IFERROR(__xludf.DUMMYFUNCTION("IFERROR(
  LET(
    rowData, FILTER('(勿動)組件目錄表'!J:Q, '(勿動)組件目錄表'!D:D=AQ457),
    IF(ROWS(rowData)=0, 0, 
      (
        IF(AND(BC457&lt;&gt;"""", INDEX(rowData,1,1)=BC457),1,0) +
        IF(AND(BD457&lt;&gt;"""", INDEX(rowData,1,2)=BD457),1,0) +
        IF(AND(BE457"&amp;"&lt;&gt;"""", INDEX(rowData,1,3)=BE457),1,0) +
        IF(AND(BF457&lt;&gt;"""", INDEX(rowData,1,4)=BF457),1,0) +
        IF(AND(BG457&lt;&gt;"""", INDEX(rowData,1,5)=BG457),1,0) +
        IF(AND(BH457&lt;&gt;"""", INDEX(rowData,1,6)=BH457),1,0) +
        IF(AND(BI457&lt;&gt;"""", IND"&amp;"EX(rowData,1,7)=BI457),1,0) +
        IF(AND(BJ457&lt;&gt;"""", INDEX(rowData,1,8)=BJ457),1,0)
      ) - COUNTIF(BC457:BJ457, ""-"")
        - COUNTIF(BC457:BJ457, ""固定格式，不需提供資訊"")
        - COUNTIF(BC457:BJ457, ""由MKT更新，此欄位固定格式，不需提供資訊
(Voucher CID：12917705872)"&amp;""")
        - COUNTIF(BC457:BJ457, ""text固定為以下：
※直播間僅支援手機版"")
        - COUNTIF(BC457:BJ457, ""text固定為以下：
※短影音僅支援手機版"")
    )
  ), 
  0
)
"),0)</f>
        <v>0</v>
      </c>
      <c r="BM457" s="77" t="b">
        <v>0</v>
      </c>
      <c r="BN457" s="85"/>
      <c r="BO457" s="85"/>
    </row>
    <row r="458" spans="1:67" ht="30" customHeight="1">
      <c r="A458" s="73" t="str">
        <f t="array" aca="1" ref="A458" ca="1">IFERROR(TRANSPOSE(INDIRECT('MS section版配(Old)'!$AO458)),"")</f>
        <v/>
      </c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8"/>
      <c r="P458" s="88"/>
      <c r="Q458" s="88"/>
      <c r="R458" s="88"/>
      <c r="S458" s="88"/>
      <c r="T458" s="88"/>
      <c r="U458" s="88"/>
      <c r="V458" s="88"/>
      <c r="W458" s="88"/>
      <c r="X458" s="88"/>
      <c r="Y458" s="88"/>
      <c r="Z458" s="88"/>
      <c r="AA458" s="88"/>
      <c r="AB458" s="88"/>
      <c r="AC458" s="88"/>
      <c r="AD458" s="88"/>
      <c r="AE458" s="397" t="str">
        <f>IFERROR(VLOOKUP($AQ458,'(勿動)組件目錄表'!$D$15:$R$1094,4,FALSE),"")</f>
        <v/>
      </c>
      <c r="AF458" s="384"/>
      <c r="AG458" s="384"/>
      <c r="AH458" s="384"/>
      <c r="AI458" s="384"/>
      <c r="AJ458" s="385"/>
      <c r="AK458" s="54" t="b">
        <v>0</v>
      </c>
      <c r="AL458" s="54" t="b">
        <v>0</v>
      </c>
      <c r="AM458" s="54"/>
      <c r="AN458" s="7" t="str">
        <v>450</v>
      </c>
      <c r="AO458" s="7"/>
      <c r="AP458" s="62"/>
      <c r="AQ458" s="75" t="str">
        <v/>
      </c>
      <c r="AR458" s="75" t="str">
        <v>-</v>
      </c>
      <c r="AS458" s="11"/>
      <c r="AT458" s="77" t="str">
        <v>-</v>
      </c>
      <c r="AU458" s="11" t="str">
        <v>-</v>
      </c>
      <c r="AV458" s="100"/>
      <c r="AW458" s="80" t="str">
        <f ca="1"/>
        <v>-</v>
      </c>
      <c r="AX458" s="80" t="b">
        <v>0</v>
      </c>
      <c r="AY458" s="68" t="str">
        <f t="shared" si="4"/>
        <v/>
      </c>
      <c r="AZ458" s="69" t="str">
        <f t="shared" si="5"/>
        <v/>
      </c>
      <c r="BA458" s="70" t="str">
        <f t="shared" si="6"/>
        <v/>
      </c>
      <c r="BB458" s="68" t="str">
        <f t="shared" si="7"/>
        <v/>
      </c>
      <c r="BC458" s="69" t="str">
        <f>IFERROR(VLOOKUP($AQ458,'(勿動)組件目錄表'!$D$15:$R$1094,7,FALSE),"")</f>
        <v/>
      </c>
      <c r="BD458" s="69" t="str">
        <f>IFERROR(VLOOKUP($AQ458,'(勿動)組件目錄表'!$D$15:$R$1094,8,FALSE),"")</f>
        <v/>
      </c>
      <c r="BE458" s="69" t="str">
        <f>IFERROR(VLOOKUP($AQ458,'(勿動)組件目錄表'!$D$15:$R$1094,9,FALSE),"")</f>
        <v/>
      </c>
      <c r="BF458" s="69" t="str">
        <f>IFERROR(VLOOKUP($AQ458,'(勿動)組件目錄表'!$D$15:$R$1094,10,FALSE),"")</f>
        <v/>
      </c>
      <c r="BG458" s="69" t="str">
        <f>IFERROR(VLOOKUP($AQ458,'(勿動)組件目錄表'!$D$15:$R$1094,11,FALSE),"")</f>
        <v/>
      </c>
      <c r="BH458" s="69" t="str">
        <f>IFERROR(VLOOKUP($AQ458,'(勿動)組件目錄表'!$D$15:$R$1094,12,FALSE),"")</f>
        <v/>
      </c>
      <c r="BI458" s="69" t="str">
        <f>IFERROR(VLOOKUP($AQ458,'(勿動)組件目錄表'!$D$15:$R$1094,13,FALSE),"")</f>
        <v/>
      </c>
      <c r="BJ458" s="69" t="str">
        <f>IFERROR(VLOOKUP($AQ458,'(勿動)組件目錄表'!$D$15:$R$1094,14,FALSE),"")</f>
        <v/>
      </c>
      <c r="BK458" s="69" t="str">
        <f>IFERROR(VLOOKUP($AQ458,'(勿動)組件目錄表'!$D$15:$R$1094,15,FALSE),"")</f>
        <v/>
      </c>
      <c r="BL458" s="81">
        <f ca="1">IFERROR(__xludf.DUMMYFUNCTION("IFERROR(
  LET(
    rowData, FILTER('(勿動)組件目錄表'!J:Q, '(勿動)組件目錄表'!D:D=AQ458),
    IF(ROWS(rowData)=0, 0, 
      (
        IF(AND(BC458&lt;&gt;"""", INDEX(rowData,1,1)=BC458),1,0) +
        IF(AND(BD458&lt;&gt;"""", INDEX(rowData,1,2)=BD458),1,0) +
        IF(AND(BE458"&amp;"&lt;&gt;"""", INDEX(rowData,1,3)=BE458),1,0) +
        IF(AND(BF458&lt;&gt;"""", INDEX(rowData,1,4)=BF458),1,0) +
        IF(AND(BG458&lt;&gt;"""", INDEX(rowData,1,5)=BG458),1,0) +
        IF(AND(BH458&lt;&gt;"""", INDEX(rowData,1,6)=BH458),1,0) +
        IF(AND(BI458&lt;&gt;"""", IND"&amp;"EX(rowData,1,7)=BI458),1,0) +
        IF(AND(BJ458&lt;&gt;"""", INDEX(rowData,1,8)=BJ458),1,0)
      ) - COUNTIF(BC458:BJ458, ""-"")
        - COUNTIF(BC458:BJ458, ""固定格式，不需提供資訊"")
        - COUNTIF(BC458:BJ458, ""由MKT更新，此欄位固定格式，不需提供資訊
(Voucher CID：12917705872)"&amp;""")
        - COUNTIF(BC458:BJ458, ""text固定為以下：
※直播間僅支援手機版"")
        - COUNTIF(BC458:BJ458, ""text固定為以下：
※短影音僅支援手機版"")
    )
  ), 
  0
)
"),0)</f>
        <v>0</v>
      </c>
      <c r="BM458" s="77" t="b">
        <v>0</v>
      </c>
      <c r="BN458" s="85"/>
      <c r="BO458" s="85"/>
    </row>
    <row r="459" spans="1:67" ht="30" customHeight="1">
      <c r="A459" s="73" t="str">
        <f t="array" aca="1" ref="A459" ca="1">IFERROR(TRANSPOSE(INDIRECT('MS section版配(Old)'!$AO459)),"")</f>
        <v/>
      </c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8"/>
      <c r="P459" s="88"/>
      <c r="Q459" s="88"/>
      <c r="R459" s="88"/>
      <c r="S459" s="88"/>
      <c r="T459" s="88"/>
      <c r="U459" s="88"/>
      <c r="V459" s="88"/>
      <c r="W459" s="88"/>
      <c r="X459" s="88"/>
      <c r="Y459" s="88"/>
      <c r="Z459" s="88"/>
      <c r="AA459" s="88"/>
      <c r="AB459" s="88"/>
      <c r="AC459" s="88"/>
      <c r="AD459" s="88"/>
      <c r="AE459" s="397" t="str">
        <f>IFERROR(VLOOKUP($AQ459,'(勿動)組件目錄表'!$D$15:$R$1094,4,FALSE),"")</f>
        <v/>
      </c>
      <c r="AF459" s="384"/>
      <c r="AG459" s="384"/>
      <c r="AH459" s="384"/>
      <c r="AI459" s="384"/>
      <c r="AJ459" s="385"/>
      <c r="AK459" s="54" t="b">
        <v>0</v>
      </c>
      <c r="AL459" s="54" t="b">
        <v>0</v>
      </c>
      <c r="AM459" s="54"/>
      <c r="AN459" s="7" t="str">
        <v>451</v>
      </c>
      <c r="AO459" s="7"/>
      <c r="AP459" s="62"/>
      <c r="AQ459" s="75" t="str">
        <v/>
      </c>
      <c r="AR459" s="75" t="str">
        <v>-</v>
      </c>
      <c r="AS459" s="11"/>
      <c r="AT459" s="77" t="str">
        <v>-</v>
      </c>
      <c r="AU459" s="11" t="str">
        <v>-</v>
      </c>
      <c r="AV459" s="100"/>
      <c r="AW459" s="80" t="str">
        <f ca="1"/>
        <v>-</v>
      </c>
      <c r="AX459" s="80" t="b">
        <v>0</v>
      </c>
      <c r="AY459" s="68" t="str">
        <f t="shared" si="4"/>
        <v/>
      </c>
      <c r="AZ459" s="69" t="str">
        <f t="shared" si="5"/>
        <v/>
      </c>
      <c r="BA459" s="70" t="str">
        <f t="shared" si="6"/>
        <v/>
      </c>
      <c r="BB459" s="68" t="str">
        <f t="shared" si="7"/>
        <v/>
      </c>
      <c r="BC459" s="69" t="str">
        <f>IFERROR(VLOOKUP($AQ459,'(勿動)組件目錄表'!$D$15:$R$1094,7,FALSE),"")</f>
        <v/>
      </c>
      <c r="BD459" s="69" t="str">
        <f>IFERROR(VLOOKUP($AQ459,'(勿動)組件目錄表'!$D$15:$R$1094,8,FALSE),"")</f>
        <v/>
      </c>
      <c r="BE459" s="69" t="str">
        <f>IFERROR(VLOOKUP($AQ459,'(勿動)組件目錄表'!$D$15:$R$1094,9,FALSE),"")</f>
        <v/>
      </c>
      <c r="BF459" s="69" t="str">
        <f>IFERROR(VLOOKUP($AQ459,'(勿動)組件目錄表'!$D$15:$R$1094,10,FALSE),"")</f>
        <v/>
      </c>
      <c r="BG459" s="69" t="str">
        <f>IFERROR(VLOOKUP($AQ459,'(勿動)組件目錄表'!$D$15:$R$1094,11,FALSE),"")</f>
        <v/>
      </c>
      <c r="BH459" s="69" t="str">
        <f>IFERROR(VLOOKUP($AQ459,'(勿動)組件目錄表'!$D$15:$R$1094,12,FALSE),"")</f>
        <v/>
      </c>
      <c r="BI459" s="69" t="str">
        <f>IFERROR(VLOOKUP($AQ459,'(勿動)組件目錄表'!$D$15:$R$1094,13,FALSE),"")</f>
        <v/>
      </c>
      <c r="BJ459" s="69" t="str">
        <f>IFERROR(VLOOKUP($AQ459,'(勿動)組件目錄表'!$D$15:$R$1094,14,FALSE),"")</f>
        <v/>
      </c>
      <c r="BK459" s="69" t="str">
        <f>IFERROR(VLOOKUP($AQ459,'(勿動)組件目錄表'!$D$15:$R$1094,15,FALSE),"")</f>
        <v/>
      </c>
      <c r="BL459" s="81">
        <f ca="1">IFERROR(__xludf.DUMMYFUNCTION("IFERROR(
  LET(
    rowData, FILTER('(勿動)組件目錄表'!J:Q, '(勿動)組件目錄表'!D:D=AQ459),
    IF(ROWS(rowData)=0, 0, 
      (
        IF(AND(BC459&lt;&gt;"""", INDEX(rowData,1,1)=BC459),1,0) +
        IF(AND(BD459&lt;&gt;"""", INDEX(rowData,1,2)=BD459),1,0) +
        IF(AND(BE459"&amp;"&lt;&gt;"""", INDEX(rowData,1,3)=BE459),1,0) +
        IF(AND(BF459&lt;&gt;"""", INDEX(rowData,1,4)=BF459),1,0) +
        IF(AND(BG459&lt;&gt;"""", INDEX(rowData,1,5)=BG459),1,0) +
        IF(AND(BH459&lt;&gt;"""", INDEX(rowData,1,6)=BH459),1,0) +
        IF(AND(BI459&lt;&gt;"""", IND"&amp;"EX(rowData,1,7)=BI459),1,0) +
        IF(AND(BJ459&lt;&gt;"""", INDEX(rowData,1,8)=BJ459),1,0)
      ) - COUNTIF(BC459:BJ459, ""-"")
        - COUNTIF(BC459:BJ459, ""固定格式，不需提供資訊"")
        - COUNTIF(BC459:BJ459, ""由MKT更新，此欄位固定格式，不需提供資訊
(Voucher CID：12917705872)"&amp;""")
        - COUNTIF(BC459:BJ459, ""text固定為以下：
※直播間僅支援手機版"")
        - COUNTIF(BC459:BJ459, ""text固定為以下：
※短影音僅支援手機版"")
    )
  ), 
  0
)
"),0)</f>
        <v>0</v>
      </c>
      <c r="BM459" s="77" t="b">
        <v>0</v>
      </c>
      <c r="BN459" s="85"/>
      <c r="BO459" s="85"/>
    </row>
    <row r="460" spans="1:67" ht="30" customHeight="1">
      <c r="A460" s="73" t="str">
        <f t="array" aca="1" ref="A460" ca="1">IFERROR(TRANSPOSE(INDIRECT('MS section版配(Old)'!$AO460)),"")</f>
        <v/>
      </c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8"/>
      <c r="P460" s="88"/>
      <c r="Q460" s="88"/>
      <c r="R460" s="88"/>
      <c r="S460" s="88"/>
      <c r="T460" s="88"/>
      <c r="U460" s="88"/>
      <c r="V460" s="88"/>
      <c r="W460" s="88"/>
      <c r="X460" s="88"/>
      <c r="Y460" s="88"/>
      <c r="Z460" s="88"/>
      <c r="AA460" s="88"/>
      <c r="AB460" s="88"/>
      <c r="AC460" s="88"/>
      <c r="AD460" s="88"/>
      <c r="AE460" s="397" t="str">
        <f>IFERROR(VLOOKUP($AQ460,'(勿動)組件目錄表'!$D$15:$R$1094,4,FALSE),"")</f>
        <v/>
      </c>
      <c r="AF460" s="384"/>
      <c r="AG460" s="384"/>
      <c r="AH460" s="384"/>
      <c r="AI460" s="384"/>
      <c r="AJ460" s="385"/>
      <c r="AK460" s="54" t="b">
        <v>0</v>
      </c>
      <c r="AL460" s="54" t="b">
        <v>0</v>
      </c>
      <c r="AM460" s="54"/>
      <c r="AN460" s="7" t="str">
        <v>452</v>
      </c>
      <c r="AO460" s="7"/>
      <c r="AP460" s="62"/>
      <c r="AQ460" s="75" t="str">
        <v/>
      </c>
      <c r="AR460" s="75" t="str">
        <v>-</v>
      </c>
      <c r="AS460" s="11"/>
      <c r="AT460" s="77" t="str">
        <v>-</v>
      </c>
      <c r="AU460" s="11" t="str">
        <v>-</v>
      </c>
      <c r="AV460" s="100"/>
      <c r="AW460" s="80" t="str">
        <f ca="1"/>
        <v>-</v>
      </c>
      <c r="AX460" s="80" t="b">
        <v>0</v>
      </c>
      <c r="AY460" s="68" t="str">
        <f t="shared" si="4"/>
        <v/>
      </c>
      <c r="AZ460" s="69" t="str">
        <f t="shared" si="5"/>
        <v/>
      </c>
      <c r="BA460" s="70" t="str">
        <f t="shared" si="6"/>
        <v/>
      </c>
      <c r="BB460" s="68" t="str">
        <f t="shared" si="7"/>
        <v/>
      </c>
      <c r="BC460" s="69" t="str">
        <f>IFERROR(VLOOKUP($AQ460,'(勿動)組件目錄表'!$D$15:$R$1094,7,FALSE),"")</f>
        <v/>
      </c>
      <c r="BD460" s="69" t="str">
        <f>IFERROR(VLOOKUP($AQ460,'(勿動)組件目錄表'!$D$15:$R$1094,8,FALSE),"")</f>
        <v/>
      </c>
      <c r="BE460" s="69" t="str">
        <f>IFERROR(VLOOKUP($AQ460,'(勿動)組件目錄表'!$D$15:$R$1094,9,FALSE),"")</f>
        <v/>
      </c>
      <c r="BF460" s="69" t="str">
        <f>IFERROR(VLOOKUP($AQ460,'(勿動)組件目錄表'!$D$15:$R$1094,10,FALSE),"")</f>
        <v/>
      </c>
      <c r="BG460" s="69" t="str">
        <f>IFERROR(VLOOKUP($AQ460,'(勿動)組件目錄表'!$D$15:$R$1094,11,FALSE),"")</f>
        <v/>
      </c>
      <c r="BH460" s="69" t="str">
        <f>IFERROR(VLOOKUP($AQ460,'(勿動)組件目錄表'!$D$15:$R$1094,12,FALSE),"")</f>
        <v/>
      </c>
      <c r="BI460" s="69" t="str">
        <f>IFERROR(VLOOKUP($AQ460,'(勿動)組件目錄表'!$D$15:$R$1094,13,FALSE),"")</f>
        <v/>
      </c>
      <c r="BJ460" s="69" t="str">
        <f>IFERROR(VLOOKUP($AQ460,'(勿動)組件目錄表'!$D$15:$R$1094,14,FALSE),"")</f>
        <v/>
      </c>
      <c r="BK460" s="69" t="str">
        <f>IFERROR(VLOOKUP($AQ460,'(勿動)組件目錄表'!$D$15:$R$1094,15,FALSE),"")</f>
        <v/>
      </c>
      <c r="BL460" s="81">
        <f ca="1">IFERROR(__xludf.DUMMYFUNCTION("IFERROR(
  LET(
    rowData, FILTER('(勿動)組件目錄表'!J:Q, '(勿動)組件目錄表'!D:D=AQ460),
    IF(ROWS(rowData)=0, 0, 
      (
        IF(AND(BC460&lt;&gt;"""", INDEX(rowData,1,1)=BC460),1,0) +
        IF(AND(BD460&lt;&gt;"""", INDEX(rowData,1,2)=BD460),1,0) +
        IF(AND(BE460"&amp;"&lt;&gt;"""", INDEX(rowData,1,3)=BE460),1,0) +
        IF(AND(BF460&lt;&gt;"""", INDEX(rowData,1,4)=BF460),1,0) +
        IF(AND(BG460&lt;&gt;"""", INDEX(rowData,1,5)=BG460),1,0) +
        IF(AND(BH460&lt;&gt;"""", INDEX(rowData,1,6)=BH460),1,0) +
        IF(AND(BI460&lt;&gt;"""", IND"&amp;"EX(rowData,1,7)=BI460),1,0) +
        IF(AND(BJ460&lt;&gt;"""", INDEX(rowData,1,8)=BJ460),1,0)
      ) - COUNTIF(BC460:BJ460, ""-"")
        - COUNTIF(BC460:BJ460, ""固定格式，不需提供資訊"")
        - COUNTIF(BC460:BJ460, ""由MKT更新，此欄位固定格式，不需提供資訊
(Voucher CID：12917705872)"&amp;""")
        - COUNTIF(BC460:BJ460, ""text固定為以下：
※直播間僅支援手機版"")
        - COUNTIF(BC460:BJ460, ""text固定為以下：
※短影音僅支援手機版"")
    )
  ), 
  0
)
"),0)</f>
        <v>0</v>
      </c>
      <c r="BM460" s="77" t="b">
        <v>0</v>
      </c>
      <c r="BN460" s="85"/>
      <c r="BO460" s="85"/>
    </row>
    <row r="461" spans="1:67" ht="30" customHeight="1">
      <c r="A461" s="73" t="str">
        <f t="array" aca="1" ref="A461" ca="1">IFERROR(TRANSPOSE(INDIRECT('MS section版配(Old)'!$AO461)),"")</f>
        <v/>
      </c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8"/>
      <c r="P461" s="88"/>
      <c r="Q461" s="88"/>
      <c r="R461" s="88"/>
      <c r="S461" s="88"/>
      <c r="T461" s="88"/>
      <c r="U461" s="88"/>
      <c r="V461" s="88"/>
      <c r="W461" s="88"/>
      <c r="X461" s="88"/>
      <c r="Y461" s="88"/>
      <c r="Z461" s="88"/>
      <c r="AA461" s="88"/>
      <c r="AB461" s="88"/>
      <c r="AC461" s="88"/>
      <c r="AD461" s="88"/>
      <c r="AE461" s="397" t="str">
        <f>IFERROR(VLOOKUP($AQ461,'(勿動)組件目錄表'!$D$15:$R$1094,4,FALSE),"")</f>
        <v/>
      </c>
      <c r="AF461" s="384"/>
      <c r="AG461" s="384"/>
      <c r="AH461" s="384"/>
      <c r="AI461" s="384"/>
      <c r="AJ461" s="385"/>
      <c r="AK461" s="54" t="b">
        <v>0</v>
      </c>
      <c r="AL461" s="54" t="b">
        <v>0</v>
      </c>
      <c r="AM461" s="54"/>
      <c r="AN461" s="7" t="str">
        <v>453</v>
      </c>
      <c r="AO461" s="7"/>
      <c r="AP461" s="62"/>
      <c r="AQ461" s="75" t="str">
        <v/>
      </c>
      <c r="AR461" s="75" t="str">
        <v>-</v>
      </c>
      <c r="AS461" s="11"/>
      <c r="AT461" s="77" t="str">
        <v>-</v>
      </c>
      <c r="AU461" s="11" t="str">
        <v>-</v>
      </c>
      <c r="AV461" s="100"/>
      <c r="AW461" s="80" t="str">
        <f ca="1"/>
        <v>-</v>
      </c>
      <c r="AX461" s="80" t="b">
        <v>0</v>
      </c>
      <c r="AY461" s="68" t="str">
        <f t="shared" si="4"/>
        <v/>
      </c>
      <c r="AZ461" s="69" t="str">
        <f t="shared" si="5"/>
        <v/>
      </c>
      <c r="BA461" s="70" t="str">
        <f t="shared" si="6"/>
        <v/>
      </c>
      <c r="BB461" s="68" t="str">
        <f t="shared" si="7"/>
        <v/>
      </c>
      <c r="BC461" s="69" t="str">
        <f>IFERROR(VLOOKUP($AQ461,'(勿動)組件目錄表'!$D$15:$R$1094,7,FALSE),"")</f>
        <v/>
      </c>
      <c r="BD461" s="69" t="str">
        <f>IFERROR(VLOOKUP($AQ461,'(勿動)組件目錄表'!$D$15:$R$1094,8,FALSE),"")</f>
        <v/>
      </c>
      <c r="BE461" s="69" t="str">
        <f>IFERROR(VLOOKUP($AQ461,'(勿動)組件目錄表'!$D$15:$R$1094,9,FALSE),"")</f>
        <v/>
      </c>
      <c r="BF461" s="69" t="str">
        <f>IFERROR(VLOOKUP($AQ461,'(勿動)組件目錄表'!$D$15:$R$1094,10,FALSE),"")</f>
        <v/>
      </c>
      <c r="BG461" s="69" t="str">
        <f>IFERROR(VLOOKUP($AQ461,'(勿動)組件目錄表'!$D$15:$R$1094,11,FALSE),"")</f>
        <v/>
      </c>
      <c r="BH461" s="69" t="str">
        <f>IFERROR(VLOOKUP($AQ461,'(勿動)組件目錄表'!$D$15:$R$1094,12,FALSE),"")</f>
        <v/>
      </c>
      <c r="BI461" s="69" t="str">
        <f>IFERROR(VLOOKUP($AQ461,'(勿動)組件目錄表'!$D$15:$R$1094,13,FALSE),"")</f>
        <v/>
      </c>
      <c r="BJ461" s="69" t="str">
        <f>IFERROR(VLOOKUP($AQ461,'(勿動)組件目錄表'!$D$15:$R$1094,14,FALSE),"")</f>
        <v/>
      </c>
      <c r="BK461" s="69" t="str">
        <f>IFERROR(VLOOKUP($AQ461,'(勿動)組件目錄表'!$D$15:$R$1094,15,FALSE),"")</f>
        <v/>
      </c>
      <c r="BL461" s="81">
        <f ca="1">IFERROR(__xludf.DUMMYFUNCTION("IFERROR(
  LET(
    rowData, FILTER('(勿動)組件目錄表'!J:Q, '(勿動)組件目錄表'!D:D=AQ461),
    IF(ROWS(rowData)=0, 0, 
      (
        IF(AND(BC461&lt;&gt;"""", INDEX(rowData,1,1)=BC461),1,0) +
        IF(AND(BD461&lt;&gt;"""", INDEX(rowData,1,2)=BD461),1,0) +
        IF(AND(BE461"&amp;"&lt;&gt;"""", INDEX(rowData,1,3)=BE461),1,0) +
        IF(AND(BF461&lt;&gt;"""", INDEX(rowData,1,4)=BF461),1,0) +
        IF(AND(BG461&lt;&gt;"""", INDEX(rowData,1,5)=BG461),1,0) +
        IF(AND(BH461&lt;&gt;"""", INDEX(rowData,1,6)=BH461),1,0) +
        IF(AND(BI461&lt;&gt;"""", IND"&amp;"EX(rowData,1,7)=BI461),1,0) +
        IF(AND(BJ461&lt;&gt;"""", INDEX(rowData,1,8)=BJ461),1,0)
      ) - COUNTIF(BC461:BJ461, ""-"")
        - COUNTIF(BC461:BJ461, ""固定格式，不需提供資訊"")
        - COUNTIF(BC461:BJ461, ""由MKT更新，此欄位固定格式，不需提供資訊
(Voucher CID：12917705872)"&amp;""")
        - COUNTIF(BC461:BJ461, ""text固定為以下：
※直播間僅支援手機版"")
        - COUNTIF(BC461:BJ461, ""text固定為以下：
※短影音僅支援手機版"")
    )
  ), 
  0
)
"),0)</f>
        <v>0</v>
      </c>
      <c r="BM461" s="77" t="b">
        <v>0</v>
      </c>
      <c r="BN461" s="85"/>
      <c r="BO461" s="85"/>
    </row>
    <row r="462" spans="1:67" ht="30" customHeight="1">
      <c r="A462" s="73" t="str">
        <f t="array" aca="1" ref="A462" ca="1">IFERROR(TRANSPOSE(INDIRECT('MS section版配(Old)'!$AO462)),"")</f>
        <v/>
      </c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8"/>
      <c r="P462" s="88"/>
      <c r="Q462" s="88"/>
      <c r="R462" s="88"/>
      <c r="S462" s="88"/>
      <c r="T462" s="88"/>
      <c r="U462" s="88"/>
      <c r="V462" s="88"/>
      <c r="W462" s="88"/>
      <c r="X462" s="88"/>
      <c r="Y462" s="88"/>
      <c r="Z462" s="88"/>
      <c r="AA462" s="88"/>
      <c r="AB462" s="88"/>
      <c r="AC462" s="88"/>
      <c r="AD462" s="88"/>
      <c r="AE462" s="397" t="str">
        <f>IFERROR(VLOOKUP($AQ462,'(勿動)組件目錄表'!$D$15:$R$1094,4,FALSE),"")</f>
        <v/>
      </c>
      <c r="AF462" s="384"/>
      <c r="AG462" s="384"/>
      <c r="AH462" s="384"/>
      <c r="AI462" s="384"/>
      <c r="AJ462" s="385"/>
      <c r="AK462" s="54" t="b">
        <v>0</v>
      </c>
      <c r="AL462" s="54" t="b">
        <v>0</v>
      </c>
      <c r="AM462" s="54"/>
      <c r="AN462" s="7" t="str">
        <v>454</v>
      </c>
      <c r="AO462" s="7"/>
      <c r="AP462" s="62"/>
      <c r="AQ462" s="75" t="str">
        <v/>
      </c>
      <c r="AR462" s="75" t="str">
        <v>-</v>
      </c>
      <c r="AS462" s="11"/>
      <c r="AT462" s="77" t="str">
        <v>-</v>
      </c>
      <c r="AU462" s="11" t="str">
        <v>-</v>
      </c>
      <c r="AV462" s="100"/>
      <c r="AW462" s="80" t="str">
        <f ca="1"/>
        <v>-</v>
      </c>
      <c r="AX462" s="80" t="b">
        <v>0</v>
      </c>
      <c r="AY462" s="68" t="str">
        <f t="shared" si="4"/>
        <v/>
      </c>
      <c r="AZ462" s="69" t="str">
        <f t="shared" si="5"/>
        <v/>
      </c>
      <c r="BA462" s="70" t="str">
        <f t="shared" si="6"/>
        <v/>
      </c>
      <c r="BB462" s="68" t="str">
        <f t="shared" si="7"/>
        <v/>
      </c>
      <c r="BC462" s="69" t="str">
        <f>IFERROR(VLOOKUP($AQ462,'(勿動)組件目錄表'!$D$15:$R$1094,7,FALSE),"")</f>
        <v/>
      </c>
      <c r="BD462" s="69" t="str">
        <f>IFERROR(VLOOKUP($AQ462,'(勿動)組件目錄表'!$D$15:$R$1094,8,FALSE),"")</f>
        <v/>
      </c>
      <c r="BE462" s="69" t="str">
        <f>IFERROR(VLOOKUP($AQ462,'(勿動)組件目錄表'!$D$15:$R$1094,9,FALSE),"")</f>
        <v/>
      </c>
      <c r="BF462" s="69" t="str">
        <f>IFERROR(VLOOKUP($AQ462,'(勿動)組件目錄表'!$D$15:$R$1094,10,FALSE),"")</f>
        <v/>
      </c>
      <c r="BG462" s="69" t="str">
        <f>IFERROR(VLOOKUP($AQ462,'(勿動)組件目錄表'!$D$15:$R$1094,11,FALSE),"")</f>
        <v/>
      </c>
      <c r="BH462" s="69" t="str">
        <f>IFERROR(VLOOKUP($AQ462,'(勿動)組件目錄表'!$D$15:$R$1094,12,FALSE),"")</f>
        <v/>
      </c>
      <c r="BI462" s="69" t="str">
        <f>IFERROR(VLOOKUP($AQ462,'(勿動)組件目錄表'!$D$15:$R$1094,13,FALSE),"")</f>
        <v/>
      </c>
      <c r="BJ462" s="69" t="str">
        <f>IFERROR(VLOOKUP($AQ462,'(勿動)組件目錄表'!$D$15:$R$1094,14,FALSE),"")</f>
        <v/>
      </c>
      <c r="BK462" s="69" t="str">
        <f>IFERROR(VLOOKUP($AQ462,'(勿動)組件目錄表'!$D$15:$R$1094,15,FALSE),"")</f>
        <v/>
      </c>
      <c r="BL462" s="81">
        <f ca="1">IFERROR(__xludf.DUMMYFUNCTION("IFERROR(
  LET(
    rowData, FILTER('(勿動)組件目錄表'!J:Q, '(勿動)組件目錄表'!D:D=AQ462),
    IF(ROWS(rowData)=0, 0, 
      (
        IF(AND(BC462&lt;&gt;"""", INDEX(rowData,1,1)=BC462),1,0) +
        IF(AND(BD462&lt;&gt;"""", INDEX(rowData,1,2)=BD462),1,0) +
        IF(AND(BE462"&amp;"&lt;&gt;"""", INDEX(rowData,1,3)=BE462),1,0) +
        IF(AND(BF462&lt;&gt;"""", INDEX(rowData,1,4)=BF462),1,0) +
        IF(AND(BG462&lt;&gt;"""", INDEX(rowData,1,5)=BG462),1,0) +
        IF(AND(BH462&lt;&gt;"""", INDEX(rowData,1,6)=BH462),1,0) +
        IF(AND(BI462&lt;&gt;"""", IND"&amp;"EX(rowData,1,7)=BI462),1,0) +
        IF(AND(BJ462&lt;&gt;"""", INDEX(rowData,1,8)=BJ462),1,0)
      ) - COUNTIF(BC462:BJ462, ""-"")
        - COUNTIF(BC462:BJ462, ""固定格式，不需提供資訊"")
        - COUNTIF(BC462:BJ462, ""由MKT更新，此欄位固定格式，不需提供資訊
(Voucher CID：12917705872)"&amp;""")
        - COUNTIF(BC462:BJ462, ""text固定為以下：
※直播間僅支援手機版"")
        - COUNTIF(BC462:BJ462, ""text固定為以下：
※短影音僅支援手機版"")
    )
  ), 
  0
)
"),0)</f>
        <v>0</v>
      </c>
      <c r="BM462" s="77" t="b">
        <v>0</v>
      </c>
      <c r="BN462" s="85"/>
      <c r="BO462" s="85"/>
    </row>
    <row r="463" spans="1:67" ht="30" customHeight="1">
      <c r="A463" s="73" t="str">
        <f t="array" aca="1" ref="A463" ca="1">IFERROR(TRANSPOSE(INDIRECT('MS section版配(Old)'!$AO463)),"")</f>
        <v/>
      </c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8"/>
      <c r="P463" s="88"/>
      <c r="Q463" s="88"/>
      <c r="R463" s="88"/>
      <c r="S463" s="88"/>
      <c r="T463" s="88"/>
      <c r="U463" s="88"/>
      <c r="V463" s="88"/>
      <c r="W463" s="88"/>
      <c r="X463" s="88"/>
      <c r="Y463" s="88"/>
      <c r="Z463" s="88"/>
      <c r="AA463" s="88"/>
      <c r="AB463" s="88"/>
      <c r="AC463" s="88"/>
      <c r="AD463" s="88"/>
      <c r="AE463" s="397" t="str">
        <f>IFERROR(VLOOKUP($AQ463,'(勿動)組件目錄表'!$D$15:$R$1094,4,FALSE),"")</f>
        <v/>
      </c>
      <c r="AF463" s="384"/>
      <c r="AG463" s="384"/>
      <c r="AH463" s="384"/>
      <c r="AI463" s="384"/>
      <c r="AJ463" s="385"/>
      <c r="AK463" s="54" t="b">
        <v>0</v>
      </c>
      <c r="AL463" s="54" t="b">
        <v>0</v>
      </c>
      <c r="AM463" s="54"/>
      <c r="AN463" s="7" t="str">
        <v>455</v>
      </c>
      <c r="AO463" s="7"/>
      <c r="AP463" s="62"/>
      <c r="AQ463" s="75" t="str">
        <v/>
      </c>
      <c r="AR463" s="75" t="str">
        <v>-</v>
      </c>
      <c r="AS463" s="11"/>
      <c r="AT463" s="77" t="str">
        <v>-</v>
      </c>
      <c r="AU463" s="11" t="str">
        <v>-</v>
      </c>
      <c r="AV463" s="100"/>
      <c r="AW463" s="80" t="str">
        <f ca="1"/>
        <v>-</v>
      </c>
      <c r="AX463" s="80" t="b">
        <v>0</v>
      </c>
      <c r="AY463" s="68" t="str">
        <f t="shared" si="4"/>
        <v/>
      </c>
      <c r="AZ463" s="69" t="str">
        <f t="shared" si="5"/>
        <v/>
      </c>
      <c r="BA463" s="70" t="str">
        <f t="shared" si="6"/>
        <v/>
      </c>
      <c r="BB463" s="68" t="str">
        <f t="shared" si="7"/>
        <v/>
      </c>
      <c r="BC463" s="69" t="str">
        <f>IFERROR(VLOOKUP($AQ463,'(勿動)組件目錄表'!$D$15:$R$1094,7,FALSE),"")</f>
        <v/>
      </c>
      <c r="BD463" s="69" t="str">
        <f>IFERROR(VLOOKUP($AQ463,'(勿動)組件目錄表'!$D$15:$R$1094,8,FALSE),"")</f>
        <v/>
      </c>
      <c r="BE463" s="69" t="str">
        <f>IFERROR(VLOOKUP($AQ463,'(勿動)組件目錄表'!$D$15:$R$1094,9,FALSE),"")</f>
        <v/>
      </c>
      <c r="BF463" s="69" t="str">
        <f>IFERROR(VLOOKUP($AQ463,'(勿動)組件目錄表'!$D$15:$R$1094,10,FALSE),"")</f>
        <v/>
      </c>
      <c r="BG463" s="69" t="str">
        <f>IFERROR(VLOOKUP($AQ463,'(勿動)組件目錄表'!$D$15:$R$1094,11,FALSE),"")</f>
        <v/>
      </c>
      <c r="BH463" s="69" t="str">
        <f>IFERROR(VLOOKUP($AQ463,'(勿動)組件目錄表'!$D$15:$R$1094,12,FALSE),"")</f>
        <v/>
      </c>
      <c r="BI463" s="69" t="str">
        <f>IFERROR(VLOOKUP($AQ463,'(勿動)組件目錄表'!$D$15:$R$1094,13,FALSE),"")</f>
        <v/>
      </c>
      <c r="BJ463" s="69" t="str">
        <f>IFERROR(VLOOKUP($AQ463,'(勿動)組件目錄表'!$D$15:$R$1094,14,FALSE),"")</f>
        <v/>
      </c>
      <c r="BK463" s="69" t="str">
        <f>IFERROR(VLOOKUP($AQ463,'(勿動)組件目錄表'!$D$15:$R$1094,15,FALSE),"")</f>
        <v/>
      </c>
      <c r="BL463" s="81">
        <f ca="1">IFERROR(__xludf.DUMMYFUNCTION("IFERROR(
  LET(
    rowData, FILTER('(勿動)組件目錄表'!J:Q, '(勿動)組件目錄表'!D:D=AQ463),
    IF(ROWS(rowData)=0, 0, 
      (
        IF(AND(BC463&lt;&gt;"""", INDEX(rowData,1,1)=BC463),1,0) +
        IF(AND(BD463&lt;&gt;"""", INDEX(rowData,1,2)=BD463),1,0) +
        IF(AND(BE463"&amp;"&lt;&gt;"""", INDEX(rowData,1,3)=BE463),1,0) +
        IF(AND(BF463&lt;&gt;"""", INDEX(rowData,1,4)=BF463),1,0) +
        IF(AND(BG463&lt;&gt;"""", INDEX(rowData,1,5)=BG463),1,0) +
        IF(AND(BH463&lt;&gt;"""", INDEX(rowData,1,6)=BH463),1,0) +
        IF(AND(BI463&lt;&gt;"""", IND"&amp;"EX(rowData,1,7)=BI463),1,0) +
        IF(AND(BJ463&lt;&gt;"""", INDEX(rowData,1,8)=BJ463),1,0)
      ) - COUNTIF(BC463:BJ463, ""-"")
        - COUNTIF(BC463:BJ463, ""固定格式，不需提供資訊"")
        - COUNTIF(BC463:BJ463, ""由MKT更新，此欄位固定格式，不需提供資訊
(Voucher CID：12917705872)"&amp;""")
        - COUNTIF(BC463:BJ463, ""text固定為以下：
※直播間僅支援手機版"")
        - COUNTIF(BC463:BJ463, ""text固定為以下：
※短影音僅支援手機版"")
    )
  ), 
  0
)
"),0)</f>
        <v>0</v>
      </c>
      <c r="BM463" s="77" t="b">
        <v>0</v>
      </c>
      <c r="BN463" s="85"/>
      <c r="BO463" s="85"/>
    </row>
    <row r="464" spans="1:67" ht="30" customHeight="1">
      <c r="A464" s="73" t="str">
        <f t="array" aca="1" ref="A464" ca="1">IFERROR(TRANSPOSE(INDIRECT('MS section版配(Old)'!$AO464)),"")</f>
        <v/>
      </c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8"/>
      <c r="P464" s="88"/>
      <c r="Q464" s="88"/>
      <c r="R464" s="88"/>
      <c r="S464" s="88"/>
      <c r="T464" s="88"/>
      <c r="U464" s="88"/>
      <c r="V464" s="88"/>
      <c r="W464" s="88"/>
      <c r="X464" s="88"/>
      <c r="Y464" s="88"/>
      <c r="Z464" s="88"/>
      <c r="AA464" s="88"/>
      <c r="AB464" s="88"/>
      <c r="AC464" s="88"/>
      <c r="AD464" s="88"/>
      <c r="AE464" s="397" t="str">
        <f>IFERROR(VLOOKUP($AQ464,'(勿動)組件目錄表'!$D$15:$R$1094,4,FALSE),"")</f>
        <v/>
      </c>
      <c r="AF464" s="384"/>
      <c r="AG464" s="384"/>
      <c r="AH464" s="384"/>
      <c r="AI464" s="384"/>
      <c r="AJ464" s="385"/>
      <c r="AK464" s="54" t="b">
        <v>0</v>
      </c>
      <c r="AL464" s="54" t="b">
        <v>0</v>
      </c>
      <c r="AM464" s="54"/>
      <c r="AN464" s="7" t="str">
        <v>456</v>
      </c>
      <c r="AO464" s="7"/>
      <c r="AP464" s="62"/>
      <c r="AQ464" s="75" t="str">
        <v/>
      </c>
      <c r="AR464" s="75" t="str">
        <v>-</v>
      </c>
      <c r="AS464" s="11"/>
      <c r="AT464" s="77" t="str">
        <v>-</v>
      </c>
      <c r="AU464" s="11" t="str">
        <v>-</v>
      </c>
      <c r="AV464" s="100"/>
      <c r="AW464" s="80" t="str">
        <f ca="1"/>
        <v>-</v>
      </c>
      <c r="AX464" s="80" t="b">
        <v>0</v>
      </c>
      <c r="AY464" s="68" t="str">
        <f t="shared" si="4"/>
        <v/>
      </c>
      <c r="AZ464" s="69" t="str">
        <f t="shared" si="5"/>
        <v/>
      </c>
      <c r="BA464" s="70" t="str">
        <f t="shared" si="6"/>
        <v/>
      </c>
      <c r="BB464" s="68" t="str">
        <f t="shared" si="7"/>
        <v/>
      </c>
      <c r="BC464" s="69" t="str">
        <f>IFERROR(VLOOKUP($AQ464,'(勿動)組件目錄表'!$D$15:$R$1094,7,FALSE),"")</f>
        <v/>
      </c>
      <c r="BD464" s="69" t="str">
        <f>IFERROR(VLOOKUP($AQ464,'(勿動)組件目錄表'!$D$15:$R$1094,8,FALSE),"")</f>
        <v/>
      </c>
      <c r="BE464" s="69" t="str">
        <f>IFERROR(VLOOKUP($AQ464,'(勿動)組件目錄表'!$D$15:$R$1094,9,FALSE),"")</f>
        <v/>
      </c>
      <c r="BF464" s="69" t="str">
        <f>IFERROR(VLOOKUP($AQ464,'(勿動)組件目錄表'!$D$15:$R$1094,10,FALSE),"")</f>
        <v/>
      </c>
      <c r="BG464" s="69" t="str">
        <f>IFERROR(VLOOKUP($AQ464,'(勿動)組件目錄表'!$D$15:$R$1094,11,FALSE),"")</f>
        <v/>
      </c>
      <c r="BH464" s="69" t="str">
        <f>IFERROR(VLOOKUP($AQ464,'(勿動)組件目錄表'!$D$15:$R$1094,12,FALSE),"")</f>
        <v/>
      </c>
      <c r="BI464" s="69" t="str">
        <f>IFERROR(VLOOKUP($AQ464,'(勿動)組件目錄表'!$D$15:$R$1094,13,FALSE),"")</f>
        <v/>
      </c>
      <c r="BJ464" s="69" t="str">
        <f>IFERROR(VLOOKUP($AQ464,'(勿動)組件目錄表'!$D$15:$R$1094,14,FALSE),"")</f>
        <v/>
      </c>
      <c r="BK464" s="69" t="str">
        <f>IFERROR(VLOOKUP($AQ464,'(勿動)組件目錄表'!$D$15:$R$1094,15,FALSE),"")</f>
        <v/>
      </c>
      <c r="BL464" s="81">
        <f ca="1">IFERROR(__xludf.DUMMYFUNCTION("IFERROR(
  LET(
    rowData, FILTER('(勿動)組件目錄表'!J:Q, '(勿動)組件目錄表'!D:D=AQ464),
    IF(ROWS(rowData)=0, 0, 
      (
        IF(AND(BC464&lt;&gt;"""", INDEX(rowData,1,1)=BC464),1,0) +
        IF(AND(BD464&lt;&gt;"""", INDEX(rowData,1,2)=BD464),1,0) +
        IF(AND(BE464"&amp;"&lt;&gt;"""", INDEX(rowData,1,3)=BE464),1,0) +
        IF(AND(BF464&lt;&gt;"""", INDEX(rowData,1,4)=BF464),1,0) +
        IF(AND(BG464&lt;&gt;"""", INDEX(rowData,1,5)=BG464),1,0) +
        IF(AND(BH464&lt;&gt;"""", INDEX(rowData,1,6)=BH464),1,0) +
        IF(AND(BI464&lt;&gt;"""", IND"&amp;"EX(rowData,1,7)=BI464),1,0) +
        IF(AND(BJ464&lt;&gt;"""", INDEX(rowData,1,8)=BJ464),1,0)
      ) - COUNTIF(BC464:BJ464, ""-"")
        - COUNTIF(BC464:BJ464, ""固定格式，不需提供資訊"")
        - COUNTIF(BC464:BJ464, ""由MKT更新，此欄位固定格式，不需提供資訊
(Voucher CID：12917705872)"&amp;""")
        - COUNTIF(BC464:BJ464, ""text固定為以下：
※直播間僅支援手機版"")
        - COUNTIF(BC464:BJ464, ""text固定為以下：
※短影音僅支援手機版"")
    )
  ), 
  0
)
"),0)</f>
        <v>0</v>
      </c>
      <c r="BM464" s="77" t="b">
        <v>0</v>
      </c>
      <c r="BN464" s="85"/>
      <c r="BO464" s="85"/>
    </row>
    <row r="465" spans="1:67" ht="30" customHeight="1">
      <c r="A465" s="73" t="str">
        <f t="array" aca="1" ref="A465" ca="1">IFERROR(TRANSPOSE(INDIRECT('MS section版配(Old)'!$AO465)),"")</f>
        <v/>
      </c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8"/>
      <c r="P465" s="88"/>
      <c r="Q465" s="88"/>
      <c r="R465" s="88"/>
      <c r="S465" s="88"/>
      <c r="T465" s="88"/>
      <c r="U465" s="88"/>
      <c r="V465" s="88"/>
      <c r="W465" s="88"/>
      <c r="X465" s="88"/>
      <c r="Y465" s="88"/>
      <c r="Z465" s="88"/>
      <c r="AA465" s="88"/>
      <c r="AB465" s="88"/>
      <c r="AC465" s="88"/>
      <c r="AD465" s="88"/>
      <c r="AE465" s="397" t="str">
        <f>IFERROR(VLOOKUP($AQ465,'(勿動)組件目錄表'!$D$15:$R$1094,4,FALSE),"")</f>
        <v/>
      </c>
      <c r="AF465" s="384"/>
      <c r="AG465" s="384"/>
      <c r="AH465" s="384"/>
      <c r="AI465" s="384"/>
      <c r="AJ465" s="385"/>
      <c r="AK465" s="54" t="b">
        <v>0</v>
      </c>
      <c r="AL465" s="54" t="b">
        <v>0</v>
      </c>
      <c r="AM465" s="54"/>
      <c r="AN465" s="7" t="str">
        <v>457</v>
      </c>
      <c r="AO465" s="7"/>
      <c r="AP465" s="62"/>
      <c r="AQ465" s="75" t="str">
        <v/>
      </c>
      <c r="AR465" s="75" t="str">
        <v>-</v>
      </c>
      <c r="AS465" s="11"/>
      <c r="AT465" s="77" t="str">
        <v>-</v>
      </c>
      <c r="AU465" s="11" t="str">
        <v>-</v>
      </c>
      <c r="AV465" s="100"/>
      <c r="AW465" s="80" t="str">
        <f ca="1"/>
        <v>-</v>
      </c>
      <c r="AX465" s="80" t="b">
        <v>0</v>
      </c>
      <c r="AY465" s="68" t="str">
        <f t="shared" si="4"/>
        <v/>
      </c>
      <c r="AZ465" s="69" t="str">
        <f t="shared" si="5"/>
        <v/>
      </c>
      <c r="BA465" s="70" t="str">
        <f t="shared" si="6"/>
        <v/>
      </c>
      <c r="BB465" s="68" t="str">
        <f t="shared" si="7"/>
        <v/>
      </c>
      <c r="BC465" s="69" t="str">
        <f>IFERROR(VLOOKUP($AQ465,'(勿動)組件目錄表'!$D$15:$R$1094,7,FALSE),"")</f>
        <v/>
      </c>
      <c r="BD465" s="69" t="str">
        <f>IFERROR(VLOOKUP($AQ465,'(勿動)組件目錄表'!$D$15:$R$1094,8,FALSE),"")</f>
        <v/>
      </c>
      <c r="BE465" s="69" t="str">
        <f>IFERROR(VLOOKUP($AQ465,'(勿動)組件目錄表'!$D$15:$R$1094,9,FALSE),"")</f>
        <v/>
      </c>
      <c r="BF465" s="69" t="str">
        <f>IFERROR(VLOOKUP($AQ465,'(勿動)組件目錄表'!$D$15:$R$1094,10,FALSE),"")</f>
        <v/>
      </c>
      <c r="BG465" s="69" t="str">
        <f>IFERROR(VLOOKUP($AQ465,'(勿動)組件目錄表'!$D$15:$R$1094,11,FALSE),"")</f>
        <v/>
      </c>
      <c r="BH465" s="69" t="str">
        <f>IFERROR(VLOOKUP($AQ465,'(勿動)組件目錄表'!$D$15:$R$1094,12,FALSE),"")</f>
        <v/>
      </c>
      <c r="BI465" s="69" t="str">
        <f>IFERROR(VLOOKUP($AQ465,'(勿動)組件目錄表'!$D$15:$R$1094,13,FALSE),"")</f>
        <v/>
      </c>
      <c r="BJ465" s="69" t="str">
        <f>IFERROR(VLOOKUP($AQ465,'(勿動)組件目錄表'!$D$15:$R$1094,14,FALSE),"")</f>
        <v/>
      </c>
      <c r="BK465" s="69" t="str">
        <f>IFERROR(VLOOKUP($AQ465,'(勿動)組件目錄表'!$D$15:$R$1094,15,FALSE),"")</f>
        <v/>
      </c>
      <c r="BL465" s="81">
        <f ca="1">IFERROR(__xludf.DUMMYFUNCTION("IFERROR(
  LET(
    rowData, FILTER('(勿動)組件目錄表'!J:Q, '(勿動)組件目錄表'!D:D=AQ465),
    IF(ROWS(rowData)=0, 0, 
      (
        IF(AND(BC465&lt;&gt;"""", INDEX(rowData,1,1)=BC465),1,0) +
        IF(AND(BD465&lt;&gt;"""", INDEX(rowData,1,2)=BD465),1,0) +
        IF(AND(BE465"&amp;"&lt;&gt;"""", INDEX(rowData,1,3)=BE465),1,0) +
        IF(AND(BF465&lt;&gt;"""", INDEX(rowData,1,4)=BF465),1,0) +
        IF(AND(BG465&lt;&gt;"""", INDEX(rowData,1,5)=BG465),1,0) +
        IF(AND(BH465&lt;&gt;"""", INDEX(rowData,1,6)=BH465),1,0) +
        IF(AND(BI465&lt;&gt;"""", IND"&amp;"EX(rowData,1,7)=BI465),1,0) +
        IF(AND(BJ465&lt;&gt;"""", INDEX(rowData,1,8)=BJ465),1,0)
      ) - COUNTIF(BC465:BJ465, ""-"")
        - COUNTIF(BC465:BJ465, ""固定格式，不需提供資訊"")
        - COUNTIF(BC465:BJ465, ""由MKT更新，此欄位固定格式，不需提供資訊
(Voucher CID：12917705872)"&amp;""")
        - COUNTIF(BC465:BJ465, ""text固定為以下：
※直播間僅支援手機版"")
        - COUNTIF(BC465:BJ465, ""text固定為以下：
※短影音僅支援手機版"")
    )
  ), 
  0
)
"),0)</f>
        <v>0</v>
      </c>
      <c r="BM465" s="77" t="b">
        <v>0</v>
      </c>
      <c r="BN465" s="85"/>
      <c r="BO465" s="85"/>
    </row>
    <row r="466" spans="1:67" ht="30" customHeight="1">
      <c r="A466" s="73" t="str">
        <f t="array" aca="1" ref="A466" ca="1">IFERROR(TRANSPOSE(INDIRECT('MS section版配(Old)'!$AO466)),"")</f>
        <v/>
      </c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8"/>
      <c r="P466" s="88"/>
      <c r="Q466" s="88"/>
      <c r="R466" s="88"/>
      <c r="S466" s="88"/>
      <c r="T466" s="88"/>
      <c r="U466" s="88"/>
      <c r="V466" s="88"/>
      <c r="W466" s="88"/>
      <c r="X466" s="88"/>
      <c r="Y466" s="88"/>
      <c r="Z466" s="88"/>
      <c r="AA466" s="88"/>
      <c r="AB466" s="88"/>
      <c r="AC466" s="88"/>
      <c r="AD466" s="88"/>
      <c r="AE466" s="397" t="str">
        <f>IFERROR(VLOOKUP($AQ466,'(勿動)組件目錄表'!$D$15:$R$1094,4,FALSE),"")</f>
        <v/>
      </c>
      <c r="AF466" s="384"/>
      <c r="AG466" s="384"/>
      <c r="AH466" s="384"/>
      <c r="AI466" s="384"/>
      <c r="AJ466" s="385"/>
      <c r="AK466" s="54" t="b">
        <v>0</v>
      </c>
      <c r="AL466" s="54" t="b">
        <v>0</v>
      </c>
      <c r="AM466" s="54"/>
      <c r="AN466" s="7" t="str">
        <v>458</v>
      </c>
      <c r="AO466" s="7"/>
      <c r="AP466" s="62"/>
      <c r="AQ466" s="75" t="str">
        <v/>
      </c>
      <c r="AR466" s="75" t="str">
        <v>-</v>
      </c>
      <c r="AS466" s="11"/>
      <c r="AT466" s="77" t="str">
        <v>-</v>
      </c>
      <c r="AU466" s="11" t="str">
        <v>-</v>
      </c>
      <c r="AV466" s="100"/>
      <c r="AW466" s="80" t="str">
        <f ca="1"/>
        <v>-</v>
      </c>
      <c r="AX466" s="80" t="b">
        <v>0</v>
      </c>
      <c r="AY466" s="68" t="str">
        <f t="shared" si="4"/>
        <v/>
      </c>
      <c r="AZ466" s="69" t="str">
        <f t="shared" si="5"/>
        <v/>
      </c>
      <c r="BA466" s="70" t="str">
        <f t="shared" si="6"/>
        <v/>
      </c>
      <c r="BB466" s="68" t="str">
        <f t="shared" si="7"/>
        <v/>
      </c>
      <c r="BC466" s="69" t="str">
        <f>IFERROR(VLOOKUP($AQ466,'(勿動)組件目錄表'!$D$15:$R$1094,7,FALSE),"")</f>
        <v/>
      </c>
      <c r="BD466" s="69" t="str">
        <f>IFERROR(VLOOKUP($AQ466,'(勿動)組件目錄表'!$D$15:$R$1094,8,FALSE),"")</f>
        <v/>
      </c>
      <c r="BE466" s="69" t="str">
        <f>IFERROR(VLOOKUP($AQ466,'(勿動)組件目錄表'!$D$15:$R$1094,9,FALSE),"")</f>
        <v/>
      </c>
      <c r="BF466" s="69" t="str">
        <f>IFERROR(VLOOKUP($AQ466,'(勿動)組件目錄表'!$D$15:$R$1094,10,FALSE),"")</f>
        <v/>
      </c>
      <c r="BG466" s="69" t="str">
        <f>IFERROR(VLOOKUP($AQ466,'(勿動)組件目錄表'!$D$15:$R$1094,11,FALSE),"")</f>
        <v/>
      </c>
      <c r="BH466" s="69" t="str">
        <f>IFERROR(VLOOKUP($AQ466,'(勿動)組件目錄表'!$D$15:$R$1094,12,FALSE),"")</f>
        <v/>
      </c>
      <c r="BI466" s="69" t="str">
        <f>IFERROR(VLOOKUP($AQ466,'(勿動)組件目錄表'!$D$15:$R$1094,13,FALSE),"")</f>
        <v/>
      </c>
      <c r="BJ466" s="69" t="str">
        <f>IFERROR(VLOOKUP($AQ466,'(勿動)組件目錄表'!$D$15:$R$1094,14,FALSE),"")</f>
        <v/>
      </c>
      <c r="BK466" s="69" t="str">
        <f>IFERROR(VLOOKUP($AQ466,'(勿動)組件目錄表'!$D$15:$R$1094,15,FALSE),"")</f>
        <v/>
      </c>
      <c r="BL466" s="81">
        <f ca="1">IFERROR(__xludf.DUMMYFUNCTION("IFERROR(
  LET(
    rowData, FILTER('(勿動)組件目錄表'!J:Q, '(勿動)組件目錄表'!D:D=AQ466),
    IF(ROWS(rowData)=0, 0, 
      (
        IF(AND(BC466&lt;&gt;"""", INDEX(rowData,1,1)=BC466),1,0) +
        IF(AND(BD466&lt;&gt;"""", INDEX(rowData,1,2)=BD466),1,0) +
        IF(AND(BE466"&amp;"&lt;&gt;"""", INDEX(rowData,1,3)=BE466),1,0) +
        IF(AND(BF466&lt;&gt;"""", INDEX(rowData,1,4)=BF466),1,0) +
        IF(AND(BG466&lt;&gt;"""", INDEX(rowData,1,5)=BG466),1,0) +
        IF(AND(BH466&lt;&gt;"""", INDEX(rowData,1,6)=BH466),1,0) +
        IF(AND(BI466&lt;&gt;"""", IND"&amp;"EX(rowData,1,7)=BI466),1,0) +
        IF(AND(BJ466&lt;&gt;"""", INDEX(rowData,1,8)=BJ466),1,0)
      ) - COUNTIF(BC466:BJ466, ""-"")
        - COUNTIF(BC466:BJ466, ""固定格式，不需提供資訊"")
        - COUNTIF(BC466:BJ466, ""由MKT更新，此欄位固定格式，不需提供資訊
(Voucher CID：12917705872)"&amp;""")
        - COUNTIF(BC466:BJ466, ""text固定為以下：
※直播間僅支援手機版"")
        - COUNTIF(BC466:BJ466, ""text固定為以下：
※短影音僅支援手機版"")
    )
  ), 
  0
)
"),0)</f>
        <v>0</v>
      </c>
      <c r="BM466" s="77" t="b">
        <v>0</v>
      </c>
      <c r="BN466" s="85"/>
      <c r="BO466" s="85"/>
    </row>
    <row r="467" spans="1:67" ht="30" customHeight="1">
      <c r="A467" s="73" t="str">
        <f t="array" aca="1" ref="A467" ca="1">IFERROR(TRANSPOSE(INDIRECT('MS section版配(Old)'!$AO467)),"")</f>
        <v/>
      </c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8"/>
      <c r="P467" s="88"/>
      <c r="Q467" s="88"/>
      <c r="R467" s="88"/>
      <c r="S467" s="88"/>
      <c r="T467" s="88"/>
      <c r="U467" s="88"/>
      <c r="V467" s="88"/>
      <c r="W467" s="88"/>
      <c r="X467" s="88"/>
      <c r="Y467" s="88"/>
      <c r="Z467" s="88"/>
      <c r="AA467" s="88"/>
      <c r="AB467" s="88"/>
      <c r="AC467" s="88"/>
      <c r="AD467" s="88"/>
      <c r="AE467" s="397" t="str">
        <f>IFERROR(VLOOKUP($AQ467,'(勿動)組件目錄表'!$D$15:$R$1094,4,FALSE),"")</f>
        <v/>
      </c>
      <c r="AF467" s="384"/>
      <c r="AG467" s="384"/>
      <c r="AH467" s="384"/>
      <c r="AI467" s="384"/>
      <c r="AJ467" s="385"/>
      <c r="AK467" s="54" t="b">
        <v>0</v>
      </c>
      <c r="AL467" s="54" t="b">
        <v>0</v>
      </c>
      <c r="AM467" s="54"/>
      <c r="AN467" s="7" t="str">
        <v>459</v>
      </c>
      <c r="AO467" s="7"/>
      <c r="AP467" s="62"/>
      <c r="AQ467" s="75" t="str">
        <v/>
      </c>
      <c r="AR467" s="75" t="str">
        <v>-</v>
      </c>
      <c r="AS467" s="11"/>
      <c r="AT467" s="77" t="str">
        <v>-</v>
      </c>
      <c r="AU467" s="11" t="str">
        <v>-</v>
      </c>
      <c r="AV467" s="100"/>
      <c r="AW467" s="80" t="str">
        <f ca="1"/>
        <v>-</v>
      </c>
      <c r="AX467" s="80" t="b">
        <v>0</v>
      </c>
      <c r="AY467" s="68" t="str">
        <f t="shared" si="4"/>
        <v/>
      </c>
      <c r="AZ467" s="69" t="str">
        <f t="shared" si="5"/>
        <v/>
      </c>
      <c r="BA467" s="70" t="str">
        <f t="shared" si="6"/>
        <v/>
      </c>
      <c r="BB467" s="68" t="str">
        <f t="shared" si="7"/>
        <v/>
      </c>
      <c r="BC467" s="69" t="str">
        <f>IFERROR(VLOOKUP($AQ467,'(勿動)組件目錄表'!$D$15:$R$1094,7,FALSE),"")</f>
        <v/>
      </c>
      <c r="BD467" s="69" t="str">
        <f>IFERROR(VLOOKUP($AQ467,'(勿動)組件目錄表'!$D$15:$R$1094,8,FALSE),"")</f>
        <v/>
      </c>
      <c r="BE467" s="69" t="str">
        <f>IFERROR(VLOOKUP($AQ467,'(勿動)組件目錄表'!$D$15:$R$1094,9,FALSE),"")</f>
        <v/>
      </c>
      <c r="BF467" s="69" t="str">
        <f>IFERROR(VLOOKUP($AQ467,'(勿動)組件目錄表'!$D$15:$R$1094,10,FALSE),"")</f>
        <v/>
      </c>
      <c r="BG467" s="69" t="str">
        <f>IFERROR(VLOOKUP($AQ467,'(勿動)組件目錄表'!$D$15:$R$1094,11,FALSE),"")</f>
        <v/>
      </c>
      <c r="BH467" s="69" t="str">
        <f>IFERROR(VLOOKUP($AQ467,'(勿動)組件目錄表'!$D$15:$R$1094,12,FALSE),"")</f>
        <v/>
      </c>
      <c r="BI467" s="69" t="str">
        <f>IFERROR(VLOOKUP($AQ467,'(勿動)組件目錄表'!$D$15:$R$1094,13,FALSE),"")</f>
        <v/>
      </c>
      <c r="BJ467" s="69" t="str">
        <f>IFERROR(VLOOKUP($AQ467,'(勿動)組件目錄表'!$D$15:$R$1094,14,FALSE),"")</f>
        <v/>
      </c>
      <c r="BK467" s="69" t="str">
        <f>IFERROR(VLOOKUP($AQ467,'(勿動)組件目錄表'!$D$15:$R$1094,15,FALSE),"")</f>
        <v/>
      </c>
      <c r="BL467" s="81">
        <f ca="1">IFERROR(__xludf.DUMMYFUNCTION("IFERROR(
  LET(
    rowData, FILTER('(勿動)組件目錄表'!J:Q, '(勿動)組件目錄表'!D:D=AQ467),
    IF(ROWS(rowData)=0, 0, 
      (
        IF(AND(BC467&lt;&gt;"""", INDEX(rowData,1,1)=BC467),1,0) +
        IF(AND(BD467&lt;&gt;"""", INDEX(rowData,1,2)=BD467),1,0) +
        IF(AND(BE467"&amp;"&lt;&gt;"""", INDEX(rowData,1,3)=BE467),1,0) +
        IF(AND(BF467&lt;&gt;"""", INDEX(rowData,1,4)=BF467),1,0) +
        IF(AND(BG467&lt;&gt;"""", INDEX(rowData,1,5)=BG467),1,0) +
        IF(AND(BH467&lt;&gt;"""", INDEX(rowData,1,6)=BH467),1,0) +
        IF(AND(BI467&lt;&gt;"""", IND"&amp;"EX(rowData,1,7)=BI467),1,0) +
        IF(AND(BJ467&lt;&gt;"""", INDEX(rowData,1,8)=BJ467),1,0)
      ) - COUNTIF(BC467:BJ467, ""-"")
        - COUNTIF(BC467:BJ467, ""固定格式，不需提供資訊"")
        - COUNTIF(BC467:BJ467, ""由MKT更新，此欄位固定格式，不需提供資訊
(Voucher CID：12917705872)"&amp;""")
        - COUNTIF(BC467:BJ467, ""text固定為以下：
※直播間僅支援手機版"")
        - COUNTIF(BC467:BJ467, ""text固定為以下：
※短影音僅支援手機版"")
    )
  ), 
  0
)
"),0)</f>
        <v>0</v>
      </c>
      <c r="BM467" s="77" t="b">
        <v>0</v>
      </c>
      <c r="BN467" s="85"/>
      <c r="BO467" s="85"/>
    </row>
    <row r="468" spans="1:67" ht="30" customHeight="1">
      <c r="A468" s="73" t="str">
        <f t="array" aca="1" ref="A468" ca="1">IFERROR(TRANSPOSE(INDIRECT('MS section版配(Old)'!$AO468)),"")</f>
        <v/>
      </c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8"/>
      <c r="P468" s="88"/>
      <c r="Q468" s="88"/>
      <c r="R468" s="88"/>
      <c r="S468" s="88"/>
      <c r="T468" s="88"/>
      <c r="U468" s="88"/>
      <c r="V468" s="88"/>
      <c r="W468" s="88"/>
      <c r="X468" s="88"/>
      <c r="Y468" s="88"/>
      <c r="Z468" s="88"/>
      <c r="AA468" s="88"/>
      <c r="AB468" s="88"/>
      <c r="AC468" s="88"/>
      <c r="AD468" s="88"/>
      <c r="AE468" s="397" t="str">
        <f>IFERROR(VLOOKUP($AQ468,'(勿動)組件目錄表'!$D$15:$R$1094,4,FALSE),"")</f>
        <v/>
      </c>
      <c r="AF468" s="384"/>
      <c r="AG468" s="384"/>
      <c r="AH468" s="384"/>
      <c r="AI468" s="384"/>
      <c r="AJ468" s="385"/>
      <c r="AK468" s="54" t="b">
        <v>0</v>
      </c>
      <c r="AL468" s="54" t="b">
        <v>0</v>
      </c>
      <c r="AM468" s="54"/>
      <c r="AN468" s="7" t="str">
        <v>460</v>
      </c>
      <c r="AO468" s="7"/>
      <c r="AP468" s="62"/>
      <c r="AQ468" s="75" t="str">
        <v/>
      </c>
      <c r="AR468" s="75" t="str">
        <v>-</v>
      </c>
      <c r="AS468" s="11"/>
      <c r="AT468" s="77" t="str">
        <v>-</v>
      </c>
      <c r="AU468" s="11" t="str">
        <v>-</v>
      </c>
      <c r="AV468" s="100"/>
      <c r="AW468" s="80" t="str">
        <f ca="1"/>
        <v>-</v>
      </c>
      <c r="AX468" s="80" t="b">
        <v>0</v>
      </c>
      <c r="AY468" s="68" t="str">
        <f t="shared" si="4"/>
        <v/>
      </c>
      <c r="AZ468" s="69" t="str">
        <f t="shared" si="5"/>
        <v/>
      </c>
      <c r="BA468" s="70" t="str">
        <f t="shared" si="6"/>
        <v/>
      </c>
      <c r="BB468" s="68" t="str">
        <f t="shared" si="7"/>
        <v/>
      </c>
      <c r="BC468" s="69" t="str">
        <f>IFERROR(VLOOKUP($AQ468,'(勿動)組件目錄表'!$D$15:$R$1094,7,FALSE),"")</f>
        <v/>
      </c>
      <c r="BD468" s="69" t="str">
        <f>IFERROR(VLOOKUP($AQ468,'(勿動)組件目錄表'!$D$15:$R$1094,8,FALSE),"")</f>
        <v/>
      </c>
      <c r="BE468" s="69" t="str">
        <f>IFERROR(VLOOKUP($AQ468,'(勿動)組件目錄表'!$D$15:$R$1094,9,FALSE),"")</f>
        <v/>
      </c>
      <c r="BF468" s="69" t="str">
        <f>IFERROR(VLOOKUP($AQ468,'(勿動)組件目錄表'!$D$15:$R$1094,10,FALSE),"")</f>
        <v/>
      </c>
      <c r="BG468" s="69" t="str">
        <f>IFERROR(VLOOKUP($AQ468,'(勿動)組件目錄表'!$D$15:$R$1094,11,FALSE),"")</f>
        <v/>
      </c>
      <c r="BH468" s="69" t="str">
        <f>IFERROR(VLOOKUP($AQ468,'(勿動)組件目錄表'!$D$15:$R$1094,12,FALSE),"")</f>
        <v/>
      </c>
      <c r="BI468" s="69" t="str">
        <f>IFERROR(VLOOKUP($AQ468,'(勿動)組件目錄表'!$D$15:$R$1094,13,FALSE),"")</f>
        <v/>
      </c>
      <c r="BJ468" s="69" t="str">
        <f>IFERROR(VLOOKUP($AQ468,'(勿動)組件目錄表'!$D$15:$R$1094,14,FALSE),"")</f>
        <v/>
      </c>
      <c r="BK468" s="69" t="str">
        <f>IFERROR(VLOOKUP($AQ468,'(勿動)組件目錄表'!$D$15:$R$1094,15,FALSE),"")</f>
        <v/>
      </c>
      <c r="BL468" s="81">
        <f ca="1">IFERROR(__xludf.DUMMYFUNCTION("IFERROR(
  LET(
    rowData, FILTER('(勿動)組件目錄表'!J:Q, '(勿動)組件目錄表'!D:D=AQ468),
    IF(ROWS(rowData)=0, 0, 
      (
        IF(AND(BC468&lt;&gt;"""", INDEX(rowData,1,1)=BC468),1,0) +
        IF(AND(BD468&lt;&gt;"""", INDEX(rowData,1,2)=BD468),1,0) +
        IF(AND(BE468"&amp;"&lt;&gt;"""", INDEX(rowData,1,3)=BE468),1,0) +
        IF(AND(BF468&lt;&gt;"""", INDEX(rowData,1,4)=BF468),1,0) +
        IF(AND(BG468&lt;&gt;"""", INDEX(rowData,1,5)=BG468),1,0) +
        IF(AND(BH468&lt;&gt;"""", INDEX(rowData,1,6)=BH468),1,0) +
        IF(AND(BI468&lt;&gt;"""", IND"&amp;"EX(rowData,1,7)=BI468),1,0) +
        IF(AND(BJ468&lt;&gt;"""", INDEX(rowData,1,8)=BJ468),1,0)
      ) - COUNTIF(BC468:BJ468, ""-"")
        - COUNTIF(BC468:BJ468, ""固定格式，不需提供資訊"")
        - COUNTIF(BC468:BJ468, ""由MKT更新，此欄位固定格式，不需提供資訊
(Voucher CID：12917705872)"&amp;""")
        - COUNTIF(BC468:BJ468, ""text固定為以下：
※直播間僅支援手機版"")
        - COUNTIF(BC468:BJ468, ""text固定為以下：
※短影音僅支援手機版"")
    )
  ), 
  0
)
"),0)</f>
        <v>0</v>
      </c>
      <c r="BM468" s="77" t="b">
        <v>0</v>
      </c>
      <c r="BN468" s="85"/>
      <c r="BO468" s="85"/>
    </row>
    <row r="469" spans="1:67" ht="30" customHeight="1">
      <c r="A469" s="73" t="str">
        <f t="array" aca="1" ref="A469" ca="1">IFERROR(TRANSPOSE(INDIRECT('MS section版配(Old)'!$AO469)),"")</f>
        <v/>
      </c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8"/>
      <c r="P469" s="88"/>
      <c r="Q469" s="88"/>
      <c r="R469" s="88"/>
      <c r="S469" s="88"/>
      <c r="T469" s="88"/>
      <c r="U469" s="88"/>
      <c r="V469" s="88"/>
      <c r="W469" s="88"/>
      <c r="X469" s="88"/>
      <c r="Y469" s="88"/>
      <c r="Z469" s="88"/>
      <c r="AA469" s="88"/>
      <c r="AB469" s="88"/>
      <c r="AC469" s="88"/>
      <c r="AD469" s="88"/>
      <c r="AE469" s="397" t="str">
        <f>IFERROR(VLOOKUP($AQ469,'(勿動)組件目錄表'!$D$15:$R$1094,4,FALSE),"")</f>
        <v/>
      </c>
      <c r="AF469" s="384"/>
      <c r="AG469" s="384"/>
      <c r="AH469" s="384"/>
      <c r="AI469" s="384"/>
      <c r="AJ469" s="385"/>
      <c r="AK469" s="54" t="b">
        <v>0</v>
      </c>
      <c r="AL469" s="54" t="b">
        <v>0</v>
      </c>
      <c r="AM469" s="54"/>
      <c r="AN469" s="7" t="str">
        <v>461</v>
      </c>
      <c r="AO469" s="7"/>
      <c r="AP469" s="62"/>
      <c r="AQ469" s="75" t="str">
        <v/>
      </c>
      <c r="AR469" s="75" t="str">
        <v>-</v>
      </c>
      <c r="AS469" s="11"/>
      <c r="AT469" s="77" t="str">
        <v>-</v>
      </c>
      <c r="AU469" s="11" t="str">
        <v>-</v>
      </c>
      <c r="AV469" s="100"/>
      <c r="AW469" s="80" t="str">
        <f ca="1"/>
        <v>-</v>
      </c>
      <c r="AX469" s="80" t="b">
        <v>0</v>
      </c>
      <c r="AY469" s="68" t="str">
        <f t="shared" si="4"/>
        <v/>
      </c>
      <c r="AZ469" s="69" t="str">
        <f t="shared" si="5"/>
        <v/>
      </c>
      <c r="BA469" s="70" t="str">
        <f t="shared" si="6"/>
        <v/>
      </c>
      <c r="BB469" s="68" t="str">
        <f t="shared" si="7"/>
        <v/>
      </c>
      <c r="BC469" s="69" t="str">
        <f>IFERROR(VLOOKUP($AQ469,'(勿動)組件目錄表'!$D$15:$R$1094,7,FALSE),"")</f>
        <v/>
      </c>
      <c r="BD469" s="69" t="str">
        <f>IFERROR(VLOOKUP($AQ469,'(勿動)組件目錄表'!$D$15:$R$1094,8,FALSE),"")</f>
        <v/>
      </c>
      <c r="BE469" s="69" t="str">
        <f>IFERROR(VLOOKUP($AQ469,'(勿動)組件目錄表'!$D$15:$R$1094,9,FALSE),"")</f>
        <v/>
      </c>
      <c r="BF469" s="69" t="str">
        <f>IFERROR(VLOOKUP($AQ469,'(勿動)組件目錄表'!$D$15:$R$1094,10,FALSE),"")</f>
        <v/>
      </c>
      <c r="BG469" s="69" t="str">
        <f>IFERROR(VLOOKUP($AQ469,'(勿動)組件目錄表'!$D$15:$R$1094,11,FALSE),"")</f>
        <v/>
      </c>
      <c r="BH469" s="69" t="str">
        <f>IFERROR(VLOOKUP($AQ469,'(勿動)組件目錄表'!$D$15:$R$1094,12,FALSE),"")</f>
        <v/>
      </c>
      <c r="BI469" s="69" t="str">
        <f>IFERROR(VLOOKUP($AQ469,'(勿動)組件目錄表'!$D$15:$R$1094,13,FALSE),"")</f>
        <v/>
      </c>
      <c r="BJ469" s="69" t="str">
        <f>IFERROR(VLOOKUP($AQ469,'(勿動)組件目錄表'!$D$15:$R$1094,14,FALSE),"")</f>
        <v/>
      </c>
      <c r="BK469" s="69" t="str">
        <f>IFERROR(VLOOKUP($AQ469,'(勿動)組件目錄表'!$D$15:$R$1094,15,FALSE),"")</f>
        <v/>
      </c>
      <c r="BL469" s="81">
        <f ca="1">IFERROR(__xludf.DUMMYFUNCTION("IFERROR(
  LET(
    rowData, FILTER('(勿動)組件目錄表'!J:Q, '(勿動)組件目錄表'!D:D=AQ469),
    IF(ROWS(rowData)=0, 0, 
      (
        IF(AND(BC469&lt;&gt;"""", INDEX(rowData,1,1)=BC469),1,0) +
        IF(AND(BD469&lt;&gt;"""", INDEX(rowData,1,2)=BD469),1,0) +
        IF(AND(BE469"&amp;"&lt;&gt;"""", INDEX(rowData,1,3)=BE469),1,0) +
        IF(AND(BF469&lt;&gt;"""", INDEX(rowData,1,4)=BF469),1,0) +
        IF(AND(BG469&lt;&gt;"""", INDEX(rowData,1,5)=BG469),1,0) +
        IF(AND(BH469&lt;&gt;"""", INDEX(rowData,1,6)=BH469),1,0) +
        IF(AND(BI469&lt;&gt;"""", IND"&amp;"EX(rowData,1,7)=BI469),1,0) +
        IF(AND(BJ469&lt;&gt;"""", INDEX(rowData,1,8)=BJ469),1,0)
      ) - COUNTIF(BC469:BJ469, ""-"")
        - COUNTIF(BC469:BJ469, ""固定格式，不需提供資訊"")
        - COUNTIF(BC469:BJ469, ""由MKT更新，此欄位固定格式，不需提供資訊
(Voucher CID：12917705872)"&amp;""")
        - COUNTIF(BC469:BJ469, ""text固定為以下：
※直播間僅支援手機版"")
        - COUNTIF(BC469:BJ469, ""text固定為以下：
※短影音僅支援手機版"")
    )
  ), 
  0
)
"),0)</f>
        <v>0</v>
      </c>
      <c r="BM469" s="77" t="b">
        <v>0</v>
      </c>
      <c r="BN469" s="85"/>
      <c r="BO469" s="85"/>
    </row>
    <row r="470" spans="1:67" ht="30" customHeight="1">
      <c r="A470" s="73" t="str">
        <f t="array" aca="1" ref="A470" ca="1">IFERROR(TRANSPOSE(INDIRECT('MS section版配(Old)'!$AO470)),"")</f>
        <v/>
      </c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8"/>
      <c r="P470" s="88"/>
      <c r="Q470" s="88"/>
      <c r="R470" s="88"/>
      <c r="S470" s="88"/>
      <c r="T470" s="88"/>
      <c r="U470" s="88"/>
      <c r="V470" s="88"/>
      <c r="W470" s="88"/>
      <c r="X470" s="88"/>
      <c r="Y470" s="88"/>
      <c r="Z470" s="88"/>
      <c r="AA470" s="88"/>
      <c r="AB470" s="88"/>
      <c r="AC470" s="88"/>
      <c r="AD470" s="88"/>
      <c r="AE470" s="397" t="str">
        <f>IFERROR(VLOOKUP($AQ470,'(勿動)組件目錄表'!$D$15:$R$1094,4,FALSE),"")</f>
        <v/>
      </c>
      <c r="AF470" s="384"/>
      <c r="AG470" s="384"/>
      <c r="AH470" s="384"/>
      <c r="AI470" s="384"/>
      <c r="AJ470" s="385"/>
      <c r="AK470" s="54" t="b">
        <v>0</v>
      </c>
      <c r="AL470" s="54" t="b">
        <v>0</v>
      </c>
      <c r="AM470" s="54"/>
      <c r="AN470" s="7" t="str">
        <v>462</v>
      </c>
      <c r="AO470" s="7"/>
      <c r="AP470" s="62"/>
      <c r="AQ470" s="75" t="str">
        <v/>
      </c>
      <c r="AR470" s="75" t="str">
        <v>-</v>
      </c>
      <c r="AS470" s="11"/>
      <c r="AT470" s="77" t="str">
        <v>-</v>
      </c>
      <c r="AU470" s="11" t="str">
        <v>-</v>
      </c>
      <c r="AV470" s="100"/>
      <c r="AW470" s="80" t="str">
        <f ca="1"/>
        <v>-</v>
      </c>
      <c r="AX470" s="80" t="b">
        <v>0</v>
      </c>
      <c r="AY470" s="68" t="str">
        <f t="shared" si="4"/>
        <v/>
      </c>
      <c r="AZ470" s="69" t="str">
        <f t="shared" si="5"/>
        <v/>
      </c>
      <c r="BA470" s="70" t="str">
        <f t="shared" si="6"/>
        <v/>
      </c>
      <c r="BB470" s="68" t="str">
        <f t="shared" si="7"/>
        <v/>
      </c>
      <c r="BC470" s="69" t="str">
        <f>IFERROR(VLOOKUP($AQ470,'(勿動)組件目錄表'!$D$15:$R$1094,7,FALSE),"")</f>
        <v/>
      </c>
      <c r="BD470" s="69" t="str">
        <f>IFERROR(VLOOKUP($AQ470,'(勿動)組件目錄表'!$D$15:$R$1094,8,FALSE),"")</f>
        <v/>
      </c>
      <c r="BE470" s="69" t="str">
        <f>IFERROR(VLOOKUP($AQ470,'(勿動)組件目錄表'!$D$15:$R$1094,9,FALSE),"")</f>
        <v/>
      </c>
      <c r="BF470" s="69" t="str">
        <f>IFERROR(VLOOKUP($AQ470,'(勿動)組件目錄表'!$D$15:$R$1094,10,FALSE),"")</f>
        <v/>
      </c>
      <c r="BG470" s="69" t="str">
        <f>IFERROR(VLOOKUP($AQ470,'(勿動)組件目錄表'!$D$15:$R$1094,11,FALSE),"")</f>
        <v/>
      </c>
      <c r="BH470" s="69" t="str">
        <f>IFERROR(VLOOKUP($AQ470,'(勿動)組件目錄表'!$D$15:$R$1094,12,FALSE),"")</f>
        <v/>
      </c>
      <c r="BI470" s="69" t="str">
        <f>IFERROR(VLOOKUP($AQ470,'(勿動)組件目錄表'!$D$15:$R$1094,13,FALSE),"")</f>
        <v/>
      </c>
      <c r="BJ470" s="69" t="str">
        <f>IFERROR(VLOOKUP($AQ470,'(勿動)組件目錄表'!$D$15:$R$1094,14,FALSE),"")</f>
        <v/>
      </c>
      <c r="BK470" s="69" t="str">
        <f>IFERROR(VLOOKUP($AQ470,'(勿動)組件目錄表'!$D$15:$R$1094,15,FALSE),"")</f>
        <v/>
      </c>
      <c r="BL470" s="81">
        <f ca="1">IFERROR(__xludf.DUMMYFUNCTION("IFERROR(
  LET(
    rowData, FILTER('(勿動)組件目錄表'!J:Q, '(勿動)組件目錄表'!D:D=AQ470),
    IF(ROWS(rowData)=0, 0, 
      (
        IF(AND(BC470&lt;&gt;"""", INDEX(rowData,1,1)=BC470),1,0) +
        IF(AND(BD470&lt;&gt;"""", INDEX(rowData,1,2)=BD470),1,0) +
        IF(AND(BE470"&amp;"&lt;&gt;"""", INDEX(rowData,1,3)=BE470),1,0) +
        IF(AND(BF470&lt;&gt;"""", INDEX(rowData,1,4)=BF470),1,0) +
        IF(AND(BG470&lt;&gt;"""", INDEX(rowData,1,5)=BG470),1,0) +
        IF(AND(BH470&lt;&gt;"""", INDEX(rowData,1,6)=BH470),1,0) +
        IF(AND(BI470&lt;&gt;"""", IND"&amp;"EX(rowData,1,7)=BI470),1,0) +
        IF(AND(BJ470&lt;&gt;"""", INDEX(rowData,1,8)=BJ470),1,0)
      ) - COUNTIF(BC470:BJ470, ""-"")
        - COUNTIF(BC470:BJ470, ""固定格式，不需提供資訊"")
        - COUNTIF(BC470:BJ470, ""由MKT更新，此欄位固定格式，不需提供資訊
(Voucher CID：12917705872)"&amp;""")
        - COUNTIF(BC470:BJ470, ""text固定為以下：
※直播間僅支援手機版"")
        - COUNTIF(BC470:BJ470, ""text固定為以下：
※短影音僅支援手機版"")
    )
  ), 
  0
)
"),0)</f>
        <v>0</v>
      </c>
      <c r="BM470" s="77" t="b">
        <v>0</v>
      </c>
      <c r="BN470" s="85"/>
      <c r="BO470" s="85"/>
    </row>
    <row r="471" spans="1:67" ht="30" customHeight="1">
      <c r="A471" s="73" t="str">
        <f t="array" aca="1" ref="A471" ca="1">IFERROR(TRANSPOSE(INDIRECT('MS section版配(Old)'!$AO471)),"")</f>
        <v/>
      </c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8"/>
      <c r="P471" s="88"/>
      <c r="Q471" s="88"/>
      <c r="R471" s="88"/>
      <c r="S471" s="88"/>
      <c r="T471" s="88"/>
      <c r="U471" s="88"/>
      <c r="V471" s="88"/>
      <c r="W471" s="88"/>
      <c r="X471" s="88"/>
      <c r="Y471" s="88"/>
      <c r="Z471" s="88"/>
      <c r="AA471" s="88"/>
      <c r="AB471" s="88"/>
      <c r="AC471" s="88"/>
      <c r="AD471" s="88"/>
      <c r="AE471" s="397" t="str">
        <f>IFERROR(VLOOKUP($AQ471,'(勿動)組件目錄表'!$D$15:$R$1094,4,FALSE),"")</f>
        <v/>
      </c>
      <c r="AF471" s="384"/>
      <c r="AG471" s="384"/>
      <c r="AH471" s="384"/>
      <c r="AI471" s="384"/>
      <c r="AJ471" s="385"/>
      <c r="AK471" s="54" t="b">
        <v>0</v>
      </c>
      <c r="AL471" s="54" t="b">
        <v>0</v>
      </c>
      <c r="AM471" s="54"/>
      <c r="AN471" s="7" t="str">
        <v>463</v>
      </c>
      <c r="AO471" s="7"/>
      <c r="AP471" s="62"/>
      <c r="AQ471" s="75" t="str">
        <v/>
      </c>
      <c r="AR471" s="75" t="str">
        <v>-</v>
      </c>
      <c r="AS471" s="11"/>
      <c r="AT471" s="77" t="str">
        <v>-</v>
      </c>
      <c r="AU471" s="11" t="str">
        <v>-</v>
      </c>
      <c r="AV471" s="100"/>
      <c r="AW471" s="80" t="str">
        <f ca="1"/>
        <v>-</v>
      </c>
      <c r="AX471" s="80" t="b">
        <v>0</v>
      </c>
      <c r="AY471" s="68" t="str">
        <f t="shared" si="4"/>
        <v/>
      </c>
      <c r="AZ471" s="69" t="str">
        <f t="shared" si="5"/>
        <v/>
      </c>
      <c r="BA471" s="70" t="str">
        <f t="shared" si="6"/>
        <v/>
      </c>
      <c r="BB471" s="68" t="str">
        <f t="shared" si="7"/>
        <v/>
      </c>
      <c r="BC471" s="69" t="str">
        <f>IFERROR(VLOOKUP($AQ471,'(勿動)組件目錄表'!$D$15:$R$1094,7,FALSE),"")</f>
        <v/>
      </c>
      <c r="BD471" s="69" t="str">
        <f>IFERROR(VLOOKUP($AQ471,'(勿動)組件目錄表'!$D$15:$R$1094,8,FALSE),"")</f>
        <v/>
      </c>
      <c r="BE471" s="69" t="str">
        <f>IFERROR(VLOOKUP($AQ471,'(勿動)組件目錄表'!$D$15:$R$1094,9,FALSE),"")</f>
        <v/>
      </c>
      <c r="BF471" s="69" t="str">
        <f>IFERROR(VLOOKUP($AQ471,'(勿動)組件目錄表'!$D$15:$R$1094,10,FALSE),"")</f>
        <v/>
      </c>
      <c r="BG471" s="69" t="str">
        <f>IFERROR(VLOOKUP($AQ471,'(勿動)組件目錄表'!$D$15:$R$1094,11,FALSE),"")</f>
        <v/>
      </c>
      <c r="BH471" s="69" t="str">
        <f>IFERROR(VLOOKUP($AQ471,'(勿動)組件目錄表'!$D$15:$R$1094,12,FALSE),"")</f>
        <v/>
      </c>
      <c r="BI471" s="69" t="str">
        <f>IFERROR(VLOOKUP($AQ471,'(勿動)組件目錄表'!$D$15:$R$1094,13,FALSE),"")</f>
        <v/>
      </c>
      <c r="BJ471" s="69" t="str">
        <f>IFERROR(VLOOKUP($AQ471,'(勿動)組件目錄表'!$D$15:$R$1094,14,FALSE),"")</f>
        <v/>
      </c>
      <c r="BK471" s="69" t="str">
        <f>IFERROR(VLOOKUP($AQ471,'(勿動)組件目錄表'!$D$15:$R$1094,15,FALSE),"")</f>
        <v/>
      </c>
      <c r="BL471" s="81">
        <f ca="1">IFERROR(__xludf.DUMMYFUNCTION("IFERROR(
  LET(
    rowData, FILTER('(勿動)組件目錄表'!J:Q, '(勿動)組件目錄表'!D:D=AQ471),
    IF(ROWS(rowData)=0, 0, 
      (
        IF(AND(BC471&lt;&gt;"""", INDEX(rowData,1,1)=BC471),1,0) +
        IF(AND(BD471&lt;&gt;"""", INDEX(rowData,1,2)=BD471),1,0) +
        IF(AND(BE471"&amp;"&lt;&gt;"""", INDEX(rowData,1,3)=BE471),1,0) +
        IF(AND(BF471&lt;&gt;"""", INDEX(rowData,1,4)=BF471),1,0) +
        IF(AND(BG471&lt;&gt;"""", INDEX(rowData,1,5)=BG471),1,0) +
        IF(AND(BH471&lt;&gt;"""", INDEX(rowData,1,6)=BH471),1,0) +
        IF(AND(BI471&lt;&gt;"""", IND"&amp;"EX(rowData,1,7)=BI471),1,0) +
        IF(AND(BJ471&lt;&gt;"""", INDEX(rowData,1,8)=BJ471),1,0)
      ) - COUNTIF(BC471:BJ471, ""-"")
        - COUNTIF(BC471:BJ471, ""固定格式，不需提供資訊"")
        - COUNTIF(BC471:BJ471, ""由MKT更新，此欄位固定格式，不需提供資訊
(Voucher CID：12917705872)"&amp;""")
        - COUNTIF(BC471:BJ471, ""text固定為以下：
※直播間僅支援手機版"")
        - COUNTIF(BC471:BJ471, ""text固定為以下：
※短影音僅支援手機版"")
    )
  ), 
  0
)
"),0)</f>
        <v>0</v>
      </c>
      <c r="BM471" s="77" t="b">
        <v>0</v>
      </c>
      <c r="BN471" s="85"/>
      <c r="BO471" s="85"/>
    </row>
    <row r="472" spans="1:67" ht="30" customHeight="1">
      <c r="A472" s="73" t="str">
        <f t="array" aca="1" ref="A472" ca="1">IFERROR(TRANSPOSE(INDIRECT('MS section版配(Old)'!$AO472)),"")</f>
        <v/>
      </c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8"/>
      <c r="P472" s="88"/>
      <c r="Q472" s="88"/>
      <c r="R472" s="88"/>
      <c r="S472" s="88"/>
      <c r="T472" s="88"/>
      <c r="U472" s="88"/>
      <c r="V472" s="88"/>
      <c r="W472" s="88"/>
      <c r="X472" s="88"/>
      <c r="Y472" s="88"/>
      <c r="Z472" s="88"/>
      <c r="AA472" s="88"/>
      <c r="AB472" s="88"/>
      <c r="AC472" s="88"/>
      <c r="AD472" s="88"/>
      <c r="AE472" s="397" t="str">
        <f>IFERROR(VLOOKUP($AQ472,'(勿動)組件目錄表'!$D$15:$R$1094,4,FALSE),"")</f>
        <v/>
      </c>
      <c r="AF472" s="384"/>
      <c r="AG472" s="384"/>
      <c r="AH472" s="384"/>
      <c r="AI472" s="384"/>
      <c r="AJ472" s="385"/>
      <c r="AK472" s="54" t="b">
        <v>0</v>
      </c>
      <c r="AL472" s="54" t="b">
        <v>0</v>
      </c>
      <c r="AM472" s="54"/>
      <c r="AN472" s="7" t="str">
        <v>464</v>
      </c>
      <c r="AO472" s="7"/>
      <c r="AP472" s="62"/>
      <c r="AQ472" s="75" t="str">
        <v/>
      </c>
      <c r="AR472" s="75" t="str">
        <v>-</v>
      </c>
      <c r="AS472" s="11"/>
      <c r="AT472" s="77" t="str">
        <v>-</v>
      </c>
      <c r="AU472" s="11" t="str">
        <v>-</v>
      </c>
      <c r="AV472" s="100"/>
      <c r="AW472" s="80" t="str">
        <f ca="1"/>
        <v>-</v>
      </c>
      <c r="AX472" s="80" t="b">
        <v>0</v>
      </c>
      <c r="AY472" s="68" t="str">
        <f t="shared" si="4"/>
        <v/>
      </c>
      <c r="AZ472" s="69" t="str">
        <f t="shared" si="5"/>
        <v/>
      </c>
      <c r="BA472" s="70" t="str">
        <f t="shared" si="6"/>
        <v/>
      </c>
      <c r="BB472" s="68" t="str">
        <f t="shared" si="7"/>
        <v/>
      </c>
      <c r="BC472" s="69" t="str">
        <f>IFERROR(VLOOKUP($AQ472,'(勿動)組件目錄表'!$D$15:$R$1094,7,FALSE),"")</f>
        <v/>
      </c>
      <c r="BD472" s="69" t="str">
        <f>IFERROR(VLOOKUP($AQ472,'(勿動)組件目錄表'!$D$15:$R$1094,8,FALSE),"")</f>
        <v/>
      </c>
      <c r="BE472" s="69" t="str">
        <f>IFERROR(VLOOKUP($AQ472,'(勿動)組件目錄表'!$D$15:$R$1094,9,FALSE),"")</f>
        <v/>
      </c>
      <c r="BF472" s="69" t="str">
        <f>IFERROR(VLOOKUP($AQ472,'(勿動)組件目錄表'!$D$15:$R$1094,10,FALSE),"")</f>
        <v/>
      </c>
      <c r="BG472" s="69" t="str">
        <f>IFERROR(VLOOKUP($AQ472,'(勿動)組件目錄表'!$D$15:$R$1094,11,FALSE),"")</f>
        <v/>
      </c>
      <c r="BH472" s="69" t="str">
        <f>IFERROR(VLOOKUP($AQ472,'(勿動)組件目錄表'!$D$15:$R$1094,12,FALSE),"")</f>
        <v/>
      </c>
      <c r="BI472" s="69" t="str">
        <f>IFERROR(VLOOKUP($AQ472,'(勿動)組件目錄表'!$D$15:$R$1094,13,FALSE),"")</f>
        <v/>
      </c>
      <c r="BJ472" s="69" t="str">
        <f>IFERROR(VLOOKUP($AQ472,'(勿動)組件目錄表'!$D$15:$R$1094,14,FALSE),"")</f>
        <v/>
      </c>
      <c r="BK472" s="69" t="str">
        <f>IFERROR(VLOOKUP($AQ472,'(勿動)組件目錄表'!$D$15:$R$1094,15,FALSE),"")</f>
        <v/>
      </c>
      <c r="BL472" s="81">
        <f ca="1">IFERROR(__xludf.DUMMYFUNCTION("IFERROR(
  LET(
    rowData, FILTER('(勿動)組件目錄表'!J:Q, '(勿動)組件目錄表'!D:D=AQ472),
    IF(ROWS(rowData)=0, 0, 
      (
        IF(AND(BC472&lt;&gt;"""", INDEX(rowData,1,1)=BC472),1,0) +
        IF(AND(BD472&lt;&gt;"""", INDEX(rowData,1,2)=BD472),1,0) +
        IF(AND(BE472"&amp;"&lt;&gt;"""", INDEX(rowData,1,3)=BE472),1,0) +
        IF(AND(BF472&lt;&gt;"""", INDEX(rowData,1,4)=BF472),1,0) +
        IF(AND(BG472&lt;&gt;"""", INDEX(rowData,1,5)=BG472),1,0) +
        IF(AND(BH472&lt;&gt;"""", INDEX(rowData,1,6)=BH472),1,0) +
        IF(AND(BI472&lt;&gt;"""", IND"&amp;"EX(rowData,1,7)=BI472),1,0) +
        IF(AND(BJ472&lt;&gt;"""", INDEX(rowData,1,8)=BJ472),1,0)
      ) - COUNTIF(BC472:BJ472, ""-"")
        - COUNTIF(BC472:BJ472, ""固定格式，不需提供資訊"")
        - COUNTIF(BC472:BJ472, ""由MKT更新，此欄位固定格式，不需提供資訊
(Voucher CID：12917705872)"&amp;""")
        - COUNTIF(BC472:BJ472, ""text固定為以下：
※直播間僅支援手機版"")
        - COUNTIF(BC472:BJ472, ""text固定為以下：
※短影音僅支援手機版"")
    )
  ), 
  0
)
"),0)</f>
        <v>0</v>
      </c>
      <c r="BM472" s="77" t="b">
        <v>0</v>
      </c>
      <c r="BN472" s="85"/>
      <c r="BO472" s="85"/>
    </row>
    <row r="473" spans="1:67" ht="30" customHeight="1">
      <c r="A473" s="73" t="str">
        <f t="array" aca="1" ref="A473" ca="1">IFERROR(TRANSPOSE(INDIRECT('MS section版配(Old)'!$AO473)),"")</f>
        <v/>
      </c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8"/>
      <c r="P473" s="88"/>
      <c r="Q473" s="88"/>
      <c r="R473" s="88"/>
      <c r="S473" s="88"/>
      <c r="T473" s="88"/>
      <c r="U473" s="88"/>
      <c r="V473" s="88"/>
      <c r="W473" s="88"/>
      <c r="X473" s="88"/>
      <c r="Y473" s="88"/>
      <c r="Z473" s="88"/>
      <c r="AA473" s="88"/>
      <c r="AB473" s="88"/>
      <c r="AC473" s="88"/>
      <c r="AD473" s="88"/>
      <c r="AE473" s="397" t="str">
        <f>IFERROR(VLOOKUP($AQ473,'(勿動)組件目錄表'!$D$15:$R$1094,4,FALSE),"")</f>
        <v/>
      </c>
      <c r="AF473" s="384"/>
      <c r="AG473" s="384"/>
      <c r="AH473" s="384"/>
      <c r="AI473" s="384"/>
      <c r="AJ473" s="385"/>
      <c r="AK473" s="54" t="b">
        <v>0</v>
      </c>
      <c r="AL473" s="54" t="b">
        <v>0</v>
      </c>
      <c r="AM473" s="54"/>
      <c r="AN473" s="7" t="str">
        <v>465</v>
      </c>
      <c r="AO473" s="7"/>
      <c r="AP473" s="62"/>
      <c r="AQ473" s="75" t="str">
        <v/>
      </c>
      <c r="AR473" s="75" t="str">
        <v>-</v>
      </c>
      <c r="AS473" s="11"/>
      <c r="AT473" s="77" t="str">
        <v>-</v>
      </c>
      <c r="AU473" s="11" t="str">
        <v>-</v>
      </c>
      <c r="AV473" s="100"/>
      <c r="AW473" s="80" t="str">
        <f ca="1"/>
        <v>-</v>
      </c>
      <c r="AX473" s="80" t="b">
        <v>0</v>
      </c>
      <c r="AY473" s="68" t="str">
        <f t="shared" si="4"/>
        <v/>
      </c>
      <c r="AZ473" s="69" t="str">
        <f t="shared" si="5"/>
        <v/>
      </c>
      <c r="BA473" s="70" t="str">
        <f t="shared" si="6"/>
        <v/>
      </c>
      <c r="BB473" s="68" t="str">
        <f t="shared" si="7"/>
        <v/>
      </c>
      <c r="BC473" s="69" t="str">
        <f>IFERROR(VLOOKUP($AQ473,'(勿動)組件目錄表'!$D$15:$R$1094,7,FALSE),"")</f>
        <v/>
      </c>
      <c r="BD473" s="69" t="str">
        <f>IFERROR(VLOOKUP($AQ473,'(勿動)組件目錄表'!$D$15:$R$1094,8,FALSE),"")</f>
        <v/>
      </c>
      <c r="BE473" s="69" t="str">
        <f>IFERROR(VLOOKUP($AQ473,'(勿動)組件目錄表'!$D$15:$R$1094,9,FALSE),"")</f>
        <v/>
      </c>
      <c r="BF473" s="69" t="str">
        <f>IFERROR(VLOOKUP($AQ473,'(勿動)組件目錄表'!$D$15:$R$1094,10,FALSE),"")</f>
        <v/>
      </c>
      <c r="BG473" s="69" t="str">
        <f>IFERROR(VLOOKUP($AQ473,'(勿動)組件目錄表'!$D$15:$R$1094,11,FALSE),"")</f>
        <v/>
      </c>
      <c r="BH473" s="69" t="str">
        <f>IFERROR(VLOOKUP($AQ473,'(勿動)組件目錄表'!$D$15:$R$1094,12,FALSE),"")</f>
        <v/>
      </c>
      <c r="BI473" s="69" t="str">
        <f>IFERROR(VLOOKUP($AQ473,'(勿動)組件目錄表'!$D$15:$R$1094,13,FALSE),"")</f>
        <v/>
      </c>
      <c r="BJ473" s="69" t="str">
        <f>IFERROR(VLOOKUP($AQ473,'(勿動)組件目錄表'!$D$15:$R$1094,14,FALSE),"")</f>
        <v/>
      </c>
      <c r="BK473" s="69" t="str">
        <f>IFERROR(VLOOKUP($AQ473,'(勿動)組件目錄表'!$D$15:$R$1094,15,FALSE),"")</f>
        <v/>
      </c>
      <c r="BL473" s="81">
        <f ca="1">IFERROR(__xludf.DUMMYFUNCTION("IFERROR(
  LET(
    rowData, FILTER('(勿動)組件目錄表'!J:Q, '(勿動)組件目錄表'!D:D=AQ473),
    IF(ROWS(rowData)=0, 0, 
      (
        IF(AND(BC473&lt;&gt;"""", INDEX(rowData,1,1)=BC473),1,0) +
        IF(AND(BD473&lt;&gt;"""", INDEX(rowData,1,2)=BD473),1,0) +
        IF(AND(BE473"&amp;"&lt;&gt;"""", INDEX(rowData,1,3)=BE473),1,0) +
        IF(AND(BF473&lt;&gt;"""", INDEX(rowData,1,4)=BF473),1,0) +
        IF(AND(BG473&lt;&gt;"""", INDEX(rowData,1,5)=BG473),1,0) +
        IF(AND(BH473&lt;&gt;"""", INDEX(rowData,1,6)=BH473),1,0) +
        IF(AND(BI473&lt;&gt;"""", IND"&amp;"EX(rowData,1,7)=BI473),1,0) +
        IF(AND(BJ473&lt;&gt;"""", INDEX(rowData,1,8)=BJ473),1,0)
      ) - COUNTIF(BC473:BJ473, ""-"")
        - COUNTIF(BC473:BJ473, ""固定格式，不需提供資訊"")
        - COUNTIF(BC473:BJ473, ""由MKT更新，此欄位固定格式，不需提供資訊
(Voucher CID：12917705872)"&amp;""")
        - COUNTIF(BC473:BJ473, ""text固定為以下：
※直播間僅支援手機版"")
        - COUNTIF(BC473:BJ473, ""text固定為以下：
※短影音僅支援手機版"")
    )
  ), 
  0
)
"),0)</f>
        <v>0</v>
      </c>
      <c r="BM473" s="77" t="b">
        <v>0</v>
      </c>
      <c r="BN473" s="85"/>
      <c r="BO473" s="85"/>
    </row>
    <row r="474" spans="1:67" ht="30" customHeight="1">
      <c r="A474" s="73" t="str">
        <f t="array" aca="1" ref="A474" ca="1">IFERROR(TRANSPOSE(INDIRECT('MS section版配(Old)'!$AO474)),"")</f>
        <v/>
      </c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8"/>
      <c r="P474" s="88"/>
      <c r="Q474" s="88"/>
      <c r="R474" s="88"/>
      <c r="S474" s="88"/>
      <c r="T474" s="88"/>
      <c r="U474" s="88"/>
      <c r="V474" s="88"/>
      <c r="W474" s="88"/>
      <c r="X474" s="88"/>
      <c r="Y474" s="88"/>
      <c r="Z474" s="88"/>
      <c r="AA474" s="88"/>
      <c r="AB474" s="88"/>
      <c r="AC474" s="88"/>
      <c r="AD474" s="88"/>
      <c r="AE474" s="397" t="str">
        <f>IFERROR(VLOOKUP($AQ474,'(勿動)組件目錄表'!$D$15:$R$1094,4,FALSE),"")</f>
        <v/>
      </c>
      <c r="AF474" s="384"/>
      <c r="AG474" s="384"/>
      <c r="AH474" s="384"/>
      <c r="AI474" s="384"/>
      <c r="AJ474" s="385"/>
      <c r="AK474" s="54" t="b">
        <v>0</v>
      </c>
      <c r="AL474" s="54" t="b">
        <v>0</v>
      </c>
      <c r="AM474" s="54"/>
      <c r="AN474" s="7" t="str">
        <v>466</v>
      </c>
      <c r="AO474" s="7"/>
      <c r="AP474" s="62"/>
      <c r="AQ474" s="75" t="str">
        <v/>
      </c>
      <c r="AR474" s="75" t="str">
        <v>-</v>
      </c>
      <c r="AS474" s="11"/>
      <c r="AT474" s="77" t="str">
        <v>-</v>
      </c>
      <c r="AU474" s="11" t="str">
        <v>-</v>
      </c>
      <c r="AV474" s="100"/>
      <c r="AW474" s="80" t="str">
        <f ca="1"/>
        <v>-</v>
      </c>
      <c r="AX474" s="80" t="b">
        <v>0</v>
      </c>
      <c r="AY474" s="68" t="str">
        <f t="shared" si="4"/>
        <v/>
      </c>
      <c r="AZ474" s="69" t="str">
        <f t="shared" si="5"/>
        <v/>
      </c>
      <c r="BA474" s="70" t="str">
        <f t="shared" si="6"/>
        <v/>
      </c>
      <c r="BB474" s="68" t="str">
        <f t="shared" si="7"/>
        <v/>
      </c>
      <c r="BC474" s="69" t="str">
        <f>IFERROR(VLOOKUP($AQ474,'(勿動)組件目錄表'!$D$15:$R$1094,7,FALSE),"")</f>
        <v/>
      </c>
      <c r="BD474" s="69" t="str">
        <f>IFERROR(VLOOKUP($AQ474,'(勿動)組件目錄表'!$D$15:$R$1094,8,FALSE),"")</f>
        <v/>
      </c>
      <c r="BE474" s="69" t="str">
        <f>IFERROR(VLOOKUP($AQ474,'(勿動)組件目錄表'!$D$15:$R$1094,9,FALSE),"")</f>
        <v/>
      </c>
      <c r="BF474" s="69" t="str">
        <f>IFERROR(VLOOKUP($AQ474,'(勿動)組件目錄表'!$D$15:$R$1094,10,FALSE),"")</f>
        <v/>
      </c>
      <c r="BG474" s="69" t="str">
        <f>IFERROR(VLOOKUP($AQ474,'(勿動)組件目錄表'!$D$15:$R$1094,11,FALSE),"")</f>
        <v/>
      </c>
      <c r="BH474" s="69" t="str">
        <f>IFERROR(VLOOKUP($AQ474,'(勿動)組件目錄表'!$D$15:$R$1094,12,FALSE),"")</f>
        <v/>
      </c>
      <c r="BI474" s="69" t="str">
        <f>IFERROR(VLOOKUP($AQ474,'(勿動)組件目錄表'!$D$15:$R$1094,13,FALSE),"")</f>
        <v/>
      </c>
      <c r="BJ474" s="69" t="str">
        <f>IFERROR(VLOOKUP($AQ474,'(勿動)組件目錄表'!$D$15:$R$1094,14,FALSE),"")</f>
        <v/>
      </c>
      <c r="BK474" s="69" t="str">
        <f>IFERROR(VLOOKUP($AQ474,'(勿動)組件目錄表'!$D$15:$R$1094,15,FALSE),"")</f>
        <v/>
      </c>
      <c r="BL474" s="81">
        <f ca="1">IFERROR(__xludf.DUMMYFUNCTION("IFERROR(
  LET(
    rowData, FILTER('(勿動)組件目錄表'!J:Q, '(勿動)組件目錄表'!D:D=AQ474),
    IF(ROWS(rowData)=0, 0, 
      (
        IF(AND(BC474&lt;&gt;"""", INDEX(rowData,1,1)=BC474),1,0) +
        IF(AND(BD474&lt;&gt;"""", INDEX(rowData,1,2)=BD474),1,0) +
        IF(AND(BE474"&amp;"&lt;&gt;"""", INDEX(rowData,1,3)=BE474),1,0) +
        IF(AND(BF474&lt;&gt;"""", INDEX(rowData,1,4)=BF474),1,0) +
        IF(AND(BG474&lt;&gt;"""", INDEX(rowData,1,5)=BG474),1,0) +
        IF(AND(BH474&lt;&gt;"""", INDEX(rowData,1,6)=BH474),1,0) +
        IF(AND(BI474&lt;&gt;"""", IND"&amp;"EX(rowData,1,7)=BI474),1,0) +
        IF(AND(BJ474&lt;&gt;"""", INDEX(rowData,1,8)=BJ474),1,0)
      ) - COUNTIF(BC474:BJ474, ""-"")
        - COUNTIF(BC474:BJ474, ""固定格式，不需提供資訊"")
        - COUNTIF(BC474:BJ474, ""由MKT更新，此欄位固定格式，不需提供資訊
(Voucher CID：12917705872)"&amp;""")
        - COUNTIF(BC474:BJ474, ""text固定為以下：
※直播間僅支援手機版"")
        - COUNTIF(BC474:BJ474, ""text固定為以下：
※短影音僅支援手機版"")
    )
  ), 
  0
)
"),0)</f>
        <v>0</v>
      </c>
      <c r="BM474" s="77" t="b">
        <v>0</v>
      </c>
      <c r="BN474" s="85"/>
      <c r="BO474" s="85"/>
    </row>
    <row r="475" spans="1:67" ht="30" customHeight="1">
      <c r="A475" s="73" t="str">
        <f t="array" aca="1" ref="A475" ca="1">IFERROR(TRANSPOSE(INDIRECT('MS section版配(Old)'!$AO475)),"")</f>
        <v/>
      </c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8"/>
      <c r="P475" s="88"/>
      <c r="Q475" s="88"/>
      <c r="R475" s="88"/>
      <c r="S475" s="88"/>
      <c r="T475" s="88"/>
      <c r="U475" s="88"/>
      <c r="V475" s="88"/>
      <c r="W475" s="88"/>
      <c r="X475" s="88"/>
      <c r="Y475" s="88"/>
      <c r="Z475" s="88"/>
      <c r="AA475" s="88"/>
      <c r="AB475" s="88"/>
      <c r="AC475" s="88"/>
      <c r="AD475" s="88"/>
      <c r="AE475" s="397" t="str">
        <f>IFERROR(VLOOKUP($AQ475,'(勿動)組件目錄表'!$D$15:$R$1094,4,FALSE),"")</f>
        <v/>
      </c>
      <c r="AF475" s="384"/>
      <c r="AG475" s="384"/>
      <c r="AH475" s="384"/>
      <c r="AI475" s="384"/>
      <c r="AJ475" s="385"/>
      <c r="AK475" s="54" t="b">
        <v>0</v>
      </c>
      <c r="AL475" s="54" t="b">
        <v>0</v>
      </c>
      <c r="AM475" s="54"/>
      <c r="AN475" s="7" t="str">
        <v>467</v>
      </c>
      <c r="AO475" s="7"/>
      <c r="AP475" s="62"/>
      <c r="AQ475" s="75" t="str">
        <v/>
      </c>
      <c r="AR475" s="75" t="str">
        <v>-</v>
      </c>
      <c r="AS475" s="11"/>
      <c r="AT475" s="77" t="str">
        <v>-</v>
      </c>
      <c r="AU475" s="11" t="str">
        <v>-</v>
      </c>
      <c r="AV475" s="100"/>
      <c r="AW475" s="80" t="str">
        <f ca="1"/>
        <v>-</v>
      </c>
      <c r="AX475" s="80" t="b">
        <v>0</v>
      </c>
      <c r="AY475" s="68" t="str">
        <f t="shared" si="4"/>
        <v/>
      </c>
      <c r="AZ475" s="69" t="str">
        <f t="shared" si="5"/>
        <v/>
      </c>
      <c r="BA475" s="70" t="str">
        <f t="shared" si="6"/>
        <v/>
      </c>
      <c r="BB475" s="68" t="str">
        <f t="shared" si="7"/>
        <v/>
      </c>
      <c r="BC475" s="69" t="str">
        <f>IFERROR(VLOOKUP($AQ475,'(勿動)組件目錄表'!$D$15:$R$1094,7,FALSE),"")</f>
        <v/>
      </c>
      <c r="BD475" s="69" t="str">
        <f>IFERROR(VLOOKUP($AQ475,'(勿動)組件目錄表'!$D$15:$R$1094,8,FALSE),"")</f>
        <v/>
      </c>
      <c r="BE475" s="69" t="str">
        <f>IFERROR(VLOOKUP($AQ475,'(勿動)組件目錄表'!$D$15:$R$1094,9,FALSE),"")</f>
        <v/>
      </c>
      <c r="BF475" s="69" t="str">
        <f>IFERROR(VLOOKUP($AQ475,'(勿動)組件目錄表'!$D$15:$R$1094,10,FALSE),"")</f>
        <v/>
      </c>
      <c r="BG475" s="69" t="str">
        <f>IFERROR(VLOOKUP($AQ475,'(勿動)組件目錄表'!$D$15:$R$1094,11,FALSE),"")</f>
        <v/>
      </c>
      <c r="BH475" s="69" t="str">
        <f>IFERROR(VLOOKUP($AQ475,'(勿動)組件目錄表'!$D$15:$R$1094,12,FALSE),"")</f>
        <v/>
      </c>
      <c r="BI475" s="69" t="str">
        <f>IFERROR(VLOOKUP($AQ475,'(勿動)組件目錄表'!$D$15:$R$1094,13,FALSE),"")</f>
        <v/>
      </c>
      <c r="BJ475" s="69" t="str">
        <f>IFERROR(VLOOKUP($AQ475,'(勿動)組件目錄表'!$D$15:$R$1094,14,FALSE),"")</f>
        <v/>
      </c>
      <c r="BK475" s="69" t="str">
        <f>IFERROR(VLOOKUP($AQ475,'(勿動)組件目錄表'!$D$15:$R$1094,15,FALSE),"")</f>
        <v/>
      </c>
      <c r="BL475" s="81">
        <f ca="1">IFERROR(__xludf.DUMMYFUNCTION("IFERROR(
  LET(
    rowData, FILTER('(勿動)組件目錄表'!J:Q, '(勿動)組件目錄表'!D:D=AQ475),
    IF(ROWS(rowData)=0, 0, 
      (
        IF(AND(BC475&lt;&gt;"""", INDEX(rowData,1,1)=BC475),1,0) +
        IF(AND(BD475&lt;&gt;"""", INDEX(rowData,1,2)=BD475),1,0) +
        IF(AND(BE475"&amp;"&lt;&gt;"""", INDEX(rowData,1,3)=BE475),1,0) +
        IF(AND(BF475&lt;&gt;"""", INDEX(rowData,1,4)=BF475),1,0) +
        IF(AND(BG475&lt;&gt;"""", INDEX(rowData,1,5)=BG475),1,0) +
        IF(AND(BH475&lt;&gt;"""", INDEX(rowData,1,6)=BH475),1,0) +
        IF(AND(BI475&lt;&gt;"""", IND"&amp;"EX(rowData,1,7)=BI475),1,0) +
        IF(AND(BJ475&lt;&gt;"""", INDEX(rowData,1,8)=BJ475),1,0)
      ) - COUNTIF(BC475:BJ475, ""-"")
        - COUNTIF(BC475:BJ475, ""固定格式，不需提供資訊"")
        - COUNTIF(BC475:BJ475, ""由MKT更新，此欄位固定格式，不需提供資訊
(Voucher CID：12917705872)"&amp;""")
        - COUNTIF(BC475:BJ475, ""text固定為以下：
※直播間僅支援手機版"")
        - COUNTIF(BC475:BJ475, ""text固定為以下：
※短影音僅支援手機版"")
    )
  ), 
  0
)
"),0)</f>
        <v>0</v>
      </c>
      <c r="BM475" s="77" t="b">
        <v>0</v>
      </c>
      <c r="BN475" s="85"/>
      <c r="BO475" s="85"/>
    </row>
    <row r="476" spans="1:67" ht="30" customHeight="1">
      <c r="A476" s="73" t="str">
        <f t="array" aca="1" ref="A476" ca="1">IFERROR(TRANSPOSE(INDIRECT('MS section版配(Old)'!$AO476)),"")</f>
        <v/>
      </c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8"/>
      <c r="P476" s="88"/>
      <c r="Q476" s="88"/>
      <c r="R476" s="88"/>
      <c r="S476" s="88"/>
      <c r="T476" s="88"/>
      <c r="U476" s="88"/>
      <c r="V476" s="88"/>
      <c r="W476" s="88"/>
      <c r="X476" s="88"/>
      <c r="Y476" s="88"/>
      <c r="Z476" s="88"/>
      <c r="AA476" s="88"/>
      <c r="AB476" s="88"/>
      <c r="AC476" s="88"/>
      <c r="AD476" s="88"/>
      <c r="AE476" s="397" t="str">
        <f>IFERROR(VLOOKUP($AQ476,'(勿動)組件目錄表'!$D$15:$R$1094,4,FALSE),"")</f>
        <v/>
      </c>
      <c r="AF476" s="384"/>
      <c r="AG476" s="384"/>
      <c r="AH476" s="384"/>
      <c r="AI476" s="384"/>
      <c r="AJ476" s="385"/>
      <c r="AK476" s="54" t="b">
        <v>0</v>
      </c>
      <c r="AL476" s="54" t="b">
        <v>0</v>
      </c>
      <c r="AM476" s="54"/>
      <c r="AN476" s="7" t="str">
        <v>468</v>
      </c>
      <c r="AO476" s="7"/>
      <c r="AP476" s="62"/>
      <c r="AQ476" s="75" t="str">
        <v/>
      </c>
      <c r="AR476" s="75" t="str">
        <v>-</v>
      </c>
      <c r="AS476" s="11"/>
      <c r="AT476" s="77" t="str">
        <v>-</v>
      </c>
      <c r="AU476" s="11" t="str">
        <v>-</v>
      </c>
      <c r="AV476" s="100"/>
      <c r="AW476" s="80" t="str">
        <f ca="1"/>
        <v>-</v>
      </c>
      <c r="AX476" s="80" t="b">
        <v>0</v>
      </c>
      <c r="AY476" s="68" t="str">
        <f t="shared" si="4"/>
        <v/>
      </c>
      <c r="AZ476" s="69" t="str">
        <f t="shared" si="5"/>
        <v/>
      </c>
      <c r="BA476" s="70" t="str">
        <f t="shared" si="6"/>
        <v/>
      </c>
      <c r="BB476" s="68" t="str">
        <f t="shared" si="7"/>
        <v/>
      </c>
      <c r="BC476" s="69" t="str">
        <f>IFERROR(VLOOKUP($AQ476,'(勿動)組件目錄表'!$D$15:$R$1094,7,FALSE),"")</f>
        <v/>
      </c>
      <c r="BD476" s="69" t="str">
        <f>IFERROR(VLOOKUP($AQ476,'(勿動)組件目錄表'!$D$15:$R$1094,8,FALSE),"")</f>
        <v/>
      </c>
      <c r="BE476" s="69" t="str">
        <f>IFERROR(VLOOKUP($AQ476,'(勿動)組件目錄表'!$D$15:$R$1094,9,FALSE),"")</f>
        <v/>
      </c>
      <c r="BF476" s="69" t="str">
        <f>IFERROR(VLOOKUP($AQ476,'(勿動)組件目錄表'!$D$15:$R$1094,10,FALSE),"")</f>
        <v/>
      </c>
      <c r="BG476" s="69" t="str">
        <f>IFERROR(VLOOKUP($AQ476,'(勿動)組件目錄表'!$D$15:$R$1094,11,FALSE),"")</f>
        <v/>
      </c>
      <c r="BH476" s="69" t="str">
        <f>IFERROR(VLOOKUP($AQ476,'(勿動)組件目錄表'!$D$15:$R$1094,12,FALSE),"")</f>
        <v/>
      </c>
      <c r="BI476" s="69" t="str">
        <f>IFERROR(VLOOKUP($AQ476,'(勿動)組件目錄表'!$D$15:$R$1094,13,FALSE),"")</f>
        <v/>
      </c>
      <c r="BJ476" s="69" t="str">
        <f>IFERROR(VLOOKUP($AQ476,'(勿動)組件目錄表'!$D$15:$R$1094,14,FALSE),"")</f>
        <v/>
      </c>
      <c r="BK476" s="69" t="str">
        <f>IFERROR(VLOOKUP($AQ476,'(勿動)組件目錄表'!$D$15:$R$1094,15,FALSE),"")</f>
        <v/>
      </c>
      <c r="BL476" s="81">
        <f ca="1">IFERROR(__xludf.DUMMYFUNCTION("IFERROR(
  LET(
    rowData, FILTER('(勿動)組件目錄表'!J:Q, '(勿動)組件目錄表'!D:D=AQ476),
    IF(ROWS(rowData)=0, 0, 
      (
        IF(AND(BC476&lt;&gt;"""", INDEX(rowData,1,1)=BC476),1,0) +
        IF(AND(BD476&lt;&gt;"""", INDEX(rowData,1,2)=BD476),1,0) +
        IF(AND(BE476"&amp;"&lt;&gt;"""", INDEX(rowData,1,3)=BE476),1,0) +
        IF(AND(BF476&lt;&gt;"""", INDEX(rowData,1,4)=BF476),1,0) +
        IF(AND(BG476&lt;&gt;"""", INDEX(rowData,1,5)=BG476),1,0) +
        IF(AND(BH476&lt;&gt;"""", INDEX(rowData,1,6)=BH476),1,0) +
        IF(AND(BI476&lt;&gt;"""", IND"&amp;"EX(rowData,1,7)=BI476),1,0) +
        IF(AND(BJ476&lt;&gt;"""", INDEX(rowData,1,8)=BJ476),1,0)
      ) - COUNTIF(BC476:BJ476, ""-"")
        - COUNTIF(BC476:BJ476, ""固定格式，不需提供資訊"")
        - COUNTIF(BC476:BJ476, ""由MKT更新，此欄位固定格式，不需提供資訊
(Voucher CID：12917705872)"&amp;""")
        - COUNTIF(BC476:BJ476, ""text固定為以下：
※直播間僅支援手機版"")
        - COUNTIF(BC476:BJ476, ""text固定為以下：
※短影音僅支援手機版"")
    )
  ), 
  0
)
"),0)</f>
        <v>0</v>
      </c>
      <c r="BM476" s="77" t="b">
        <v>0</v>
      </c>
      <c r="BN476" s="85"/>
      <c r="BO476" s="85"/>
    </row>
    <row r="477" spans="1:67" ht="30" customHeight="1">
      <c r="A477" s="73" t="str">
        <f t="array" aca="1" ref="A477" ca="1">IFERROR(TRANSPOSE(INDIRECT('MS section版配(Old)'!$AO477)),"")</f>
        <v/>
      </c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8"/>
      <c r="P477" s="88"/>
      <c r="Q477" s="88"/>
      <c r="R477" s="88"/>
      <c r="S477" s="88"/>
      <c r="T477" s="88"/>
      <c r="U477" s="88"/>
      <c r="V477" s="88"/>
      <c r="W477" s="88"/>
      <c r="X477" s="88"/>
      <c r="Y477" s="88"/>
      <c r="Z477" s="88"/>
      <c r="AA477" s="88"/>
      <c r="AB477" s="88"/>
      <c r="AC477" s="88"/>
      <c r="AD477" s="88"/>
      <c r="AE477" s="397" t="str">
        <f>IFERROR(VLOOKUP($AQ477,'(勿動)組件目錄表'!$D$15:$R$1094,4,FALSE),"")</f>
        <v/>
      </c>
      <c r="AF477" s="384"/>
      <c r="AG477" s="384"/>
      <c r="AH477" s="384"/>
      <c r="AI477" s="384"/>
      <c r="AJ477" s="385"/>
      <c r="AK477" s="54" t="b">
        <v>0</v>
      </c>
      <c r="AL477" s="54" t="b">
        <v>0</v>
      </c>
      <c r="AM477" s="54"/>
      <c r="AN477" s="7" t="str">
        <v>469</v>
      </c>
      <c r="AO477" s="7"/>
      <c r="AP477" s="62"/>
      <c r="AQ477" s="75" t="str">
        <v/>
      </c>
      <c r="AR477" s="75" t="str">
        <v>-</v>
      </c>
      <c r="AS477" s="11"/>
      <c r="AT477" s="77" t="str">
        <v>-</v>
      </c>
      <c r="AU477" s="11" t="str">
        <v>-</v>
      </c>
      <c r="AV477" s="100"/>
      <c r="AW477" s="80" t="str">
        <f ca="1"/>
        <v>-</v>
      </c>
      <c r="AX477" s="80" t="b">
        <v>0</v>
      </c>
      <c r="AY477" s="68" t="str">
        <f t="shared" si="4"/>
        <v/>
      </c>
      <c r="AZ477" s="69" t="str">
        <f t="shared" si="5"/>
        <v/>
      </c>
      <c r="BA477" s="70" t="str">
        <f t="shared" si="6"/>
        <v/>
      </c>
      <c r="BB477" s="68" t="str">
        <f t="shared" si="7"/>
        <v/>
      </c>
      <c r="BC477" s="69" t="str">
        <f>IFERROR(VLOOKUP($AQ477,'(勿動)組件目錄表'!$D$15:$R$1094,7,FALSE),"")</f>
        <v/>
      </c>
      <c r="BD477" s="69" t="str">
        <f>IFERROR(VLOOKUP($AQ477,'(勿動)組件目錄表'!$D$15:$R$1094,8,FALSE),"")</f>
        <v/>
      </c>
      <c r="BE477" s="69" t="str">
        <f>IFERROR(VLOOKUP($AQ477,'(勿動)組件目錄表'!$D$15:$R$1094,9,FALSE),"")</f>
        <v/>
      </c>
      <c r="BF477" s="69" t="str">
        <f>IFERROR(VLOOKUP($AQ477,'(勿動)組件目錄表'!$D$15:$R$1094,10,FALSE),"")</f>
        <v/>
      </c>
      <c r="BG477" s="69" t="str">
        <f>IFERROR(VLOOKUP($AQ477,'(勿動)組件目錄表'!$D$15:$R$1094,11,FALSE),"")</f>
        <v/>
      </c>
      <c r="BH477" s="69" t="str">
        <f>IFERROR(VLOOKUP($AQ477,'(勿動)組件目錄表'!$D$15:$R$1094,12,FALSE),"")</f>
        <v/>
      </c>
      <c r="BI477" s="69" t="str">
        <f>IFERROR(VLOOKUP($AQ477,'(勿動)組件目錄表'!$D$15:$R$1094,13,FALSE),"")</f>
        <v/>
      </c>
      <c r="BJ477" s="69" t="str">
        <f>IFERROR(VLOOKUP($AQ477,'(勿動)組件目錄表'!$D$15:$R$1094,14,FALSE),"")</f>
        <v/>
      </c>
      <c r="BK477" s="69" t="str">
        <f>IFERROR(VLOOKUP($AQ477,'(勿動)組件目錄表'!$D$15:$R$1094,15,FALSE),"")</f>
        <v/>
      </c>
      <c r="BL477" s="81">
        <f ca="1">IFERROR(__xludf.DUMMYFUNCTION("IFERROR(
  LET(
    rowData, FILTER('(勿動)組件目錄表'!J:Q, '(勿動)組件目錄表'!D:D=AQ477),
    IF(ROWS(rowData)=0, 0, 
      (
        IF(AND(BC477&lt;&gt;"""", INDEX(rowData,1,1)=BC477),1,0) +
        IF(AND(BD477&lt;&gt;"""", INDEX(rowData,1,2)=BD477),1,0) +
        IF(AND(BE477"&amp;"&lt;&gt;"""", INDEX(rowData,1,3)=BE477),1,0) +
        IF(AND(BF477&lt;&gt;"""", INDEX(rowData,1,4)=BF477),1,0) +
        IF(AND(BG477&lt;&gt;"""", INDEX(rowData,1,5)=BG477),1,0) +
        IF(AND(BH477&lt;&gt;"""", INDEX(rowData,1,6)=BH477),1,0) +
        IF(AND(BI477&lt;&gt;"""", IND"&amp;"EX(rowData,1,7)=BI477),1,0) +
        IF(AND(BJ477&lt;&gt;"""", INDEX(rowData,1,8)=BJ477),1,0)
      ) - COUNTIF(BC477:BJ477, ""-"")
        - COUNTIF(BC477:BJ477, ""固定格式，不需提供資訊"")
        - COUNTIF(BC477:BJ477, ""由MKT更新，此欄位固定格式，不需提供資訊
(Voucher CID：12917705872)"&amp;""")
        - COUNTIF(BC477:BJ477, ""text固定為以下：
※直播間僅支援手機版"")
        - COUNTIF(BC477:BJ477, ""text固定為以下：
※短影音僅支援手機版"")
    )
  ), 
  0
)
"),0)</f>
        <v>0</v>
      </c>
      <c r="BM477" s="77" t="b">
        <v>0</v>
      </c>
      <c r="BN477" s="85"/>
      <c r="BO477" s="85"/>
    </row>
    <row r="478" spans="1:67" ht="30" customHeight="1">
      <c r="A478" s="73" t="str">
        <f t="array" aca="1" ref="A478" ca="1">IFERROR(TRANSPOSE(INDIRECT('MS section版配(Old)'!$AO478)),"")</f>
        <v/>
      </c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8"/>
      <c r="P478" s="88"/>
      <c r="Q478" s="88"/>
      <c r="R478" s="88"/>
      <c r="S478" s="88"/>
      <c r="T478" s="88"/>
      <c r="U478" s="88"/>
      <c r="V478" s="88"/>
      <c r="W478" s="88"/>
      <c r="X478" s="88"/>
      <c r="Y478" s="88"/>
      <c r="Z478" s="88"/>
      <c r="AA478" s="88"/>
      <c r="AB478" s="88"/>
      <c r="AC478" s="88"/>
      <c r="AD478" s="88"/>
      <c r="AE478" s="397" t="str">
        <f>IFERROR(VLOOKUP($AQ478,'(勿動)組件目錄表'!$D$15:$R$1094,4,FALSE),"")</f>
        <v/>
      </c>
      <c r="AF478" s="384"/>
      <c r="AG478" s="384"/>
      <c r="AH478" s="384"/>
      <c r="AI478" s="384"/>
      <c r="AJ478" s="385"/>
      <c r="AK478" s="54" t="b">
        <v>0</v>
      </c>
      <c r="AL478" s="54" t="b">
        <v>0</v>
      </c>
      <c r="AM478" s="54"/>
      <c r="AN478" s="7" t="str">
        <v>470</v>
      </c>
      <c r="AO478" s="7"/>
      <c r="AP478" s="62"/>
      <c r="AQ478" s="75" t="str">
        <v/>
      </c>
      <c r="AR478" s="75" t="str">
        <v>-</v>
      </c>
      <c r="AS478" s="11"/>
      <c r="AT478" s="77" t="str">
        <v>-</v>
      </c>
      <c r="AU478" s="11" t="str">
        <v>-</v>
      </c>
      <c r="AV478" s="100"/>
      <c r="AW478" s="80" t="str">
        <f ca="1"/>
        <v>-</v>
      </c>
      <c r="AX478" s="80" t="b">
        <v>0</v>
      </c>
      <c r="AY478" s="68" t="str">
        <f t="shared" si="4"/>
        <v/>
      </c>
      <c r="AZ478" s="69" t="str">
        <f t="shared" si="5"/>
        <v/>
      </c>
      <c r="BA478" s="70" t="str">
        <f t="shared" si="6"/>
        <v/>
      </c>
      <c r="BB478" s="68" t="str">
        <f t="shared" si="7"/>
        <v/>
      </c>
      <c r="BC478" s="69" t="str">
        <f>IFERROR(VLOOKUP($AQ478,'(勿動)組件目錄表'!$D$15:$R$1094,7,FALSE),"")</f>
        <v/>
      </c>
      <c r="BD478" s="69" t="str">
        <f>IFERROR(VLOOKUP($AQ478,'(勿動)組件目錄表'!$D$15:$R$1094,8,FALSE),"")</f>
        <v/>
      </c>
      <c r="BE478" s="69" t="str">
        <f>IFERROR(VLOOKUP($AQ478,'(勿動)組件目錄表'!$D$15:$R$1094,9,FALSE),"")</f>
        <v/>
      </c>
      <c r="BF478" s="69" t="str">
        <f>IFERROR(VLOOKUP($AQ478,'(勿動)組件目錄表'!$D$15:$R$1094,10,FALSE),"")</f>
        <v/>
      </c>
      <c r="BG478" s="69" t="str">
        <f>IFERROR(VLOOKUP($AQ478,'(勿動)組件目錄表'!$D$15:$R$1094,11,FALSE),"")</f>
        <v/>
      </c>
      <c r="BH478" s="69" t="str">
        <f>IFERROR(VLOOKUP($AQ478,'(勿動)組件目錄表'!$D$15:$R$1094,12,FALSE),"")</f>
        <v/>
      </c>
      <c r="BI478" s="69" t="str">
        <f>IFERROR(VLOOKUP($AQ478,'(勿動)組件目錄表'!$D$15:$R$1094,13,FALSE),"")</f>
        <v/>
      </c>
      <c r="BJ478" s="69" t="str">
        <f>IFERROR(VLOOKUP($AQ478,'(勿動)組件目錄表'!$D$15:$R$1094,14,FALSE),"")</f>
        <v/>
      </c>
      <c r="BK478" s="69" t="str">
        <f>IFERROR(VLOOKUP($AQ478,'(勿動)組件目錄表'!$D$15:$R$1094,15,FALSE),"")</f>
        <v/>
      </c>
      <c r="BL478" s="81">
        <f ca="1">IFERROR(__xludf.DUMMYFUNCTION("IFERROR(
  LET(
    rowData, FILTER('(勿動)組件目錄表'!J:Q, '(勿動)組件目錄表'!D:D=AQ478),
    IF(ROWS(rowData)=0, 0, 
      (
        IF(AND(BC478&lt;&gt;"""", INDEX(rowData,1,1)=BC478),1,0) +
        IF(AND(BD478&lt;&gt;"""", INDEX(rowData,1,2)=BD478),1,0) +
        IF(AND(BE478"&amp;"&lt;&gt;"""", INDEX(rowData,1,3)=BE478),1,0) +
        IF(AND(BF478&lt;&gt;"""", INDEX(rowData,1,4)=BF478),1,0) +
        IF(AND(BG478&lt;&gt;"""", INDEX(rowData,1,5)=BG478),1,0) +
        IF(AND(BH478&lt;&gt;"""", INDEX(rowData,1,6)=BH478),1,0) +
        IF(AND(BI478&lt;&gt;"""", IND"&amp;"EX(rowData,1,7)=BI478),1,0) +
        IF(AND(BJ478&lt;&gt;"""", INDEX(rowData,1,8)=BJ478),1,0)
      ) - COUNTIF(BC478:BJ478, ""-"")
        - COUNTIF(BC478:BJ478, ""固定格式，不需提供資訊"")
        - COUNTIF(BC478:BJ478, ""由MKT更新，此欄位固定格式，不需提供資訊
(Voucher CID：12917705872)"&amp;""")
        - COUNTIF(BC478:BJ478, ""text固定為以下：
※直播間僅支援手機版"")
        - COUNTIF(BC478:BJ478, ""text固定為以下：
※短影音僅支援手機版"")
    )
  ), 
  0
)
"),0)</f>
        <v>0</v>
      </c>
      <c r="BM478" s="77" t="b">
        <v>0</v>
      </c>
      <c r="BN478" s="85"/>
      <c r="BO478" s="85"/>
    </row>
    <row r="479" spans="1:67" ht="30" customHeight="1">
      <c r="A479" s="73" t="str">
        <f t="array" aca="1" ref="A479" ca="1">IFERROR(TRANSPOSE(INDIRECT('MS section版配(Old)'!$AO479)),"")</f>
        <v/>
      </c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8"/>
      <c r="P479" s="88"/>
      <c r="Q479" s="88"/>
      <c r="R479" s="88"/>
      <c r="S479" s="88"/>
      <c r="T479" s="88"/>
      <c r="U479" s="88"/>
      <c r="V479" s="88"/>
      <c r="W479" s="88"/>
      <c r="X479" s="88"/>
      <c r="Y479" s="88"/>
      <c r="Z479" s="88"/>
      <c r="AA479" s="88"/>
      <c r="AB479" s="88"/>
      <c r="AC479" s="88"/>
      <c r="AD479" s="88"/>
      <c r="AE479" s="397" t="str">
        <f>IFERROR(VLOOKUP($AQ479,'(勿動)組件目錄表'!$D$15:$R$1094,4,FALSE),"")</f>
        <v/>
      </c>
      <c r="AF479" s="384"/>
      <c r="AG479" s="384"/>
      <c r="AH479" s="384"/>
      <c r="AI479" s="384"/>
      <c r="AJ479" s="385"/>
      <c r="AK479" s="54" t="b">
        <v>0</v>
      </c>
      <c r="AL479" s="54" t="b">
        <v>0</v>
      </c>
      <c r="AM479" s="54"/>
      <c r="AN479" s="7" t="str">
        <v>471</v>
      </c>
      <c r="AO479" s="7"/>
      <c r="AP479" s="62"/>
      <c r="AQ479" s="75" t="str">
        <v/>
      </c>
      <c r="AR479" s="75" t="str">
        <v>-</v>
      </c>
      <c r="AS479" s="11"/>
      <c r="AT479" s="77" t="str">
        <v>-</v>
      </c>
      <c r="AU479" s="11" t="str">
        <v>-</v>
      </c>
      <c r="AV479" s="100"/>
      <c r="AW479" s="80" t="str">
        <f ca="1"/>
        <v>-</v>
      </c>
      <c r="AX479" s="80" t="b">
        <v>0</v>
      </c>
      <c r="AY479" s="68" t="str">
        <f t="shared" si="4"/>
        <v/>
      </c>
      <c r="AZ479" s="69" t="str">
        <f t="shared" si="5"/>
        <v/>
      </c>
      <c r="BA479" s="70" t="str">
        <f t="shared" si="6"/>
        <v/>
      </c>
      <c r="BB479" s="68" t="str">
        <f t="shared" si="7"/>
        <v/>
      </c>
      <c r="BC479" s="69" t="str">
        <f>IFERROR(VLOOKUP($AQ479,'(勿動)組件目錄表'!$D$15:$R$1094,7,FALSE),"")</f>
        <v/>
      </c>
      <c r="BD479" s="69" t="str">
        <f>IFERROR(VLOOKUP($AQ479,'(勿動)組件目錄表'!$D$15:$R$1094,8,FALSE),"")</f>
        <v/>
      </c>
      <c r="BE479" s="69" t="str">
        <f>IFERROR(VLOOKUP($AQ479,'(勿動)組件目錄表'!$D$15:$R$1094,9,FALSE),"")</f>
        <v/>
      </c>
      <c r="BF479" s="69" t="str">
        <f>IFERROR(VLOOKUP($AQ479,'(勿動)組件目錄表'!$D$15:$R$1094,10,FALSE),"")</f>
        <v/>
      </c>
      <c r="BG479" s="69" t="str">
        <f>IFERROR(VLOOKUP($AQ479,'(勿動)組件目錄表'!$D$15:$R$1094,11,FALSE),"")</f>
        <v/>
      </c>
      <c r="BH479" s="69" t="str">
        <f>IFERROR(VLOOKUP($AQ479,'(勿動)組件目錄表'!$D$15:$R$1094,12,FALSE),"")</f>
        <v/>
      </c>
      <c r="BI479" s="69" t="str">
        <f>IFERROR(VLOOKUP($AQ479,'(勿動)組件目錄表'!$D$15:$R$1094,13,FALSE),"")</f>
        <v/>
      </c>
      <c r="BJ479" s="69" t="str">
        <f>IFERROR(VLOOKUP($AQ479,'(勿動)組件目錄表'!$D$15:$R$1094,14,FALSE),"")</f>
        <v/>
      </c>
      <c r="BK479" s="69" t="str">
        <f>IFERROR(VLOOKUP($AQ479,'(勿動)組件目錄表'!$D$15:$R$1094,15,FALSE),"")</f>
        <v/>
      </c>
      <c r="BL479" s="81">
        <f ca="1">IFERROR(__xludf.DUMMYFUNCTION("IFERROR(
  LET(
    rowData, FILTER('(勿動)組件目錄表'!J:Q, '(勿動)組件目錄表'!D:D=AQ479),
    IF(ROWS(rowData)=0, 0, 
      (
        IF(AND(BC479&lt;&gt;"""", INDEX(rowData,1,1)=BC479),1,0) +
        IF(AND(BD479&lt;&gt;"""", INDEX(rowData,1,2)=BD479),1,0) +
        IF(AND(BE479"&amp;"&lt;&gt;"""", INDEX(rowData,1,3)=BE479),1,0) +
        IF(AND(BF479&lt;&gt;"""", INDEX(rowData,1,4)=BF479),1,0) +
        IF(AND(BG479&lt;&gt;"""", INDEX(rowData,1,5)=BG479),1,0) +
        IF(AND(BH479&lt;&gt;"""", INDEX(rowData,1,6)=BH479),1,0) +
        IF(AND(BI479&lt;&gt;"""", IND"&amp;"EX(rowData,1,7)=BI479),1,0) +
        IF(AND(BJ479&lt;&gt;"""", INDEX(rowData,1,8)=BJ479),1,0)
      ) - COUNTIF(BC479:BJ479, ""-"")
        - COUNTIF(BC479:BJ479, ""固定格式，不需提供資訊"")
        - COUNTIF(BC479:BJ479, ""由MKT更新，此欄位固定格式，不需提供資訊
(Voucher CID：12917705872)"&amp;""")
        - COUNTIF(BC479:BJ479, ""text固定為以下：
※直播間僅支援手機版"")
        - COUNTIF(BC479:BJ479, ""text固定為以下：
※短影音僅支援手機版"")
    )
  ), 
  0
)
"),0)</f>
        <v>0</v>
      </c>
      <c r="BM479" s="77" t="b">
        <v>0</v>
      </c>
      <c r="BN479" s="85"/>
      <c r="BO479" s="85"/>
    </row>
    <row r="480" spans="1:67" ht="30" customHeight="1">
      <c r="A480" s="73" t="str">
        <f t="array" aca="1" ref="A480" ca="1">IFERROR(TRANSPOSE(INDIRECT('MS section版配(Old)'!$AO480)),"")</f>
        <v/>
      </c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8"/>
      <c r="P480" s="88"/>
      <c r="Q480" s="88"/>
      <c r="R480" s="88"/>
      <c r="S480" s="88"/>
      <c r="T480" s="88"/>
      <c r="U480" s="88"/>
      <c r="V480" s="88"/>
      <c r="W480" s="88"/>
      <c r="X480" s="88"/>
      <c r="Y480" s="88"/>
      <c r="Z480" s="88"/>
      <c r="AA480" s="88"/>
      <c r="AB480" s="88"/>
      <c r="AC480" s="88"/>
      <c r="AD480" s="88"/>
      <c r="AE480" s="397" t="str">
        <f>IFERROR(VLOOKUP($AQ480,'(勿動)組件目錄表'!$D$15:$R$1094,4,FALSE),"")</f>
        <v/>
      </c>
      <c r="AF480" s="384"/>
      <c r="AG480" s="384"/>
      <c r="AH480" s="384"/>
      <c r="AI480" s="384"/>
      <c r="AJ480" s="385"/>
      <c r="AK480" s="54" t="b">
        <v>0</v>
      </c>
      <c r="AL480" s="54" t="b">
        <v>0</v>
      </c>
      <c r="AM480" s="54"/>
      <c r="AN480" s="7" t="str">
        <v>472</v>
      </c>
      <c r="AO480" s="7"/>
      <c r="AP480" s="62"/>
      <c r="AQ480" s="75" t="str">
        <v/>
      </c>
      <c r="AR480" s="75" t="str">
        <v>-</v>
      </c>
      <c r="AS480" s="11"/>
      <c r="AT480" s="77" t="str">
        <v>-</v>
      </c>
      <c r="AU480" s="11" t="str">
        <v>-</v>
      </c>
      <c r="AV480" s="100"/>
      <c r="AW480" s="80" t="str">
        <f ca="1"/>
        <v>-</v>
      </c>
      <c r="AX480" s="80" t="b">
        <v>0</v>
      </c>
      <c r="AY480" s="68" t="str">
        <f t="shared" si="4"/>
        <v/>
      </c>
      <c r="AZ480" s="69" t="str">
        <f t="shared" si="5"/>
        <v/>
      </c>
      <c r="BA480" s="70" t="str">
        <f t="shared" si="6"/>
        <v/>
      </c>
      <c r="BB480" s="68" t="str">
        <f t="shared" si="7"/>
        <v/>
      </c>
      <c r="BC480" s="69" t="str">
        <f>IFERROR(VLOOKUP($AQ480,'(勿動)組件目錄表'!$D$15:$R$1094,7,FALSE),"")</f>
        <v/>
      </c>
      <c r="BD480" s="69" t="str">
        <f>IFERROR(VLOOKUP($AQ480,'(勿動)組件目錄表'!$D$15:$R$1094,8,FALSE),"")</f>
        <v/>
      </c>
      <c r="BE480" s="69" t="str">
        <f>IFERROR(VLOOKUP($AQ480,'(勿動)組件目錄表'!$D$15:$R$1094,9,FALSE),"")</f>
        <v/>
      </c>
      <c r="BF480" s="69" t="str">
        <f>IFERROR(VLOOKUP($AQ480,'(勿動)組件目錄表'!$D$15:$R$1094,10,FALSE),"")</f>
        <v/>
      </c>
      <c r="BG480" s="69" t="str">
        <f>IFERROR(VLOOKUP($AQ480,'(勿動)組件目錄表'!$D$15:$R$1094,11,FALSE),"")</f>
        <v/>
      </c>
      <c r="BH480" s="69" t="str">
        <f>IFERROR(VLOOKUP($AQ480,'(勿動)組件目錄表'!$D$15:$R$1094,12,FALSE),"")</f>
        <v/>
      </c>
      <c r="BI480" s="69" t="str">
        <f>IFERROR(VLOOKUP($AQ480,'(勿動)組件目錄表'!$D$15:$R$1094,13,FALSE),"")</f>
        <v/>
      </c>
      <c r="BJ480" s="69" t="str">
        <f>IFERROR(VLOOKUP($AQ480,'(勿動)組件目錄表'!$D$15:$R$1094,14,FALSE),"")</f>
        <v/>
      </c>
      <c r="BK480" s="69" t="str">
        <f>IFERROR(VLOOKUP($AQ480,'(勿動)組件目錄表'!$D$15:$R$1094,15,FALSE),"")</f>
        <v/>
      </c>
      <c r="BL480" s="81">
        <f ca="1">IFERROR(__xludf.DUMMYFUNCTION("IFERROR(
  LET(
    rowData, FILTER('(勿動)組件目錄表'!J:Q, '(勿動)組件目錄表'!D:D=AQ480),
    IF(ROWS(rowData)=0, 0, 
      (
        IF(AND(BC480&lt;&gt;"""", INDEX(rowData,1,1)=BC480),1,0) +
        IF(AND(BD480&lt;&gt;"""", INDEX(rowData,1,2)=BD480),1,0) +
        IF(AND(BE480"&amp;"&lt;&gt;"""", INDEX(rowData,1,3)=BE480),1,0) +
        IF(AND(BF480&lt;&gt;"""", INDEX(rowData,1,4)=BF480),1,0) +
        IF(AND(BG480&lt;&gt;"""", INDEX(rowData,1,5)=BG480),1,0) +
        IF(AND(BH480&lt;&gt;"""", INDEX(rowData,1,6)=BH480),1,0) +
        IF(AND(BI480&lt;&gt;"""", IND"&amp;"EX(rowData,1,7)=BI480),1,0) +
        IF(AND(BJ480&lt;&gt;"""", INDEX(rowData,1,8)=BJ480),1,0)
      ) - COUNTIF(BC480:BJ480, ""-"")
        - COUNTIF(BC480:BJ480, ""固定格式，不需提供資訊"")
        - COUNTIF(BC480:BJ480, ""由MKT更新，此欄位固定格式，不需提供資訊
(Voucher CID：12917705872)"&amp;""")
        - COUNTIF(BC480:BJ480, ""text固定為以下：
※直播間僅支援手機版"")
        - COUNTIF(BC480:BJ480, ""text固定為以下：
※短影音僅支援手機版"")
    )
  ), 
  0
)
"),0)</f>
        <v>0</v>
      </c>
      <c r="BM480" s="77" t="b">
        <v>0</v>
      </c>
      <c r="BN480" s="85"/>
      <c r="BO480" s="85"/>
    </row>
    <row r="481" spans="1:67" ht="30" customHeight="1">
      <c r="A481" s="73" t="str">
        <f t="array" aca="1" ref="A481" ca="1">IFERROR(TRANSPOSE(INDIRECT('MS section版配(Old)'!$AO481)),"")</f>
        <v/>
      </c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8"/>
      <c r="P481" s="88"/>
      <c r="Q481" s="88"/>
      <c r="R481" s="88"/>
      <c r="S481" s="88"/>
      <c r="T481" s="88"/>
      <c r="U481" s="88"/>
      <c r="V481" s="88"/>
      <c r="W481" s="88"/>
      <c r="X481" s="88"/>
      <c r="Y481" s="88"/>
      <c r="Z481" s="88"/>
      <c r="AA481" s="88"/>
      <c r="AB481" s="88"/>
      <c r="AC481" s="88"/>
      <c r="AD481" s="88"/>
      <c r="AE481" s="397" t="str">
        <f>IFERROR(VLOOKUP($AQ481,'(勿動)組件目錄表'!$D$15:$R$1094,4,FALSE),"")</f>
        <v/>
      </c>
      <c r="AF481" s="384"/>
      <c r="AG481" s="384"/>
      <c r="AH481" s="384"/>
      <c r="AI481" s="384"/>
      <c r="AJ481" s="385"/>
      <c r="AK481" s="54" t="b">
        <v>0</v>
      </c>
      <c r="AL481" s="54" t="b">
        <v>0</v>
      </c>
      <c r="AM481" s="54"/>
      <c r="AN481" s="7" t="str">
        <v>473</v>
      </c>
      <c r="AO481" s="7"/>
      <c r="AP481" s="62"/>
      <c r="AQ481" s="75" t="str">
        <v/>
      </c>
      <c r="AR481" s="75" t="str">
        <v>-</v>
      </c>
      <c r="AS481" s="11"/>
      <c r="AT481" s="77" t="str">
        <v>-</v>
      </c>
      <c r="AU481" s="11" t="str">
        <v>-</v>
      </c>
      <c r="AV481" s="100"/>
      <c r="AW481" s="80" t="str">
        <f ca="1"/>
        <v>-</v>
      </c>
      <c r="AX481" s="80" t="b">
        <v>0</v>
      </c>
      <c r="AY481" s="68" t="str">
        <f t="shared" si="4"/>
        <v/>
      </c>
      <c r="AZ481" s="69" t="str">
        <f t="shared" si="5"/>
        <v/>
      </c>
      <c r="BA481" s="70" t="str">
        <f t="shared" si="6"/>
        <v/>
      </c>
      <c r="BB481" s="68" t="str">
        <f t="shared" si="7"/>
        <v/>
      </c>
      <c r="BC481" s="69" t="str">
        <f>IFERROR(VLOOKUP($AQ481,'(勿動)組件目錄表'!$D$15:$R$1094,7,FALSE),"")</f>
        <v/>
      </c>
      <c r="BD481" s="69" t="str">
        <f>IFERROR(VLOOKUP($AQ481,'(勿動)組件目錄表'!$D$15:$R$1094,8,FALSE),"")</f>
        <v/>
      </c>
      <c r="BE481" s="69" t="str">
        <f>IFERROR(VLOOKUP($AQ481,'(勿動)組件目錄表'!$D$15:$R$1094,9,FALSE),"")</f>
        <v/>
      </c>
      <c r="BF481" s="69" t="str">
        <f>IFERROR(VLOOKUP($AQ481,'(勿動)組件目錄表'!$D$15:$R$1094,10,FALSE),"")</f>
        <v/>
      </c>
      <c r="BG481" s="69" t="str">
        <f>IFERROR(VLOOKUP($AQ481,'(勿動)組件目錄表'!$D$15:$R$1094,11,FALSE),"")</f>
        <v/>
      </c>
      <c r="BH481" s="69" t="str">
        <f>IFERROR(VLOOKUP($AQ481,'(勿動)組件目錄表'!$D$15:$R$1094,12,FALSE),"")</f>
        <v/>
      </c>
      <c r="BI481" s="69" t="str">
        <f>IFERROR(VLOOKUP($AQ481,'(勿動)組件目錄表'!$D$15:$R$1094,13,FALSE),"")</f>
        <v/>
      </c>
      <c r="BJ481" s="69" t="str">
        <f>IFERROR(VLOOKUP($AQ481,'(勿動)組件目錄表'!$D$15:$R$1094,14,FALSE),"")</f>
        <v/>
      </c>
      <c r="BK481" s="69" t="str">
        <f>IFERROR(VLOOKUP($AQ481,'(勿動)組件目錄表'!$D$15:$R$1094,15,FALSE),"")</f>
        <v/>
      </c>
      <c r="BL481" s="81">
        <f ca="1">IFERROR(__xludf.DUMMYFUNCTION("IFERROR(
  LET(
    rowData, FILTER('(勿動)組件目錄表'!J:Q, '(勿動)組件目錄表'!D:D=AQ481),
    IF(ROWS(rowData)=0, 0, 
      (
        IF(AND(BC481&lt;&gt;"""", INDEX(rowData,1,1)=BC481),1,0) +
        IF(AND(BD481&lt;&gt;"""", INDEX(rowData,1,2)=BD481),1,0) +
        IF(AND(BE481"&amp;"&lt;&gt;"""", INDEX(rowData,1,3)=BE481),1,0) +
        IF(AND(BF481&lt;&gt;"""", INDEX(rowData,1,4)=BF481),1,0) +
        IF(AND(BG481&lt;&gt;"""", INDEX(rowData,1,5)=BG481),1,0) +
        IF(AND(BH481&lt;&gt;"""", INDEX(rowData,1,6)=BH481),1,0) +
        IF(AND(BI481&lt;&gt;"""", IND"&amp;"EX(rowData,1,7)=BI481),1,0) +
        IF(AND(BJ481&lt;&gt;"""", INDEX(rowData,1,8)=BJ481),1,0)
      ) - COUNTIF(BC481:BJ481, ""-"")
        - COUNTIF(BC481:BJ481, ""固定格式，不需提供資訊"")
        - COUNTIF(BC481:BJ481, ""由MKT更新，此欄位固定格式，不需提供資訊
(Voucher CID：12917705872)"&amp;""")
        - COUNTIF(BC481:BJ481, ""text固定為以下：
※直播間僅支援手機版"")
        - COUNTIF(BC481:BJ481, ""text固定為以下：
※短影音僅支援手機版"")
    )
  ), 
  0
)
"),0)</f>
        <v>0</v>
      </c>
      <c r="BM481" s="77" t="b">
        <v>0</v>
      </c>
      <c r="BN481" s="85"/>
      <c r="BO481" s="85"/>
    </row>
    <row r="482" spans="1:67" ht="30" customHeight="1">
      <c r="A482" s="73" t="str">
        <f t="array" aca="1" ref="A482" ca="1">IFERROR(TRANSPOSE(INDIRECT('MS section版配(Old)'!$AO482)),"")</f>
        <v/>
      </c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8"/>
      <c r="P482" s="88"/>
      <c r="Q482" s="88"/>
      <c r="R482" s="88"/>
      <c r="S482" s="88"/>
      <c r="T482" s="88"/>
      <c r="U482" s="88"/>
      <c r="V482" s="88"/>
      <c r="W482" s="88"/>
      <c r="X482" s="88"/>
      <c r="Y482" s="88"/>
      <c r="Z482" s="88"/>
      <c r="AA482" s="88"/>
      <c r="AB482" s="88"/>
      <c r="AC482" s="88"/>
      <c r="AD482" s="88"/>
      <c r="AE482" s="397" t="str">
        <f>IFERROR(VLOOKUP($AQ482,'(勿動)組件目錄表'!$D$15:$R$1094,4,FALSE),"")</f>
        <v/>
      </c>
      <c r="AF482" s="384"/>
      <c r="AG482" s="384"/>
      <c r="AH482" s="384"/>
      <c r="AI482" s="384"/>
      <c r="AJ482" s="385"/>
      <c r="AK482" s="54" t="b">
        <v>0</v>
      </c>
      <c r="AL482" s="54" t="b">
        <v>0</v>
      </c>
      <c r="AM482" s="54"/>
      <c r="AN482" s="7" t="str">
        <v>474</v>
      </c>
      <c r="AO482" s="7"/>
      <c r="AP482" s="62"/>
      <c r="AQ482" s="75" t="str">
        <v/>
      </c>
      <c r="AR482" s="75" t="str">
        <v>-</v>
      </c>
      <c r="AS482" s="11"/>
      <c r="AT482" s="77" t="str">
        <v>-</v>
      </c>
      <c r="AU482" s="11" t="str">
        <v>-</v>
      </c>
      <c r="AV482" s="100"/>
      <c r="AW482" s="80" t="str">
        <f ca="1"/>
        <v>-</v>
      </c>
      <c r="AX482" s="80" t="b">
        <v>0</v>
      </c>
      <c r="AY482" s="68" t="str">
        <f t="shared" si="4"/>
        <v/>
      </c>
      <c r="AZ482" s="69" t="str">
        <f t="shared" si="5"/>
        <v/>
      </c>
      <c r="BA482" s="70" t="str">
        <f t="shared" si="6"/>
        <v/>
      </c>
      <c r="BB482" s="68" t="str">
        <f t="shared" si="7"/>
        <v/>
      </c>
      <c r="BC482" s="69" t="str">
        <f>IFERROR(VLOOKUP($AQ482,'(勿動)組件目錄表'!$D$15:$R$1094,7,FALSE),"")</f>
        <v/>
      </c>
      <c r="BD482" s="69" t="str">
        <f>IFERROR(VLOOKUP($AQ482,'(勿動)組件目錄表'!$D$15:$R$1094,8,FALSE),"")</f>
        <v/>
      </c>
      <c r="BE482" s="69" t="str">
        <f>IFERROR(VLOOKUP($AQ482,'(勿動)組件目錄表'!$D$15:$R$1094,9,FALSE),"")</f>
        <v/>
      </c>
      <c r="BF482" s="69" t="str">
        <f>IFERROR(VLOOKUP($AQ482,'(勿動)組件目錄表'!$D$15:$R$1094,10,FALSE),"")</f>
        <v/>
      </c>
      <c r="BG482" s="69" t="str">
        <f>IFERROR(VLOOKUP($AQ482,'(勿動)組件目錄表'!$D$15:$R$1094,11,FALSE),"")</f>
        <v/>
      </c>
      <c r="BH482" s="69" t="str">
        <f>IFERROR(VLOOKUP($AQ482,'(勿動)組件目錄表'!$D$15:$R$1094,12,FALSE),"")</f>
        <v/>
      </c>
      <c r="BI482" s="69" t="str">
        <f>IFERROR(VLOOKUP($AQ482,'(勿動)組件目錄表'!$D$15:$R$1094,13,FALSE),"")</f>
        <v/>
      </c>
      <c r="BJ482" s="69" t="str">
        <f>IFERROR(VLOOKUP($AQ482,'(勿動)組件目錄表'!$D$15:$R$1094,14,FALSE),"")</f>
        <v/>
      </c>
      <c r="BK482" s="69" t="str">
        <f>IFERROR(VLOOKUP($AQ482,'(勿動)組件目錄表'!$D$15:$R$1094,15,FALSE),"")</f>
        <v/>
      </c>
      <c r="BL482" s="81">
        <f ca="1">IFERROR(__xludf.DUMMYFUNCTION("IFERROR(
  LET(
    rowData, FILTER('(勿動)組件目錄表'!J:Q, '(勿動)組件目錄表'!D:D=AQ482),
    IF(ROWS(rowData)=0, 0, 
      (
        IF(AND(BC482&lt;&gt;"""", INDEX(rowData,1,1)=BC482),1,0) +
        IF(AND(BD482&lt;&gt;"""", INDEX(rowData,1,2)=BD482),1,0) +
        IF(AND(BE482"&amp;"&lt;&gt;"""", INDEX(rowData,1,3)=BE482),1,0) +
        IF(AND(BF482&lt;&gt;"""", INDEX(rowData,1,4)=BF482),1,0) +
        IF(AND(BG482&lt;&gt;"""", INDEX(rowData,1,5)=BG482),1,0) +
        IF(AND(BH482&lt;&gt;"""", INDEX(rowData,1,6)=BH482),1,0) +
        IF(AND(BI482&lt;&gt;"""", IND"&amp;"EX(rowData,1,7)=BI482),1,0) +
        IF(AND(BJ482&lt;&gt;"""", INDEX(rowData,1,8)=BJ482),1,0)
      ) - COUNTIF(BC482:BJ482, ""-"")
        - COUNTIF(BC482:BJ482, ""固定格式，不需提供資訊"")
        - COUNTIF(BC482:BJ482, ""由MKT更新，此欄位固定格式，不需提供資訊
(Voucher CID：12917705872)"&amp;""")
        - COUNTIF(BC482:BJ482, ""text固定為以下：
※直播間僅支援手機版"")
        - COUNTIF(BC482:BJ482, ""text固定為以下：
※短影音僅支援手機版"")
    )
  ), 
  0
)
"),0)</f>
        <v>0</v>
      </c>
      <c r="BM482" s="77" t="b">
        <v>0</v>
      </c>
      <c r="BN482" s="85"/>
      <c r="BO482" s="85"/>
    </row>
    <row r="483" spans="1:67" ht="30" customHeight="1">
      <c r="A483" s="73" t="str">
        <f t="array" aca="1" ref="A483" ca="1">IFERROR(TRANSPOSE(INDIRECT('MS section版配(Old)'!$AO483)),"")</f>
        <v/>
      </c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8"/>
      <c r="P483" s="88"/>
      <c r="Q483" s="88"/>
      <c r="R483" s="88"/>
      <c r="S483" s="88"/>
      <c r="T483" s="88"/>
      <c r="U483" s="88"/>
      <c r="V483" s="88"/>
      <c r="W483" s="88"/>
      <c r="X483" s="88"/>
      <c r="Y483" s="88"/>
      <c r="Z483" s="88"/>
      <c r="AA483" s="88"/>
      <c r="AB483" s="88"/>
      <c r="AC483" s="88"/>
      <c r="AD483" s="88"/>
      <c r="AE483" s="397" t="str">
        <f>IFERROR(VLOOKUP($AQ483,'(勿動)組件目錄表'!$D$15:$R$1094,4,FALSE),"")</f>
        <v/>
      </c>
      <c r="AF483" s="384"/>
      <c r="AG483" s="384"/>
      <c r="AH483" s="384"/>
      <c r="AI483" s="384"/>
      <c r="AJ483" s="385"/>
      <c r="AK483" s="54" t="b">
        <v>0</v>
      </c>
      <c r="AL483" s="54" t="b">
        <v>0</v>
      </c>
      <c r="AM483" s="54"/>
      <c r="AN483" s="7" t="str">
        <v>475</v>
      </c>
      <c r="AO483" s="7"/>
      <c r="AP483" s="62"/>
      <c r="AQ483" s="75" t="str">
        <v/>
      </c>
      <c r="AR483" s="75" t="str">
        <v>-</v>
      </c>
      <c r="AS483" s="11"/>
      <c r="AT483" s="77" t="str">
        <v>-</v>
      </c>
      <c r="AU483" s="11" t="str">
        <v>-</v>
      </c>
      <c r="AV483" s="100"/>
      <c r="AW483" s="80" t="str">
        <f ca="1"/>
        <v>-</v>
      </c>
      <c r="AX483" s="80" t="b">
        <v>0</v>
      </c>
      <c r="AY483" s="68" t="str">
        <f t="shared" si="4"/>
        <v/>
      </c>
      <c r="AZ483" s="69" t="str">
        <f t="shared" si="5"/>
        <v/>
      </c>
      <c r="BA483" s="70" t="str">
        <f t="shared" si="6"/>
        <v/>
      </c>
      <c r="BB483" s="68" t="str">
        <f t="shared" si="7"/>
        <v/>
      </c>
      <c r="BC483" s="69" t="str">
        <f>IFERROR(VLOOKUP($AQ483,'(勿動)組件目錄表'!$D$15:$R$1094,7,FALSE),"")</f>
        <v/>
      </c>
      <c r="BD483" s="69" t="str">
        <f>IFERROR(VLOOKUP($AQ483,'(勿動)組件目錄表'!$D$15:$R$1094,8,FALSE),"")</f>
        <v/>
      </c>
      <c r="BE483" s="69" t="str">
        <f>IFERROR(VLOOKUP($AQ483,'(勿動)組件目錄表'!$D$15:$R$1094,9,FALSE),"")</f>
        <v/>
      </c>
      <c r="BF483" s="69" t="str">
        <f>IFERROR(VLOOKUP($AQ483,'(勿動)組件目錄表'!$D$15:$R$1094,10,FALSE),"")</f>
        <v/>
      </c>
      <c r="BG483" s="69" t="str">
        <f>IFERROR(VLOOKUP($AQ483,'(勿動)組件目錄表'!$D$15:$R$1094,11,FALSE),"")</f>
        <v/>
      </c>
      <c r="BH483" s="69" t="str">
        <f>IFERROR(VLOOKUP($AQ483,'(勿動)組件目錄表'!$D$15:$R$1094,12,FALSE),"")</f>
        <v/>
      </c>
      <c r="BI483" s="69" t="str">
        <f>IFERROR(VLOOKUP($AQ483,'(勿動)組件目錄表'!$D$15:$R$1094,13,FALSE),"")</f>
        <v/>
      </c>
      <c r="BJ483" s="69" t="str">
        <f>IFERROR(VLOOKUP($AQ483,'(勿動)組件目錄表'!$D$15:$R$1094,14,FALSE),"")</f>
        <v/>
      </c>
      <c r="BK483" s="69" t="str">
        <f>IFERROR(VLOOKUP($AQ483,'(勿動)組件目錄表'!$D$15:$R$1094,15,FALSE),"")</f>
        <v/>
      </c>
      <c r="BL483" s="81">
        <f ca="1">IFERROR(__xludf.DUMMYFUNCTION("IFERROR(
  LET(
    rowData, FILTER('(勿動)組件目錄表'!J:Q, '(勿動)組件目錄表'!D:D=AQ483),
    IF(ROWS(rowData)=0, 0, 
      (
        IF(AND(BC483&lt;&gt;"""", INDEX(rowData,1,1)=BC483),1,0) +
        IF(AND(BD483&lt;&gt;"""", INDEX(rowData,1,2)=BD483),1,0) +
        IF(AND(BE483"&amp;"&lt;&gt;"""", INDEX(rowData,1,3)=BE483),1,0) +
        IF(AND(BF483&lt;&gt;"""", INDEX(rowData,1,4)=BF483),1,0) +
        IF(AND(BG483&lt;&gt;"""", INDEX(rowData,1,5)=BG483),1,0) +
        IF(AND(BH483&lt;&gt;"""", INDEX(rowData,1,6)=BH483),1,0) +
        IF(AND(BI483&lt;&gt;"""", IND"&amp;"EX(rowData,1,7)=BI483),1,0) +
        IF(AND(BJ483&lt;&gt;"""", INDEX(rowData,1,8)=BJ483),1,0)
      ) - COUNTIF(BC483:BJ483, ""-"")
        - COUNTIF(BC483:BJ483, ""固定格式，不需提供資訊"")
        - COUNTIF(BC483:BJ483, ""由MKT更新，此欄位固定格式，不需提供資訊
(Voucher CID：12917705872)"&amp;""")
        - COUNTIF(BC483:BJ483, ""text固定為以下：
※直播間僅支援手機版"")
        - COUNTIF(BC483:BJ483, ""text固定為以下：
※短影音僅支援手機版"")
    )
  ), 
  0
)
"),0)</f>
        <v>0</v>
      </c>
      <c r="BM483" s="77" t="b">
        <v>0</v>
      </c>
      <c r="BN483" s="85"/>
      <c r="BO483" s="85"/>
    </row>
    <row r="484" spans="1:67" ht="30" customHeight="1">
      <c r="A484" s="73" t="str">
        <f t="array" aca="1" ref="A484" ca="1">IFERROR(TRANSPOSE(INDIRECT('MS section版配(Old)'!$AO484)),"")</f>
        <v/>
      </c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8"/>
      <c r="P484" s="88"/>
      <c r="Q484" s="88"/>
      <c r="R484" s="88"/>
      <c r="S484" s="88"/>
      <c r="T484" s="88"/>
      <c r="U484" s="88"/>
      <c r="V484" s="88"/>
      <c r="W484" s="88"/>
      <c r="X484" s="88"/>
      <c r="Y484" s="88"/>
      <c r="Z484" s="88"/>
      <c r="AA484" s="88"/>
      <c r="AB484" s="88"/>
      <c r="AC484" s="88"/>
      <c r="AD484" s="88"/>
      <c r="AE484" s="397" t="str">
        <f>IFERROR(VLOOKUP($AQ484,'(勿動)組件目錄表'!$D$15:$R$1094,4,FALSE),"")</f>
        <v/>
      </c>
      <c r="AF484" s="384"/>
      <c r="AG484" s="384"/>
      <c r="AH484" s="384"/>
      <c r="AI484" s="384"/>
      <c r="AJ484" s="385"/>
      <c r="AK484" s="54" t="b">
        <v>0</v>
      </c>
      <c r="AL484" s="54" t="b">
        <v>0</v>
      </c>
      <c r="AM484" s="54"/>
      <c r="AN484" s="7" t="str">
        <v>476</v>
      </c>
      <c r="AO484" s="7"/>
      <c r="AP484" s="62"/>
      <c r="AQ484" s="75" t="str">
        <v/>
      </c>
      <c r="AR484" s="75" t="str">
        <v>-</v>
      </c>
      <c r="AS484" s="11"/>
      <c r="AT484" s="77" t="str">
        <v>-</v>
      </c>
      <c r="AU484" s="11" t="str">
        <v>-</v>
      </c>
      <c r="AV484" s="100"/>
      <c r="AW484" s="80" t="str">
        <f ca="1"/>
        <v>-</v>
      </c>
      <c r="AX484" s="80" t="b">
        <v>0</v>
      </c>
      <c r="AY484" s="68" t="str">
        <f t="shared" si="4"/>
        <v/>
      </c>
      <c r="AZ484" s="69" t="str">
        <f t="shared" si="5"/>
        <v/>
      </c>
      <c r="BA484" s="70" t="str">
        <f t="shared" si="6"/>
        <v/>
      </c>
      <c r="BB484" s="68" t="str">
        <f t="shared" si="7"/>
        <v/>
      </c>
      <c r="BC484" s="69" t="str">
        <f>IFERROR(VLOOKUP($AQ484,'(勿動)組件目錄表'!$D$15:$R$1094,7,FALSE),"")</f>
        <v/>
      </c>
      <c r="BD484" s="69" t="str">
        <f>IFERROR(VLOOKUP($AQ484,'(勿動)組件目錄表'!$D$15:$R$1094,8,FALSE),"")</f>
        <v/>
      </c>
      <c r="BE484" s="69" t="str">
        <f>IFERROR(VLOOKUP($AQ484,'(勿動)組件目錄表'!$D$15:$R$1094,9,FALSE),"")</f>
        <v/>
      </c>
      <c r="BF484" s="69" t="str">
        <f>IFERROR(VLOOKUP($AQ484,'(勿動)組件目錄表'!$D$15:$R$1094,10,FALSE),"")</f>
        <v/>
      </c>
      <c r="BG484" s="69" t="str">
        <f>IFERROR(VLOOKUP($AQ484,'(勿動)組件目錄表'!$D$15:$R$1094,11,FALSE),"")</f>
        <v/>
      </c>
      <c r="BH484" s="69" t="str">
        <f>IFERROR(VLOOKUP($AQ484,'(勿動)組件目錄表'!$D$15:$R$1094,12,FALSE),"")</f>
        <v/>
      </c>
      <c r="BI484" s="69" t="str">
        <f>IFERROR(VLOOKUP($AQ484,'(勿動)組件目錄表'!$D$15:$R$1094,13,FALSE),"")</f>
        <v/>
      </c>
      <c r="BJ484" s="69" t="str">
        <f>IFERROR(VLOOKUP($AQ484,'(勿動)組件目錄表'!$D$15:$R$1094,14,FALSE),"")</f>
        <v/>
      </c>
      <c r="BK484" s="69" t="str">
        <f>IFERROR(VLOOKUP($AQ484,'(勿動)組件目錄表'!$D$15:$R$1094,15,FALSE),"")</f>
        <v/>
      </c>
      <c r="BL484" s="81">
        <f ca="1">IFERROR(__xludf.DUMMYFUNCTION("IFERROR(
  LET(
    rowData, FILTER('(勿動)組件目錄表'!J:Q, '(勿動)組件目錄表'!D:D=AQ484),
    IF(ROWS(rowData)=0, 0, 
      (
        IF(AND(BC484&lt;&gt;"""", INDEX(rowData,1,1)=BC484),1,0) +
        IF(AND(BD484&lt;&gt;"""", INDEX(rowData,1,2)=BD484),1,0) +
        IF(AND(BE484"&amp;"&lt;&gt;"""", INDEX(rowData,1,3)=BE484),1,0) +
        IF(AND(BF484&lt;&gt;"""", INDEX(rowData,1,4)=BF484),1,0) +
        IF(AND(BG484&lt;&gt;"""", INDEX(rowData,1,5)=BG484),1,0) +
        IF(AND(BH484&lt;&gt;"""", INDEX(rowData,1,6)=BH484),1,0) +
        IF(AND(BI484&lt;&gt;"""", IND"&amp;"EX(rowData,1,7)=BI484),1,0) +
        IF(AND(BJ484&lt;&gt;"""", INDEX(rowData,1,8)=BJ484),1,0)
      ) - COUNTIF(BC484:BJ484, ""-"")
        - COUNTIF(BC484:BJ484, ""固定格式，不需提供資訊"")
        - COUNTIF(BC484:BJ484, ""由MKT更新，此欄位固定格式，不需提供資訊
(Voucher CID：12917705872)"&amp;""")
        - COUNTIF(BC484:BJ484, ""text固定為以下：
※直播間僅支援手機版"")
        - COUNTIF(BC484:BJ484, ""text固定為以下：
※短影音僅支援手機版"")
    )
  ), 
  0
)
"),0)</f>
        <v>0</v>
      </c>
      <c r="BM484" s="77" t="b">
        <v>0</v>
      </c>
      <c r="BN484" s="85"/>
      <c r="BO484" s="85"/>
    </row>
    <row r="485" spans="1:67" ht="30" customHeight="1">
      <c r="A485" s="73" t="str">
        <f t="array" aca="1" ref="A485" ca="1">IFERROR(TRANSPOSE(INDIRECT('MS section版配(Old)'!$AO485)),"")</f>
        <v/>
      </c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8"/>
      <c r="P485" s="88"/>
      <c r="Q485" s="88"/>
      <c r="R485" s="88"/>
      <c r="S485" s="88"/>
      <c r="T485" s="88"/>
      <c r="U485" s="88"/>
      <c r="V485" s="88"/>
      <c r="W485" s="88"/>
      <c r="X485" s="88"/>
      <c r="Y485" s="88"/>
      <c r="Z485" s="88"/>
      <c r="AA485" s="88"/>
      <c r="AB485" s="88"/>
      <c r="AC485" s="88"/>
      <c r="AD485" s="88"/>
      <c r="AE485" s="397" t="str">
        <f>IFERROR(VLOOKUP($AQ485,'(勿動)組件目錄表'!$D$15:$R$1094,4,FALSE),"")</f>
        <v/>
      </c>
      <c r="AF485" s="384"/>
      <c r="AG485" s="384"/>
      <c r="AH485" s="384"/>
      <c r="AI485" s="384"/>
      <c r="AJ485" s="385"/>
      <c r="AK485" s="54" t="b">
        <v>0</v>
      </c>
      <c r="AL485" s="54" t="b">
        <v>0</v>
      </c>
      <c r="AM485" s="54"/>
      <c r="AN485" s="7" t="str">
        <v>477</v>
      </c>
      <c r="AO485" s="7"/>
      <c r="AP485" s="62"/>
      <c r="AQ485" s="75" t="str">
        <v/>
      </c>
      <c r="AR485" s="75" t="str">
        <v>-</v>
      </c>
      <c r="AS485" s="11"/>
      <c r="AT485" s="77" t="str">
        <v>-</v>
      </c>
      <c r="AU485" s="11" t="str">
        <v>-</v>
      </c>
      <c r="AV485" s="100"/>
      <c r="AW485" s="80" t="str">
        <f ca="1"/>
        <v>-</v>
      </c>
      <c r="AX485" s="80" t="b">
        <v>0</v>
      </c>
      <c r="AY485" s="68" t="str">
        <f t="shared" si="4"/>
        <v/>
      </c>
      <c r="AZ485" s="69" t="str">
        <f t="shared" si="5"/>
        <v/>
      </c>
      <c r="BA485" s="70" t="str">
        <f t="shared" si="6"/>
        <v/>
      </c>
      <c r="BB485" s="68" t="str">
        <f t="shared" si="7"/>
        <v/>
      </c>
      <c r="BC485" s="69" t="str">
        <f>IFERROR(VLOOKUP($AQ485,'(勿動)組件目錄表'!$D$15:$R$1094,7,FALSE),"")</f>
        <v/>
      </c>
      <c r="BD485" s="69" t="str">
        <f>IFERROR(VLOOKUP($AQ485,'(勿動)組件目錄表'!$D$15:$R$1094,8,FALSE),"")</f>
        <v/>
      </c>
      <c r="BE485" s="69" t="str">
        <f>IFERROR(VLOOKUP($AQ485,'(勿動)組件目錄表'!$D$15:$R$1094,9,FALSE),"")</f>
        <v/>
      </c>
      <c r="BF485" s="69" t="str">
        <f>IFERROR(VLOOKUP($AQ485,'(勿動)組件目錄表'!$D$15:$R$1094,10,FALSE),"")</f>
        <v/>
      </c>
      <c r="BG485" s="69" t="str">
        <f>IFERROR(VLOOKUP($AQ485,'(勿動)組件目錄表'!$D$15:$R$1094,11,FALSE),"")</f>
        <v/>
      </c>
      <c r="BH485" s="69" t="str">
        <f>IFERROR(VLOOKUP($AQ485,'(勿動)組件目錄表'!$D$15:$R$1094,12,FALSE),"")</f>
        <v/>
      </c>
      <c r="BI485" s="69" t="str">
        <f>IFERROR(VLOOKUP($AQ485,'(勿動)組件目錄表'!$D$15:$R$1094,13,FALSE),"")</f>
        <v/>
      </c>
      <c r="BJ485" s="69" t="str">
        <f>IFERROR(VLOOKUP($AQ485,'(勿動)組件目錄表'!$D$15:$R$1094,14,FALSE),"")</f>
        <v/>
      </c>
      <c r="BK485" s="69" t="str">
        <f>IFERROR(VLOOKUP($AQ485,'(勿動)組件目錄表'!$D$15:$R$1094,15,FALSE),"")</f>
        <v/>
      </c>
      <c r="BL485" s="81">
        <f ca="1">IFERROR(__xludf.DUMMYFUNCTION("IFERROR(
  LET(
    rowData, FILTER('(勿動)組件目錄表'!J:Q, '(勿動)組件目錄表'!D:D=AQ485),
    IF(ROWS(rowData)=0, 0, 
      (
        IF(AND(BC485&lt;&gt;"""", INDEX(rowData,1,1)=BC485),1,0) +
        IF(AND(BD485&lt;&gt;"""", INDEX(rowData,1,2)=BD485),1,0) +
        IF(AND(BE485"&amp;"&lt;&gt;"""", INDEX(rowData,1,3)=BE485),1,0) +
        IF(AND(BF485&lt;&gt;"""", INDEX(rowData,1,4)=BF485),1,0) +
        IF(AND(BG485&lt;&gt;"""", INDEX(rowData,1,5)=BG485),1,0) +
        IF(AND(BH485&lt;&gt;"""", INDEX(rowData,1,6)=BH485),1,0) +
        IF(AND(BI485&lt;&gt;"""", IND"&amp;"EX(rowData,1,7)=BI485),1,0) +
        IF(AND(BJ485&lt;&gt;"""", INDEX(rowData,1,8)=BJ485),1,0)
      ) - COUNTIF(BC485:BJ485, ""-"")
        - COUNTIF(BC485:BJ485, ""固定格式，不需提供資訊"")
        - COUNTIF(BC485:BJ485, ""由MKT更新，此欄位固定格式，不需提供資訊
(Voucher CID：12917705872)"&amp;""")
        - COUNTIF(BC485:BJ485, ""text固定為以下：
※直播間僅支援手機版"")
        - COUNTIF(BC485:BJ485, ""text固定為以下：
※短影音僅支援手機版"")
    )
  ), 
  0
)
"),0)</f>
        <v>0</v>
      </c>
      <c r="BM485" s="77" t="b">
        <v>0</v>
      </c>
      <c r="BN485" s="85"/>
      <c r="BO485" s="85"/>
    </row>
    <row r="486" spans="1:67" ht="30" customHeight="1">
      <c r="A486" s="73" t="str">
        <f t="array" aca="1" ref="A486" ca="1">IFERROR(TRANSPOSE(INDIRECT('MS section版配(Old)'!$AO486)),"")</f>
        <v/>
      </c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8"/>
      <c r="P486" s="88"/>
      <c r="Q486" s="88"/>
      <c r="R486" s="88"/>
      <c r="S486" s="88"/>
      <c r="T486" s="88"/>
      <c r="U486" s="88"/>
      <c r="V486" s="88"/>
      <c r="W486" s="88"/>
      <c r="X486" s="88"/>
      <c r="Y486" s="88"/>
      <c r="Z486" s="88"/>
      <c r="AA486" s="88"/>
      <c r="AB486" s="88"/>
      <c r="AC486" s="88"/>
      <c r="AD486" s="88"/>
      <c r="AE486" s="397" t="str">
        <f>IFERROR(VLOOKUP($AQ486,'(勿動)組件目錄表'!$D$15:$R$1094,4,FALSE),"")</f>
        <v/>
      </c>
      <c r="AF486" s="384"/>
      <c r="AG486" s="384"/>
      <c r="AH486" s="384"/>
      <c r="AI486" s="384"/>
      <c r="AJ486" s="385"/>
      <c r="AK486" s="54" t="b">
        <v>0</v>
      </c>
      <c r="AL486" s="54" t="b">
        <v>0</v>
      </c>
      <c r="AM486" s="54"/>
      <c r="AN486" s="7" t="str">
        <v>478</v>
      </c>
      <c r="AO486" s="7"/>
      <c r="AP486" s="62"/>
      <c r="AQ486" s="75" t="str">
        <v/>
      </c>
      <c r="AR486" s="75" t="str">
        <v>-</v>
      </c>
      <c r="AS486" s="11"/>
      <c r="AT486" s="77" t="str">
        <v>-</v>
      </c>
      <c r="AU486" s="11" t="str">
        <v>-</v>
      </c>
      <c r="AV486" s="100"/>
      <c r="AW486" s="80" t="str">
        <f ca="1"/>
        <v>-</v>
      </c>
      <c r="AX486" s="80" t="b">
        <v>0</v>
      </c>
      <c r="AY486" s="68" t="str">
        <f t="shared" si="4"/>
        <v/>
      </c>
      <c r="AZ486" s="69" t="str">
        <f t="shared" si="5"/>
        <v/>
      </c>
      <c r="BA486" s="70" t="str">
        <f t="shared" si="6"/>
        <v/>
      </c>
      <c r="BB486" s="68" t="str">
        <f t="shared" si="7"/>
        <v/>
      </c>
      <c r="BC486" s="69" t="str">
        <f>IFERROR(VLOOKUP($AQ486,'(勿動)組件目錄表'!$D$15:$R$1094,7,FALSE),"")</f>
        <v/>
      </c>
      <c r="BD486" s="69" t="str">
        <f>IFERROR(VLOOKUP($AQ486,'(勿動)組件目錄表'!$D$15:$R$1094,8,FALSE),"")</f>
        <v/>
      </c>
      <c r="BE486" s="69" t="str">
        <f>IFERROR(VLOOKUP($AQ486,'(勿動)組件目錄表'!$D$15:$R$1094,9,FALSE),"")</f>
        <v/>
      </c>
      <c r="BF486" s="69" t="str">
        <f>IFERROR(VLOOKUP($AQ486,'(勿動)組件目錄表'!$D$15:$R$1094,10,FALSE),"")</f>
        <v/>
      </c>
      <c r="BG486" s="69" t="str">
        <f>IFERROR(VLOOKUP($AQ486,'(勿動)組件目錄表'!$D$15:$R$1094,11,FALSE),"")</f>
        <v/>
      </c>
      <c r="BH486" s="69" t="str">
        <f>IFERROR(VLOOKUP($AQ486,'(勿動)組件目錄表'!$D$15:$R$1094,12,FALSE),"")</f>
        <v/>
      </c>
      <c r="BI486" s="69" t="str">
        <f>IFERROR(VLOOKUP($AQ486,'(勿動)組件目錄表'!$D$15:$R$1094,13,FALSE),"")</f>
        <v/>
      </c>
      <c r="BJ486" s="69" t="str">
        <f>IFERROR(VLOOKUP($AQ486,'(勿動)組件目錄表'!$D$15:$R$1094,14,FALSE),"")</f>
        <v/>
      </c>
      <c r="BK486" s="69" t="str">
        <f>IFERROR(VLOOKUP($AQ486,'(勿動)組件目錄表'!$D$15:$R$1094,15,FALSE),"")</f>
        <v/>
      </c>
      <c r="BL486" s="81">
        <f ca="1">IFERROR(__xludf.DUMMYFUNCTION("IFERROR(
  LET(
    rowData, FILTER('(勿動)組件目錄表'!J:Q, '(勿動)組件目錄表'!D:D=AQ486),
    IF(ROWS(rowData)=0, 0, 
      (
        IF(AND(BC486&lt;&gt;"""", INDEX(rowData,1,1)=BC486),1,0) +
        IF(AND(BD486&lt;&gt;"""", INDEX(rowData,1,2)=BD486),1,0) +
        IF(AND(BE486"&amp;"&lt;&gt;"""", INDEX(rowData,1,3)=BE486),1,0) +
        IF(AND(BF486&lt;&gt;"""", INDEX(rowData,1,4)=BF486),1,0) +
        IF(AND(BG486&lt;&gt;"""", INDEX(rowData,1,5)=BG486),1,0) +
        IF(AND(BH486&lt;&gt;"""", INDEX(rowData,1,6)=BH486),1,0) +
        IF(AND(BI486&lt;&gt;"""", IND"&amp;"EX(rowData,1,7)=BI486),1,0) +
        IF(AND(BJ486&lt;&gt;"""", INDEX(rowData,1,8)=BJ486),1,0)
      ) - COUNTIF(BC486:BJ486, ""-"")
        - COUNTIF(BC486:BJ486, ""固定格式，不需提供資訊"")
        - COUNTIF(BC486:BJ486, ""由MKT更新，此欄位固定格式，不需提供資訊
(Voucher CID：12917705872)"&amp;""")
        - COUNTIF(BC486:BJ486, ""text固定為以下：
※直播間僅支援手機版"")
        - COUNTIF(BC486:BJ486, ""text固定為以下：
※短影音僅支援手機版"")
    )
  ), 
  0
)
"),0)</f>
        <v>0</v>
      </c>
      <c r="BM486" s="77" t="b">
        <v>0</v>
      </c>
      <c r="BN486" s="85"/>
      <c r="BO486" s="85"/>
    </row>
    <row r="487" spans="1:67" ht="30" customHeight="1">
      <c r="A487" s="73" t="str">
        <f t="array" aca="1" ref="A487" ca="1">IFERROR(TRANSPOSE(INDIRECT('MS section版配(Old)'!$AO487)),"")</f>
        <v/>
      </c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8"/>
      <c r="P487" s="88"/>
      <c r="Q487" s="88"/>
      <c r="R487" s="88"/>
      <c r="S487" s="88"/>
      <c r="T487" s="88"/>
      <c r="U487" s="88"/>
      <c r="V487" s="88"/>
      <c r="W487" s="88"/>
      <c r="X487" s="88"/>
      <c r="Y487" s="88"/>
      <c r="Z487" s="88"/>
      <c r="AA487" s="88"/>
      <c r="AB487" s="88"/>
      <c r="AC487" s="88"/>
      <c r="AD487" s="88"/>
      <c r="AE487" s="397" t="str">
        <f>IFERROR(VLOOKUP($AQ487,'(勿動)組件目錄表'!$D$15:$R$1094,4,FALSE),"")</f>
        <v/>
      </c>
      <c r="AF487" s="384"/>
      <c r="AG487" s="384"/>
      <c r="AH487" s="384"/>
      <c r="AI487" s="384"/>
      <c r="AJ487" s="385"/>
      <c r="AK487" s="54" t="b">
        <v>0</v>
      </c>
      <c r="AL487" s="54" t="b">
        <v>0</v>
      </c>
      <c r="AM487" s="54"/>
      <c r="AN487" s="7" t="str">
        <v>479</v>
      </c>
      <c r="AO487" s="7"/>
      <c r="AP487" s="62"/>
      <c r="AQ487" s="75" t="str">
        <v/>
      </c>
      <c r="AR487" s="75" t="str">
        <v>-</v>
      </c>
      <c r="AS487" s="11"/>
      <c r="AT487" s="77" t="str">
        <v>-</v>
      </c>
      <c r="AU487" s="11" t="str">
        <v>-</v>
      </c>
      <c r="AV487" s="100"/>
      <c r="AW487" s="80" t="str">
        <f ca="1"/>
        <v>-</v>
      </c>
      <c r="AX487" s="80" t="b">
        <v>0</v>
      </c>
      <c r="AY487" s="68" t="str">
        <f t="shared" si="4"/>
        <v/>
      </c>
      <c r="AZ487" s="69" t="str">
        <f t="shared" si="5"/>
        <v/>
      </c>
      <c r="BA487" s="70" t="str">
        <f t="shared" si="6"/>
        <v/>
      </c>
      <c r="BB487" s="68" t="str">
        <f t="shared" si="7"/>
        <v/>
      </c>
      <c r="BC487" s="69" t="str">
        <f>IFERROR(VLOOKUP($AQ487,'(勿動)組件目錄表'!$D$15:$R$1094,7,FALSE),"")</f>
        <v/>
      </c>
      <c r="BD487" s="69" t="str">
        <f>IFERROR(VLOOKUP($AQ487,'(勿動)組件目錄表'!$D$15:$R$1094,8,FALSE),"")</f>
        <v/>
      </c>
      <c r="BE487" s="69" t="str">
        <f>IFERROR(VLOOKUP($AQ487,'(勿動)組件目錄表'!$D$15:$R$1094,9,FALSE),"")</f>
        <v/>
      </c>
      <c r="BF487" s="69" t="str">
        <f>IFERROR(VLOOKUP($AQ487,'(勿動)組件目錄表'!$D$15:$R$1094,10,FALSE),"")</f>
        <v/>
      </c>
      <c r="BG487" s="69" t="str">
        <f>IFERROR(VLOOKUP($AQ487,'(勿動)組件目錄表'!$D$15:$R$1094,11,FALSE),"")</f>
        <v/>
      </c>
      <c r="BH487" s="69" t="str">
        <f>IFERROR(VLOOKUP($AQ487,'(勿動)組件目錄表'!$D$15:$R$1094,12,FALSE),"")</f>
        <v/>
      </c>
      <c r="BI487" s="69" t="str">
        <f>IFERROR(VLOOKUP($AQ487,'(勿動)組件目錄表'!$D$15:$R$1094,13,FALSE),"")</f>
        <v/>
      </c>
      <c r="BJ487" s="69" t="str">
        <f>IFERROR(VLOOKUP($AQ487,'(勿動)組件目錄表'!$D$15:$R$1094,14,FALSE),"")</f>
        <v/>
      </c>
      <c r="BK487" s="69" t="str">
        <f>IFERROR(VLOOKUP($AQ487,'(勿動)組件目錄表'!$D$15:$R$1094,15,FALSE),"")</f>
        <v/>
      </c>
      <c r="BL487" s="81">
        <f ca="1">IFERROR(__xludf.DUMMYFUNCTION("IFERROR(
  LET(
    rowData, FILTER('(勿動)組件目錄表'!J:Q, '(勿動)組件目錄表'!D:D=AQ487),
    IF(ROWS(rowData)=0, 0, 
      (
        IF(AND(BC487&lt;&gt;"""", INDEX(rowData,1,1)=BC487),1,0) +
        IF(AND(BD487&lt;&gt;"""", INDEX(rowData,1,2)=BD487),1,0) +
        IF(AND(BE487"&amp;"&lt;&gt;"""", INDEX(rowData,1,3)=BE487),1,0) +
        IF(AND(BF487&lt;&gt;"""", INDEX(rowData,1,4)=BF487),1,0) +
        IF(AND(BG487&lt;&gt;"""", INDEX(rowData,1,5)=BG487),1,0) +
        IF(AND(BH487&lt;&gt;"""", INDEX(rowData,1,6)=BH487),1,0) +
        IF(AND(BI487&lt;&gt;"""", IND"&amp;"EX(rowData,1,7)=BI487),1,0) +
        IF(AND(BJ487&lt;&gt;"""", INDEX(rowData,1,8)=BJ487),1,0)
      ) - COUNTIF(BC487:BJ487, ""-"")
        - COUNTIF(BC487:BJ487, ""固定格式，不需提供資訊"")
        - COUNTIF(BC487:BJ487, ""由MKT更新，此欄位固定格式，不需提供資訊
(Voucher CID：12917705872)"&amp;""")
        - COUNTIF(BC487:BJ487, ""text固定為以下：
※直播間僅支援手機版"")
        - COUNTIF(BC487:BJ487, ""text固定為以下：
※短影音僅支援手機版"")
    )
  ), 
  0
)
"),0)</f>
        <v>0</v>
      </c>
      <c r="BM487" s="77" t="b">
        <v>0</v>
      </c>
      <c r="BN487" s="85"/>
      <c r="BO487" s="85"/>
    </row>
    <row r="488" spans="1:67" ht="30" customHeight="1">
      <c r="A488" s="73" t="str">
        <f t="array" aca="1" ref="A488" ca="1">IFERROR(TRANSPOSE(INDIRECT('MS section版配(Old)'!$AO488)),"")</f>
        <v/>
      </c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8"/>
      <c r="P488" s="88"/>
      <c r="Q488" s="88"/>
      <c r="R488" s="88"/>
      <c r="S488" s="88"/>
      <c r="T488" s="88"/>
      <c r="U488" s="88"/>
      <c r="V488" s="88"/>
      <c r="W488" s="88"/>
      <c r="X488" s="88"/>
      <c r="Y488" s="88"/>
      <c r="Z488" s="88"/>
      <c r="AA488" s="88"/>
      <c r="AB488" s="88"/>
      <c r="AC488" s="88"/>
      <c r="AD488" s="88"/>
      <c r="AE488" s="397" t="str">
        <f>IFERROR(VLOOKUP($AQ488,'(勿動)組件目錄表'!$D$15:$R$1094,4,FALSE),"")</f>
        <v/>
      </c>
      <c r="AF488" s="384"/>
      <c r="AG488" s="384"/>
      <c r="AH488" s="384"/>
      <c r="AI488" s="384"/>
      <c r="AJ488" s="385"/>
      <c r="AK488" s="54" t="b">
        <v>0</v>
      </c>
      <c r="AL488" s="54" t="b">
        <v>0</v>
      </c>
      <c r="AM488" s="54"/>
      <c r="AN488" s="7" t="str">
        <v>480</v>
      </c>
      <c r="AO488" s="7"/>
      <c r="AP488" s="62"/>
      <c r="AQ488" s="75" t="str">
        <v/>
      </c>
      <c r="AR488" s="75" t="str">
        <v>-</v>
      </c>
      <c r="AS488" s="11"/>
      <c r="AT488" s="77" t="str">
        <v>-</v>
      </c>
      <c r="AU488" s="11" t="str">
        <v>-</v>
      </c>
      <c r="AV488" s="100"/>
      <c r="AW488" s="80" t="str">
        <f ca="1"/>
        <v>-</v>
      </c>
      <c r="AX488" s="80" t="b">
        <v>0</v>
      </c>
      <c r="AY488" s="68" t="str">
        <f t="shared" si="4"/>
        <v/>
      </c>
      <c r="AZ488" s="69" t="str">
        <f t="shared" si="5"/>
        <v/>
      </c>
      <c r="BA488" s="70" t="str">
        <f t="shared" si="6"/>
        <v/>
      </c>
      <c r="BB488" s="68" t="str">
        <f t="shared" si="7"/>
        <v/>
      </c>
      <c r="BC488" s="69" t="str">
        <f>IFERROR(VLOOKUP($AQ488,'(勿動)組件目錄表'!$D$15:$R$1094,7,FALSE),"")</f>
        <v/>
      </c>
      <c r="BD488" s="69" t="str">
        <f>IFERROR(VLOOKUP($AQ488,'(勿動)組件目錄表'!$D$15:$R$1094,8,FALSE),"")</f>
        <v/>
      </c>
      <c r="BE488" s="69" t="str">
        <f>IFERROR(VLOOKUP($AQ488,'(勿動)組件目錄表'!$D$15:$R$1094,9,FALSE),"")</f>
        <v/>
      </c>
      <c r="BF488" s="69" t="str">
        <f>IFERROR(VLOOKUP($AQ488,'(勿動)組件目錄表'!$D$15:$R$1094,10,FALSE),"")</f>
        <v/>
      </c>
      <c r="BG488" s="69" t="str">
        <f>IFERROR(VLOOKUP($AQ488,'(勿動)組件目錄表'!$D$15:$R$1094,11,FALSE),"")</f>
        <v/>
      </c>
      <c r="BH488" s="69" t="str">
        <f>IFERROR(VLOOKUP($AQ488,'(勿動)組件目錄表'!$D$15:$R$1094,12,FALSE),"")</f>
        <v/>
      </c>
      <c r="BI488" s="69" t="str">
        <f>IFERROR(VLOOKUP($AQ488,'(勿動)組件目錄表'!$D$15:$R$1094,13,FALSE),"")</f>
        <v/>
      </c>
      <c r="BJ488" s="69" t="str">
        <f>IFERROR(VLOOKUP($AQ488,'(勿動)組件目錄表'!$D$15:$R$1094,14,FALSE),"")</f>
        <v/>
      </c>
      <c r="BK488" s="69" t="str">
        <f>IFERROR(VLOOKUP($AQ488,'(勿動)組件目錄表'!$D$15:$R$1094,15,FALSE),"")</f>
        <v/>
      </c>
      <c r="BL488" s="81">
        <f ca="1">IFERROR(__xludf.DUMMYFUNCTION("IFERROR(
  LET(
    rowData, FILTER('(勿動)組件目錄表'!J:Q, '(勿動)組件目錄表'!D:D=AQ488),
    IF(ROWS(rowData)=0, 0, 
      (
        IF(AND(BC488&lt;&gt;"""", INDEX(rowData,1,1)=BC488),1,0) +
        IF(AND(BD488&lt;&gt;"""", INDEX(rowData,1,2)=BD488),1,0) +
        IF(AND(BE488"&amp;"&lt;&gt;"""", INDEX(rowData,1,3)=BE488),1,0) +
        IF(AND(BF488&lt;&gt;"""", INDEX(rowData,1,4)=BF488),1,0) +
        IF(AND(BG488&lt;&gt;"""", INDEX(rowData,1,5)=BG488),1,0) +
        IF(AND(BH488&lt;&gt;"""", INDEX(rowData,1,6)=BH488),1,0) +
        IF(AND(BI488&lt;&gt;"""", IND"&amp;"EX(rowData,1,7)=BI488),1,0) +
        IF(AND(BJ488&lt;&gt;"""", INDEX(rowData,1,8)=BJ488),1,0)
      ) - COUNTIF(BC488:BJ488, ""-"")
        - COUNTIF(BC488:BJ488, ""固定格式，不需提供資訊"")
        - COUNTIF(BC488:BJ488, ""由MKT更新，此欄位固定格式，不需提供資訊
(Voucher CID：12917705872)"&amp;""")
        - COUNTIF(BC488:BJ488, ""text固定為以下：
※直播間僅支援手機版"")
        - COUNTIF(BC488:BJ488, ""text固定為以下：
※短影音僅支援手機版"")
    )
  ), 
  0
)
"),0)</f>
        <v>0</v>
      </c>
      <c r="BM488" s="77" t="b">
        <v>0</v>
      </c>
      <c r="BN488" s="85"/>
      <c r="BO488" s="85"/>
    </row>
    <row r="489" spans="1:67" ht="30" customHeight="1">
      <c r="A489" s="73" t="str">
        <f t="array" aca="1" ref="A489" ca="1">IFERROR(TRANSPOSE(INDIRECT('MS section版配(Old)'!$AO489)),"")</f>
        <v/>
      </c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8"/>
      <c r="P489" s="88"/>
      <c r="Q489" s="88"/>
      <c r="R489" s="88"/>
      <c r="S489" s="88"/>
      <c r="T489" s="88"/>
      <c r="U489" s="88"/>
      <c r="V489" s="88"/>
      <c r="W489" s="88"/>
      <c r="X489" s="88"/>
      <c r="Y489" s="88"/>
      <c r="Z489" s="88"/>
      <c r="AA489" s="88"/>
      <c r="AB489" s="88"/>
      <c r="AC489" s="88"/>
      <c r="AD489" s="88"/>
      <c r="AE489" s="397" t="str">
        <f>IFERROR(VLOOKUP($AQ489,'(勿動)組件目錄表'!$D$15:$R$1094,4,FALSE),"")</f>
        <v/>
      </c>
      <c r="AF489" s="384"/>
      <c r="AG489" s="384"/>
      <c r="AH489" s="384"/>
      <c r="AI489" s="384"/>
      <c r="AJ489" s="385"/>
      <c r="AK489" s="54" t="b">
        <v>0</v>
      </c>
      <c r="AL489" s="54" t="b">
        <v>0</v>
      </c>
      <c r="AM489" s="54"/>
      <c r="AN489" s="7" t="str">
        <v>481</v>
      </c>
      <c r="AO489" s="7"/>
      <c r="AP489" s="62"/>
      <c r="AQ489" s="75" t="str">
        <v/>
      </c>
      <c r="AR489" s="75" t="str">
        <v>-</v>
      </c>
      <c r="AS489" s="11"/>
      <c r="AT489" s="77" t="str">
        <v>-</v>
      </c>
      <c r="AU489" s="11" t="str">
        <v>-</v>
      </c>
      <c r="AV489" s="100"/>
      <c r="AW489" s="80" t="str">
        <f ca="1"/>
        <v>-</v>
      </c>
      <c r="AX489" s="80" t="b">
        <v>0</v>
      </c>
      <c r="AY489" s="68" t="str">
        <f t="shared" si="4"/>
        <v/>
      </c>
      <c r="AZ489" s="69" t="str">
        <f t="shared" si="5"/>
        <v/>
      </c>
      <c r="BA489" s="70" t="str">
        <f t="shared" si="6"/>
        <v/>
      </c>
      <c r="BB489" s="68" t="str">
        <f t="shared" si="7"/>
        <v/>
      </c>
      <c r="BC489" s="69" t="str">
        <f>IFERROR(VLOOKUP($AQ489,'(勿動)組件目錄表'!$D$15:$R$1094,7,FALSE),"")</f>
        <v/>
      </c>
      <c r="BD489" s="69" t="str">
        <f>IFERROR(VLOOKUP($AQ489,'(勿動)組件目錄表'!$D$15:$R$1094,8,FALSE),"")</f>
        <v/>
      </c>
      <c r="BE489" s="69" t="str">
        <f>IFERROR(VLOOKUP($AQ489,'(勿動)組件目錄表'!$D$15:$R$1094,9,FALSE),"")</f>
        <v/>
      </c>
      <c r="BF489" s="69" t="str">
        <f>IFERROR(VLOOKUP($AQ489,'(勿動)組件目錄表'!$D$15:$R$1094,10,FALSE),"")</f>
        <v/>
      </c>
      <c r="BG489" s="69" t="str">
        <f>IFERROR(VLOOKUP($AQ489,'(勿動)組件目錄表'!$D$15:$R$1094,11,FALSE),"")</f>
        <v/>
      </c>
      <c r="BH489" s="69" t="str">
        <f>IFERROR(VLOOKUP($AQ489,'(勿動)組件目錄表'!$D$15:$R$1094,12,FALSE),"")</f>
        <v/>
      </c>
      <c r="BI489" s="69" t="str">
        <f>IFERROR(VLOOKUP($AQ489,'(勿動)組件目錄表'!$D$15:$R$1094,13,FALSE),"")</f>
        <v/>
      </c>
      <c r="BJ489" s="69" t="str">
        <f>IFERROR(VLOOKUP($AQ489,'(勿動)組件目錄表'!$D$15:$R$1094,14,FALSE),"")</f>
        <v/>
      </c>
      <c r="BK489" s="69" t="str">
        <f>IFERROR(VLOOKUP($AQ489,'(勿動)組件目錄表'!$D$15:$R$1094,15,FALSE),"")</f>
        <v/>
      </c>
      <c r="BL489" s="81">
        <f ca="1">IFERROR(__xludf.DUMMYFUNCTION("IFERROR(
  LET(
    rowData, FILTER('(勿動)組件目錄表'!J:Q, '(勿動)組件目錄表'!D:D=AQ489),
    IF(ROWS(rowData)=0, 0, 
      (
        IF(AND(BC489&lt;&gt;"""", INDEX(rowData,1,1)=BC489),1,0) +
        IF(AND(BD489&lt;&gt;"""", INDEX(rowData,1,2)=BD489),1,0) +
        IF(AND(BE489"&amp;"&lt;&gt;"""", INDEX(rowData,1,3)=BE489),1,0) +
        IF(AND(BF489&lt;&gt;"""", INDEX(rowData,1,4)=BF489),1,0) +
        IF(AND(BG489&lt;&gt;"""", INDEX(rowData,1,5)=BG489),1,0) +
        IF(AND(BH489&lt;&gt;"""", INDEX(rowData,1,6)=BH489),1,0) +
        IF(AND(BI489&lt;&gt;"""", IND"&amp;"EX(rowData,1,7)=BI489),1,0) +
        IF(AND(BJ489&lt;&gt;"""", INDEX(rowData,1,8)=BJ489),1,0)
      ) - COUNTIF(BC489:BJ489, ""-"")
        - COUNTIF(BC489:BJ489, ""固定格式，不需提供資訊"")
        - COUNTIF(BC489:BJ489, ""由MKT更新，此欄位固定格式，不需提供資訊
(Voucher CID：12917705872)"&amp;""")
        - COUNTIF(BC489:BJ489, ""text固定為以下：
※直播間僅支援手機版"")
        - COUNTIF(BC489:BJ489, ""text固定為以下：
※短影音僅支援手機版"")
    )
  ), 
  0
)
"),0)</f>
        <v>0</v>
      </c>
      <c r="BM489" s="77" t="b">
        <v>0</v>
      </c>
      <c r="BN489" s="85"/>
      <c r="BO489" s="85"/>
    </row>
    <row r="490" spans="1:67" ht="30" customHeight="1">
      <c r="A490" s="73" t="str">
        <f t="array" aca="1" ref="A490" ca="1">IFERROR(TRANSPOSE(INDIRECT('MS section版配(Old)'!$AO490)),"")</f>
        <v/>
      </c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8"/>
      <c r="P490" s="88"/>
      <c r="Q490" s="88"/>
      <c r="R490" s="88"/>
      <c r="S490" s="88"/>
      <c r="T490" s="88"/>
      <c r="U490" s="88"/>
      <c r="V490" s="88"/>
      <c r="W490" s="88"/>
      <c r="X490" s="88"/>
      <c r="Y490" s="88"/>
      <c r="Z490" s="88"/>
      <c r="AA490" s="88"/>
      <c r="AB490" s="88"/>
      <c r="AC490" s="88"/>
      <c r="AD490" s="88"/>
      <c r="AE490" s="397" t="str">
        <f>IFERROR(VLOOKUP($AQ490,'(勿動)組件目錄表'!$D$15:$R$1094,4,FALSE),"")</f>
        <v/>
      </c>
      <c r="AF490" s="384"/>
      <c r="AG490" s="384"/>
      <c r="AH490" s="384"/>
      <c r="AI490" s="384"/>
      <c r="AJ490" s="385"/>
      <c r="AK490" s="54" t="b">
        <v>0</v>
      </c>
      <c r="AL490" s="54" t="b">
        <v>0</v>
      </c>
      <c r="AM490" s="54"/>
      <c r="AN490" s="7" t="str">
        <v>482</v>
      </c>
      <c r="AO490" s="7"/>
      <c r="AP490" s="62"/>
      <c r="AQ490" s="75" t="str">
        <v/>
      </c>
      <c r="AR490" s="75" t="str">
        <v>-</v>
      </c>
      <c r="AS490" s="11"/>
      <c r="AT490" s="77" t="str">
        <v>-</v>
      </c>
      <c r="AU490" s="11" t="str">
        <v>-</v>
      </c>
      <c r="AV490" s="100"/>
      <c r="AW490" s="80" t="str">
        <f ca="1"/>
        <v>-</v>
      </c>
      <c r="AX490" s="80" t="b">
        <v>0</v>
      </c>
      <c r="AY490" s="68" t="str">
        <f t="shared" si="4"/>
        <v/>
      </c>
      <c r="AZ490" s="69" t="str">
        <f t="shared" si="5"/>
        <v/>
      </c>
      <c r="BA490" s="70" t="str">
        <f t="shared" si="6"/>
        <v/>
      </c>
      <c r="BB490" s="68" t="str">
        <f t="shared" si="7"/>
        <v/>
      </c>
      <c r="BC490" s="69" t="str">
        <f>IFERROR(VLOOKUP($AQ490,'(勿動)組件目錄表'!$D$15:$R$1094,7,FALSE),"")</f>
        <v/>
      </c>
      <c r="BD490" s="69" t="str">
        <f>IFERROR(VLOOKUP($AQ490,'(勿動)組件目錄表'!$D$15:$R$1094,8,FALSE),"")</f>
        <v/>
      </c>
      <c r="BE490" s="69" t="str">
        <f>IFERROR(VLOOKUP($AQ490,'(勿動)組件目錄表'!$D$15:$R$1094,9,FALSE),"")</f>
        <v/>
      </c>
      <c r="BF490" s="69" t="str">
        <f>IFERROR(VLOOKUP($AQ490,'(勿動)組件目錄表'!$D$15:$R$1094,10,FALSE),"")</f>
        <v/>
      </c>
      <c r="BG490" s="69" t="str">
        <f>IFERROR(VLOOKUP($AQ490,'(勿動)組件目錄表'!$D$15:$R$1094,11,FALSE),"")</f>
        <v/>
      </c>
      <c r="BH490" s="69" t="str">
        <f>IFERROR(VLOOKUP($AQ490,'(勿動)組件目錄表'!$D$15:$R$1094,12,FALSE),"")</f>
        <v/>
      </c>
      <c r="BI490" s="69" t="str">
        <f>IFERROR(VLOOKUP($AQ490,'(勿動)組件目錄表'!$D$15:$R$1094,13,FALSE),"")</f>
        <v/>
      </c>
      <c r="BJ490" s="69" t="str">
        <f>IFERROR(VLOOKUP($AQ490,'(勿動)組件目錄表'!$D$15:$R$1094,14,FALSE),"")</f>
        <v/>
      </c>
      <c r="BK490" s="69" t="str">
        <f>IFERROR(VLOOKUP($AQ490,'(勿動)組件目錄表'!$D$15:$R$1094,15,FALSE),"")</f>
        <v/>
      </c>
      <c r="BL490" s="81">
        <f ca="1">IFERROR(__xludf.DUMMYFUNCTION("IFERROR(
  LET(
    rowData, FILTER('(勿動)組件目錄表'!J:Q, '(勿動)組件目錄表'!D:D=AQ490),
    IF(ROWS(rowData)=0, 0, 
      (
        IF(AND(BC490&lt;&gt;"""", INDEX(rowData,1,1)=BC490),1,0) +
        IF(AND(BD490&lt;&gt;"""", INDEX(rowData,1,2)=BD490),1,0) +
        IF(AND(BE490"&amp;"&lt;&gt;"""", INDEX(rowData,1,3)=BE490),1,0) +
        IF(AND(BF490&lt;&gt;"""", INDEX(rowData,1,4)=BF490),1,0) +
        IF(AND(BG490&lt;&gt;"""", INDEX(rowData,1,5)=BG490),1,0) +
        IF(AND(BH490&lt;&gt;"""", INDEX(rowData,1,6)=BH490),1,0) +
        IF(AND(BI490&lt;&gt;"""", IND"&amp;"EX(rowData,1,7)=BI490),1,0) +
        IF(AND(BJ490&lt;&gt;"""", INDEX(rowData,1,8)=BJ490),1,0)
      ) - COUNTIF(BC490:BJ490, ""-"")
        - COUNTIF(BC490:BJ490, ""固定格式，不需提供資訊"")
        - COUNTIF(BC490:BJ490, ""由MKT更新，此欄位固定格式，不需提供資訊
(Voucher CID：12917705872)"&amp;""")
        - COUNTIF(BC490:BJ490, ""text固定為以下：
※直播間僅支援手機版"")
        - COUNTIF(BC490:BJ490, ""text固定為以下：
※短影音僅支援手機版"")
    )
  ), 
  0
)
"),0)</f>
        <v>0</v>
      </c>
      <c r="BM490" s="77" t="b">
        <v>0</v>
      </c>
      <c r="BN490" s="85"/>
      <c r="BO490" s="85"/>
    </row>
    <row r="491" spans="1:67" ht="30" customHeight="1">
      <c r="A491" s="73" t="str">
        <f t="array" aca="1" ref="A491" ca="1">IFERROR(TRANSPOSE(INDIRECT('MS section版配(Old)'!$AO491)),"")</f>
        <v/>
      </c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8"/>
      <c r="P491" s="88"/>
      <c r="Q491" s="88"/>
      <c r="R491" s="88"/>
      <c r="S491" s="88"/>
      <c r="T491" s="88"/>
      <c r="U491" s="88"/>
      <c r="V491" s="88"/>
      <c r="W491" s="88"/>
      <c r="X491" s="88"/>
      <c r="Y491" s="88"/>
      <c r="Z491" s="88"/>
      <c r="AA491" s="88"/>
      <c r="AB491" s="88"/>
      <c r="AC491" s="88"/>
      <c r="AD491" s="88"/>
      <c r="AE491" s="397" t="str">
        <f>IFERROR(VLOOKUP($AQ491,'(勿動)組件目錄表'!$D$15:$R$1094,4,FALSE),"")</f>
        <v/>
      </c>
      <c r="AF491" s="384"/>
      <c r="AG491" s="384"/>
      <c r="AH491" s="384"/>
      <c r="AI491" s="384"/>
      <c r="AJ491" s="385"/>
      <c r="AK491" s="54" t="b">
        <v>0</v>
      </c>
      <c r="AL491" s="54" t="b">
        <v>0</v>
      </c>
      <c r="AM491" s="54"/>
      <c r="AN491" s="7" t="str">
        <v>483</v>
      </c>
      <c r="AO491" s="7"/>
      <c r="AP491" s="62"/>
      <c r="AQ491" s="75" t="str">
        <v/>
      </c>
      <c r="AR491" s="75" t="str">
        <v>-</v>
      </c>
      <c r="AS491" s="11"/>
      <c r="AT491" s="77" t="str">
        <v>-</v>
      </c>
      <c r="AU491" s="11" t="str">
        <v>-</v>
      </c>
      <c r="AV491" s="100"/>
      <c r="AW491" s="80" t="str">
        <f ca="1"/>
        <v>-</v>
      </c>
      <c r="AX491" s="80" t="b">
        <v>0</v>
      </c>
      <c r="AY491" s="68" t="str">
        <f t="shared" si="4"/>
        <v/>
      </c>
      <c r="AZ491" s="69" t="str">
        <f t="shared" si="5"/>
        <v/>
      </c>
      <c r="BA491" s="70" t="str">
        <f t="shared" si="6"/>
        <v/>
      </c>
      <c r="BB491" s="68" t="str">
        <f t="shared" si="7"/>
        <v/>
      </c>
      <c r="BC491" s="69" t="str">
        <f>IFERROR(VLOOKUP($AQ491,'(勿動)組件目錄表'!$D$15:$R$1094,7,FALSE),"")</f>
        <v/>
      </c>
      <c r="BD491" s="69" t="str">
        <f>IFERROR(VLOOKUP($AQ491,'(勿動)組件目錄表'!$D$15:$R$1094,8,FALSE),"")</f>
        <v/>
      </c>
      <c r="BE491" s="69" t="str">
        <f>IFERROR(VLOOKUP($AQ491,'(勿動)組件目錄表'!$D$15:$R$1094,9,FALSE),"")</f>
        <v/>
      </c>
      <c r="BF491" s="69" t="str">
        <f>IFERROR(VLOOKUP($AQ491,'(勿動)組件目錄表'!$D$15:$R$1094,10,FALSE),"")</f>
        <v/>
      </c>
      <c r="BG491" s="69" t="str">
        <f>IFERROR(VLOOKUP($AQ491,'(勿動)組件目錄表'!$D$15:$R$1094,11,FALSE),"")</f>
        <v/>
      </c>
      <c r="BH491" s="69" t="str">
        <f>IFERROR(VLOOKUP($AQ491,'(勿動)組件目錄表'!$D$15:$R$1094,12,FALSE),"")</f>
        <v/>
      </c>
      <c r="BI491" s="69" t="str">
        <f>IFERROR(VLOOKUP($AQ491,'(勿動)組件目錄表'!$D$15:$R$1094,13,FALSE),"")</f>
        <v/>
      </c>
      <c r="BJ491" s="69" t="str">
        <f>IFERROR(VLOOKUP($AQ491,'(勿動)組件目錄表'!$D$15:$R$1094,14,FALSE),"")</f>
        <v/>
      </c>
      <c r="BK491" s="69" t="str">
        <f>IFERROR(VLOOKUP($AQ491,'(勿動)組件目錄表'!$D$15:$R$1094,15,FALSE),"")</f>
        <v/>
      </c>
      <c r="BL491" s="81">
        <f ca="1">IFERROR(__xludf.DUMMYFUNCTION("IFERROR(
  LET(
    rowData, FILTER('(勿動)組件目錄表'!J:Q, '(勿動)組件目錄表'!D:D=AQ491),
    IF(ROWS(rowData)=0, 0, 
      (
        IF(AND(BC491&lt;&gt;"""", INDEX(rowData,1,1)=BC491),1,0) +
        IF(AND(BD491&lt;&gt;"""", INDEX(rowData,1,2)=BD491),1,0) +
        IF(AND(BE491"&amp;"&lt;&gt;"""", INDEX(rowData,1,3)=BE491),1,0) +
        IF(AND(BF491&lt;&gt;"""", INDEX(rowData,1,4)=BF491),1,0) +
        IF(AND(BG491&lt;&gt;"""", INDEX(rowData,1,5)=BG491),1,0) +
        IF(AND(BH491&lt;&gt;"""", INDEX(rowData,1,6)=BH491),1,0) +
        IF(AND(BI491&lt;&gt;"""", IND"&amp;"EX(rowData,1,7)=BI491),1,0) +
        IF(AND(BJ491&lt;&gt;"""", INDEX(rowData,1,8)=BJ491),1,0)
      ) - COUNTIF(BC491:BJ491, ""-"")
        - COUNTIF(BC491:BJ491, ""固定格式，不需提供資訊"")
        - COUNTIF(BC491:BJ491, ""由MKT更新，此欄位固定格式，不需提供資訊
(Voucher CID：12917705872)"&amp;""")
        - COUNTIF(BC491:BJ491, ""text固定為以下：
※直播間僅支援手機版"")
        - COUNTIF(BC491:BJ491, ""text固定為以下：
※短影音僅支援手機版"")
    )
  ), 
  0
)
"),0)</f>
        <v>0</v>
      </c>
      <c r="BM491" s="77" t="b">
        <v>0</v>
      </c>
      <c r="BN491" s="85"/>
      <c r="BO491" s="85"/>
    </row>
    <row r="492" spans="1:67" ht="30" customHeight="1">
      <c r="A492" s="73" t="str">
        <f t="array" aca="1" ref="A492" ca="1">IFERROR(TRANSPOSE(INDIRECT('MS section版配(Old)'!$AO492)),"")</f>
        <v/>
      </c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8"/>
      <c r="P492" s="88"/>
      <c r="Q492" s="88"/>
      <c r="R492" s="88"/>
      <c r="S492" s="88"/>
      <c r="T492" s="88"/>
      <c r="U492" s="88"/>
      <c r="V492" s="88"/>
      <c r="W492" s="88"/>
      <c r="X492" s="88"/>
      <c r="Y492" s="88"/>
      <c r="Z492" s="88"/>
      <c r="AA492" s="88"/>
      <c r="AB492" s="88"/>
      <c r="AC492" s="88"/>
      <c r="AD492" s="88"/>
      <c r="AE492" s="397" t="str">
        <f>IFERROR(VLOOKUP($AQ492,'(勿動)組件目錄表'!$D$15:$R$1094,4,FALSE),"")</f>
        <v/>
      </c>
      <c r="AF492" s="384"/>
      <c r="AG492" s="384"/>
      <c r="AH492" s="384"/>
      <c r="AI492" s="384"/>
      <c r="AJ492" s="385"/>
      <c r="AK492" s="54" t="b">
        <v>0</v>
      </c>
      <c r="AL492" s="54" t="b">
        <v>0</v>
      </c>
      <c r="AM492" s="54"/>
      <c r="AN492" s="7" t="str">
        <v>484</v>
      </c>
      <c r="AO492" s="7"/>
      <c r="AP492" s="62"/>
      <c r="AQ492" s="75" t="str">
        <v/>
      </c>
      <c r="AR492" s="75" t="str">
        <v>-</v>
      </c>
      <c r="AS492" s="11"/>
      <c r="AT492" s="77" t="str">
        <v>-</v>
      </c>
      <c r="AU492" s="11" t="str">
        <v>-</v>
      </c>
      <c r="AV492" s="100"/>
      <c r="AW492" s="80" t="str">
        <f ca="1"/>
        <v>-</v>
      </c>
      <c r="AX492" s="80" t="b">
        <v>0</v>
      </c>
      <c r="AY492" s="68" t="str">
        <f t="shared" si="4"/>
        <v/>
      </c>
      <c r="AZ492" s="69" t="str">
        <f t="shared" si="5"/>
        <v/>
      </c>
      <c r="BA492" s="70" t="str">
        <f t="shared" si="6"/>
        <v/>
      </c>
      <c r="BB492" s="68" t="str">
        <f t="shared" si="7"/>
        <v/>
      </c>
      <c r="BC492" s="69" t="str">
        <f>IFERROR(VLOOKUP($AQ492,'(勿動)組件目錄表'!$D$15:$R$1094,7,FALSE),"")</f>
        <v/>
      </c>
      <c r="BD492" s="69" t="str">
        <f>IFERROR(VLOOKUP($AQ492,'(勿動)組件目錄表'!$D$15:$R$1094,8,FALSE),"")</f>
        <v/>
      </c>
      <c r="BE492" s="69" t="str">
        <f>IFERROR(VLOOKUP($AQ492,'(勿動)組件目錄表'!$D$15:$R$1094,9,FALSE),"")</f>
        <v/>
      </c>
      <c r="BF492" s="69" t="str">
        <f>IFERROR(VLOOKUP($AQ492,'(勿動)組件目錄表'!$D$15:$R$1094,10,FALSE),"")</f>
        <v/>
      </c>
      <c r="BG492" s="69" t="str">
        <f>IFERROR(VLOOKUP($AQ492,'(勿動)組件目錄表'!$D$15:$R$1094,11,FALSE),"")</f>
        <v/>
      </c>
      <c r="BH492" s="69" t="str">
        <f>IFERROR(VLOOKUP($AQ492,'(勿動)組件目錄表'!$D$15:$R$1094,12,FALSE),"")</f>
        <v/>
      </c>
      <c r="BI492" s="69" t="str">
        <f>IFERROR(VLOOKUP($AQ492,'(勿動)組件目錄表'!$D$15:$R$1094,13,FALSE),"")</f>
        <v/>
      </c>
      <c r="BJ492" s="69" t="str">
        <f>IFERROR(VLOOKUP($AQ492,'(勿動)組件目錄表'!$D$15:$R$1094,14,FALSE),"")</f>
        <v/>
      </c>
      <c r="BK492" s="69" t="str">
        <f>IFERROR(VLOOKUP($AQ492,'(勿動)組件目錄表'!$D$15:$R$1094,15,FALSE),"")</f>
        <v/>
      </c>
      <c r="BL492" s="81">
        <f ca="1">IFERROR(__xludf.DUMMYFUNCTION("IFERROR(
  LET(
    rowData, FILTER('(勿動)組件目錄表'!J:Q, '(勿動)組件目錄表'!D:D=AQ492),
    IF(ROWS(rowData)=0, 0, 
      (
        IF(AND(BC492&lt;&gt;"""", INDEX(rowData,1,1)=BC492),1,0) +
        IF(AND(BD492&lt;&gt;"""", INDEX(rowData,1,2)=BD492),1,0) +
        IF(AND(BE492"&amp;"&lt;&gt;"""", INDEX(rowData,1,3)=BE492),1,0) +
        IF(AND(BF492&lt;&gt;"""", INDEX(rowData,1,4)=BF492),1,0) +
        IF(AND(BG492&lt;&gt;"""", INDEX(rowData,1,5)=BG492),1,0) +
        IF(AND(BH492&lt;&gt;"""", INDEX(rowData,1,6)=BH492),1,0) +
        IF(AND(BI492&lt;&gt;"""", IND"&amp;"EX(rowData,1,7)=BI492),1,0) +
        IF(AND(BJ492&lt;&gt;"""", INDEX(rowData,1,8)=BJ492),1,0)
      ) - COUNTIF(BC492:BJ492, ""-"")
        - COUNTIF(BC492:BJ492, ""固定格式，不需提供資訊"")
        - COUNTIF(BC492:BJ492, ""由MKT更新，此欄位固定格式，不需提供資訊
(Voucher CID：12917705872)"&amp;""")
        - COUNTIF(BC492:BJ492, ""text固定為以下：
※直播間僅支援手機版"")
        - COUNTIF(BC492:BJ492, ""text固定為以下：
※短影音僅支援手機版"")
    )
  ), 
  0
)
"),0)</f>
        <v>0</v>
      </c>
      <c r="BM492" s="77" t="b">
        <v>0</v>
      </c>
      <c r="BN492" s="85"/>
      <c r="BO492" s="85"/>
    </row>
    <row r="493" spans="1:67" ht="30" customHeight="1">
      <c r="A493" s="73" t="str">
        <f t="array" aca="1" ref="A493" ca="1">IFERROR(TRANSPOSE(INDIRECT('MS section版配(Old)'!$AO493)),"")</f>
        <v/>
      </c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8"/>
      <c r="P493" s="88"/>
      <c r="Q493" s="88"/>
      <c r="R493" s="88"/>
      <c r="S493" s="88"/>
      <c r="T493" s="88"/>
      <c r="U493" s="88"/>
      <c r="V493" s="88"/>
      <c r="W493" s="88"/>
      <c r="X493" s="88"/>
      <c r="Y493" s="88"/>
      <c r="Z493" s="88"/>
      <c r="AA493" s="88"/>
      <c r="AB493" s="88"/>
      <c r="AC493" s="88"/>
      <c r="AD493" s="88"/>
      <c r="AE493" s="397" t="str">
        <f>IFERROR(VLOOKUP($AQ493,'(勿動)組件目錄表'!$D$15:$R$1094,4,FALSE),"")</f>
        <v/>
      </c>
      <c r="AF493" s="384"/>
      <c r="AG493" s="384"/>
      <c r="AH493" s="384"/>
      <c r="AI493" s="384"/>
      <c r="AJ493" s="385"/>
      <c r="AK493" s="54" t="b">
        <v>0</v>
      </c>
      <c r="AL493" s="54" t="b">
        <v>0</v>
      </c>
      <c r="AM493" s="54"/>
      <c r="AN493" s="7" t="str">
        <v>485</v>
      </c>
      <c r="AO493" s="7"/>
      <c r="AP493" s="62"/>
      <c r="AQ493" s="75" t="str">
        <v/>
      </c>
      <c r="AR493" s="75" t="str">
        <v>-</v>
      </c>
      <c r="AS493" s="11"/>
      <c r="AT493" s="77" t="str">
        <v>-</v>
      </c>
      <c r="AU493" s="11" t="str">
        <v>-</v>
      </c>
      <c r="AV493" s="100"/>
      <c r="AW493" s="80" t="str">
        <f ca="1"/>
        <v>-</v>
      </c>
      <c r="AX493" s="80" t="b">
        <v>0</v>
      </c>
      <c r="AY493" s="68" t="str">
        <f t="shared" si="4"/>
        <v/>
      </c>
      <c r="AZ493" s="69" t="str">
        <f t="shared" si="5"/>
        <v/>
      </c>
      <c r="BA493" s="70" t="str">
        <f t="shared" si="6"/>
        <v/>
      </c>
      <c r="BB493" s="68" t="str">
        <f t="shared" si="7"/>
        <v/>
      </c>
      <c r="BC493" s="69" t="str">
        <f>IFERROR(VLOOKUP($AQ493,'(勿動)組件目錄表'!$D$15:$R$1094,7,FALSE),"")</f>
        <v/>
      </c>
      <c r="BD493" s="69" t="str">
        <f>IFERROR(VLOOKUP($AQ493,'(勿動)組件目錄表'!$D$15:$R$1094,8,FALSE),"")</f>
        <v/>
      </c>
      <c r="BE493" s="69" t="str">
        <f>IFERROR(VLOOKUP($AQ493,'(勿動)組件目錄表'!$D$15:$R$1094,9,FALSE),"")</f>
        <v/>
      </c>
      <c r="BF493" s="69" t="str">
        <f>IFERROR(VLOOKUP($AQ493,'(勿動)組件目錄表'!$D$15:$R$1094,10,FALSE),"")</f>
        <v/>
      </c>
      <c r="BG493" s="69" t="str">
        <f>IFERROR(VLOOKUP($AQ493,'(勿動)組件目錄表'!$D$15:$R$1094,11,FALSE),"")</f>
        <v/>
      </c>
      <c r="BH493" s="69" t="str">
        <f>IFERROR(VLOOKUP($AQ493,'(勿動)組件目錄表'!$D$15:$R$1094,12,FALSE),"")</f>
        <v/>
      </c>
      <c r="BI493" s="69" t="str">
        <f>IFERROR(VLOOKUP($AQ493,'(勿動)組件目錄表'!$D$15:$R$1094,13,FALSE),"")</f>
        <v/>
      </c>
      <c r="BJ493" s="69" t="str">
        <f>IFERROR(VLOOKUP($AQ493,'(勿動)組件目錄表'!$D$15:$R$1094,14,FALSE),"")</f>
        <v/>
      </c>
      <c r="BK493" s="69" t="str">
        <f>IFERROR(VLOOKUP($AQ493,'(勿動)組件目錄表'!$D$15:$R$1094,15,FALSE),"")</f>
        <v/>
      </c>
      <c r="BL493" s="81">
        <f ca="1">IFERROR(__xludf.DUMMYFUNCTION("IFERROR(
  LET(
    rowData, FILTER('(勿動)組件目錄表'!J:Q, '(勿動)組件目錄表'!D:D=AQ493),
    IF(ROWS(rowData)=0, 0, 
      (
        IF(AND(BC493&lt;&gt;"""", INDEX(rowData,1,1)=BC493),1,0) +
        IF(AND(BD493&lt;&gt;"""", INDEX(rowData,1,2)=BD493),1,0) +
        IF(AND(BE493"&amp;"&lt;&gt;"""", INDEX(rowData,1,3)=BE493),1,0) +
        IF(AND(BF493&lt;&gt;"""", INDEX(rowData,1,4)=BF493),1,0) +
        IF(AND(BG493&lt;&gt;"""", INDEX(rowData,1,5)=BG493),1,0) +
        IF(AND(BH493&lt;&gt;"""", INDEX(rowData,1,6)=BH493),1,0) +
        IF(AND(BI493&lt;&gt;"""", IND"&amp;"EX(rowData,1,7)=BI493),1,0) +
        IF(AND(BJ493&lt;&gt;"""", INDEX(rowData,1,8)=BJ493),1,0)
      ) - COUNTIF(BC493:BJ493, ""-"")
        - COUNTIF(BC493:BJ493, ""固定格式，不需提供資訊"")
        - COUNTIF(BC493:BJ493, ""由MKT更新，此欄位固定格式，不需提供資訊
(Voucher CID：12917705872)"&amp;""")
        - COUNTIF(BC493:BJ493, ""text固定為以下：
※直播間僅支援手機版"")
        - COUNTIF(BC493:BJ493, ""text固定為以下：
※短影音僅支援手機版"")
    )
  ), 
  0
)
"),0)</f>
        <v>0</v>
      </c>
      <c r="BM493" s="77" t="b">
        <v>0</v>
      </c>
      <c r="BN493" s="85"/>
      <c r="BO493" s="85"/>
    </row>
    <row r="494" spans="1:67" ht="30" customHeight="1">
      <c r="A494" s="73" t="str">
        <f t="array" aca="1" ref="A494" ca="1">IFERROR(TRANSPOSE(INDIRECT('MS section版配(Old)'!$AO494)),"")</f>
        <v/>
      </c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8"/>
      <c r="P494" s="88"/>
      <c r="Q494" s="88"/>
      <c r="R494" s="88"/>
      <c r="S494" s="88"/>
      <c r="T494" s="88"/>
      <c r="U494" s="88"/>
      <c r="V494" s="88"/>
      <c r="W494" s="88"/>
      <c r="X494" s="88"/>
      <c r="Y494" s="88"/>
      <c r="Z494" s="88"/>
      <c r="AA494" s="88"/>
      <c r="AB494" s="88"/>
      <c r="AC494" s="88"/>
      <c r="AD494" s="88"/>
      <c r="AE494" s="397" t="str">
        <f>IFERROR(VLOOKUP($AQ494,'(勿動)組件目錄表'!$D$15:$R$1094,4,FALSE),"")</f>
        <v/>
      </c>
      <c r="AF494" s="384"/>
      <c r="AG494" s="384"/>
      <c r="AH494" s="384"/>
      <c r="AI494" s="384"/>
      <c r="AJ494" s="385"/>
      <c r="AK494" s="54" t="b">
        <v>0</v>
      </c>
      <c r="AL494" s="54" t="b">
        <v>0</v>
      </c>
      <c r="AM494" s="54"/>
      <c r="AN494" s="7" t="str">
        <v>486</v>
      </c>
      <c r="AO494" s="7"/>
      <c r="AP494" s="62"/>
      <c r="AQ494" s="75" t="str">
        <v/>
      </c>
      <c r="AR494" s="75" t="str">
        <v>-</v>
      </c>
      <c r="AS494" s="11"/>
      <c r="AT494" s="77" t="str">
        <v>-</v>
      </c>
      <c r="AU494" s="11" t="str">
        <v>-</v>
      </c>
      <c r="AV494" s="100"/>
      <c r="AW494" s="80" t="str">
        <f ca="1"/>
        <v>-</v>
      </c>
      <c r="AX494" s="80" t="b">
        <v>0</v>
      </c>
      <c r="AY494" s="68" t="str">
        <f t="shared" si="4"/>
        <v/>
      </c>
      <c r="AZ494" s="69" t="str">
        <f t="shared" si="5"/>
        <v/>
      </c>
      <c r="BA494" s="70" t="str">
        <f t="shared" si="6"/>
        <v/>
      </c>
      <c r="BB494" s="68" t="str">
        <f t="shared" si="7"/>
        <v/>
      </c>
      <c r="BC494" s="69" t="str">
        <f>IFERROR(VLOOKUP($AQ494,'(勿動)組件目錄表'!$D$15:$R$1094,7,FALSE),"")</f>
        <v/>
      </c>
      <c r="BD494" s="69" t="str">
        <f>IFERROR(VLOOKUP($AQ494,'(勿動)組件目錄表'!$D$15:$R$1094,8,FALSE),"")</f>
        <v/>
      </c>
      <c r="BE494" s="69" t="str">
        <f>IFERROR(VLOOKUP($AQ494,'(勿動)組件目錄表'!$D$15:$R$1094,9,FALSE),"")</f>
        <v/>
      </c>
      <c r="BF494" s="69" t="str">
        <f>IFERROR(VLOOKUP($AQ494,'(勿動)組件目錄表'!$D$15:$R$1094,10,FALSE),"")</f>
        <v/>
      </c>
      <c r="BG494" s="69" t="str">
        <f>IFERROR(VLOOKUP($AQ494,'(勿動)組件目錄表'!$D$15:$R$1094,11,FALSE),"")</f>
        <v/>
      </c>
      <c r="BH494" s="69" t="str">
        <f>IFERROR(VLOOKUP($AQ494,'(勿動)組件目錄表'!$D$15:$R$1094,12,FALSE),"")</f>
        <v/>
      </c>
      <c r="BI494" s="69" t="str">
        <f>IFERROR(VLOOKUP($AQ494,'(勿動)組件目錄表'!$D$15:$R$1094,13,FALSE),"")</f>
        <v/>
      </c>
      <c r="BJ494" s="69" t="str">
        <f>IFERROR(VLOOKUP($AQ494,'(勿動)組件目錄表'!$D$15:$R$1094,14,FALSE),"")</f>
        <v/>
      </c>
      <c r="BK494" s="69" t="str">
        <f>IFERROR(VLOOKUP($AQ494,'(勿動)組件目錄表'!$D$15:$R$1094,15,FALSE),"")</f>
        <v/>
      </c>
      <c r="BL494" s="81">
        <f ca="1">IFERROR(__xludf.DUMMYFUNCTION("IFERROR(
  LET(
    rowData, FILTER('(勿動)組件目錄表'!J:Q, '(勿動)組件目錄表'!D:D=AQ494),
    IF(ROWS(rowData)=0, 0, 
      (
        IF(AND(BC494&lt;&gt;"""", INDEX(rowData,1,1)=BC494),1,0) +
        IF(AND(BD494&lt;&gt;"""", INDEX(rowData,1,2)=BD494),1,0) +
        IF(AND(BE494"&amp;"&lt;&gt;"""", INDEX(rowData,1,3)=BE494),1,0) +
        IF(AND(BF494&lt;&gt;"""", INDEX(rowData,1,4)=BF494),1,0) +
        IF(AND(BG494&lt;&gt;"""", INDEX(rowData,1,5)=BG494),1,0) +
        IF(AND(BH494&lt;&gt;"""", INDEX(rowData,1,6)=BH494),1,0) +
        IF(AND(BI494&lt;&gt;"""", IND"&amp;"EX(rowData,1,7)=BI494),1,0) +
        IF(AND(BJ494&lt;&gt;"""", INDEX(rowData,1,8)=BJ494),1,0)
      ) - COUNTIF(BC494:BJ494, ""-"")
        - COUNTIF(BC494:BJ494, ""固定格式，不需提供資訊"")
        - COUNTIF(BC494:BJ494, ""由MKT更新，此欄位固定格式，不需提供資訊
(Voucher CID：12917705872)"&amp;""")
        - COUNTIF(BC494:BJ494, ""text固定為以下：
※直播間僅支援手機版"")
        - COUNTIF(BC494:BJ494, ""text固定為以下：
※短影音僅支援手機版"")
    )
  ), 
  0
)
"),0)</f>
        <v>0</v>
      </c>
      <c r="BM494" s="77" t="b">
        <v>0</v>
      </c>
      <c r="BN494" s="85"/>
      <c r="BO494" s="85"/>
    </row>
    <row r="495" spans="1:67" ht="30" customHeight="1">
      <c r="A495" s="73" t="str">
        <f t="array" aca="1" ref="A495" ca="1">IFERROR(TRANSPOSE(INDIRECT('MS section版配(Old)'!$AO495)),"")</f>
        <v/>
      </c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8"/>
      <c r="P495" s="88"/>
      <c r="Q495" s="88"/>
      <c r="R495" s="88"/>
      <c r="S495" s="88"/>
      <c r="T495" s="88"/>
      <c r="U495" s="88"/>
      <c r="V495" s="88"/>
      <c r="W495" s="88"/>
      <c r="X495" s="88"/>
      <c r="Y495" s="88"/>
      <c r="Z495" s="88"/>
      <c r="AA495" s="88"/>
      <c r="AB495" s="88"/>
      <c r="AC495" s="88"/>
      <c r="AD495" s="88"/>
      <c r="AE495" s="397" t="str">
        <f>IFERROR(VLOOKUP($AQ495,'(勿動)組件目錄表'!$D$15:$R$1094,4,FALSE),"")</f>
        <v/>
      </c>
      <c r="AF495" s="384"/>
      <c r="AG495" s="384"/>
      <c r="AH495" s="384"/>
      <c r="AI495" s="384"/>
      <c r="AJ495" s="385"/>
      <c r="AK495" s="54" t="b">
        <v>0</v>
      </c>
      <c r="AL495" s="54" t="b">
        <v>0</v>
      </c>
      <c r="AM495" s="54"/>
      <c r="AN495" s="7" t="str">
        <v>487</v>
      </c>
      <c r="AO495" s="7"/>
      <c r="AP495" s="62"/>
      <c r="AQ495" s="75" t="str">
        <v/>
      </c>
      <c r="AR495" s="75" t="str">
        <v>-</v>
      </c>
      <c r="AS495" s="11"/>
      <c r="AT495" s="77" t="str">
        <v>-</v>
      </c>
      <c r="AU495" s="11" t="str">
        <v>-</v>
      </c>
      <c r="AV495" s="100"/>
      <c r="AW495" s="80" t="str">
        <f ca="1"/>
        <v>-</v>
      </c>
      <c r="AX495" s="80" t="b">
        <v>0</v>
      </c>
      <c r="AY495" s="68" t="str">
        <f t="shared" si="4"/>
        <v/>
      </c>
      <c r="AZ495" s="69" t="str">
        <f t="shared" si="5"/>
        <v/>
      </c>
      <c r="BA495" s="70" t="str">
        <f t="shared" si="6"/>
        <v/>
      </c>
      <c r="BB495" s="68" t="str">
        <f t="shared" si="7"/>
        <v/>
      </c>
      <c r="BC495" s="69" t="str">
        <f>IFERROR(VLOOKUP($AQ495,'(勿動)組件目錄表'!$D$15:$R$1094,7,FALSE),"")</f>
        <v/>
      </c>
      <c r="BD495" s="69" t="str">
        <f>IFERROR(VLOOKUP($AQ495,'(勿動)組件目錄表'!$D$15:$R$1094,8,FALSE),"")</f>
        <v/>
      </c>
      <c r="BE495" s="69" t="str">
        <f>IFERROR(VLOOKUP($AQ495,'(勿動)組件目錄表'!$D$15:$R$1094,9,FALSE),"")</f>
        <v/>
      </c>
      <c r="BF495" s="69" t="str">
        <f>IFERROR(VLOOKUP($AQ495,'(勿動)組件目錄表'!$D$15:$R$1094,10,FALSE),"")</f>
        <v/>
      </c>
      <c r="BG495" s="69" t="str">
        <f>IFERROR(VLOOKUP($AQ495,'(勿動)組件目錄表'!$D$15:$R$1094,11,FALSE),"")</f>
        <v/>
      </c>
      <c r="BH495" s="69" t="str">
        <f>IFERROR(VLOOKUP($AQ495,'(勿動)組件目錄表'!$D$15:$R$1094,12,FALSE),"")</f>
        <v/>
      </c>
      <c r="BI495" s="69" t="str">
        <f>IFERROR(VLOOKUP($AQ495,'(勿動)組件目錄表'!$D$15:$R$1094,13,FALSE),"")</f>
        <v/>
      </c>
      <c r="BJ495" s="69" t="str">
        <f>IFERROR(VLOOKUP($AQ495,'(勿動)組件目錄表'!$D$15:$R$1094,14,FALSE),"")</f>
        <v/>
      </c>
      <c r="BK495" s="69" t="str">
        <f>IFERROR(VLOOKUP($AQ495,'(勿動)組件目錄表'!$D$15:$R$1094,15,FALSE),"")</f>
        <v/>
      </c>
      <c r="BL495" s="81">
        <f ca="1">IFERROR(__xludf.DUMMYFUNCTION("IFERROR(
  LET(
    rowData, FILTER('(勿動)組件目錄表'!J:Q, '(勿動)組件目錄表'!D:D=AQ495),
    IF(ROWS(rowData)=0, 0, 
      (
        IF(AND(BC495&lt;&gt;"""", INDEX(rowData,1,1)=BC495),1,0) +
        IF(AND(BD495&lt;&gt;"""", INDEX(rowData,1,2)=BD495),1,0) +
        IF(AND(BE495"&amp;"&lt;&gt;"""", INDEX(rowData,1,3)=BE495),1,0) +
        IF(AND(BF495&lt;&gt;"""", INDEX(rowData,1,4)=BF495),1,0) +
        IF(AND(BG495&lt;&gt;"""", INDEX(rowData,1,5)=BG495),1,0) +
        IF(AND(BH495&lt;&gt;"""", INDEX(rowData,1,6)=BH495),1,0) +
        IF(AND(BI495&lt;&gt;"""", IND"&amp;"EX(rowData,1,7)=BI495),1,0) +
        IF(AND(BJ495&lt;&gt;"""", INDEX(rowData,1,8)=BJ495),1,0)
      ) - COUNTIF(BC495:BJ495, ""-"")
        - COUNTIF(BC495:BJ495, ""固定格式，不需提供資訊"")
        - COUNTIF(BC495:BJ495, ""由MKT更新，此欄位固定格式，不需提供資訊
(Voucher CID：12917705872)"&amp;""")
        - COUNTIF(BC495:BJ495, ""text固定為以下：
※直播間僅支援手機版"")
        - COUNTIF(BC495:BJ495, ""text固定為以下：
※短影音僅支援手機版"")
    )
  ), 
  0
)
"),0)</f>
        <v>0</v>
      </c>
      <c r="BM495" s="77" t="b">
        <v>0</v>
      </c>
      <c r="BN495" s="85"/>
      <c r="BO495" s="85"/>
    </row>
    <row r="496" spans="1:67" ht="30" customHeight="1">
      <c r="A496" s="73" t="str">
        <f t="array" aca="1" ref="A496" ca="1">IFERROR(TRANSPOSE(INDIRECT('MS section版配(Old)'!$AO496)),"")</f>
        <v/>
      </c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8"/>
      <c r="P496" s="88"/>
      <c r="Q496" s="88"/>
      <c r="R496" s="88"/>
      <c r="S496" s="88"/>
      <c r="T496" s="88"/>
      <c r="U496" s="88"/>
      <c r="V496" s="88"/>
      <c r="W496" s="88"/>
      <c r="X496" s="88"/>
      <c r="Y496" s="88"/>
      <c r="Z496" s="88"/>
      <c r="AA496" s="88"/>
      <c r="AB496" s="88"/>
      <c r="AC496" s="88"/>
      <c r="AD496" s="88"/>
      <c r="AE496" s="397" t="str">
        <f>IFERROR(VLOOKUP($AQ496,'(勿動)組件目錄表'!$D$15:$R$1094,4,FALSE),"")</f>
        <v/>
      </c>
      <c r="AF496" s="384"/>
      <c r="AG496" s="384"/>
      <c r="AH496" s="384"/>
      <c r="AI496" s="384"/>
      <c r="AJ496" s="385"/>
      <c r="AK496" s="54" t="b">
        <v>0</v>
      </c>
      <c r="AL496" s="54" t="b">
        <v>0</v>
      </c>
      <c r="AM496" s="54"/>
      <c r="AN496" s="7" t="str">
        <v>488</v>
      </c>
      <c r="AO496" s="7"/>
      <c r="AP496" s="62"/>
      <c r="AQ496" s="75" t="str">
        <v/>
      </c>
      <c r="AR496" s="75" t="str">
        <v>-</v>
      </c>
      <c r="AS496" s="11"/>
      <c r="AT496" s="77" t="str">
        <v>-</v>
      </c>
      <c r="AU496" s="11" t="str">
        <v>-</v>
      </c>
      <c r="AV496" s="100"/>
      <c r="AW496" s="80" t="str">
        <f ca="1"/>
        <v>-</v>
      </c>
      <c r="AX496" s="80" t="b">
        <v>0</v>
      </c>
      <c r="AY496" s="68" t="str">
        <f t="shared" si="4"/>
        <v/>
      </c>
      <c r="AZ496" s="69" t="str">
        <f t="shared" si="5"/>
        <v/>
      </c>
      <c r="BA496" s="70" t="str">
        <f t="shared" si="6"/>
        <v/>
      </c>
      <c r="BB496" s="68" t="str">
        <f t="shared" si="7"/>
        <v/>
      </c>
      <c r="BC496" s="69" t="str">
        <f>IFERROR(VLOOKUP($AQ496,'(勿動)組件目錄表'!$D$15:$R$1094,7,FALSE),"")</f>
        <v/>
      </c>
      <c r="BD496" s="69" t="str">
        <f>IFERROR(VLOOKUP($AQ496,'(勿動)組件目錄表'!$D$15:$R$1094,8,FALSE),"")</f>
        <v/>
      </c>
      <c r="BE496" s="69" t="str">
        <f>IFERROR(VLOOKUP($AQ496,'(勿動)組件目錄表'!$D$15:$R$1094,9,FALSE),"")</f>
        <v/>
      </c>
      <c r="BF496" s="69" t="str">
        <f>IFERROR(VLOOKUP($AQ496,'(勿動)組件目錄表'!$D$15:$R$1094,10,FALSE),"")</f>
        <v/>
      </c>
      <c r="BG496" s="69" t="str">
        <f>IFERROR(VLOOKUP($AQ496,'(勿動)組件目錄表'!$D$15:$R$1094,11,FALSE),"")</f>
        <v/>
      </c>
      <c r="BH496" s="69" t="str">
        <f>IFERROR(VLOOKUP($AQ496,'(勿動)組件目錄表'!$D$15:$R$1094,12,FALSE),"")</f>
        <v/>
      </c>
      <c r="BI496" s="69" t="str">
        <f>IFERROR(VLOOKUP($AQ496,'(勿動)組件目錄表'!$D$15:$R$1094,13,FALSE),"")</f>
        <v/>
      </c>
      <c r="BJ496" s="69" t="str">
        <f>IFERROR(VLOOKUP($AQ496,'(勿動)組件目錄表'!$D$15:$R$1094,14,FALSE),"")</f>
        <v/>
      </c>
      <c r="BK496" s="69" t="str">
        <f>IFERROR(VLOOKUP($AQ496,'(勿動)組件目錄表'!$D$15:$R$1094,15,FALSE),"")</f>
        <v/>
      </c>
      <c r="BL496" s="81">
        <f ca="1">IFERROR(__xludf.DUMMYFUNCTION("IFERROR(
  LET(
    rowData, FILTER('(勿動)組件目錄表'!J:Q, '(勿動)組件目錄表'!D:D=AQ496),
    IF(ROWS(rowData)=0, 0, 
      (
        IF(AND(BC496&lt;&gt;"""", INDEX(rowData,1,1)=BC496),1,0) +
        IF(AND(BD496&lt;&gt;"""", INDEX(rowData,1,2)=BD496),1,0) +
        IF(AND(BE496"&amp;"&lt;&gt;"""", INDEX(rowData,1,3)=BE496),1,0) +
        IF(AND(BF496&lt;&gt;"""", INDEX(rowData,1,4)=BF496),1,0) +
        IF(AND(BG496&lt;&gt;"""", INDEX(rowData,1,5)=BG496),1,0) +
        IF(AND(BH496&lt;&gt;"""", INDEX(rowData,1,6)=BH496),1,0) +
        IF(AND(BI496&lt;&gt;"""", IND"&amp;"EX(rowData,1,7)=BI496),1,0) +
        IF(AND(BJ496&lt;&gt;"""", INDEX(rowData,1,8)=BJ496),1,0)
      ) - COUNTIF(BC496:BJ496, ""-"")
        - COUNTIF(BC496:BJ496, ""固定格式，不需提供資訊"")
        - COUNTIF(BC496:BJ496, ""由MKT更新，此欄位固定格式，不需提供資訊
(Voucher CID：12917705872)"&amp;""")
        - COUNTIF(BC496:BJ496, ""text固定為以下：
※直播間僅支援手機版"")
        - COUNTIF(BC496:BJ496, ""text固定為以下：
※短影音僅支援手機版"")
    )
  ), 
  0
)
"),0)</f>
        <v>0</v>
      </c>
      <c r="BM496" s="77" t="b">
        <v>0</v>
      </c>
      <c r="BN496" s="85"/>
      <c r="BO496" s="85"/>
    </row>
    <row r="497" spans="1:67" ht="30" customHeight="1">
      <c r="A497" s="73" t="str">
        <f t="array" aca="1" ref="A497" ca="1">IFERROR(TRANSPOSE(INDIRECT('MS section版配(Old)'!$AO497)),"")</f>
        <v/>
      </c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8"/>
      <c r="P497" s="88"/>
      <c r="Q497" s="88"/>
      <c r="R497" s="88"/>
      <c r="S497" s="88"/>
      <c r="T497" s="88"/>
      <c r="U497" s="88"/>
      <c r="V497" s="88"/>
      <c r="W497" s="88"/>
      <c r="X497" s="88"/>
      <c r="Y497" s="88"/>
      <c r="Z497" s="88"/>
      <c r="AA497" s="88"/>
      <c r="AB497" s="88"/>
      <c r="AC497" s="88"/>
      <c r="AD497" s="88"/>
      <c r="AE497" s="397" t="str">
        <f>IFERROR(VLOOKUP($AQ497,'(勿動)組件目錄表'!$D$15:$R$1094,4,FALSE),"")</f>
        <v/>
      </c>
      <c r="AF497" s="384"/>
      <c r="AG497" s="384"/>
      <c r="AH497" s="384"/>
      <c r="AI497" s="384"/>
      <c r="AJ497" s="385"/>
      <c r="AK497" s="54" t="b">
        <v>0</v>
      </c>
      <c r="AL497" s="54" t="b">
        <v>0</v>
      </c>
      <c r="AM497" s="54"/>
      <c r="AN497" s="7" t="str">
        <v>489</v>
      </c>
      <c r="AO497" s="7"/>
      <c r="AP497" s="62"/>
      <c r="AQ497" s="75" t="str">
        <v/>
      </c>
      <c r="AR497" s="75" t="str">
        <v>-</v>
      </c>
      <c r="AS497" s="11"/>
      <c r="AT497" s="77" t="str">
        <v>-</v>
      </c>
      <c r="AU497" s="11" t="str">
        <v>-</v>
      </c>
      <c r="AV497" s="100"/>
      <c r="AW497" s="80" t="str">
        <f ca="1"/>
        <v>-</v>
      </c>
      <c r="AX497" s="80" t="b">
        <v>0</v>
      </c>
      <c r="AY497" s="68" t="str">
        <f t="shared" si="4"/>
        <v/>
      </c>
      <c r="AZ497" s="69" t="str">
        <f t="shared" si="5"/>
        <v/>
      </c>
      <c r="BA497" s="70" t="str">
        <f t="shared" si="6"/>
        <v/>
      </c>
      <c r="BB497" s="68" t="str">
        <f t="shared" si="7"/>
        <v/>
      </c>
      <c r="BC497" s="69" t="str">
        <f>IFERROR(VLOOKUP($AQ497,'(勿動)組件目錄表'!$D$15:$R$1094,7,FALSE),"")</f>
        <v/>
      </c>
      <c r="BD497" s="69" t="str">
        <f>IFERROR(VLOOKUP($AQ497,'(勿動)組件目錄表'!$D$15:$R$1094,8,FALSE),"")</f>
        <v/>
      </c>
      <c r="BE497" s="69" t="str">
        <f>IFERROR(VLOOKUP($AQ497,'(勿動)組件目錄表'!$D$15:$R$1094,9,FALSE),"")</f>
        <v/>
      </c>
      <c r="BF497" s="69" t="str">
        <f>IFERROR(VLOOKUP($AQ497,'(勿動)組件目錄表'!$D$15:$R$1094,10,FALSE),"")</f>
        <v/>
      </c>
      <c r="BG497" s="69" t="str">
        <f>IFERROR(VLOOKUP($AQ497,'(勿動)組件目錄表'!$D$15:$R$1094,11,FALSE),"")</f>
        <v/>
      </c>
      <c r="BH497" s="69" t="str">
        <f>IFERROR(VLOOKUP($AQ497,'(勿動)組件目錄表'!$D$15:$R$1094,12,FALSE),"")</f>
        <v/>
      </c>
      <c r="BI497" s="69" t="str">
        <f>IFERROR(VLOOKUP($AQ497,'(勿動)組件目錄表'!$D$15:$R$1094,13,FALSE),"")</f>
        <v/>
      </c>
      <c r="BJ497" s="69" t="str">
        <f>IFERROR(VLOOKUP($AQ497,'(勿動)組件目錄表'!$D$15:$R$1094,14,FALSE),"")</f>
        <v/>
      </c>
      <c r="BK497" s="69" t="str">
        <f>IFERROR(VLOOKUP($AQ497,'(勿動)組件目錄表'!$D$15:$R$1094,15,FALSE),"")</f>
        <v/>
      </c>
      <c r="BL497" s="81">
        <f ca="1">IFERROR(__xludf.DUMMYFUNCTION("IFERROR(
  LET(
    rowData, FILTER('(勿動)組件目錄表'!J:Q, '(勿動)組件目錄表'!D:D=AQ497),
    IF(ROWS(rowData)=0, 0, 
      (
        IF(AND(BC497&lt;&gt;"""", INDEX(rowData,1,1)=BC497),1,0) +
        IF(AND(BD497&lt;&gt;"""", INDEX(rowData,1,2)=BD497),1,0) +
        IF(AND(BE497"&amp;"&lt;&gt;"""", INDEX(rowData,1,3)=BE497),1,0) +
        IF(AND(BF497&lt;&gt;"""", INDEX(rowData,1,4)=BF497),1,0) +
        IF(AND(BG497&lt;&gt;"""", INDEX(rowData,1,5)=BG497),1,0) +
        IF(AND(BH497&lt;&gt;"""", INDEX(rowData,1,6)=BH497),1,0) +
        IF(AND(BI497&lt;&gt;"""", IND"&amp;"EX(rowData,1,7)=BI497),1,0) +
        IF(AND(BJ497&lt;&gt;"""", INDEX(rowData,1,8)=BJ497),1,0)
      ) - COUNTIF(BC497:BJ497, ""-"")
        - COUNTIF(BC497:BJ497, ""固定格式，不需提供資訊"")
        - COUNTIF(BC497:BJ497, ""由MKT更新，此欄位固定格式，不需提供資訊
(Voucher CID：12917705872)"&amp;""")
        - COUNTIF(BC497:BJ497, ""text固定為以下：
※直播間僅支援手機版"")
        - COUNTIF(BC497:BJ497, ""text固定為以下：
※短影音僅支援手機版"")
    )
  ), 
  0
)
"),0)</f>
        <v>0</v>
      </c>
      <c r="BM497" s="77" t="b">
        <v>0</v>
      </c>
      <c r="BN497" s="85"/>
      <c r="BO497" s="85"/>
    </row>
    <row r="498" spans="1:67" ht="30" customHeight="1">
      <c r="A498" s="73" t="str">
        <f t="array" aca="1" ref="A498" ca="1">IFERROR(TRANSPOSE(INDIRECT('MS section版配(Old)'!$AO498)),"")</f>
        <v/>
      </c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8"/>
      <c r="P498" s="88"/>
      <c r="Q498" s="88"/>
      <c r="R498" s="88"/>
      <c r="S498" s="88"/>
      <c r="T498" s="88"/>
      <c r="U498" s="88"/>
      <c r="V498" s="88"/>
      <c r="W498" s="88"/>
      <c r="X498" s="88"/>
      <c r="Y498" s="88"/>
      <c r="Z498" s="88"/>
      <c r="AA498" s="88"/>
      <c r="AB498" s="88"/>
      <c r="AC498" s="88"/>
      <c r="AD498" s="88"/>
      <c r="AE498" s="397" t="str">
        <f>IFERROR(VLOOKUP($AQ498,'(勿動)組件目錄表'!$D$15:$R$1094,4,FALSE),"")</f>
        <v/>
      </c>
      <c r="AF498" s="384"/>
      <c r="AG498" s="384"/>
      <c r="AH498" s="384"/>
      <c r="AI498" s="384"/>
      <c r="AJ498" s="385"/>
      <c r="AK498" s="54" t="b">
        <v>0</v>
      </c>
      <c r="AL498" s="54" t="b">
        <v>0</v>
      </c>
      <c r="AM498" s="54"/>
      <c r="AN498" s="7" t="str">
        <v>490</v>
      </c>
      <c r="AO498" s="7"/>
      <c r="AP498" s="62"/>
      <c r="AQ498" s="75" t="str">
        <v/>
      </c>
      <c r="AR498" s="75" t="str">
        <v>-</v>
      </c>
      <c r="AS498" s="11"/>
      <c r="AT498" s="77" t="str">
        <v>-</v>
      </c>
      <c r="AU498" s="11" t="str">
        <v>-</v>
      </c>
      <c r="AV498" s="100"/>
      <c r="AW498" s="80" t="str">
        <f ca="1"/>
        <v>-</v>
      </c>
      <c r="AX498" s="80" t="b">
        <v>0</v>
      </c>
      <c r="AY498" s="68" t="str">
        <f t="shared" si="4"/>
        <v/>
      </c>
      <c r="AZ498" s="69" t="str">
        <f t="shared" si="5"/>
        <v/>
      </c>
      <c r="BA498" s="70" t="str">
        <f t="shared" si="6"/>
        <v/>
      </c>
      <c r="BB498" s="68" t="str">
        <f t="shared" si="7"/>
        <v/>
      </c>
      <c r="BC498" s="69" t="str">
        <f>IFERROR(VLOOKUP($AQ498,'(勿動)組件目錄表'!$D$15:$R$1094,7,FALSE),"")</f>
        <v/>
      </c>
      <c r="BD498" s="69" t="str">
        <f>IFERROR(VLOOKUP($AQ498,'(勿動)組件目錄表'!$D$15:$R$1094,8,FALSE),"")</f>
        <v/>
      </c>
      <c r="BE498" s="69" t="str">
        <f>IFERROR(VLOOKUP($AQ498,'(勿動)組件目錄表'!$D$15:$R$1094,9,FALSE),"")</f>
        <v/>
      </c>
      <c r="BF498" s="69" t="str">
        <f>IFERROR(VLOOKUP($AQ498,'(勿動)組件目錄表'!$D$15:$R$1094,10,FALSE),"")</f>
        <v/>
      </c>
      <c r="BG498" s="69" t="str">
        <f>IFERROR(VLOOKUP($AQ498,'(勿動)組件目錄表'!$D$15:$R$1094,11,FALSE),"")</f>
        <v/>
      </c>
      <c r="BH498" s="69" t="str">
        <f>IFERROR(VLOOKUP($AQ498,'(勿動)組件目錄表'!$D$15:$R$1094,12,FALSE),"")</f>
        <v/>
      </c>
      <c r="BI498" s="69" t="str">
        <f>IFERROR(VLOOKUP($AQ498,'(勿動)組件目錄表'!$D$15:$R$1094,13,FALSE),"")</f>
        <v/>
      </c>
      <c r="BJ498" s="69" t="str">
        <f>IFERROR(VLOOKUP($AQ498,'(勿動)組件目錄表'!$D$15:$R$1094,14,FALSE),"")</f>
        <v/>
      </c>
      <c r="BK498" s="69" t="str">
        <f>IFERROR(VLOOKUP($AQ498,'(勿動)組件目錄表'!$D$15:$R$1094,15,FALSE),"")</f>
        <v/>
      </c>
      <c r="BL498" s="81">
        <f ca="1">IFERROR(__xludf.DUMMYFUNCTION("IFERROR(
  LET(
    rowData, FILTER('(勿動)組件目錄表'!J:Q, '(勿動)組件目錄表'!D:D=AQ498),
    IF(ROWS(rowData)=0, 0, 
      (
        IF(AND(BC498&lt;&gt;"""", INDEX(rowData,1,1)=BC498),1,0) +
        IF(AND(BD498&lt;&gt;"""", INDEX(rowData,1,2)=BD498),1,0) +
        IF(AND(BE498"&amp;"&lt;&gt;"""", INDEX(rowData,1,3)=BE498),1,0) +
        IF(AND(BF498&lt;&gt;"""", INDEX(rowData,1,4)=BF498),1,0) +
        IF(AND(BG498&lt;&gt;"""", INDEX(rowData,1,5)=BG498),1,0) +
        IF(AND(BH498&lt;&gt;"""", INDEX(rowData,1,6)=BH498),1,0) +
        IF(AND(BI498&lt;&gt;"""", IND"&amp;"EX(rowData,1,7)=BI498),1,0) +
        IF(AND(BJ498&lt;&gt;"""", INDEX(rowData,1,8)=BJ498),1,0)
      ) - COUNTIF(BC498:BJ498, ""-"")
        - COUNTIF(BC498:BJ498, ""固定格式，不需提供資訊"")
        - COUNTIF(BC498:BJ498, ""由MKT更新，此欄位固定格式，不需提供資訊
(Voucher CID：12917705872)"&amp;""")
        - COUNTIF(BC498:BJ498, ""text固定為以下：
※直播間僅支援手機版"")
        - COUNTIF(BC498:BJ498, ""text固定為以下：
※短影音僅支援手機版"")
    )
  ), 
  0
)
"),0)</f>
        <v>0</v>
      </c>
      <c r="BM498" s="77" t="b">
        <v>0</v>
      </c>
      <c r="BN498" s="85"/>
      <c r="BO498" s="85"/>
    </row>
    <row r="499" spans="1:67" ht="30" customHeight="1">
      <c r="A499" s="73" t="str">
        <f t="array" aca="1" ref="A499" ca="1">IFERROR(TRANSPOSE(INDIRECT('MS section版配(Old)'!$AO499)),"")</f>
        <v/>
      </c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8"/>
      <c r="P499" s="88"/>
      <c r="Q499" s="88"/>
      <c r="R499" s="88"/>
      <c r="S499" s="88"/>
      <c r="T499" s="88"/>
      <c r="U499" s="88"/>
      <c r="V499" s="88"/>
      <c r="W499" s="88"/>
      <c r="X499" s="88"/>
      <c r="Y499" s="88"/>
      <c r="Z499" s="88"/>
      <c r="AA499" s="88"/>
      <c r="AB499" s="88"/>
      <c r="AC499" s="88"/>
      <c r="AD499" s="88"/>
      <c r="AE499" s="397" t="str">
        <f>IFERROR(VLOOKUP($AQ499,'(勿動)組件目錄表'!$D$15:$R$1094,4,FALSE),"")</f>
        <v/>
      </c>
      <c r="AF499" s="384"/>
      <c r="AG499" s="384"/>
      <c r="AH499" s="384"/>
      <c r="AI499" s="384"/>
      <c r="AJ499" s="385"/>
      <c r="AK499" s="54" t="b">
        <v>0</v>
      </c>
      <c r="AL499" s="54" t="b">
        <v>0</v>
      </c>
      <c r="AM499" s="54"/>
      <c r="AN499" s="7" t="str">
        <v>491</v>
      </c>
      <c r="AO499" s="7"/>
      <c r="AP499" s="62"/>
      <c r="AQ499" s="75" t="str">
        <v/>
      </c>
      <c r="AR499" s="75" t="str">
        <v>-</v>
      </c>
      <c r="AS499" s="11"/>
      <c r="AT499" s="77" t="str">
        <v>-</v>
      </c>
      <c r="AU499" s="11" t="str">
        <v>-</v>
      </c>
      <c r="AV499" s="100"/>
      <c r="AW499" s="80" t="str">
        <f ca="1"/>
        <v>-</v>
      </c>
      <c r="AX499" s="80" t="b">
        <v>0</v>
      </c>
      <c r="AY499" s="68" t="str">
        <f t="shared" si="4"/>
        <v/>
      </c>
      <c r="AZ499" s="69" t="str">
        <f t="shared" si="5"/>
        <v/>
      </c>
      <c r="BA499" s="70" t="str">
        <f t="shared" si="6"/>
        <v/>
      </c>
      <c r="BB499" s="68" t="str">
        <f t="shared" si="7"/>
        <v/>
      </c>
      <c r="BC499" s="69" t="str">
        <f>IFERROR(VLOOKUP($AQ499,'(勿動)組件目錄表'!$D$15:$R$1094,7,FALSE),"")</f>
        <v/>
      </c>
      <c r="BD499" s="69" t="str">
        <f>IFERROR(VLOOKUP($AQ499,'(勿動)組件目錄表'!$D$15:$R$1094,8,FALSE),"")</f>
        <v/>
      </c>
      <c r="BE499" s="69" t="str">
        <f>IFERROR(VLOOKUP($AQ499,'(勿動)組件目錄表'!$D$15:$R$1094,9,FALSE),"")</f>
        <v/>
      </c>
      <c r="BF499" s="69" t="str">
        <f>IFERROR(VLOOKUP($AQ499,'(勿動)組件目錄表'!$D$15:$R$1094,10,FALSE),"")</f>
        <v/>
      </c>
      <c r="BG499" s="69" t="str">
        <f>IFERROR(VLOOKUP($AQ499,'(勿動)組件目錄表'!$D$15:$R$1094,11,FALSE),"")</f>
        <v/>
      </c>
      <c r="BH499" s="69" t="str">
        <f>IFERROR(VLOOKUP($AQ499,'(勿動)組件目錄表'!$D$15:$R$1094,12,FALSE),"")</f>
        <v/>
      </c>
      <c r="BI499" s="69" t="str">
        <f>IFERROR(VLOOKUP($AQ499,'(勿動)組件目錄表'!$D$15:$R$1094,13,FALSE),"")</f>
        <v/>
      </c>
      <c r="BJ499" s="69" t="str">
        <f>IFERROR(VLOOKUP($AQ499,'(勿動)組件目錄表'!$D$15:$R$1094,14,FALSE),"")</f>
        <v/>
      </c>
      <c r="BK499" s="69" t="str">
        <f>IFERROR(VLOOKUP($AQ499,'(勿動)組件目錄表'!$D$15:$R$1094,15,FALSE),"")</f>
        <v/>
      </c>
      <c r="BL499" s="81">
        <f ca="1">IFERROR(__xludf.DUMMYFUNCTION("IFERROR(
  LET(
    rowData, FILTER('(勿動)組件目錄表'!J:Q, '(勿動)組件目錄表'!D:D=AQ499),
    IF(ROWS(rowData)=0, 0, 
      (
        IF(AND(BC499&lt;&gt;"""", INDEX(rowData,1,1)=BC499),1,0) +
        IF(AND(BD499&lt;&gt;"""", INDEX(rowData,1,2)=BD499),1,0) +
        IF(AND(BE499"&amp;"&lt;&gt;"""", INDEX(rowData,1,3)=BE499),1,0) +
        IF(AND(BF499&lt;&gt;"""", INDEX(rowData,1,4)=BF499),1,0) +
        IF(AND(BG499&lt;&gt;"""", INDEX(rowData,1,5)=BG499),1,0) +
        IF(AND(BH499&lt;&gt;"""", INDEX(rowData,1,6)=BH499),1,0) +
        IF(AND(BI499&lt;&gt;"""", IND"&amp;"EX(rowData,1,7)=BI499),1,0) +
        IF(AND(BJ499&lt;&gt;"""", INDEX(rowData,1,8)=BJ499),1,0)
      ) - COUNTIF(BC499:BJ499, ""-"")
        - COUNTIF(BC499:BJ499, ""固定格式，不需提供資訊"")
        - COUNTIF(BC499:BJ499, ""由MKT更新，此欄位固定格式，不需提供資訊
(Voucher CID：12917705872)"&amp;""")
        - COUNTIF(BC499:BJ499, ""text固定為以下：
※直播間僅支援手機版"")
        - COUNTIF(BC499:BJ499, ""text固定為以下：
※短影音僅支援手機版"")
    )
  ), 
  0
)
"),0)</f>
        <v>0</v>
      </c>
      <c r="BM499" s="77" t="b">
        <v>0</v>
      </c>
      <c r="BN499" s="85"/>
      <c r="BO499" s="85"/>
    </row>
    <row r="500" spans="1:67" ht="30" customHeight="1">
      <c r="A500" s="73" t="str">
        <f t="array" aca="1" ref="A500" ca="1">IFERROR(TRANSPOSE(INDIRECT('MS section版配(Old)'!$AO500)),"")</f>
        <v/>
      </c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8"/>
      <c r="P500" s="88"/>
      <c r="Q500" s="88"/>
      <c r="R500" s="88"/>
      <c r="S500" s="88"/>
      <c r="T500" s="88"/>
      <c r="U500" s="88"/>
      <c r="V500" s="88"/>
      <c r="W500" s="88"/>
      <c r="X500" s="88"/>
      <c r="Y500" s="88"/>
      <c r="Z500" s="88"/>
      <c r="AA500" s="88"/>
      <c r="AB500" s="88"/>
      <c r="AC500" s="88"/>
      <c r="AD500" s="88"/>
      <c r="AE500" s="397" t="str">
        <f>IFERROR(VLOOKUP($AQ500,'(勿動)組件目錄表'!$D$15:$R$1094,4,FALSE),"")</f>
        <v/>
      </c>
      <c r="AF500" s="384"/>
      <c r="AG500" s="384"/>
      <c r="AH500" s="384"/>
      <c r="AI500" s="384"/>
      <c r="AJ500" s="385"/>
      <c r="AK500" s="54" t="b">
        <v>0</v>
      </c>
      <c r="AL500" s="54" t="b">
        <v>0</v>
      </c>
      <c r="AM500" s="54"/>
      <c r="AN500" s="7" t="str">
        <v>492</v>
      </c>
      <c r="AO500" s="7"/>
      <c r="AP500" s="62"/>
      <c r="AQ500" s="75" t="str">
        <v/>
      </c>
      <c r="AR500" s="75" t="str">
        <v>-</v>
      </c>
      <c r="AS500" s="11"/>
      <c r="AT500" s="77" t="str">
        <v>-</v>
      </c>
      <c r="AU500" s="11" t="str">
        <v>-</v>
      </c>
      <c r="AV500" s="100"/>
      <c r="AW500" s="80" t="str">
        <f ca="1"/>
        <v>-</v>
      </c>
      <c r="AX500" s="80" t="b">
        <v>0</v>
      </c>
      <c r="AY500" s="68" t="str">
        <f t="shared" si="4"/>
        <v/>
      </c>
      <c r="AZ500" s="69" t="str">
        <f t="shared" si="5"/>
        <v/>
      </c>
      <c r="BA500" s="70" t="str">
        <f t="shared" si="6"/>
        <v/>
      </c>
      <c r="BB500" s="68" t="str">
        <f t="shared" si="7"/>
        <v/>
      </c>
      <c r="BC500" s="69" t="str">
        <f>IFERROR(VLOOKUP($AQ500,'(勿動)組件目錄表'!$D$15:$R$1094,7,FALSE),"")</f>
        <v/>
      </c>
      <c r="BD500" s="69" t="str">
        <f>IFERROR(VLOOKUP($AQ500,'(勿動)組件目錄表'!$D$15:$R$1094,8,FALSE),"")</f>
        <v/>
      </c>
      <c r="BE500" s="69" t="str">
        <f>IFERROR(VLOOKUP($AQ500,'(勿動)組件目錄表'!$D$15:$R$1094,9,FALSE),"")</f>
        <v/>
      </c>
      <c r="BF500" s="69" t="str">
        <f>IFERROR(VLOOKUP($AQ500,'(勿動)組件目錄表'!$D$15:$R$1094,10,FALSE),"")</f>
        <v/>
      </c>
      <c r="BG500" s="69" t="str">
        <f>IFERROR(VLOOKUP($AQ500,'(勿動)組件目錄表'!$D$15:$R$1094,11,FALSE),"")</f>
        <v/>
      </c>
      <c r="BH500" s="69" t="str">
        <f>IFERROR(VLOOKUP($AQ500,'(勿動)組件目錄表'!$D$15:$R$1094,12,FALSE),"")</f>
        <v/>
      </c>
      <c r="BI500" s="69" t="str">
        <f>IFERROR(VLOOKUP($AQ500,'(勿動)組件目錄表'!$D$15:$R$1094,13,FALSE),"")</f>
        <v/>
      </c>
      <c r="BJ500" s="69" t="str">
        <f>IFERROR(VLOOKUP($AQ500,'(勿動)組件目錄表'!$D$15:$R$1094,14,FALSE),"")</f>
        <v/>
      </c>
      <c r="BK500" s="69" t="str">
        <f>IFERROR(VLOOKUP($AQ500,'(勿動)組件目錄表'!$D$15:$R$1094,15,FALSE),"")</f>
        <v/>
      </c>
      <c r="BL500" s="81">
        <f ca="1">IFERROR(__xludf.DUMMYFUNCTION("IFERROR(
  LET(
    rowData, FILTER('(勿動)組件目錄表'!J:Q, '(勿動)組件目錄表'!D:D=AQ500),
    IF(ROWS(rowData)=0, 0, 
      (
        IF(AND(BC500&lt;&gt;"""", INDEX(rowData,1,1)=BC500),1,0) +
        IF(AND(BD500&lt;&gt;"""", INDEX(rowData,1,2)=BD500),1,0) +
        IF(AND(BE500"&amp;"&lt;&gt;"""", INDEX(rowData,1,3)=BE500),1,0) +
        IF(AND(BF500&lt;&gt;"""", INDEX(rowData,1,4)=BF500),1,0) +
        IF(AND(BG500&lt;&gt;"""", INDEX(rowData,1,5)=BG500),1,0) +
        IF(AND(BH500&lt;&gt;"""", INDEX(rowData,1,6)=BH500),1,0) +
        IF(AND(BI500&lt;&gt;"""", IND"&amp;"EX(rowData,1,7)=BI500),1,0) +
        IF(AND(BJ500&lt;&gt;"""", INDEX(rowData,1,8)=BJ500),1,0)
      ) - COUNTIF(BC500:BJ500, ""-"")
        - COUNTIF(BC500:BJ500, ""固定格式，不需提供資訊"")
        - COUNTIF(BC500:BJ500, ""由MKT更新，此欄位固定格式，不需提供資訊
(Voucher CID：12917705872)"&amp;""")
        - COUNTIF(BC500:BJ500, ""text固定為以下：
※直播間僅支援手機版"")
        - COUNTIF(BC500:BJ500, ""text固定為以下：
※短影音僅支援手機版"")
    )
  ), 
  0
)
"),0)</f>
        <v>0</v>
      </c>
      <c r="BM500" s="77" t="b">
        <v>0</v>
      </c>
      <c r="BN500" s="85"/>
      <c r="BO500" s="85"/>
    </row>
    <row r="501" spans="1:67" ht="30" customHeight="1">
      <c r="A501" s="73" t="str">
        <f t="array" aca="1" ref="A501" ca="1">IFERROR(TRANSPOSE(INDIRECT('MS section版配(Old)'!$AO501)),"")</f>
        <v/>
      </c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8"/>
      <c r="P501" s="88"/>
      <c r="Q501" s="88"/>
      <c r="R501" s="88"/>
      <c r="S501" s="88"/>
      <c r="T501" s="88"/>
      <c r="U501" s="88"/>
      <c r="V501" s="88"/>
      <c r="W501" s="88"/>
      <c r="X501" s="88"/>
      <c r="Y501" s="88"/>
      <c r="Z501" s="88"/>
      <c r="AA501" s="88"/>
      <c r="AB501" s="88"/>
      <c r="AC501" s="88"/>
      <c r="AD501" s="88"/>
      <c r="AE501" s="397" t="str">
        <f>IFERROR(VLOOKUP($AQ501,'(勿動)組件目錄表'!$D$15:$R$1094,4,FALSE),"")</f>
        <v/>
      </c>
      <c r="AF501" s="384"/>
      <c r="AG501" s="384"/>
      <c r="AH501" s="384"/>
      <c r="AI501" s="384"/>
      <c r="AJ501" s="385"/>
      <c r="AK501" s="54" t="b">
        <v>0</v>
      </c>
      <c r="AL501" s="54" t="b">
        <v>0</v>
      </c>
      <c r="AM501" s="54"/>
      <c r="AN501" s="7" t="str">
        <v>493</v>
      </c>
      <c r="AO501" s="7"/>
      <c r="AP501" s="62"/>
      <c r="AQ501" s="75" t="str">
        <v/>
      </c>
      <c r="AR501" s="75" t="str">
        <v>-</v>
      </c>
      <c r="AS501" s="11"/>
      <c r="AT501" s="77" t="str">
        <v>-</v>
      </c>
      <c r="AU501" s="11" t="str">
        <v>-</v>
      </c>
      <c r="AV501" s="100"/>
      <c r="AW501" s="80" t="str">
        <f ca="1"/>
        <v>-</v>
      </c>
      <c r="AX501" s="80" t="b">
        <v>0</v>
      </c>
      <c r="AY501" s="68" t="str">
        <f t="shared" si="4"/>
        <v/>
      </c>
      <c r="AZ501" s="69" t="str">
        <f t="shared" si="5"/>
        <v/>
      </c>
      <c r="BA501" s="70" t="str">
        <f t="shared" si="6"/>
        <v/>
      </c>
      <c r="BB501" s="68" t="str">
        <f t="shared" si="7"/>
        <v/>
      </c>
      <c r="BC501" s="69" t="str">
        <f>IFERROR(VLOOKUP($AQ501,'(勿動)組件目錄表'!$D$15:$R$1094,7,FALSE),"")</f>
        <v/>
      </c>
      <c r="BD501" s="69" t="str">
        <f>IFERROR(VLOOKUP($AQ501,'(勿動)組件目錄表'!$D$15:$R$1094,8,FALSE),"")</f>
        <v/>
      </c>
      <c r="BE501" s="69" t="str">
        <f>IFERROR(VLOOKUP($AQ501,'(勿動)組件目錄表'!$D$15:$R$1094,9,FALSE),"")</f>
        <v/>
      </c>
      <c r="BF501" s="69" t="str">
        <f>IFERROR(VLOOKUP($AQ501,'(勿動)組件目錄表'!$D$15:$R$1094,10,FALSE),"")</f>
        <v/>
      </c>
      <c r="BG501" s="69" t="str">
        <f>IFERROR(VLOOKUP($AQ501,'(勿動)組件目錄表'!$D$15:$R$1094,11,FALSE),"")</f>
        <v/>
      </c>
      <c r="BH501" s="69" t="str">
        <f>IFERROR(VLOOKUP($AQ501,'(勿動)組件目錄表'!$D$15:$R$1094,12,FALSE),"")</f>
        <v/>
      </c>
      <c r="BI501" s="69" t="str">
        <f>IFERROR(VLOOKUP($AQ501,'(勿動)組件目錄表'!$D$15:$R$1094,13,FALSE),"")</f>
        <v/>
      </c>
      <c r="BJ501" s="69" t="str">
        <f>IFERROR(VLOOKUP($AQ501,'(勿動)組件目錄表'!$D$15:$R$1094,14,FALSE),"")</f>
        <v/>
      </c>
      <c r="BK501" s="69" t="str">
        <f>IFERROR(VLOOKUP($AQ501,'(勿動)組件目錄表'!$D$15:$R$1094,15,FALSE),"")</f>
        <v/>
      </c>
      <c r="BL501" s="81">
        <f ca="1">IFERROR(__xludf.DUMMYFUNCTION("IFERROR(
  LET(
    rowData, FILTER('(勿動)組件目錄表'!J:Q, '(勿動)組件目錄表'!D:D=AQ501),
    IF(ROWS(rowData)=0, 0, 
      (
        IF(AND(BC501&lt;&gt;"""", INDEX(rowData,1,1)=BC501),1,0) +
        IF(AND(BD501&lt;&gt;"""", INDEX(rowData,1,2)=BD501),1,0) +
        IF(AND(BE501"&amp;"&lt;&gt;"""", INDEX(rowData,1,3)=BE501),1,0) +
        IF(AND(BF501&lt;&gt;"""", INDEX(rowData,1,4)=BF501),1,0) +
        IF(AND(BG501&lt;&gt;"""", INDEX(rowData,1,5)=BG501),1,0) +
        IF(AND(BH501&lt;&gt;"""", INDEX(rowData,1,6)=BH501),1,0) +
        IF(AND(BI501&lt;&gt;"""", IND"&amp;"EX(rowData,1,7)=BI501),1,0) +
        IF(AND(BJ501&lt;&gt;"""", INDEX(rowData,1,8)=BJ501),1,0)
      ) - COUNTIF(BC501:BJ501, ""-"")
        - COUNTIF(BC501:BJ501, ""固定格式，不需提供資訊"")
        - COUNTIF(BC501:BJ501, ""由MKT更新，此欄位固定格式，不需提供資訊
(Voucher CID：12917705872)"&amp;""")
        - COUNTIF(BC501:BJ501, ""text固定為以下：
※直播間僅支援手機版"")
        - COUNTIF(BC501:BJ501, ""text固定為以下：
※短影音僅支援手機版"")
    )
  ), 
  0
)
"),0)</f>
        <v>0</v>
      </c>
      <c r="BM501" s="77" t="b">
        <v>0</v>
      </c>
      <c r="BN501" s="85"/>
      <c r="BO501" s="85"/>
    </row>
    <row r="502" spans="1:67" ht="30" customHeight="1">
      <c r="A502" s="73" t="str">
        <f t="array" aca="1" ref="A502" ca="1">IFERROR(TRANSPOSE(INDIRECT('MS section版配(Old)'!$AO502)),"")</f>
        <v/>
      </c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8"/>
      <c r="P502" s="88"/>
      <c r="Q502" s="88"/>
      <c r="R502" s="88"/>
      <c r="S502" s="88"/>
      <c r="T502" s="88"/>
      <c r="U502" s="88"/>
      <c r="V502" s="88"/>
      <c r="W502" s="88"/>
      <c r="X502" s="88"/>
      <c r="Y502" s="88"/>
      <c r="Z502" s="88"/>
      <c r="AA502" s="88"/>
      <c r="AB502" s="88"/>
      <c r="AC502" s="88"/>
      <c r="AD502" s="88"/>
      <c r="AE502" s="397" t="str">
        <f>IFERROR(VLOOKUP($AQ502,'(勿動)組件目錄表'!$D$15:$R$1094,4,FALSE),"")</f>
        <v/>
      </c>
      <c r="AF502" s="384"/>
      <c r="AG502" s="384"/>
      <c r="AH502" s="384"/>
      <c r="AI502" s="384"/>
      <c r="AJ502" s="385"/>
      <c r="AK502" s="54" t="b">
        <v>0</v>
      </c>
      <c r="AL502" s="54" t="b">
        <v>0</v>
      </c>
      <c r="AM502" s="54"/>
      <c r="AN502" s="7" t="str">
        <v>494</v>
      </c>
      <c r="AO502" s="7"/>
      <c r="AP502" s="62"/>
      <c r="AQ502" s="75" t="str">
        <v/>
      </c>
      <c r="AR502" s="75" t="str">
        <v>-</v>
      </c>
      <c r="AS502" s="11"/>
      <c r="AT502" s="77" t="str">
        <v>-</v>
      </c>
      <c r="AU502" s="11" t="str">
        <v>-</v>
      </c>
      <c r="AV502" s="100"/>
      <c r="AW502" s="80" t="str">
        <f ca="1"/>
        <v>-</v>
      </c>
      <c r="AX502" s="80" t="b">
        <v>0</v>
      </c>
      <c r="AY502" s="68" t="str">
        <f t="shared" si="4"/>
        <v/>
      </c>
      <c r="AZ502" s="69" t="str">
        <f t="shared" si="5"/>
        <v/>
      </c>
      <c r="BA502" s="70" t="str">
        <f t="shared" si="6"/>
        <v/>
      </c>
      <c r="BB502" s="68" t="str">
        <f t="shared" si="7"/>
        <v/>
      </c>
      <c r="BC502" s="69" t="str">
        <f>IFERROR(VLOOKUP($AQ502,'(勿動)組件目錄表'!$D$15:$R$1094,7,FALSE),"")</f>
        <v/>
      </c>
      <c r="BD502" s="69" t="str">
        <f>IFERROR(VLOOKUP($AQ502,'(勿動)組件目錄表'!$D$15:$R$1094,8,FALSE),"")</f>
        <v/>
      </c>
      <c r="BE502" s="69" t="str">
        <f>IFERROR(VLOOKUP($AQ502,'(勿動)組件目錄表'!$D$15:$R$1094,9,FALSE),"")</f>
        <v/>
      </c>
      <c r="BF502" s="69" t="str">
        <f>IFERROR(VLOOKUP($AQ502,'(勿動)組件目錄表'!$D$15:$R$1094,10,FALSE),"")</f>
        <v/>
      </c>
      <c r="BG502" s="69" t="str">
        <f>IFERROR(VLOOKUP($AQ502,'(勿動)組件目錄表'!$D$15:$R$1094,11,FALSE),"")</f>
        <v/>
      </c>
      <c r="BH502" s="69" t="str">
        <f>IFERROR(VLOOKUP($AQ502,'(勿動)組件目錄表'!$D$15:$R$1094,12,FALSE),"")</f>
        <v/>
      </c>
      <c r="BI502" s="69" t="str">
        <f>IFERROR(VLOOKUP($AQ502,'(勿動)組件目錄表'!$D$15:$R$1094,13,FALSE),"")</f>
        <v/>
      </c>
      <c r="BJ502" s="69" t="str">
        <f>IFERROR(VLOOKUP($AQ502,'(勿動)組件目錄表'!$D$15:$R$1094,14,FALSE),"")</f>
        <v/>
      </c>
      <c r="BK502" s="69" t="str">
        <f>IFERROR(VLOOKUP($AQ502,'(勿動)組件目錄表'!$D$15:$R$1094,15,FALSE),"")</f>
        <v/>
      </c>
      <c r="BL502" s="81">
        <f ca="1">IFERROR(__xludf.DUMMYFUNCTION("IFERROR(
  LET(
    rowData, FILTER('(勿動)組件目錄表'!J:Q, '(勿動)組件目錄表'!D:D=AQ502),
    IF(ROWS(rowData)=0, 0, 
      (
        IF(AND(BC502&lt;&gt;"""", INDEX(rowData,1,1)=BC502),1,0) +
        IF(AND(BD502&lt;&gt;"""", INDEX(rowData,1,2)=BD502),1,0) +
        IF(AND(BE502"&amp;"&lt;&gt;"""", INDEX(rowData,1,3)=BE502),1,0) +
        IF(AND(BF502&lt;&gt;"""", INDEX(rowData,1,4)=BF502),1,0) +
        IF(AND(BG502&lt;&gt;"""", INDEX(rowData,1,5)=BG502),1,0) +
        IF(AND(BH502&lt;&gt;"""", INDEX(rowData,1,6)=BH502),1,0) +
        IF(AND(BI502&lt;&gt;"""", IND"&amp;"EX(rowData,1,7)=BI502),1,0) +
        IF(AND(BJ502&lt;&gt;"""", INDEX(rowData,1,8)=BJ502),1,0)
      ) - COUNTIF(BC502:BJ502, ""-"")
        - COUNTIF(BC502:BJ502, ""固定格式，不需提供資訊"")
        - COUNTIF(BC502:BJ502, ""由MKT更新，此欄位固定格式，不需提供資訊
(Voucher CID：12917705872)"&amp;""")
        - COUNTIF(BC502:BJ502, ""text固定為以下：
※直播間僅支援手機版"")
        - COUNTIF(BC502:BJ502, ""text固定為以下：
※短影音僅支援手機版"")
    )
  ), 
  0
)
"),0)</f>
        <v>0</v>
      </c>
      <c r="BM502" s="77" t="b">
        <v>0</v>
      </c>
      <c r="BN502" s="85"/>
      <c r="BO502" s="85"/>
    </row>
    <row r="503" spans="1:67" ht="30" customHeight="1">
      <c r="A503" s="73" t="str">
        <f t="array" aca="1" ref="A503" ca="1">IFERROR(TRANSPOSE(INDIRECT('MS section版配(Old)'!$AO503)),"")</f>
        <v/>
      </c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8"/>
      <c r="P503" s="88"/>
      <c r="Q503" s="88"/>
      <c r="R503" s="88"/>
      <c r="S503" s="88"/>
      <c r="T503" s="88"/>
      <c r="U503" s="88"/>
      <c r="V503" s="88"/>
      <c r="W503" s="88"/>
      <c r="X503" s="88"/>
      <c r="Y503" s="88"/>
      <c r="Z503" s="88"/>
      <c r="AA503" s="88"/>
      <c r="AB503" s="88"/>
      <c r="AC503" s="88"/>
      <c r="AD503" s="88"/>
      <c r="AE503" s="397" t="str">
        <f>IFERROR(VLOOKUP($AQ503,'(勿動)組件目錄表'!$D$15:$R$1094,4,FALSE),"")</f>
        <v/>
      </c>
      <c r="AF503" s="384"/>
      <c r="AG503" s="384"/>
      <c r="AH503" s="384"/>
      <c r="AI503" s="384"/>
      <c r="AJ503" s="385"/>
      <c r="AK503" s="54" t="b">
        <v>0</v>
      </c>
      <c r="AL503" s="54" t="b">
        <v>0</v>
      </c>
      <c r="AM503" s="54"/>
      <c r="AN503" s="7" t="str">
        <v>495</v>
      </c>
      <c r="AO503" s="7"/>
      <c r="AP503" s="62"/>
      <c r="AQ503" s="75" t="str">
        <v/>
      </c>
      <c r="AR503" s="75" t="str">
        <v>-</v>
      </c>
      <c r="AS503" s="11"/>
      <c r="AT503" s="77" t="str">
        <v>-</v>
      </c>
      <c r="AU503" s="11" t="str">
        <v>-</v>
      </c>
      <c r="AV503" s="100"/>
      <c r="AW503" s="80" t="str">
        <f ca="1"/>
        <v>-</v>
      </c>
      <c r="AX503" s="80" t="b">
        <v>0</v>
      </c>
      <c r="AY503" s="68" t="str">
        <f t="shared" si="4"/>
        <v/>
      </c>
      <c r="AZ503" s="69" t="str">
        <f t="shared" si="5"/>
        <v/>
      </c>
      <c r="BA503" s="70" t="str">
        <f t="shared" si="6"/>
        <v/>
      </c>
      <c r="BB503" s="68" t="str">
        <f t="shared" si="7"/>
        <v/>
      </c>
      <c r="BC503" s="69" t="str">
        <f>IFERROR(VLOOKUP($AQ503,'(勿動)組件目錄表'!$D$15:$R$1094,7,FALSE),"")</f>
        <v/>
      </c>
      <c r="BD503" s="69" t="str">
        <f>IFERROR(VLOOKUP($AQ503,'(勿動)組件目錄表'!$D$15:$R$1094,8,FALSE),"")</f>
        <v/>
      </c>
      <c r="BE503" s="69" t="str">
        <f>IFERROR(VLOOKUP($AQ503,'(勿動)組件目錄表'!$D$15:$R$1094,9,FALSE),"")</f>
        <v/>
      </c>
      <c r="BF503" s="69" t="str">
        <f>IFERROR(VLOOKUP($AQ503,'(勿動)組件目錄表'!$D$15:$R$1094,10,FALSE),"")</f>
        <v/>
      </c>
      <c r="BG503" s="69" t="str">
        <f>IFERROR(VLOOKUP($AQ503,'(勿動)組件目錄表'!$D$15:$R$1094,11,FALSE),"")</f>
        <v/>
      </c>
      <c r="BH503" s="69" t="str">
        <f>IFERROR(VLOOKUP($AQ503,'(勿動)組件目錄表'!$D$15:$R$1094,12,FALSE),"")</f>
        <v/>
      </c>
      <c r="BI503" s="69" t="str">
        <f>IFERROR(VLOOKUP($AQ503,'(勿動)組件目錄表'!$D$15:$R$1094,13,FALSE),"")</f>
        <v/>
      </c>
      <c r="BJ503" s="69" t="str">
        <f>IFERROR(VLOOKUP($AQ503,'(勿動)組件目錄表'!$D$15:$R$1094,14,FALSE),"")</f>
        <v/>
      </c>
      <c r="BK503" s="69" t="str">
        <f>IFERROR(VLOOKUP($AQ503,'(勿動)組件目錄表'!$D$15:$R$1094,15,FALSE),"")</f>
        <v/>
      </c>
      <c r="BL503" s="81">
        <f ca="1">IFERROR(__xludf.DUMMYFUNCTION("IFERROR(
  LET(
    rowData, FILTER('(勿動)組件目錄表'!J:Q, '(勿動)組件目錄表'!D:D=AQ503),
    IF(ROWS(rowData)=0, 0, 
      (
        IF(AND(BC503&lt;&gt;"""", INDEX(rowData,1,1)=BC503),1,0) +
        IF(AND(BD503&lt;&gt;"""", INDEX(rowData,1,2)=BD503),1,0) +
        IF(AND(BE503"&amp;"&lt;&gt;"""", INDEX(rowData,1,3)=BE503),1,0) +
        IF(AND(BF503&lt;&gt;"""", INDEX(rowData,1,4)=BF503),1,0) +
        IF(AND(BG503&lt;&gt;"""", INDEX(rowData,1,5)=BG503),1,0) +
        IF(AND(BH503&lt;&gt;"""", INDEX(rowData,1,6)=BH503),1,0) +
        IF(AND(BI503&lt;&gt;"""", IND"&amp;"EX(rowData,1,7)=BI503),1,0) +
        IF(AND(BJ503&lt;&gt;"""", INDEX(rowData,1,8)=BJ503),1,0)
      ) - COUNTIF(BC503:BJ503, ""-"")
        - COUNTIF(BC503:BJ503, ""固定格式，不需提供資訊"")
        - COUNTIF(BC503:BJ503, ""由MKT更新，此欄位固定格式，不需提供資訊
(Voucher CID：12917705872)"&amp;""")
        - COUNTIF(BC503:BJ503, ""text固定為以下：
※直播間僅支援手機版"")
        - COUNTIF(BC503:BJ503, ""text固定為以下：
※短影音僅支援手機版"")
    )
  ), 
  0
)
"),0)</f>
        <v>0</v>
      </c>
      <c r="BM503" s="77" t="b">
        <v>0</v>
      </c>
      <c r="BN503" s="85"/>
      <c r="BO503" s="85"/>
    </row>
    <row r="504" spans="1:67" ht="30" customHeight="1">
      <c r="A504" s="73" t="str">
        <f t="array" aca="1" ref="A504" ca="1">IFERROR(TRANSPOSE(INDIRECT('MS section版配(Old)'!$AO504)),"")</f>
        <v/>
      </c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8"/>
      <c r="P504" s="88"/>
      <c r="Q504" s="88"/>
      <c r="R504" s="88"/>
      <c r="S504" s="88"/>
      <c r="T504" s="88"/>
      <c r="U504" s="88"/>
      <c r="V504" s="88"/>
      <c r="W504" s="88"/>
      <c r="X504" s="88"/>
      <c r="Y504" s="88"/>
      <c r="Z504" s="88"/>
      <c r="AA504" s="88"/>
      <c r="AB504" s="88"/>
      <c r="AC504" s="88"/>
      <c r="AD504" s="88"/>
      <c r="AE504" s="397" t="str">
        <f>IFERROR(VLOOKUP($AQ504,'(勿動)組件目錄表'!$D$15:$R$1094,4,FALSE),"")</f>
        <v/>
      </c>
      <c r="AF504" s="384"/>
      <c r="AG504" s="384"/>
      <c r="AH504" s="384"/>
      <c r="AI504" s="384"/>
      <c r="AJ504" s="385"/>
      <c r="AK504" s="54" t="b">
        <v>0</v>
      </c>
      <c r="AL504" s="54" t="b">
        <v>0</v>
      </c>
      <c r="AM504" s="54"/>
      <c r="AN504" s="7" t="str">
        <v>496</v>
      </c>
      <c r="AO504" s="7"/>
      <c r="AP504" s="62"/>
      <c r="AQ504" s="75" t="str">
        <v/>
      </c>
      <c r="AR504" s="75" t="str">
        <v>-</v>
      </c>
      <c r="AS504" s="11"/>
      <c r="AT504" s="77" t="str">
        <v>-</v>
      </c>
      <c r="AU504" s="11" t="str">
        <v>-</v>
      </c>
      <c r="AV504" s="100"/>
      <c r="AW504" s="80" t="str">
        <f ca="1"/>
        <v>-</v>
      </c>
      <c r="AX504" s="80" t="b">
        <v>0</v>
      </c>
      <c r="AY504" s="68" t="str">
        <f t="shared" si="4"/>
        <v/>
      </c>
      <c r="AZ504" s="69" t="str">
        <f t="shared" si="5"/>
        <v/>
      </c>
      <c r="BA504" s="70" t="str">
        <f t="shared" si="6"/>
        <v/>
      </c>
      <c r="BB504" s="68" t="str">
        <f t="shared" si="7"/>
        <v/>
      </c>
      <c r="BC504" s="69" t="str">
        <f>IFERROR(VLOOKUP($AQ504,'(勿動)組件目錄表'!$D$15:$R$1094,7,FALSE),"")</f>
        <v/>
      </c>
      <c r="BD504" s="69" t="str">
        <f>IFERROR(VLOOKUP($AQ504,'(勿動)組件目錄表'!$D$15:$R$1094,8,FALSE),"")</f>
        <v/>
      </c>
      <c r="BE504" s="69" t="str">
        <f>IFERROR(VLOOKUP($AQ504,'(勿動)組件目錄表'!$D$15:$R$1094,9,FALSE),"")</f>
        <v/>
      </c>
      <c r="BF504" s="69" t="str">
        <f>IFERROR(VLOOKUP($AQ504,'(勿動)組件目錄表'!$D$15:$R$1094,10,FALSE),"")</f>
        <v/>
      </c>
      <c r="BG504" s="69" t="str">
        <f>IFERROR(VLOOKUP($AQ504,'(勿動)組件目錄表'!$D$15:$R$1094,11,FALSE),"")</f>
        <v/>
      </c>
      <c r="BH504" s="69" t="str">
        <f>IFERROR(VLOOKUP($AQ504,'(勿動)組件目錄表'!$D$15:$R$1094,12,FALSE),"")</f>
        <v/>
      </c>
      <c r="BI504" s="69" t="str">
        <f>IFERROR(VLOOKUP($AQ504,'(勿動)組件目錄表'!$D$15:$R$1094,13,FALSE),"")</f>
        <v/>
      </c>
      <c r="BJ504" s="69" t="str">
        <f>IFERROR(VLOOKUP($AQ504,'(勿動)組件目錄表'!$D$15:$R$1094,14,FALSE),"")</f>
        <v/>
      </c>
      <c r="BK504" s="69" t="str">
        <f>IFERROR(VLOOKUP($AQ504,'(勿動)組件目錄表'!$D$15:$R$1094,15,FALSE),"")</f>
        <v/>
      </c>
      <c r="BL504" s="81">
        <f ca="1">IFERROR(__xludf.DUMMYFUNCTION("IFERROR(
  LET(
    rowData, FILTER('(勿動)組件目錄表'!J:Q, '(勿動)組件目錄表'!D:D=AQ504),
    IF(ROWS(rowData)=0, 0, 
      (
        IF(AND(BC504&lt;&gt;"""", INDEX(rowData,1,1)=BC504),1,0) +
        IF(AND(BD504&lt;&gt;"""", INDEX(rowData,1,2)=BD504),1,0) +
        IF(AND(BE504"&amp;"&lt;&gt;"""", INDEX(rowData,1,3)=BE504),1,0) +
        IF(AND(BF504&lt;&gt;"""", INDEX(rowData,1,4)=BF504),1,0) +
        IF(AND(BG504&lt;&gt;"""", INDEX(rowData,1,5)=BG504),1,0) +
        IF(AND(BH504&lt;&gt;"""", INDEX(rowData,1,6)=BH504),1,0) +
        IF(AND(BI504&lt;&gt;"""", IND"&amp;"EX(rowData,1,7)=BI504),1,0) +
        IF(AND(BJ504&lt;&gt;"""", INDEX(rowData,1,8)=BJ504),1,0)
      ) - COUNTIF(BC504:BJ504, ""-"")
        - COUNTIF(BC504:BJ504, ""固定格式，不需提供資訊"")
        - COUNTIF(BC504:BJ504, ""由MKT更新，此欄位固定格式，不需提供資訊
(Voucher CID：12917705872)"&amp;""")
        - COUNTIF(BC504:BJ504, ""text固定為以下：
※直播間僅支援手機版"")
        - COUNTIF(BC504:BJ504, ""text固定為以下：
※短影音僅支援手機版"")
    )
  ), 
  0
)
"),0)</f>
        <v>0</v>
      </c>
      <c r="BM504" s="77" t="b">
        <v>0</v>
      </c>
      <c r="BN504" s="85"/>
      <c r="BO504" s="85"/>
    </row>
    <row r="505" spans="1:67" ht="30" customHeight="1">
      <c r="A505" s="73" t="str">
        <f t="array" aca="1" ref="A505" ca="1">IFERROR(TRANSPOSE(INDIRECT('MS section版配(Old)'!$AO505)),"")</f>
        <v/>
      </c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8"/>
      <c r="P505" s="88"/>
      <c r="Q505" s="88"/>
      <c r="R505" s="88"/>
      <c r="S505" s="88"/>
      <c r="T505" s="88"/>
      <c r="U505" s="88"/>
      <c r="V505" s="88"/>
      <c r="W505" s="88"/>
      <c r="X505" s="88"/>
      <c r="Y505" s="88"/>
      <c r="Z505" s="88"/>
      <c r="AA505" s="88"/>
      <c r="AB505" s="88"/>
      <c r="AC505" s="88"/>
      <c r="AD505" s="88"/>
      <c r="AE505" s="397" t="str">
        <f>IFERROR(VLOOKUP($AQ505,'(勿動)組件目錄表'!$D$15:$R$1094,4,FALSE),"")</f>
        <v/>
      </c>
      <c r="AF505" s="384"/>
      <c r="AG505" s="384"/>
      <c r="AH505" s="384"/>
      <c r="AI505" s="384"/>
      <c r="AJ505" s="385"/>
      <c r="AK505" s="54" t="b">
        <v>0</v>
      </c>
      <c r="AL505" s="54" t="b">
        <v>0</v>
      </c>
      <c r="AM505" s="54"/>
      <c r="AN505" s="7" t="str">
        <v>497</v>
      </c>
      <c r="AO505" s="7"/>
      <c r="AP505" s="62"/>
      <c r="AQ505" s="75" t="str">
        <v/>
      </c>
      <c r="AR505" s="75" t="str">
        <v>-</v>
      </c>
      <c r="AS505" s="11"/>
      <c r="AT505" s="77" t="str">
        <v>-</v>
      </c>
      <c r="AU505" s="11" t="str">
        <v>-</v>
      </c>
      <c r="AV505" s="100"/>
      <c r="AW505" s="80" t="str">
        <f ca="1"/>
        <v>-</v>
      </c>
      <c r="AX505" s="80" t="b">
        <v>0</v>
      </c>
      <c r="AY505" s="68" t="str">
        <f t="shared" si="4"/>
        <v/>
      </c>
      <c r="AZ505" s="69" t="str">
        <f t="shared" si="5"/>
        <v/>
      </c>
      <c r="BA505" s="70" t="str">
        <f t="shared" si="6"/>
        <v/>
      </c>
      <c r="BB505" s="68" t="str">
        <f t="shared" si="7"/>
        <v/>
      </c>
      <c r="BC505" s="69" t="str">
        <f>IFERROR(VLOOKUP($AQ505,'(勿動)組件目錄表'!$D$15:$R$1094,7,FALSE),"")</f>
        <v/>
      </c>
      <c r="BD505" s="69" t="str">
        <f>IFERROR(VLOOKUP($AQ505,'(勿動)組件目錄表'!$D$15:$R$1094,8,FALSE),"")</f>
        <v/>
      </c>
      <c r="BE505" s="69" t="str">
        <f>IFERROR(VLOOKUP($AQ505,'(勿動)組件目錄表'!$D$15:$R$1094,9,FALSE),"")</f>
        <v/>
      </c>
      <c r="BF505" s="69" t="str">
        <f>IFERROR(VLOOKUP($AQ505,'(勿動)組件目錄表'!$D$15:$R$1094,10,FALSE),"")</f>
        <v/>
      </c>
      <c r="BG505" s="69" t="str">
        <f>IFERROR(VLOOKUP($AQ505,'(勿動)組件目錄表'!$D$15:$R$1094,11,FALSE),"")</f>
        <v/>
      </c>
      <c r="BH505" s="69" t="str">
        <f>IFERROR(VLOOKUP($AQ505,'(勿動)組件目錄表'!$D$15:$R$1094,12,FALSE),"")</f>
        <v/>
      </c>
      <c r="BI505" s="69" t="str">
        <f>IFERROR(VLOOKUP($AQ505,'(勿動)組件目錄表'!$D$15:$R$1094,13,FALSE),"")</f>
        <v/>
      </c>
      <c r="BJ505" s="69" t="str">
        <f>IFERROR(VLOOKUP($AQ505,'(勿動)組件目錄表'!$D$15:$R$1094,14,FALSE),"")</f>
        <v/>
      </c>
      <c r="BK505" s="69" t="str">
        <f>IFERROR(VLOOKUP($AQ505,'(勿動)組件目錄表'!$D$15:$R$1094,15,FALSE),"")</f>
        <v/>
      </c>
      <c r="BL505" s="81">
        <f ca="1">IFERROR(__xludf.DUMMYFUNCTION("IFERROR(
  LET(
    rowData, FILTER('(勿動)組件目錄表'!J:Q, '(勿動)組件目錄表'!D:D=AQ505),
    IF(ROWS(rowData)=0, 0, 
      (
        IF(AND(BC505&lt;&gt;"""", INDEX(rowData,1,1)=BC505),1,0) +
        IF(AND(BD505&lt;&gt;"""", INDEX(rowData,1,2)=BD505),1,0) +
        IF(AND(BE505"&amp;"&lt;&gt;"""", INDEX(rowData,1,3)=BE505),1,0) +
        IF(AND(BF505&lt;&gt;"""", INDEX(rowData,1,4)=BF505),1,0) +
        IF(AND(BG505&lt;&gt;"""", INDEX(rowData,1,5)=BG505),1,0) +
        IF(AND(BH505&lt;&gt;"""", INDEX(rowData,1,6)=BH505),1,0) +
        IF(AND(BI505&lt;&gt;"""", IND"&amp;"EX(rowData,1,7)=BI505),1,0) +
        IF(AND(BJ505&lt;&gt;"""", INDEX(rowData,1,8)=BJ505),1,0)
      ) - COUNTIF(BC505:BJ505, ""-"")
        - COUNTIF(BC505:BJ505, ""固定格式，不需提供資訊"")
        - COUNTIF(BC505:BJ505, ""由MKT更新，此欄位固定格式，不需提供資訊
(Voucher CID：12917705872)"&amp;""")
        - COUNTIF(BC505:BJ505, ""text固定為以下：
※直播間僅支援手機版"")
        - COUNTIF(BC505:BJ505, ""text固定為以下：
※短影音僅支援手機版"")
    )
  ), 
  0
)
"),0)</f>
        <v>0</v>
      </c>
      <c r="BM505" s="77" t="b">
        <v>0</v>
      </c>
      <c r="BN505" s="85"/>
      <c r="BO505" s="85"/>
    </row>
    <row r="506" spans="1:67" ht="30" customHeight="1">
      <c r="A506" s="73" t="str">
        <f t="array" aca="1" ref="A506" ca="1">IFERROR(TRANSPOSE(INDIRECT('MS section版配(Old)'!$AO506)),"")</f>
        <v/>
      </c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8"/>
      <c r="P506" s="88"/>
      <c r="Q506" s="88"/>
      <c r="R506" s="88"/>
      <c r="S506" s="88"/>
      <c r="T506" s="88"/>
      <c r="U506" s="88"/>
      <c r="V506" s="88"/>
      <c r="W506" s="88"/>
      <c r="X506" s="88"/>
      <c r="Y506" s="88"/>
      <c r="Z506" s="88"/>
      <c r="AA506" s="88"/>
      <c r="AB506" s="88"/>
      <c r="AC506" s="88"/>
      <c r="AD506" s="88"/>
      <c r="AE506" s="397" t="str">
        <f>IFERROR(VLOOKUP($AQ506,'(勿動)組件目錄表'!$D$15:$R$1094,4,FALSE),"")</f>
        <v/>
      </c>
      <c r="AF506" s="384"/>
      <c r="AG506" s="384"/>
      <c r="AH506" s="384"/>
      <c r="AI506" s="384"/>
      <c r="AJ506" s="385"/>
      <c r="AK506" s="54" t="b">
        <v>0</v>
      </c>
      <c r="AL506" s="54" t="b">
        <v>0</v>
      </c>
      <c r="AM506" s="54"/>
      <c r="AN506" s="7" t="str">
        <v>498</v>
      </c>
      <c r="AO506" s="7"/>
      <c r="AP506" s="62"/>
      <c r="AQ506" s="75" t="str">
        <v/>
      </c>
      <c r="AR506" s="75" t="str">
        <v>-</v>
      </c>
      <c r="AS506" s="11"/>
      <c r="AT506" s="77" t="str">
        <v>-</v>
      </c>
      <c r="AU506" s="11" t="str">
        <v>-</v>
      </c>
      <c r="AV506" s="100"/>
      <c r="AW506" s="80" t="str">
        <f ca="1"/>
        <v>-</v>
      </c>
      <c r="AX506" s="80" t="b">
        <v>0</v>
      </c>
      <c r="AY506" s="68" t="str">
        <f t="shared" si="4"/>
        <v/>
      </c>
      <c r="AZ506" s="69" t="str">
        <f t="shared" si="5"/>
        <v/>
      </c>
      <c r="BA506" s="70" t="str">
        <f t="shared" si="6"/>
        <v/>
      </c>
      <c r="BB506" s="68" t="str">
        <f t="shared" si="7"/>
        <v/>
      </c>
      <c r="BC506" s="69" t="str">
        <f>IFERROR(VLOOKUP($AQ506,'(勿動)組件目錄表'!$D$15:$R$1094,7,FALSE),"")</f>
        <v/>
      </c>
      <c r="BD506" s="69" t="str">
        <f>IFERROR(VLOOKUP($AQ506,'(勿動)組件目錄表'!$D$15:$R$1094,8,FALSE),"")</f>
        <v/>
      </c>
      <c r="BE506" s="69" t="str">
        <f>IFERROR(VLOOKUP($AQ506,'(勿動)組件目錄表'!$D$15:$R$1094,9,FALSE),"")</f>
        <v/>
      </c>
      <c r="BF506" s="69" t="str">
        <f>IFERROR(VLOOKUP($AQ506,'(勿動)組件目錄表'!$D$15:$R$1094,10,FALSE),"")</f>
        <v/>
      </c>
      <c r="BG506" s="69" t="str">
        <f>IFERROR(VLOOKUP($AQ506,'(勿動)組件目錄表'!$D$15:$R$1094,11,FALSE),"")</f>
        <v/>
      </c>
      <c r="BH506" s="69" t="str">
        <f>IFERROR(VLOOKUP($AQ506,'(勿動)組件目錄表'!$D$15:$R$1094,12,FALSE),"")</f>
        <v/>
      </c>
      <c r="BI506" s="69" t="str">
        <f>IFERROR(VLOOKUP($AQ506,'(勿動)組件目錄表'!$D$15:$R$1094,13,FALSE),"")</f>
        <v/>
      </c>
      <c r="BJ506" s="69" t="str">
        <f>IFERROR(VLOOKUP($AQ506,'(勿動)組件目錄表'!$D$15:$R$1094,14,FALSE),"")</f>
        <v/>
      </c>
      <c r="BK506" s="69" t="str">
        <f>IFERROR(VLOOKUP($AQ506,'(勿動)組件目錄表'!$D$15:$R$1094,15,FALSE),"")</f>
        <v/>
      </c>
      <c r="BL506" s="81">
        <f ca="1">IFERROR(__xludf.DUMMYFUNCTION("IFERROR(
  LET(
    rowData, FILTER('(勿動)組件目錄表'!J:Q, '(勿動)組件目錄表'!D:D=AQ506),
    IF(ROWS(rowData)=0, 0, 
      (
        IF(AND(BC506&lt;&gt;"""", INDEX(rowData,1,1)=BC506),1,0) +
        IF(AND(BD506&lt;&gt;"""", INDEX(rowData,1,2)=BD506),1,0) +
        IF(AND(BE506"&amp;"&lt;&gt;"""", INDEX(rowData,1,3)=BE506),1,0) +
        IF(AND(BF506&lt;&gt;"""", INDEX(rowData,1,4)=BF506),1,0) +
        IF(AND(BG506&lt;&gt;"""", INDEX(rowData,1,5)=BG506),1,0) +
        IF(AND(BH506&lt;&gt;"""", INDEX(rowData,1,6)=BH506),1,0) +
        IF(AND(BI506&lt;&gt;"""", IND"&amp;"EX(rowData,1,7)=BI506),1,0) +
        IF(AND(BJ506&lt;&gt;"""", INDEX(rowData,1,8)=BJ506),1,0)
      ) - COUNTIF(BC506:BJ506, ""-"")
        - COUNTIF(BC506:BJ506, ""固定格式，不需提供資訊"")
        - COUNTIF(BC506:BJ506, ""由MKT更新，此欄位固定格式，不需提供資訊
(Voucher CID：12917705872)"&amp;""")
        - COUNTIF(BC506:BJ506, ""text固定為以下：
※直播間僅支援手機版"")
        - COUNTIF(BC506:BJ506, ""text固定為以下：
※短影音僅支援手機版"")
    )
  ), 
  0
)
"),0)</f>
        <v>0</v>
      </c>
      <c r="BM506" s="77" t="b">
        <v>0</v>
      </c>
      <c r="BN506" s="85"/>
      <c r="BO506" s="85"/>
    </row>
    <row r="507" spans="1:67" ht="30" customHeight="1">
      <c r="A507" s="73" t="str">
        <f t="array" aca="1" ref="A507" ca="1">IFERROR(TRANSPOSE(INDIRECT('MS section版配(Old)'!$AO507)),"")</f>
        <v/>
      </c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8"/>
      <c r="P507" s="88"/>
      <c r="Q507" s="88"/>
      <c r="R507" s="88"/>
      <c r="S507" s="88"/>
      <c r="T507" s="88"/>
      <c r="U507" s="88"/>
      <c r="V507" s="88"/>
      <c r="W507" s="88"/>
      <c r="X507" s="88"/>
      <c r="Y507" s="88"/>
      <c r="Z507" s="88"/>
      <c r="AA507" s="88"/>
      <c r="AB507" s="88"/>
      <c r="AC507" s="88"/>
      <c r="AD507" s="88"/>
      <c r="AE507" s="397" t="str">
        <f>IFERROR(VLOOKUP($AQ507,'(勿動)組件目錄表'!$D$15:$R$1094,4,FALSE),"")</f>
        <v/>
      </c>
      <c r="AF507" s="384"/>
      <c r="AG507" s="384"/>
      <c r="AH507" s="384"/>
      <c r="AI507" s="384"/>
      <c r="AJ507" s="385"/>
      <c r="AK507" s="54" t="b">
        <v>0</v>
      </c>
      <c r="AL507" s="54" t="b">
        <v>0</v>
      </c>
      <c r="AM507" s="54"/>
      <c r="AN507" s="7" t="str">
        <v>499</v>
      </c>
      <c r="AO507" s="7"/>
      <c r="AP507" s="62"/>
      <c r="AQ507" s="75" t="str">
        <v/>
      </c>
      <c r="AR507" s="75" t="str">
        <v>-</v>
      </c>
      <c r="AS507" s="11"/>
      <c r="AT507" s="77" t="str">
        <v>-</v>
      </c>
      <c r="AU507" s="11" t="str">
        <v>-</v>
      </c>
      <c r="AV507" s="100"/>
      <c r="AW507" s="80" t="str">
        <f ca="1"/>
        <v>-</v>
      </c>
      <c r="AX507" s="80" t="b">
        <v>0</v>
      </c>
      <c r="AY507" s="68" t="str">
        <f t="shared" si="4"/>
        <v/>
      </c>
      <c r="AZ507" s="69" t="str">
        <f t="shared" si="5"/>
        <v/>
      </c>
      <c r="BA507" s="70" t="str">
        <f t="shared" si="6"/>
        <v/>
      </c>
      <c r="BB507" s="68" t="str">
        <f t="shared" si="7"/>
        <v/>
      </c>
      <c r="BC507" s="69" t="str">
        <f>IFERROR(VLOOKUP($AQ507,'(勿動)組件目錄表'!$D$15:$R$1094,7,FALSE),"")</f>
        <v/>
      </c>
      <c r="BD507" s="69" t="str">
        <f>IFERROR(VLOOKUP($AQ507,'(勿動)組件目錄表'!$D$15:$R$1094,8,FALSE),"")</f>
        <v/>
      </c>
      <c r="BE507" s="69" t="str">
        <f>IFERROR(VLOOKUP($AQ507,'(勿動)組件目錄表'!$D$15:$R$1094,9,FALSE),"")</f>
        <v/>
      </c>
      <c r="BF507" s="69" t="str">
        <f>IFERROR(VLOOKUP($AQ507,'(勿動)組件目錄表'!$D$15:$R$1094,10,FALSE),"")</f>
        <v/>
      </c>
      <c r="BG507" s="69" t="str">
        <f>IFERROR(VLOOKUP($AQ507,'(勿動)組件目錄表'!$D$15:$R$1094,11,FALSE),"")</f>
        <v/>
      </c>
      <c r="BH507" s="69" t="str">
        <f>IFERROR(VLOOKUP($AQ507,'(勿動)組件目錄表'!$D$15:$R$1094,12,FALSE),"")</f>
        <v/>
      </c>
      <c r="BI507" s="69" t="str">
        <f>IFERROR(VLOOKUP($AQ507,'(勿動)組件目錄表'!$D$15:$R$1094,13,FALSE),"")</f>
        <v/>
      </c>
      <c r="BJ507" s="69" t="str">
        <f>IFERROR(VLOOKUP($AQ507,'(勿動)組件目錄表'!$D$15:$R$1094,14,FALSE),"")</f>
        <v/>
      </c>
      <c r="BK507" s="69" t="str">
        <f>IFERROR(VLOOKUP($AQ507,'(勿動)組件目錄表'!$D$15:$R$1094,15,FALSE),"")</f>
        <v/>
      </c>
      <c r="BL507" s="81">
        <f ca="1">IFERROR(__xludf.DUMMYFUNCTION("IFERROR(
  LET(
    rowData, FILTER('(勿動)組件目錄表'!J:Q, '(勿動)組件目錄表'!D:D=AQ507),
    IF(ROWS(rowData)=0, 0, 
      (
        IF(AND(BC507&lt;&gt;"""", INDEX(rowData,1,1)=BC507),1,0) +
        IF(AND(BD507&lt;&gt;"""", INDEX(rowData,1,2)=BD507),1,0) +
        IF(AND(BE507"&amp;"&lt;&gt;"""", INDEX(rowData,1,3)=BE507),1,0) +
        IF(AND(BF507&lt;&gt;"""", INDEX(rowData,1,4)=BF507),1,0) +
        IF(AND(BG507&lt;&gt;"""", INDEX(rowData,1,5)=BG507),1,0) +
        IF(AND(BH507&lt;&gt;"""", INDEX(rowData,1,6)=BH507),1,0) +
        IF(AND(BI507&lt;&gt;"""", IND"&amp;"EX(rowData,1,7)=BI507),1,0) +
        IF(AND(BJ507&lt;&gt;"""", INDEX(rowData,1,8)=BJ507),1,0)
      ) - COUNTIF(BC507:BJ507, ""-"")
        - COUNTIF(BC507:BJ507, ""固定格式，不需提供資訊"")
        - COUNTIF(BC507:BJ507, ""由MKT更新，此欄位固定格式，不需提供資訊
(Voucher CID：12917705872)"&amp;""")
        - COUNTIF(BC507:BJ507, ""text固定為以下：
※直播間僅支援手機版"")
        - COUNTIF(BC507:BJ507, ""text固定為以下：
※短影音僅支援手機版"")
    )
  ), 
  0
)
"),0)</f>
        <v>0</v>
      </c>
      <c r="BM507" s="77" t="b">
        <v>0</v>
      </c>
      <c r="BN507" s="85"/>
      <c r="BO507" s="85"/>
    </row>
    <row r="508" spans="1:67" ht="30" customHeight="1">
      <c r="A508" s="73" t="str">
        <f t="array" aca="1" ref="A508" ca="1">IFERROR(TRANSPOSE(INDIRECT('MS section版配(Old)'!$AO508)),"")</f>
        <v/>
      </c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8"/>
      <c r="P508" s="88"/>
      <c r="Q508" s="88"/>
      <c r="R508" s="88"/>
      <c r="S508" s="88"/>
      <c r="T508" s="88"/>
      <c r="U508" s="88"/>
      <c r="V508" s="88"/>
      <c r="W508" s="88"/>
      <c r="X508" s="88"/>
      <c r="Y508" s="88"/>
      <c r="Z508" s="88"/>
      <c r="AA508" s="88"/>
      <c r="AB508" s="88"/>
      <c r="AC508" s="88"/>
      <c r="AD508" s="88"/>
      <c r="AE508" s="397" t="str">
        <f>IFERROR(VLOOKUP($AQ508,'(勿動)組件目錄表'!$D$15:$R$1094,4,FALSE),"")</f>
        <v/>
      </c>
      <c r="AF508" s="384"/>
      <c r="AG508" s="384"/>
      <c r="AH508" s="384"/>
      <c r="AI508" s="384"/>
      <c r="AJ508" s="385"/>
      <c r="AK508" s="54" t="b">
        <v>0</v>
      </c>
      <c r="AL508" s="54" t="b">
        <v>0</v>
      </c>
      <c r="AM508" s="54"/>
      <c r="AN508" s="7" t="str">
        <v>500</v>
      </c>
      <c r="AO508" s="7"/>
      <c r="AP508" s="62"/>
      <c r="AQ508" s="75" t="str">
        <v/>
      </c>
      <c r="AR508" s="75" t="str">
        <v>-</v>
      </c>
      <c r="AS508" s="11"/>
      <c r="AT508" s="77" t="str">
        <v>-</v>
      </c>
      <c r="AU508" s="11" t="str">
        <v>-</v>
      </c>
      <c r="AV508" s="100"/>
      <c r="AW508" s="80" t="str">
        <f ca="1"/>
        <v>-</v>
      </c>
      <c r="AX508" s="80" t="b">
        <v>0</v>
      </c>
      <c r="AY508" s="68" t="str">
        <f t="shared" si="4"/>
        <v/>
      </c>
      <c r="AZ508" s="69" t="str">
        <f t="shared" si="5"/>
        <v/>
      </c>
      <c r="BA508" s="70" t="str">
        <f t="shared" si="6"/>
        <v/>
      </c>
      <c r="BB508" s="68" t="str">
        <f t="shared" si="7"/>
        <v/>
      </c>
      <c r="BC508" s="69" t="str">
        <f>IFERROR(VLOOKUP($AQ508,'(勿動)組件目錄表'!$D$15:$R$1094,7,FALSE),"")</f>
        <v/>
      </c>
      <c r="BD508" s="69" t="str">
        <f>IFERROR(VLOOKUP($AQ508,'(勿動)組件目錄表'!$D$15:$R$1094,8,FALSE),"")</f>
        <v/>
      </c>
      <c r="BE508" s="69" t="str">
        <f>IFERROR(VLOOKUP($AQ508,'(勿動)組件目錄表'!$D$15:$R$1094,9,FALSE),"")</f>
        <v/>
      </c>
      <c r="BF508" s="69" t="str">
        <f>IFERROR(VLOOKUP($AQ508,'(勿動)組件目錄表'!$D$15:$R$1094,10,FALSE),"")</f>
        <v/>
      </c>
      <c r="BG508" s="69" t="str">
        <f>IFERROR(VLOOKUP($AQ508,'(勿動)組件目錄表'!$D$15:$R$1094,11,FALSE),"")</f>
        <v/>
      </c>
      <c r="BH508" s="69" t="str">
        <f>IFERROR(VLOOKUP($AQ508,'(勿動)組件目錄表'!$D$15:$R$1094,12,FALSE),"")</f>
        <v/>
      </c>
      <c r="BI508" s="69" t="str">
        <f>IFERROR(VLOOKUP($AQ508,'(勿動)組件目錄表'!$D$15:$R$1094,13,FALSE),"")</f>
        <v/>
      </c>
      <c r="BJ508" s="69" t="str">
        <f>IFERROR(VLOOKUP($AQ508,'(勿動)組件目錄表'!$D$15:$R$1094,14,FALSE),"")</f>
        <v/>
      </c>
      <c r="BK508" s="69" t="str">
        <f>IFERROR(VLOOKUP($AQ508,'(勿動)組件目錄表'!$D$15:$R$1094,15,FALSE),"")</f>
        <v/>
      </c>
      <c r="BL508" s="81">
        <f ca="1">IFERROR(__xludf.DUMMYFUNCTION("IFERROR(
  LET(
    rowData, FILTER('(勿動)組件目錄表'!J:Q, '(勿動)組件目錄表'!D:D=AQ508),
    IF(ROWS(rowData)=0, 0, 
      (
        IF(AND(BC508&lt;&gt;"""", INDEX(rowData,1,1)=BC508),1,0) +
        IF(AND(BD508&lt;&gt;"""", INDEX(rowData,1,2)=BD508),1,0) +
        IF(AND(BE508"&amp;"&lt;&gt;"""", INDEX(rowData,1,3)=BE508),1,0) +
        IF(AND(BF508&lt;&gt;"""", INDEX(rowData,1,4)=BF508),1,0) +
        IF(AND(BG508&lt;&gt;"""", INDEX(rowData,1,5)=BG508),1,0) +
        IF(AND(BH508&lt;&gt;"""", INDEX(rowData,1,6)=BH508),1,0) +
        IF(AND(BI508&lt;&gt;"""", IND"&amp;"EX(rowData,1,7)=BI508),1,0) +
        IF(AND(BJ508&lt;&gt;"""", INDEX(rowData,1,8)=BJ508),1,0)
      ) - COUNTIF(BC508:BJ508, ""-"")
        - COUNTIF(BC508:BJ508, ""固定格式，不需提供資訊"")
        - COUNTIF(BC508:BJ508, ""由MKT更新，此欄位固定格式，不需提供資訊
(Voucher CID：12917705872)"&amp;""")
        - COUNTIF(BC508:BJ508, ""text固定為以下：
※直播間僅支援手機版"")
        - COUNTIF(BC508:BJ508, ""text固定為以下：
※短影音僅支援手機版"")
    )
  ), 
  0
)
"),0)</f>
        <v>0</v>
      </c>
      <c r="BM508" s="77" t="b">
        <v>0</v>
      </c>
      <c r="BN508" s="85"/>
      <c r="BO508" s="85"/>
    </row>
    <row r="509" spans="1:67" ht="30" customHeight="1">
      <c r="A509" s="73" t="str">
        <f t="array" aca="1" ref="A509" ca="1">IFERROR(TRANSPOSE(INDIRECT('MS section版配(Old)'!$AO509)),"")</f>
        <v/>
      </c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8"/>
      <c r="P509" s="88"/>
      <c r="Q509" s="88"/>
      <c r="R509" s="88"/>
      <c r="S509" s="88"/>
      <c r="T509" s="88"/>
      <c r="U509" s="88"/>
      <c r="V509" s="88"/>
      <c r="W509" s="88"/>
      <c r="X509" s="88"/>
      <c r="Y509" s="88"/>
      <c r="Z509" s="88"/>
      <c r="AA509" s="88"/>
      <c r="AB509" s="88"/>
      <c r="AC509" s="88"/>
      <c r="AD509" s="88"/>
      <c r="AE509" s="397" t="str">
        <f>IFERROR(VLOOKUP($AQ509,'(勿動)組件目錄表'!$D$15:$R$1094,4,FALSE),"")</f>
        <v/>
      </c>
      <c r="AF509" s="384"/>
      <c r="AG509" s="384"/>
      <c r="AH509" s="384"/>
      <c r="AI509" s="384"/>
      <c r="AJ509" s="385"/>
      <c r="AK509" s="54" t="b">
        <v>0</v>
      </c>
      <c r="AL509" s="54" t="b">
        <v>0</v>
      </c>
      <c r="AM509" s="54"/>
      <c r="AN509" s="7" t="str">
        <v>501</v>
      </c>
      <c r="AO509" s="7"/>
      <c r="AP509" s="62"/>
      <c r="AQ509" s="75" t="str">
        <v/>
      </c>
      <c r="AR509" s="75" t="str">
        <v>-</v>
      </c>
      <c r="AS509" s="11"/>
      <c r="AT509" s="77" t="str">
        <v>-</v>
      </c>
      <c r="AU509" s="11" t="str">
        <v>-</v>
      </c>
      <c r="AV509" s="100"/>
      <c r="AW509" s="80" t="str">
        <f ca="1"/>
        <v>-</v>
      </c>
      <c r="AX509" s="80" t="b">
        <v>0</v>
      </c>
      <c r="AY509" s="68" t="str">
        <f t="shared" si="4"/>
        <v/>
      </c>
      <c r="AZ509" s="69" t="str">
        <f t="shared" si="5"/>
        <v/>
      </c>
      <c r="BA509" s="70" t="str">
        <f t="shared" si="6"/>
        <v/>
      </c>
      <c r="BB509" s="68" t="str">
        <f t="shared" si="7"/>
        <v/>
      </c>
      <c r="BC509" s="69" t="str">
        <f>IFERROR(VLOOKUP($AQ509,'(勿動)組件目錄表'!$D$15:$R$1094,7,FALSE),"")</f>
        <v/>
      </c>
      <c r="BD509" s="69" t="str">
        <f>IFERROR(VLOOKUP($AQ509,'(勿動)組件目錄表'!$D$15:$R$1094,8,FALSE),"")</f>
        <v/>
      </c>
      <c r="BE509" s="69" t="str">
        <f>IFERROR(VLOOKUP($AQ509,'(勿動)組件目錄表'!$D$15:$R$1094,9,FALSE),"")</f>
        <v/>
      </c>
      <c r="BF509" s="69" t="str">
        <f>IFERROR(VLOOKUP($AQ509,'(勿動)組件目錄表'!$D$15:$R$1094,10,FALSE),"")</f>
        <v/>
      </c>
      <c r="BG509" s="69" t="str">
        <f>IFERROR(VLOOKUP($AQ509,'(勿動)組件目錄表'!$D$15:$R$1094,11,FALSE),"")</f>
        <v/>
      </c>
      <c r="BH509" s="69" t="str">
        <f>IFERROR(VLOOKUP($AQ509,'(勿動)組件目錄表'!$D$15:$R$1094,12,FALSE),"")</f>
        <v/>
      </c>
      <c r="BI509" s="69" t="str">
        <f>IFERROR(VLOOKUP($AQ509,'(勿動)組件目錄表'!$D$15:$R$1094,13,FALSE),"")</f>
        <v/>
      </c>
      <c r="BJ509" s="69" t="str">
        <f>IFERROR(VLOOKUP($AQ509,'(勿動)組件目錄表'!$D$15:$R$1094,14,FALSE),"")</f>
        <v/>
      </c>
      <c r="BK509" s="69" t="str">
        <f>IFERROR(VLOOKUP($AQ509,'(勿動)組件目錄表'!$D$15:$R$1094,15,FALSE),"")</f>
        <v/>
      </c>
      <c r="BL509" s="81">
        <f ca="1">IFERROR(__xludf.DUMMYFUNCTION("IFERROR(
  LET(
    rowData, FILTER('(勿動)組件目錄表'!J:Q, '(勿動)組件目錄表'!D:D=AQ509),
    IF(ROWS(rowData)=0, 0, 
      (
        IF(AND(BC509&lt;&gt;"""", INDEX(rowData,1,1)=BC509),1,0) +
        IF(AND(BD509&lt;&gt;"""", INDEX(rowData,1,2)=BD509),1,0) +
        IF(AND(BE509"&amp;"&lt;&gt;"""", INDEX(rowData,1,3)=BE509),1,0) +
        IF(AND(BF509&lt;&gt;"""", INDEX(rowData,1,4)=BF509),1,0) +
        IF(AND(BG509&lt;&gt;"""", INDEX(rowData,1,5)=BG509),1,0) +
        IF(AND(BH509&lt;&gt;"""", INDEX(rowData,1,6)=BH509),1,0) +
        IF(AND(BI509&lt;&gt;"""", IND"&amp;"EX(rowData,1,7)=BI509),1,0) +
        IF(AND(BJ509&lt;&gt;"""", INDEX(rowData,1,8)=BJ509),1,0)
      ) - COUNTIF(BC509:BJ509, ""-"")
        - COUNTIF(BC509:BJ509, ""固定格式，不需提供資訊"")
        - COUNTIF(BC509:BJ509, ""由MKT更新，此欄位固定格式，不需提供資訊
(Voucher CID：12917705872)"&amp;""")
        - COUNTIF(BC509:BJ509, ""text固定為以下：
※直播間僅支援手機版"")
        - COUNTIF(BC509:BJ509, ""text固定為以下：
※短影音僅支援手機版"")
    )
  ), 
  0
)
"),0)</f>
        <v>0</v>
      </c>
      <c r="BM509" s="77" t="b">
        <v>0</v>
      </c>
      <c r="BN509" s="85"/>
      <c r="BO509" s="85"/>
    </row>
    <row r="510" spans="1:67" ht="30" customHeight="1">
      <c r="A510" s="73" t="str">
        <f t="array" aca="1" ref="A510" ca="1">IFERROR(TRANSPOSE(INDIRECT('MS section版配(Old)'!$AO510)),"")</f>
        <v/>
      </c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8"/>
      <c r="P510" s="88"/>
      <c r="Q510" s="88"/>
      <c r="R510" s="88"/>
      <c r="S510" s="88"/>
      <c r="T510" s="88"/>
      <c r="U510" s="88"/>
      <c r="V510" s="88"/>
      <c r="W510" s="88"/>
      <c r="X510" s="88"/>
      <c r="Y510" s="88"/>
      <c r="Z510" s="88"/>
      <c r="AA510" s="88"/>
      <c r="AB510" s="88"/>
      <c r="AC510" s="88"/>
      <c r="AD510" s="88"/>
      <c r="AE510" s="397" t="str">
        <f>IFERROR(VLOOKUP($AQ510,'(勿動)組件目錄表'!$D$15:$R$1094,4,FALSE),"")</f>
        <v/>
      </c>
      <c r="AF510" s="384"/>
      <c r="AG510" s="384"/>
      <c r="AH510" s="384"/>
      <c r="AI510" s="384"/>
      <c r="AJ510" s="385"/>
      <c r="AK510" s="54" t="b">
        <v>0</v>
      </c>
      <c r="AL510" s="54" t="b">
        <v>0</v>
      </c>
      <c r="AM510" s="54"/>
      <c r="AN510" s="7" t="str">
        <v>502</v>
      </c>
      <c r="AO510" s="7"/>
      <c r="AP510" s="62"/>
      <c r="AQ510" s="75" t="str">
        <v/>
      </c>
      <c r="AR510" s="75" t="str">
        <v>-</v>
      </c>
      <c r="AS510" s="11"/>
      <c r="AT510" s="77" t="str">
        <v>-</v>
      </c>
      <c r="AU510" s="11" t="str">
        <v>-</v>
      </c>
      <c r="AV510" s="100"/>
      <c r="AW510" s="80" t="str">
        <f ca="1"/>
        <v>-</v>
      </c>
      <c r="AX510" s="80" t="b">
        <v>0</v>
      </c>
      <c r="AY510" s="68" t="str">
        <f t="shared" si="4"/>
        <v/>
      </c>
      <c r="AZ510" s="69" t="str">
        <f t="shared" si="5"/>
        <v/>
      </c>
      <c r="BA510" s="70" t="str">
        <f t="shared" si="6"/>
        <v/>
      </c>
      <c r="BB510" s="68" t="str">
        <f t="shared" si="7"/>
        <v/>
      </c>
      <c r="BC510" s="69" t="str">
        <f>IFERROR(VLOOKUP($AQ510,'(勿動)組件目錄表'!$D$15:$R$1094,7,FALSE),"")</f>
        <v/>
      </c>
      <c r="BD510" s="69" t="str">
        <f>IFERROR(VLOOKUP($AQ510,'(勿動)組件目錄表'!$D$15:$R$1094,8,FALSE),"")</f>
        <v/>
      </c>
      <c r="BE510" s="69" t="str">
        <f>IFERROR(VLOOKUP($AQ510,'(勿動)組件目錄表'!$D$15:$R$1094,9,FALSE),"")</f>
        <v/>
      </c>
      <c r="BF510" s="69" t="str">
        <f>IFERROR(VLOOKUP($AQ510,'(勿動)組件目錄表'!$D$15:$R$1094,10,FALSE),"")</f>
        <v/>
      </c>
      <c r="BG510" s="69" t="str">
        <f>IFERROR(VLOOKUP($AQ510,'(勿動)組件目錄表'!$D$15:$R$1094,11,FALSE),"")</f>
        <v/>
      </c>
      <c r="BH510" s="69" t="str">
        <f>IFERROR(VLOOKUP($AQ510,'(勿動)組件目錄表'!$D$15:$R$1094,12,FALSE),"")</f>
        <v/>
      </c>
      <c r="BI510" s="69" t="str">
        <f>IFERROR(VLOOKUP($AQ510,'(勿動)組件目錄表'!$D$15:$R$1094,13,FALSE),"")</f>
        <v/>
      </c>
      <c r="BJ510" s="69" t="str">
        <f>IFERROR(VLOOKUP($AQ510,'(勿動)組件目錄表'!$D$15:$R$1094,14,FALSE),"")</f>
        <v/>
      </c>
      <c r="BK510" s="69" t="str">
        <f>IFERROR(VLOOKUP($AQ510,'(勿動)組件目錄表'!$D$15:$R$1094,15,FALSE),"")</f>
        <v/>
      </c>
      <c r="BL510" s="81">
        <f ca="1">IFERROR(__xludf.DUMMYFUNCTION("IFERROR(
  LET(
    rowData, FILTER('(勿動)組件目錄表'!J:Q, '(勿動)組件目錄表'!D:D=AQ510),
    IF(ROWS(rowData)=0, 0, 
      (
        IF(AND(BC510&lt;&gt;"""", INDEX(rowData,1,1)=BC510),1,0) +
        IF(AND(BD510&lt;&gt;"""", INDEX(rowData,1,2)=BD510),1,0) +
        IF(AND(BE510"&amp;"&lt;&gt;"""", INDEX(rowData,1,3)=BE510),1,0) +
        IF(AND(BF510&lt;&gt;"""", INDEX(rowData,1,4)=BF510),1,0) +
        IF(AND(BG510&lt;&gt;"""", INDEX(rowData,1,5)=BG510),1,0) +
        IF(AND(BH510&lt;&gt;"""", INDEX(rowData,1,6)=BH510),1,0) +
        IF(AND(BI510&lt;&gt;"""", IND"&amp;"EX(rowData,1,7)=BI510),1,0) +
        IF(AND(BJ510&lt;&gt;"""", INDEX(rowData,1,8)=BJ510),1,0)
      ) - COUNTIF(BC510:BJ510, ""-"")
        - COUNTIF(BC510:BJ510, ""固定格式，不需提供資訊"")
        - COUNTIF(BC510:BJ510, ""由MKT更新，此欄位固定格式，不需提供資訊
(Voucher CID：12917705872)"&amp;""")
        - COUNTIF(BC510:BJ510, ""text固定為以下：
※直播間僅支援手機版"")
        - COUNTIF(BC510:BJ510, ""text固定為以下：
※短影音僅支援手機版"")
    )
  ), 
  0
)
"),0)</f>
        <v>0</v>
      </c>
      <c r="BM510" s="77" t="b">
        <v>0</v>
      </c>
      <c r="BN510" s="85"/>
      <c r="BO510" s="85"/>
    </row>
    <row r="511" spans="1:67" ht="30" customHeight="1">
      <c r="A511" s="73" t="str">
        <f t="array" aca="1" ref="A511" ca="1">IFERROR(TRANSPOSE(INDIRECT('MS section版配(Old)'!$AO511)),"")</f>
        <v/>
      </c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8"/>
      <c r="P511" s="88"/>
      <c r="Q511" s="88"/>
      <c r="R511" s="88"/>
      <c r="S511" s="88"/>
      <c r="T511" s="88"/>
      <c r="U511" s="88"/>
      <c r="V511" s="88"/>
      <c r="W511" s="88"/>
      <c r="X511" s="88"/>
      <c r="Y511" s="88"/>
      <c r="Z511" s="88"/>
      <c r="AA511" s="88"/>
      <c r="AB511" s="88"/>
      <c r="AC511" s="88"/>
      <c r="AD511" s="88"/>
      <c r="AE511" s="397" t="str">
        <f>IFERROR(VLOOKUP($AQ511,'(勿動)組件目錄表'!$D$15:$R$1094,4,FALSE),"")</f>
        <v/>
      </c>
      <c r="AF511" s="384"/>
      <c r="AG511" s="384"/>
      <c r="AH511" s="384"/>
      <c r="AI511" s="384"/>
      <c r="AJ511" s="385"/>
      <c r="AK511" s="54" t="b">
        <v>0</v>
      </c>
      <c r="AL511" s="54" t="b">
        <v>0</v>
      </c>
      <c r="AM511" s="54"/>
      <c r="AN511" s="7" t="str">
        <v>503</v>
      </c>
      <c r="AO511" s="7"/>
      <c r="AP511" s="62"/>
      <c r="AQ511" s="75" t="str">
        <v/>
      </c>
      <c r="AR511" s="75" t="str">
        <v>-</v>
      </c>
      <c r="AS511" s="11"/>
      <c r="AT511" s="77" t="str">
        <v>-</v>
      </c>
      <c r="AU511" s="11" t="str">
        <v>-</v>
      </c>
      <c r="AV511" s="100"/>
      <c r="AW511" s="80" t="str">
        <f ca="1"/>
        <v>-</v>
      </c>
      <c r="AX511" s="80" t="b">
        <v>0</v>
      </c>
      <c r="AY511" s="68" t="str">
        <f t="shared" si="4"/>
        <v/>
      </c>
      <c r="AZ511" s="69" t="str">
        <f t="shared" si="5"/>
        <v/>
      </c>
      <c r="BA511" s="70" t="str">
        <f t="shared" si="6"/>
        <v/>
      </c>
      <c r="BB511" s="68" t="str">
        <f t="shared" si="7"/>
        <v/>
      </c>
      <c r="BC511" s="69" t="str">
        <f>IFERROR(VLOOKUP($AQ511,'(勿動)組件目錄表'!$D$15:$R$1094,7,FALSE),"")</f>
        <v/>
      </c>
      <c r="BD511" s="69" t="str">
        <f>IFERROR(VLOOKUP($AQ511,'(勿動)組件目錄表'!$D$15:$R$1094,8,FALSE),"")</f>
        <v/>
      </c>
      <c r="BE511" s="69" t="str">
        <f>IFERROR(VLOOKUP($AQ511,'(勿動)組件目錄表'!$D$15:$R$1094,9,FALSE),"")</f>
        <v/>
      </c>
      <c r="BF511" s="69" t="str">
        <f>IFERROR(VLOOKUP($AQ511,'(勿動)組件目錄表'!$D$15:$R$1094,10,FALSE),"")</f>
        <v/>
      </c>
      <c r="BG511" s="69" t="str">
        <f>IFERROR(VLOOKUP($AQ511,'(勿動)組件目錄表'!$D$15:$R$1094,11,FALSE),"")</f>
        <v/>
      </c>
      <c r="BH511" s="69" t="str">
        <f>IFERROR(VLOOKUP($AQ511,'(勿動)組件目錄表'!$D$15:$R$1094,12,FALSE),"")</f>
        <v/>
      </c>
      <c r="BI511" s="69" t="str">
        <f>IFERROR(VLOOKUP($AQ511,'(勿動)組件目錄表'!$D$15:$R$1094,13,FALSE),"")</f>
        <v/>
      </c>
      <c r="BJ511" s="69" t="str">
        <f>IFERROR(VLOOKUP($AQ511,'(勿動)組件目錄表'!$D$15:$R$1094,14,FALSE),"")</f>
        <v/>
      </c>
      <c r="BK511" s="69" t="str">
        <f>IFERROR(VLOOKUP($AQ511,'(勿動)組件目錄表'!$D$15:$R$1094,15,FALSE),"")</f>
        <v/>
      </c>
      <c r="BL511" s="81">
        <f ca="1">IFERROR(__xludf.DUMMYFUNCTION("IFERROR(
  LET(
    rowData, FILTER('(勿動)組件目錄表'!J:Q, '(勿動)組件目錄表'!D:D=AQ511),
    IF(ROWS(rowData)=0, 0, 
      (
        IF(AND(BC511&lt;&gt;"""", INDEX(rowData,1,1)=BC511),1,0) +
        IF(AND(BD511&lt;&gt;"""", INDEX(rowData,1,2)=BD511),1,0) +
        IF(AND(BE511"&amp;"&lt;&gt;"""", INDEX(rowData,1,3)=BE511),1,0) +
        IF(AND(BF511&lt;&gt;"""", INDEX(rowData,1,4)=BF511),1,0) +
        IF(AND(BG511&lt;&gt;"""", INDEX(rowData,1,5)=BG511),1,0) +
        IF(AND(BH511&lt;&gt;"""", INDEX(rowData,1,6)=BH511),1,0) +
        IF(AND(BI511&lt;&gt;"""", IND"&amp;"EX(rowData,1,7)=BI511),1,0) +
        IF(AND(BJ511&lt;&gt;"""", INDEX(rowData,1,8)=BJ511),1,0)
      ) - COUNTIF(BC511:BJ511, ""-"")
        - COUNTIF(BC511:BJ511, ""固定格式，不需提供資訊"")
        - COUNTIF(BC511:BJ511, ""由MKT更新，此欄位固定格式，不需提供資訊
(Voucher CID：12917705872)"&amp;""")
        - COUNTIF(BC511:BJ511, ""text固定為以下：
※直播間僅支援手機版"")
        - COUNTIF(BC511:BJ511, ""text固定為以下：
※短影音僅支援手機版"")
    )
  ), 
  0
)
"),0)</f>
        <v>0</v>
      </c>
      <c r="BM511" s="77" t="b">
        <v>0</v>
      </c>
      <c r="BN511" s="85"/>
      <c r="BO511" s="85"/>
    </row>
    <row r="512" spans="1:67" ht="30" customHeight="1">
      <c r="A512" s="73" t="str">
        <f t="array" aca="1" ref="A512" ca="1">IFERROR(TRANSPOSE(INDIRECT('MS section版配(Old)'!$AO512)),"")</f>
        <v/>
      </c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8"/>
      <c r="P512" s="88"/>
      <c r="Q512" s="88"/>
      <c r="R512" s="88"/>
      <c r="S512" s="88"/>
      <c r="T512" s="88"/>
      <c r="U512" s="88"/>
      <c r="V512" s="88"/>
      <c r="W512" s="88"/>
      <c r="X512" s="88"/>
      <c r="Y512" s="88"/>
      <c r="Z512" s="88"/>
      <c r="AA512" s="88"/>
      <c r="AB512" s="88"/>
      <c r="AC512" s="88"/>
      <c r="AD512" s="88"/>
      <c r="AE512" s="397" t="str">
        <f>IFERROR(VLOOKUP($AQ512,'(勿動)組件目錄表'!$D$15:$R$1094,4,FALSE),"")</f>
        <v/>
      </c>
      <c r="AF512" s="384"/>
      <c r="AG512" s="384"/>
      <c r="AH512" s="384"/>
      <c r="AI512" s="384"/>
      <c r="AJ512" s="385"/>
      <c r="AK512" s="54" t="b">
        <v>0</v>
      </c>
      <c r="AL512" s="54" t="b">
        <v>0</v>
      </c>
      <c r="AM512" s="54"/>
      <c r="AN512" s="7" t="str">
        <v>504</v>
      </c>
      <c r="AO512" s="7"/>
      <c r="AP512" s="62"/>
      <c r="AQ512" s="75" t="str">
        <v/>
      </c>
      <c r="AR512" s="75" t="str">
        <v>-</v>
      </c>
      <c r="AS512" s="11"/>
      <c r="AT512" s="77" t="str">
        <v>-</v>
      </c>
      <c r="AU512" s="11" t="str">
        <v>-</v>
      </c>
      <c r="AV512" s="100"/>
      <c r="AW512" s="80" t="str">
        <f ca="1"/>
        <v>-</v>
      </c>
      <c r="AX512" s="80" t="b">
        <v>0</v>
      </c>
      <c r="AY512" s="68" t="str">
        <f t="shared" si="4"/>
        <v/>
      </c>
      <c r="AZ512" s="69" t="str">
        <f t="shared" si="5"/>
        <v/>
      </c>
      <c r="BA512" s="70" t="str">
        <f t="shared" si="6"/>
        <v/>
      </c>
      <c r="BB512" s="68" t="str">
        <f t="shared" si="7"/>
        <v/>
      </c>
      <c r="BC512" s="69" t="str">
        <f>IFERROR(VLOOKUP($AQ512,'(勿動)組件目錄表'!$D$15:$R$1094,7,FALSE),"")</f>
        <v/>
      </c>
      <c r="BD512" s="69" t="str">
        <f>IFERROR(VLOOKUP($AQ512,'(勿動)組件目錄表'!$D$15:$R$1094,8,FALSE),"")</f>
        <v/>
      </c>
      <c r="BE512" s="69" t="str">
        <f>IFERROR(VLOOKUP($AQ512,'(勿動)組件目錄表'!$D$15:$R$1094,9,FALSE),"")</f>
        <v/>
      </c>
      <c r="BF512" s="69" t="str">
        <f>IFERROR(VLOOKUP($AQ512,'(勿動)組件目錄表'!$D$15:$R$1094,10,FALSE),"")</f>
        <v/>
      </c>
      <c r="BG512" s="69" t="str">
        <f>IFERROR(VLOOKUP($AQ512,'(勿動)組件目錄表'!$D$15:$R$1094,11,FALSE),"")</f>
        <v/>
      </c>
      <c r="BH512" s="69" t="str">
        <f>IFERROR(VLOOKUP($AQ512,'(勿動)組件目錄表'!$D$15:$R$1094,12,FALSE),"")</f>
        <v/>
      </c>
      <c r="BI512" s="69" t="str">
        <f>IFERROR(VLOOKUP($AQ512,'(勿動)組件目錄表'!$D$15:$R$1094,13,FALSE),"")</f>
        <v/>
      </c>
      <c r="BJ512" s="69" t="str">
        <f>IFERROR(VLOOKUP($AQ512,'(勿動)組件目錄表'!$D$15:$R$1094,14,FALSE),"")</f>
        <v/>
      </c>
      <c r="BK512" s="69" t="str">
        <f>IFERROR(VLOOKUP($AQ512,'(勿動)組件目錄表'!$D$15:$R$1094,15,FALSE),"")</f>
        <v/>
      </c>
      <c r="BL512" s="81">
        <f ca="1">IFERROR(__xludf.DUMMYFUNCTION("IFERROR(
  LET(
    rowData, FILTER('(勿動)組件目錄表'!J:Q, '(勿動)組件目錄表'!D:D=AQ512),
    IF(ROWS(rowData)=0, 0, 
      (
        IF(AND(BC512&lt;&gt;"""", INDEX(rowData,1,1)=BC512),1,0) +
        IF(AND(BD512&lt;&gt;"""", INDEX(rowData,1,2)=BD512),1,0) +
        IF(AND(BE512"&amp;"&lt;&gt;"""", INDEX(rowData,1,3)=BE512),1,0) +
        IF(AND(BF512&lt;&gt;"""", INDEX(rowData,1,4)=BF512),1,0) +
        IF(AND(BG512&lt;&gt;"""", INDEX(rowData,1,5)=BG512),1,0) +
        IF(AND(BH512&lt;&gt;"""", INDEX(rowData,1,6)=BH512),1,0) +
        IF(AND(BI512&lt;&gt;"""", IND"&amp;"EX(rowData,1,7)=BI512),1,0) +
        IF(AND(BJ512&lt;&gt;"""", INDEX(rowData,1,8)=BJ512),1,0)
      ) - COUNTIF(BC512:BJ512, ""-"")
        - COUNTIF(BC512:BJ512, ""固定格式，不需提供資訊"")
        - COUNTIF(BC512:BJ512, ""由MKT更新，此欄位固定格式，不需提供資訊
(Voucher CID：12917705872)"&amp;""")
        - COUNTIF(BC512:BJ512, ""text固定為以下：
※直播間僅支援手機版"")
        - COUNTIF(BC512:BJ512, ""text固定為以下：
※短影音僅支援手機版"")
    )
  ), 
  0
)
"),0)</f>
        <v>0</v>
      </c>
      <c r="BM512" s="77" t="b">
        <v>0</v>
      </c>
      <c r="BN512" s="85"/>
      <c r="BO512" s="85"/>
    </row>
    <row r="513" spans="1:67" ht="30" customHeight="1">
      <c r="A513" s="73" t="str">
        <f t="array" aca="1" ref="A513" ca="1">IFERROR(TRANSPOSE(INDIRECT('MS section版配(Old)'!$AO513)),"")</f>
        <v/>
      </c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8"/>
      <c r="P513" s="88"/>
      <c r="Q513" s="88"/>
      <c r="R513" s="88"/>
      <c r="S513" s="88"/>
      <c r="T513" s="88"/>
      <c r="U513" s="88"/>
      <c r="V513" s="88"/>
      <c r="W513" s="88"/>
      <c r="X513" s="88"/>
      <c r="Y513" s="88"/>
      <c r="Z513" s="88"/>
      <c r="AA513" s="88"/>
      <c r="AB513" s="88"/>
      <c r="AC513" s="88"/>
      <c r="AD513" s="88"/>
      <c r="AE513" s="397" t="str">
        <f>IFERROR(VLOOKUP($AQ513,'(勿動)組件目錄表'!$D$15:$R$1094,4,FALSE),"")</f>
        <v/>
      </c>
      <c r="AF513" s="384"/>
      <c r="AG513" s="384"/>
      <c r="AH513" s="384"/>
      <c r="AI513" s="384"/>
      <c r="AJ513" s="385"/>
      <c r="AK513" s="54" t="b">
        <v>0</v>
      </c>
      <c r="AL513" s="54" t="b">
        <v>0</v>
      </c>
      <c r="AM513" s="54"/>
      <c r="AN513" s="7" t="str">
        <v>505</v>
      </c>
      <c r="AO513" s="7"/>
      <c r="AP513" s="62"/>
      <c r="AQ513" s="75" t="str">
        <v/>
      </c>
      <c r="AR513" s="75" t="str">
        <v>-</v>
      </c>
      <c r="AS513" s="11"/>
      <c r="AT513" s="77" t="str">
        <v>-</v>
      </c>
      <c r="AU513" s="11" t="str">
        <v>-</v>
      </c>
      <c r="AV513" s="100"/>
      <c r="AW513" s="80" t="str">
        <f ca="1"/>
        <v>-</v>
      </c>
      <c r="AX513" s="80" t="b">
        <v>0</v>
      </c>
      <c r="AY513" s="68" t="str">
        <f t="shared" si="4"/>
        <v/>
      </c>
      <c r="AZ513" s="69" t="str">
        <f t="shared" si="5"/>
        <v/>
      </c>
      <c r="BA513" s="70" t="str">
        <f t="shared" si="6"/>
        <v/>
      </c>
      <c r="BB513" s="68" t="str">
        <f t="shared" si="7"/>
        <v/>
      </c>
      <c r="BC513" s="69" t="str">
        <f>IFERROR(VLOOKUP($AQ513,'(勿動)組件目錄表'!$D$15:$R$1094,7,FALSE),"")</f>
        <v/>
      </c>
      <c r="BD513" s="69" t="str">
        <f>IFERROR(VLOOKUP($AQ513,'(勿動)組件目錄表'!$D$15:$R$1094,8,FALSE),"")</f>
        <v/>
      </c>
      <c r="BE513" s="69" t="str">
        <f>IFERROR(VLOOKUP($AQ513,'(勿動)組件目錄表'!$D$15:$R$1094,9,FALSE),"")</f>
        <v/>
      </c>
      <c r="BF513" s="69" t="str">
        <f>IFERROR(VLOOKUP($AQ513,'(勿動)組件目錄表'!$D$15:$R$1094,10,FALSE),"")</f>
        <v/>
      </c>
      <c r="BG513" s="69" t="str">
        <f>IFERROR(VLOOKUP($AQ513,'(勿動)組件目錄表'!$D$15:$R$1094,11,FALSE),"")</f>
        <v/>
      </c>
      <c r="BH513" s="69" t="str">
        <f>IFERROR(VLOOKUP($AQ513,'(勿動)組件目錄表'!$D$15:$R$1094,12,FALSE),"")</f>
        <v/>
      </c>
      <c r="BI513" s="69" t="str">
        <f>IFERROR(VLOOKUP($AQ513,'(勿動)組件目錄表'!$D$15:$R$1094,13,FALSE),"")</f>
        <v/>
      </c>
      <c r="BJ513" s="69" t="str">
        <f>IFERROR(VLOOKUP($AQ513,'(勿動)組件目錄表'!$D$15:$R$1094,14,FALSE),"")</f>
        <v/>
      </c>
      <c r="BK513" s="69" t="str">
        <f>IFERROR(VLOOKUP($AQ513,'(勿動)組件目錄表'!$D$15:$R$1094,15,FALSE),"")</f>
        <v/>
      </c>
      <c r="BL513" s="81">
        <f ca="1">IFERROR(__xludf.DUMMYFUNCTION("IFERROR(
  LET(
    rowData, FILTER('(勿動)組件目錄表'!J:Q, '(勿動)組件目錄表'!D:D=AQ513),
    IF(ROWS(rowData)=0, 0, 
      (
        IF(AND(BC513&lt;&gt;"""", INDEX(rowData,1,1)=BC513),1,0) +
        IF(AND(BD513&lt;&gt;"""", INDEX(rowData,1,2)=BD513),1,0) +
        IF(AND(BE513"&amp;"&lt;&gt;"""", INDEX(rowData,1,3)=BE513),1,0) +
        IF(AND(BF513&lt;&gt;"""", INDEX(rowData,1,4)=BF513),1,0) +
        IF(AND(BG513&lt;&gt;"""", INDEX(rowData,1,5)=BG513),1,0) +
        IF(AND(BH513&lt;&gt;"""", INDEX(rowData,1,6)=BH513),1,0) +
        IF(AND(BI513&lt;&gt;"""", IND"&amp;"EX(rowData,1,7)=BI513),1,0) +
        IF(AND(BJ513&lt;&gt;"""", INDEX(rowData,1,8)=BJ513),1,0)
      ) - COUNTIF(BC513:BJ513, ""-"")
        - COUNTIF(BC513:BJ513, ""固定格式，不需提供資訊"")
        - COUNTIF(BC513:BJ513, ""由MKT更新，此欄位固定格式，不需提供資訊
(Voucher CID：12917705872)"&amp;""")
        - COUNTIF(BC513:BJ513, ""text固定為以下：
※直播間僅支援手機版"")
        - COUNTIF(BC513:BJ513, ""text固定為以下：
※短影音僅支援手機版"")
    )
  ), 
  0
)
"),0)</f>
        <v>0</v>
      </c>
      <c r="BM513" s="77" t="b">
        <v>0</v>
      </c>
      <c r="BN513" s="85"/>
      <c r="BO513" s="85"/>
    </row>
    <row r="514" spans="1:67" ht="30" customHeight="1">
      <c r="A514" s="73" t="str">
        <f t="array" aca="1" ref="A514" ca="1">IFERROR(TRANSPOSE(INDIRECT('MS section版配(Old)'!$AO514)),"")</f>
        <v/>
      </c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8"/>
      <c r="P514" s="88"/>
      <c r="Q514" s="88"/>
      <c r="R514" s="88"/>
      <c r="S514" s="88"/>
      <c r="T514" s="88"/>
      <c r="U514" s="88"/>
      <c r="V514" s="88"/>
      <c r="W514" s="88"/>
      <c r="X514" s="88"/>
      <c r="Y514" s="88"/>
      <c r="Z514" s="88"/>
      <c r="AA514" s="88"/>
      <c r="AB514" s="88"/>
      <c r="AC514" s="88"/>
      <c r="AD514" s="88"/>
      <c r="AE514" s="397" t="str">
        <f>IFERROR(VLOOKUP($AQ514,'(勿動)組件目錄表'!$D$15:$R$1094,4,FALSE),"")</f>
        <v/>
      </c>
      <c r="AF514" s="384"/>
      <c r="AG514" s="384"/>
      <c r="AH514" s="384"/>
      <c r="AI514" s="384"/>
      <c r="AJ514" s="385"/>
      <c r="AK514" s="54" t="b">
        <v>0</v>
      </c>
      <c r="AL514" s="54" t="b">
        <v>0</v>
      </c>
      <c r="AM514" s="54"/>
      <c r="AN514" s="7" t="str">
        <v>506</v>
      </c>
      <c r="AO514" s="7"/>
      <c r="AP514" s="62"/>
      <c r="AQ514" s="75" t="str">
        <v/>
      </c>
      <c r="AR514" s="75" t="str">
        <v>-</v>
      </c>
      <c r="AS514" s="11"/>
      <c r="AT514" s="77" t="str">
        <v>-</v>
      </c>
      <c r="AU514" s="11" t="str">
        <v>-</v>
      </c>
      <c r="AV514" s="100"/>
      <c r="AW514" s="80" t="str">
        <f ca="1"/>
        <v>-</v>
      </c>
      <c r="AX514" s="80" t="b">
        <v>0</v>
      </c>
      <c r="AY514" s="68" t="str">
        <f t="shared" si="4"/>
        <v/>
      </c>
      <c r="AZ514" s="69" t="str">
        <f t="shared" si="5"/>
        <v/>
      </c>
      <c r="BA514" s="70" t="str">
        <f t="shared" si="6"/>
        <v/>
      </c>
      <c r="BB514" s="68" t="str">
        <f t="shared" si="7"/>
        <v/>
      </c>
      <c r="BC514" s="69" t="str">
        <f>IFERROR(VLOOKUP($AQ514,'(勿動)組件目錄表'!$D$15:$R$1094,7,FALSE),"")</f>
        <v/>
      </c>
      <c r="BD514" s="69" t="str">
        <f>IFERROR(VLOOKUP($AQ514,'(勿動)組件目錄表'!$D$15:$R$1094,8,FALSE),"")</f>
        <v/>
      </c>
      <c r="BE514" s="69" t="str">
        <f>IFERROR(VLOOKUP($AQ514,'(勿動)組件目錄表'!$D$15:$R$1094,9,FALSE),"")</f>
        <v/>
      </c>
      <c r="BF514" s="69" t="str">
        <f>IFERROR(VLOOKUP($AQ514,'(勿動)組件目錄表'!$D$15:$R$1094,10,FALSE),"")</f>
        <v/>
      </c>
      <c r="BG514" s="69" t="str">
        <f>IFERROR(VLOOKUP($AQ514,'(勿動)組件目錄表'!$D$15:$R$1094,11,FALSE),"")</f>
        <v/>
      </c>
      <c r="BH514" s="69" t="str">
        <f>IFERROR(VLOOKUP($AQ514,'(勿動)組件目錄表'!$D$15:$R$1094,12,FALSE),"")</f>
        <v/>
      </c>
      <c r="BI514" s="69" t="str">
        <f>IFERROR(VLOOKUP($AQ514,'(勿動)組件目錄表'!$D$15:$R$1094,13,FALSE),"")</f>
        <v/>
      </c>
      <c r="BJ514" s="69" t="str">
        <f>IFERROR(VLOOKUP($AQ514,'(勿動)組件目錄表'!$D$15:$R$1094,14,FALSE),"")</f>
        <v/>
      </c>
      <c r="BK514" s="69" t="str">
        <f>IFERROR(VLOOKUP($AQ514,'(勿動)組件目錄表'!$D$15:$R$1094,15,FALSE),"")</f>
        <v/>
      </c>
      <c r="BL514" s="81">
        <f ca="1">IFERROR(__xludf.DUMMYFUNCTION("IFERROR(
  LET(
    rowData, FILTER('(勿動)組件目錄表'!J:Q, '(勿動)組件目錄表'!D:D=AQ514),
    IF(ROWS(rowData)=0, 0, 
      (
        IF(AND(BC514&lt;&gt;"""", INDEX(rowData,1,1)=BC514),1,0) +
        IF(AND(BD514&lt;&gt;"""", INDEX(rowData,1,2)=BD514),1,0) +
        IF(AND(BE514"&amp;"&lt;&gt;"""", INDEX(rowData,1,3)=BE514),1,0) +
        IF(AND(BF514&lt;&gt;"""", INDEX(rowData,1,4)=BF514),1,0) +
        IF(AND(BG514&lt;&gt;"""", INDEX(rowData,1,5)=BG514),1,0) +
        IF(AND(BH514&lt;&gt;"""", INDEX(rowData,1,6)=BH514),1,0) +
        IF(AND(BI514&lt;&gt;"""", IND"&amp;"EX(rowData,1,7)=BI514),1,0) +
        IF(AND(BJ514&lt;&gt;"""", INDEX(rowData,1,8)=BJ514),1,0)
      ) - COUNTIF(BC514:BJ514, ""-"")
        - COUNTIF(BC514:BJ514, ""固定格式，不需提供資訊"")
        - COUNTIF(BC514:BJ514, ""由MKT更新，此欄位固定格式，不需提供資訊
(Voucher CID：12917705872)"&amp;""")
        - COUNTIF(BC514:BJ514, ""text固定為以下：
※直播間僅支援手機版"")
        - COUNTIF(BC514:BJ514, ""text固定為以下：
※短影音僅支援手機版"")
    )
  ), 
  0
)
"),0)</f>
        <v>0</v>
      </c>
      <c r="BM514" s="77" t="b">
        <v>0</v>
      </c>
      <c r="BN514" s="85"/>
      <c r="BO514" s="85"/>
    </row>
    <row r="515" spans="1:67" ht="30" customHeight="1">
      <c r="A515" s="73" t="str">
        <f t="array" aca="1" ref="A515" ca="1">IFERROR(TRANSPOSE(INDIRECT('MS section版配(Old)'!$AO515)),"")</f>
        <v/>
      </c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8"/>
      <c r="P515" s="88"/>
      <c r="Q515" s="88"/>
      <c r="R515" s="88"/>
      <c r="S515" s="88"/>
      <c r="T515" s="88"/>
      <c r="U515" s="88"/>
      <c r="V515" s="88"/>
      <c r="W515" s="88"/>
      <c r="X515" s="88"/>
      <c r="Y515" s="88"/>
      <c r="Z515" s="88"/>
      <c r="AA515" s="88"/>
      <c r="AB515" s="88"/>
      <c r="AC515" s="88"/>
      <c r="AD515" s="88"/>
      <c r="AE515" s="397" t="str">
        <f>IFERROR(VLOOKUP($AQ515,'(勿動)組件目錄表'!$D$15:$R$1094,4,FALSE),"")</f>
        <v/>
      </c>
      <c r="AF515" s="384"/>
      <c r="AG515" s="384"/>
      <c r="AH515" s="384"/>
      <c r="AI515" s="384"/>
      <c r="AJ515" s="385"/>
      <c r="AK515" s="54" t="b">
        <v>0</v>
      </c>
      <c r="AL515" s="54" t="b">
        <v>0</v>
      </c>
      <c r="AM515" s="54"/>
      <c r="AN515" s="7" t="str">
        <v>507</v>
      </c>
      <c r="AO515" s="7"/>
      <c r="AP515" s="62"/>
      <c r="AQ515" s="75" t="str">
        <v/>
      </c>
      <c r="AR515" s="75" t="str">
        <v>-</v>
      </c>
      <c r="AS515" s="11"/>
      <c r="AT515" s="77" t="str">
        <v>-</v>
      </c>
      <c r="AU515" s="11" t="str">
        <v>-</v>
      </c>
      <c r="AV515" s="100"/>
      <c r="AW515" s="80" t="str">
        <f ca="1"/>
        <v>-</v>
      </c>
      <c r="AX515" s="80" t="b">
        <v>0</v>
      </c>
      <c r="AY515" s="68" t="str">
        <f t="shared" si="4"/>
        <v/>
      </c>
      <c r="AZ515" s="69" t="str">
        <f t="shared" si="5"/>
        <v/>
      </c>
      <c r="BA515" s="70" t="str">
        <f t="shared" si="6"/>
        <v/>
      </c>
      <c r="BB515" s="68" t="str">
        <f t="shared" si="7"/>
        <v/>
      </c>
      <c r="BC515" s="69" t="str">
        <f>IFERROR(VLOOKUP($AQ515,'(勿動)組件目錄表'!$D$15:$R$1094,7,FALSE),"")</f>
        <v/>
      </c>
      <c r="BD515" s="69" t="str">
        <f>IFERROR(VLOOKUP($AQ515,'(勿動)組件目錄表'!$D$15:$R$1094,8,FALSE),"")</f>
        <v/>
      </c>
      <c r="BE515" s="69" t="str">
        <f>IFERROR(VLOOKUP($AQ515,'(勿動)組件目錄表'!$D$15:$R$1094,9,FALSE),"")</f>
        <v/>
      </c>
      <c r="BF515" s="69" t="str">
        <f>IFERROR(VLOOKUP($AQ515,'(勿動)組件目錄表'!$D$15:$R$1094,10,FALSE),"")</f>
        <v/>
      </c>
      <c r="BG515" s="69" t="str">
        <f>IFERROR(VLOOKUP($AQ515,'(勿動)組件目錄表'!$D$15:$R$1094,11,FALSE),"")</f>
        <v/>
      </c>
      <c r="BH515" s="69" t="str">
        <f>IFERROR(VLOOKUP($AQ515,'(勿動)組件目錄表'!$D$15:$R$1094,12,FALSE),"")</f>
        <v/>
      </c>
      <c r="BI515" s="69" t="str">
        <f>IFERROR(VLOOKUP($AQ515,'(勿動)組件目錄表'!$D$15:$R$1094,13,FALSE),"")</f>
        <v/>
      </c>
      <c r="BJ515" s="69" t="str">
        <f>IFERROR(VLOOKUP($AQ515,'(勿動)組件目錄表'!$D$15:$R$1094,14,FALSE),"")</f>
        <v/>
      </c>
      <c r="BK515" s="69" t="str">
        <f>IFERROR(VLOOKUP($AQ515,'(勿動)組件目錄表'!$D$15:$R$1094,15,FALSE),"")</f>
        <v/>
      </c>
      <c r="BL515" s="81">
        <f ca="1">IFERROR(__xludf.DUMMYFUNCTION("IFERROR(
  LET(
    rowData, FILTER('(勿動)組件目錄表'!J:Q, '(勿動)組件目錄表'!D:D=AQ515),
    IF(ROWS(rowData)=0, 0, 
      (
        IF(AND(BC515&lt;&gt;"""", INDEX(rowData,1,1)=BC515),1,0) +
        IF(AND(BD515&lt;&gt;"""", INDEX(rowData,1,2)=BD515),1,0) +
        IF(AND(BE515"&amp;"&lt;&gt;"""", INDEX(rowData,1,3)=BE515),1,0) +
        IF(AND(BF515&lt;&gt;"""", INDEX(rowData,1,4)=BF515),1,0) +
        IF(AND(BG515&lt;&gt;"""", INDEX(rowData,1,5)=BG515),1,0) +
        IF(AND(BH515&lt;&gt;"""", INDEX(rowData,1,6)=BH515),1,0) +
        IF(AND(BI515&lt;&gt;"""", IND"&amp;"EX(rowData,1,7)=BI515),1,0) +
        IF(AND(BJ515&lt;&gt;"""", INDEX(rowData,1,8)=BJ515),1,0)
      ) - COUNTIF(BC515:BJ515, ""-"")
        - COUNTIF(BC515:BJ515, ""固定格式，不需提供資訊"")
        - COUNTIF(BC515:BJ515, ""由MKT更新，此欄位固定格式，不需提供資訊
(Voucher CID：12917705872)"&amp;""")
        - COUNTIF(BC515:BJ515, ""text固定為以下：
※直播間僅支援手機版"")
        - COUNTIF(BC515:BJ515, ""text固定為以下：
※短影音僅支援手機版"")
    )
  ), 
  0
)
"),0)</f>
        <v>0</v>
      </c>
      <c r="BM515" s="77" t="b">
        <v>0</v>
      </c>
      <c r="BN515" s="85"/>
      <c r="BO515" s="85"/>
    </row>
    <row r="516" spans="1:67" ht="30" customHeight="1">
      <c r="A516" s="73" t="str">
        <f t="array" aca="1" ref="A516" ca="1">IFERROR(TRANSPOSE(INDIRECT('MS section版配(Old)'!$AO516)),"")</f>
        <v/>
      </c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8"/>
      <c r="P516" s="88"/>
      <c r="Q516" s="88"/>
      <c r="R516" s="88"/>
      <c r="S516" s="88"/>
      <c r="T516" s="88"/>
      <c r="U516" s="88"/>
      <c r="V516" s="88"/>
      <c r="W516" s="88"/>
      <c r="X516" s="88"/>
      <c r="Y516" s="88"/>
      <c r="Z516" s="88"/>
      <c r="AA516" s="88"/>
      <c r="AB516" s="88"/>
      <c r="AC516" s="88"/>
      <c r="AD516" s="88"/>
      <c r="AE516" s="397" t="str">
        <f>IFERROR(VLOOKUP($AQ516,'(勿動)組件目錄表'!$D$15:$R$1094,4,FALSE),"")</f>
        <v/>
      </c>
      <c r="AF516" s="384"/>
      <c r="AG516" s="384"/>
      <c r="AH516" s="384"/>
      <c r="AI516" s="384"/>
      <c r="AJ516" s="385"/>
      <c r="AK516" s="54" t="b">
        <v>0</v>
      </c>
      <c r="AL516" s="54" t="b">
        <v>0</v>
      </c>
      <c r="AM516" s="54"/>
      <c r="AN516" s="7" t="str">
        <v>508</v>
      </c>
      <c r="AO516" s="7"/>
      <c r="AP516" s="62"/>
      <c r="AQ516" s="75" t="str">
        <v/>
      </c>
      <c r="AR516" s="75" t="str">
        <v>-</v>
      </c>
      <c r="AS516" s="11"/>
      <c r="AT516" s="77" t="str">
        <v>-</v>
      </c>
      <c r="AU516" s="11" t="str">
        <v>-</v>
      </c>
      <c r="AV516" s="100"/>
      <c r="AW516" s="80" t="str">
        <f ca="1"/>
        <v>-</v>
      </c>
      <c r="AX516" s="80" t="b">
        <v>0</v>
      </c>
      <c r="AY516" s="68" t="str">
        <f t="shared" si="4"/>
        <v/>
      </c>
      <c r="AZ516" s="69" t="str">
        <f t="shared" si="5"/>
        <v/>
      </c>
      <c r="BA516" s="70" t="str">
        <f t="shared" si="6"/>
        <v/>
      </c>
      <c r="BB516" s="68" t="str">
        <f t="shared" si="7"/>
        <v/>
      </c>
      <c r="BC516" s="69" t="str">
        <f>IFERROR(VLOOKUP($AQ516,'(勿動)組件目錄表'!$D$15:$R$1094,7,FALSE),"")</f>
        <v/>
      </c>
      <c r="BD516" s="69" t="str">
        <f>IFERROR(VLOOKUP($AQ516,'(勿動)組件目錄表'!$D$15:$R$1094,8,FALSE),"")</f>
        <v/>
      </c>
      <c r="BE516" s="69" t="str">
        <f>IFERROR(VLOOKUP($AQ516,'(勿動)組件目錄表'!$D$15:$R$1094,9,FALSE),"")</f>
        <v/>
      </c>
      <c r="BF516" s="69" t="str">
        <f>IFERROR(VLOOKUP($AQ516,'(勿動)組件目錄表'!$D$15:$R$1094,10,FALSE),"")</f>
        <v/>
      </c>
      <c r="BG516" s="69" t="str">
        <f>IFERROR(VLOOKUP($AQ516,'(勿動)組件目錄表'!$D$15:$R$1094,11,FALSE),"")</f>
        <v/>
      </c>
      <c r="BH516" s="69" t="str">
        <f>IFERROR(VLOOKUP($AQ516,'(勿動)組件目錄表'!$D$15:$R$1094,12,FALSE),"")</f>
        <v/>
      </c>
      <c r="BI516" s="69" t="str">
        <f>IFERROR(VLOOKUP($AQ516,'(勿動)組件目錄表'!$D$15:$R$1094,13,FALSE),"")</f>
        <v/>
      </c>
      <c r="BJ516" s="69" t="str">
        <f>IFERROR(VLOOKUP($AQ516,'(勿動)組件目錄表'!$D$15:$R$1094,14,FALSE),"")</f>
        <v/>
      </c>
      <c r="BK516" s="69" t="str">
        <f>IFERROR(VLOOKUP($AQ516,'(勿動)組件目錄表'!$D$15:$R$1094,15,FALSE),"")</f>
        <v/>
      </c>
      <c r="BL516" s="81">
        <f ca="1">IFERROR(__xludf.DUMMYFUNCTION("IFERROR(
  LET(
    rowData, FILTER('(勿動)組件目錄表'!J:Q, '(勿動)組件目錄表'!D:D=AQ516),
    IF(ROWS(rowData)=0, 0, 
      (
        IF(AND(BC516&lt;&gt;"""", INDEX(rowData,1,1)=BC516),1,0) +
        IF(AND(BD516&lt;&gt;"""", INDEX(rowData,1,2)=BD516),1,0) +
        IF(AND(BE516"&amp;"&lt;&gt;"""", INDEX(rowData,1,3)=BE516),1,0) +
        IF(AND(BF516&lt;&gt;"""", INDEX(rowData,1,4)=BF516),1,0) +
        IF(AND(BG516&lt;&gt;"""", INDEX(rowData,1,5)=BG516),1,0) +
        IF(AND(BH516&lt;&gt;"""", INDEX(rowData,1,6)=BH516),1,0) +
        IF(AND(BI516&lt;&gt;"""", IND"&amp;"EX(rowData,1,7)=BI516),1,0) +
        IF(AND(BJ516&lt;&gt;"""", INDEX(rowData,1,8)=BJ516),1,0)
      ) - COUNTIF(BC516:BJ516, ""-"")
        - COUNTIF(BC516:BJ516, ""固定格式，不需提供資訊"")
        - COUNTIF(BC516:BJ516, ""由MKT更新，此欄位固定格式，不需提供資訊
(Voucher CID：12917705872)"&amp;""")
        - COUNTIF(BC516:BJ516, ""text固定為以下：
※直播間僅支援手機版"")
        - COUNTIF(BC516:BJ516, ""text固定為以下：
※短影音僅支援手機版"")
    )
  ), 
  0
)
"),0)</f>
        <v>0</v>
      </c>
      <c r="BM516" s="77" t="b">
        <v>0</v>
      </c>
      <c r="BN516" s="85"/>
      <c r="BO516" s="85"/>
    </row>
    <row r="517" spans="1:67" ht="30" customHeight="1">
      <c r="A517" s="73" t="str">
        <f t="array" aca="1" ref="A517" ca="1">IFERROR(TRANSPOSE(INDIRECT('MS section版配(Old)'!$AO517)),"")</f>
        <v/>
      </c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8"/>
      <c r="P517" s="88"/>
      <c r="Q517" s="88"/>
      <c r="R517" s="88"/>
      <c r="S517" s="88"/>
      <c r="T517" s="88"/>
      <c r="U517" s="88"/>
      <c r="V517" s="88"/>
      <c r="W517" s="88"/>
      <c r="X517" s="88"/>
      <c r="Y517" s="88"/>
      <c r="Z517" s="88"/>
      <c r="AA517" s="88"/>
      <c r="AB517" s="88"/>
      <c r="AC517" s="88"/>
      <c r="AD517" s="88"/>
      <c r="AE517" s="397" t="str">
        <f>IFERROR(VLOOKUP($AQ517,'(勿動)組件目錄表'!$D$15:$R$1094,4,FALSE),"")</f>
        <v/>
      </c>
      <c r="AF517" s="384"/>
      <c r="AG517" s="384"/>
      <c r="AH517" s="384"/>
      <c r="AI517" s="384"/>
      <c r="AJ517" s="385"/>
      <c r="AK517" s="54" t="b">
        <v>0</v>
      </c>
      <c r="AL517" s="54" t="b">
        <v>0</v>
      </c>
      <c r="AM517" s="54"/>
      <c r="AN517" s="7" t="str">
        <v>509</v>
      </c>
      <c r="AO517" s="7"/>
      <c r="AP517" s="62"/>
      <c r="AQ517" s="75" t="str">
        <v/>
      </c>
      <c r="AR517" s="75" t="str">
        <v>-</v>
      </c>
      <c r="AS517" s="11"/>
      <c r="AT517" s="77" t="str">
        <v>-</v>
      </c>
      <c r="AU517" s="11" t="str">
        <v>-</v>
      </c>
      <c r="AV517" s="100"/>
      <c r="AW517" s="80" t="str">
        <f ca="1"/>
        <v>-</v>
      </c>
      <c r="AX517" s="80" t="b">
        <v>0</v>
      </c>
      <c r="AY517" s="68" t="str">
        <f t="shared" si="4"/>
        <v/>
      </c>
      <c r="AZ517" s="69" t="str">
        <f t="shared" si="5"/>
        <v/>
      </c>
      <c r="BA517" s="70" t="str">
        <f t="shared" si="6"/>
        <v/>
      </c>
      <c r="BB517" s="68" t="str">
        <f t="shared" si="7"/>
        <v/>
      </c>
      <c r="BC517" s="69" t="str">
        <f>IFERROR(VLOOKUP($AQ517,'(勿動)組件目錄表'!$D$15:$R$1094,7,FALSE),"")</f>
        <v/>
      </c>
      <c r="BD517" s="69" t="str">
        <f>IFERROR(VLOOKUP($AQ517,'(勿動)組件目錄表'!$D$15:$R$1094,8,FALSE),"")</f>
        <v/>
      </c>
      <c r="BE517" s="69" t="str">
        <f>IFERROR(VLOOKUP($AQ517,'(勿動)組件目錄表'!$D$15:$R$1094,9,FALSE),"")</f>
        <v/>
      </c>
      <c r="BF517" s="69" t="str">
        <f>IFERROR(VLOOKUP($AQ517,'(勿動)組件目錄表'!$D$15:$R$1094,10,FALSE),"")</f>
        <v/>
      </c>
      <c r="BG517" s="69" t="str">
        <f>IFERROR(VLOOKUP($AQ517,'(勿動)組件目錄表'!$D$15:$R$1094,11,FALSE),"")</f>
        <v/>
      </c>
      <c r="BH517" s="69" t="str">
        <f>IFERROR(VLOOKUP($AQ517,'(勿動)組件目錄表'!$D$15:$R$1094,12,FALSE),"")</f>
        <v/>
      </c>
      <c r="BI517" s="69" t="str">
        <f>IFERROR(VLOOKUP($AQ517,'(勿動)組件目錄表'!$D$15:$R$1094,13,FALSE),"")</f>
        <v/>
      </c>
      <c r="BJ517" s="69" t="str">
        <f>IFERROR(VLOOKUP($AQ517,'(勿動)組件目錄表'!$D$15:$R$1094,14,FALSE),"")</f>
        <v/>
      </c>
      <c r="BK517" s="69" t="str">
        <f>IFERROR(VLOOKUP($AQ517,'(勿動)組件目錄表'!$D$15:$R$1094,15,FALSE),"")</f>
        <v/>
      </c>
      <c r="BL517" s="81">
        <f ca="1">IFERROR(__xludf.DUMMYFUNCTION("IFERROR(
  LET(
    rowData, FILTER('(勿動)組件目錄表'!J:Q, '(勿動)組件目錄表'!D:D=AQ517),
    IF(ROWS(rowData)=0, 0, 
      (
        IF(AND(BC517&lt;&gt;"""", INDEX(rowData,1,1)=BC517),1,0) +
        IF(AND(BD517&lt;&gt;"""", INDEX(rowData,1,2)=BD517),1,0) +
        IF(AND(BE517"&amp;"&lt;&gt;"""", INDEX(rowData,1,3)=BE517),1,0) +
        IF(AND(BF517&lt;&gt;"""", INDEX(rowData,1,4)=BF517),1,0) +
        IF(AND(BG517&lt;&gt;"""", INDEX(rowData,1,5)=BG517),1,0) +
        IF(AND(BH517&lt;&gt;"""", INDEX(rowData,1,6)=BH517),1,0) +
        IF(AND(BI517&lt;&gt;"""", IND"&amp;"EX(rowData,1,7)=BI517),1,0) +
        IF(AND(BJ517&lt;&gt;"""", INDEX(rowData,1,8)=BJ517),1,0)
      ) - COUNTIF(BC517:BJ517, ""-"")
        - COUNTIF(BC517:BJ517, ""固定格式，不需提供資訊"")
        - COUNTIF(BC517:BJ517, ""由MKT更新，此欄位固定格式，不需提供資訊
(Voucher CID：12917705872)"&amp;""")
        - COUNTIF(BC517:BJ517, ""text固定為以下：
※直播間僅支援手機版"")
        - COUNTIF(BC517:BJ517, ""text固定為以下：
※短影音僅支援手機版"")
    )
  ), 
  0
)
"),0)</f>
        <v>0</v>
      </c>
      <c r="BM517" s="77" t="b">
        <v>0</v>
      </c>
      <c r="BN517" s="85"/>
      <c r="BO517" s="85"/>
    </row>
    <row r="518" spans="1:67" ht="30" customHeight="1">
      <c r="A518" s="73" t="str">
        <f t="array" aca="1" ref="A518" ca="1">IFERROR(TRANSPOSE(INDIRECT('MS section版配(Old)'!$AO518)),"")</f>
        <v/>
      </c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8"/>
      <c r="P518" s="88"/>
      <c r="Q518" s="88"/>
      <c r="R518" s="88"/>
      <c r="S518" s="88"/>
      <c r="T518" s="88"/>
      <c r="U518" s="88"/>
      <c r="V518" s="88"/>
      <c r="W518" s="88"/>
      <c r="X518" s="88"/>
      <c r="Y518" s="88"/>
      <c r="Z518" s="88"/>
      <c r="AA518" s="88"/>
      <c r="AB518" s="88"/>
      <c r="AC518" s="88"/>
      <c r="AD518" s="88"/>
      <c r="AE518" s="397" t="str">
        <f>IFERROR(VLOOKUP($AQ518,'(勿動)組件目錄表'!$D$15:$R$1094,4,FALSE),"")</f>
        <v/>
      </c>
      <c r="AF518" s="384"/>
      <c r="AG518" s="384"/>
      <c r="AH518" s="384"/>
      <c r="AI518" s="384"/>
      <c r="AJ518" s="385"/>
      <c r="AK518" s="54" t="b">
        <v>0</v>
      </c>
      <c r="AL518" s="54" t="b">
        <v>0</v>
      </c>
      <c r="AM518" s="54"/>
      <c r="AN518" s="7" t="str">
        <v>510</v>
      </c>
      <c r="AO518" s="7"/>
      <c r="AP518" s="62"/>
      <c r="AQ518" s="75" t="str">
        <v/>
      </c>
      <c r="AR518" s="75" t="str">
        <v>-</v>
      </c>
      <c r="AS518" s="11"/>
      <c r="AT518" s="77" t="str">
        <v>-</v>
      </c>
      <c r="AU518" s="11" t="str">
        <v>-</v>
      </c>
      <c r="AV518" s="100"/>
      <c r="AW518" s="80" t="str">
        <f ca="1"/>
        <v>-</v>
      </c>
      <c r="AX518" s="80" t="b">
        <v>0</v>
      </c>
      <c r="AY518" s="68" t="str">
        <f t="shared" ref="AY518:AY601" si="8">IF(AX518=TRUE,"若AX欄有勾選則必填","")</f>
        <v/>
      </c>
      <c r="AZ518" s="69" t="str">
        <f t="shared" ref="AZ518:AZ601" si="9">IF(AY518="設隱形錨點","",IF(AX518=FALSE,"",IF(AX518=TRUE, SUBSTITUTE(AW518, "_", ""))))</f>
        <v/>
      </c>
      <c r="BA518" s="70" t="str">
        <f t="shared" ref="BA518:BA601" si="10">IFERROR(IF(TRIM(BC518)="", "", TEXT(DATEVALUE("2025/" &amp; LEFT(TRIM(BC518), FIND(" ", TRIM(BC518)) - 1)) + TIME(VALUE(MID(TRIM(BC518), FIND(" ", TRIM(BC518)) + 1, LEN(TRIM(BC518)) - FIND(" ", TRIM(BC518)))), 0, 0), "YYYY-MM-DD hh:mm:ss")),"")</f>
        <v/>
      </c>
      <c r="BB518" s="68" t="str">
        <f t="shared" ref="BB518:BB601" si="11">IFERROR(IF(TRIM(BD518)="", "", TEXT(DATEVALUE("2025/" &amp; LEFT(TRIM(BD518), FIND(" ", TRIM(BD518)) - 1)) + TIME(VALUE(MID(TRIM(BD518), FIND(" ", TRIM(BD518)) + 1, LEN(TRIM(BD518)) - FIND(" ", TRIM(BD518))))-1, 59, 59), "YYYY-MM-DD hh:mm:ss")),"")</f>
        <v/>
      </c>
      <c r="BC518" s="69" t="str">
        <f>IFERROR(VLOOKUP($AQ518,'(勿動)組件目錄表'!$D$15:$R$1094,7,FALSE),"")</f>
        <v/>
      </c>
      <c r="BD518" s="69" t="str">
        <f>IFERROR(VLOOKUP($AQ518,'(勿動)組件目錄表'!$D$15:$R$1094,8,FALSE),"")</f>
        <v/>
      </c>
      <c r="BE518" s="69" t="str">
        <f>IFERROR(VLOOKUP($AQ518,'(勿動)組件目錄表'!$D$15:$R$1094,9,FALSE),"")</f>
        <v/>
      </c>
      <c r="BF518" s="69" t="str">
        <f>IFERROR(VLOOKUP($AQ518,'(勿動)組件目錄表'!$D$15:$R$1094,10,FALSE),"")</f>
        <v/>
      </c>
      <c r="BG518" s="69" t="str">
        <f>IFERROR(VLOOKUP($AQ518,'(勿動)組件目錄表'!$D$15:$R$1094,11,FALSE),"")</f>
        <v/>
      </c>
      <c r="BH518" s="69" t="str">
        <f>IFERROR(VLOOKUP($AQ518,'(勿動)組件目錄表'!$D$15:$R$1094,12,FALSE),"")</f>
        <v/>
      </c>
      <c r="BI518" s="69" t="str">
        <f>IFERROR(VLOOKUP($AQ518,'(勿動)組件目錄表'!$D$15:$R$1094,13,FALSE),"")</f>
        <v/>
      </c>
      <c r="BJ518" s="69" t="str">
        <f>IFERROR(VLOOKUP($AQ518,'(勿動)組件目錄表'!$D$15:$R$1094,14,FALSE),"")</f>
        <v/>
      </c>
      <c r="BK518" s="69" t="str">
        <f>IFERROR(VLOOKUP($AQ518,'(勿動)組件目錄表'!$D$15:$R$1094,15,FALSE),"")</f>
        <v/>
      </c>
      <c r="BL518" s="81">
        <f ca="1">IFERROR(__xludf.DUMMYFUNCTION("IFERROR(
  LET(
    rowData, FILTER('(勿動)組件目錄表'!J:Q, '(勿動)組件目錄表'!D:D=AQ518),
    IF(ROWS(rowData)=0, 0, 
      (
        IF(AND(BC518&lt;&gt;"""", INDEX(rowData,1,1)=BC518),1,0) +
        IF(AND(BD518&lt;&gt;"""", INDEX(rowData,1,2)=BD518),1,0) +
        IF(AND(BE518"&amp;"&lt;&gt;"""", INDEX(rowData,1,3)=BE518),1,0) +
        IF(AND(BF518&lt;&gt;"""", INDEX(rowData,1,4)=BF518),1,0) +
        IF(AND(BG518&lt;&gt;"""", INDEX(rowData,1,5)=BG518),1,0) +
        IF(AND(BH518&lt;&gt;"""", INDEX(rowData,1,6)=BH518),1,0) +
        IF(AND(BI518&lt;&gt;"""", IND"&amp;"EX(rowData,1,7)=BI518),1,0) +
        IF(AND(BJ518&lt;&gt;"""", INDEX(rowData,1,8)=BJ518),1,0)
      ) - COUNTIF(BC518:BJ518, ""-"")
        - COUNTIF(BC518:BJ518, ""固定格式，不需提供資訊"")
        - COUNTIF(BC518:BJ518, ""由MKT更新，此欄位固定格式，不需提供資訊
(Voucher CID：12917705872)"&amp;""")
        - COUNTIF(BC518:BJ518, ""text固定為以下：
※直播間僅支援手機版"")
        - COUNTIF(BC518:BJ518, ""text固定為以下：
※短影音僅支援手機版"")
    )
  ), 
  0
)
"),0)</f>
        <v>0</v>
      </c>
      <c r="BM518" s="77" t="b">
        <v>0</v>
      </c>
      <c r="BN518" s="85"/>
      <c r="BO518" s="85"/>
    </row>
    <row r="519" spans="1:67" ht="30" customHeight="1">
      <c r="A519" s="73" t="str">
        <f t="array" aca="1" ref="A519" ca="1">IFERROR(TRANSPOSE(INDIRECT('MS section版配(Old)'!$AO519)),"")</f>
        <v/>
      </c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8"/>
      <c r="P519" s="88"/>
      <c r="Q519" s="88"/>
      <c r="R519" s="88"/>
      <c r="S519" s="88"/>
      <c r="T519" s="88"/>
      <c r="U519" s="88"/>
      <c r="V519" s="88"/>
      <c r="W519" s="88"/>
      <c r="X519" s="88"/>
      <c r="Y519" s="88"/>
      <c r="Z519" s="88"/>
      <c r="AA519" s="88"/>
      <c r="AB519" s="88"/>
      <c r="AC519" s="88"/>
      <c r="AD519" s="88"/>
      <c r="AE519" s="397" t="str">
        <f>IFERROR(VLOOKUP($AQ519,'(勿動)組件目錄表'!$D$15:$R$1094,4,FALSE),"")</f>
        <v/>
      </c>
      <c r="AF519" s="384"/>
      <c r="AG519" s="384"/>
      <c r="AH519" s="384"/>
      <c r="AI519" s="384"/>
      <c r="AJ519" s="385"/>
      <c r="AK519" s="54" t="b">
        <v>0</v>
      </c>
      <c r="AL519" s="54" t="b">
        <v>0</v>
      </c>
      <c r="AM519" s="54"/>
      <c r="AN519" s="7" t="str">
        <v>511</v>
      </c>
      <c r="AO519" s="7"/>
      <c r="AP519" s="62"/>
      <c r="AQ519" s="75" t="str">
        <v/>
      </c>
      <c r="AR519" s="75" t="str">
        <v>-</v>
      </c>
      <c r="AS519" s="11"/>
      <c r="AT519" s="77" t="str">
        <v>-</v>
      </c>
      <c r="AU519" s="11" t="str">
        <v>-</v>
      </c>
      <c r="AV519" s="100"/>
      <c r="AW519" s="80" t="str">
        <f ca="1"/>
        <v>-</v>
      </c>
      <c r="AX519" s="80" t="b">
        <v>0</v>
      </c>
      <c r="AY519" s="68" t="str">
        <f t="shared" si="8"/>
        <v/>
      </c>
      <c r="AZ519" s="69" t="str">
        <f t="shared" si="9"/>
        <v/>
      </c>
      <c r="BA519" s="70" t="str">
        <f t="shared" si="10"/>
        <v/>
      </c>
      <c r="BB519" s="68" t="str">
        <f t="shared" si="11"/>
        <v/>
      </c>
      <c r="BC519" s="69" t="str">
        <f>IFERROR(VLOOKUP($AQ519,'(勿動)組件目錄表'!$D$15:$R$1094,7,FALSE),"")</f>
        <v/>
      </c>
      <c r="BD519" s="69" t="str">
        <f>IFERROR(VLOOKUP($AQ519,'(勿動)組件目錄表'!$D$15:$R$1094,8,FALSE),"")</f>
        <v/>
      </c>
      <c r="BE519" s="69" t="str">
        <f>IFERROR(VLOOKUP($AQ519,'(勿動)組件目錄表'!$D$15:$R$1094,9,FALSE),"")</f>
        <v/>
      </c>
      <c r="BF519" s="69" t="str">
        <f>IFERROR(VLOOKUP($AQ519,'(勿動)組件目錄表'!$D$15:$R$1094,10,FALSE),"")</f>
        <v/>
      </c>
      <c r="BG519" s="69" t="str">
        <f>IFERROR(VLOOKUP($AQ519,'(勿動)組件目錄表'!$D$15:$R$1094,11,FALSE),"")</f>
        <v/>
      </c>
      <c r="BH519" s="69" t="str">
        <f>IFERROR(VLOOKUP($AQ519,'(勿動)組件目錄表'!$D$15:$R$1094,12,FALSE),"")</f>
        <v/>
      </c>
      <c r="BI519" s="69" t="str">
        <f>IFERROR(VLOOKUP($AQ519,'(勿動)組件目錄表'!$D$15:$R$1094,13,FALSE),"")</f>
        <v/>
      </c>
      <c r="BJ519" s="69" t="str">
        <f>IFERROR(VLOOKUP($AQ519,'(勿動)組件目錄表'!$D$15:$R$1094,14,FALSE),"")</f>
        <v/>
      </c>
      <c r="BK519" s="69" t="str">
        <f>IFERROR(VLOOKUP($AQ519,'(勿動)組件目錄表'!$D$15:$R$1094,15,FALSE),"")</f>
        <v/>
      </c>
      <c r="BL519" s="81">
        <f ca="1">IFERROR(__xludf.DUMMYFUNCTION("IFERROR(
  LET(
    rowData, FILTER('(勿動)組件目錄表'!J:Q, '(勿動)組件目錄表'!D:D=AQ519),
    IF(ROWS(rowData)=0, 0, 
      (
        IF(AND(BC519&lt;&gt;"""", INDEX(rowData,1,1)=BC519),1,0) +
        IF(AND(BD519&lt;&gt;"""", INDEX(rowData,1,2)=BD519),1,0) +
        IF(AND(BE519"&amp;"&lt;&gt;"""", INDEX(rowData,1,3)=BE519),1,0) +
        IF(AND(BF519&lt;&gt;"""", INDEX(rowData,1,4)=BF519),1,0) +
        IF(AND(BG519&lt;&gt;"""", INDEX(rowData,1,5)=BG519),1,0) +
        IF(AND(BH519&lt;&gt;"""", INDEX(rowData,1,6)=BH519),1,0) +
        IF(AND(BI519&lt;&gt;"""", IND"&amp;"EX(rowData,1,7)=BI519),1,0) +
        IF(AND(BJ519&lt;&gt;"""", INDEX(rowData,1,8)=BJ519),1,0)
      ) - COUNTIF(BC519:BJ519, ""-"")
        - COUNTIF(BC519:BJ519, ""固定格式，不需提供資訊"")
        - COUNTIF(BC519:BJ519, ""由MKT更新，此欄位固定格式，不需提供資訊
(Voucher CID：12917705872)"&amp;""")
        - COUNTIF(BC519:BJ519, ""text固定為以下：
※直播間僅支援手機版"")
        - COUNTIF(BC519:BJ519, ""text固定為以下：
※短影音僅支援手機版"")
    )
  ), 
  0
)
"),0)</f>
        <v>0</v>
      </c>
      <c r="BM519" s="77" t="b">
        <v>0</v>
      </c>
      <c r="BN519" s="85"/>
      <c r="BO519" s="85"/>
    </row>
    <row r="520" spans="1:67" ht="30" customHeight="1">
      <c r="A520" s="73" t="str">
        <f t="array" aca="1" ref="A520" ca="1">IFERROR(TRANSPOSE(INDIRECT('MS section版配(Old)'!$AO520)),"")</f>
        <v/>
      </c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8"/>
      <c r="P520" s="88"/>
      <c r="Q520" s="88"/>
      <c r="R520" s="88"/>
      <c r="S520" s="88"/>
      <c r="T520" s="88"/>
      <c r="U520" s="88"/>
      <c r="V520" s="88"/>
      <c r="W520" s="88"/>
      <c r="X520" s="88"/>
      <c r="Y520" s="88"/>
      <c r="Z520" s="88"/>
      <c r="AA520" s="88"/>
      <c r="AB520" s="88"/>
      <c r="AC520" s="88"/>
      <c r="AD520" s="88"/>
      <c r="AE520" s="397" t="str">
        <f>IFERROR(VLOOKUP($AQ520,'(勿動)組件目錄表'!$D$15:$R$1094,4,FALSE),"")</f>
        <v/>
      </c>
      <c r="AF520" s="384"/>
      <c r="AG520" s="384"/>
      <c r="AH520" s="384"/>
      <c r="AI520" s="384"/>
      <c r="AJ520" s="385"/>
      <c r="AK520" s="54" t="b">
        <v>0</v>
      </c>
      <c r="AL520" s="54" t="b">
        <v>0</v>
      </c>
      <c r="AM520" s="54"/>
      <c r="AN520" s="7" t="str">
        <v>512</v>
      </c>
      <c r="AO520" s="7"/>
      <c r="AP520" s="62"/>
      <c r="AQ520" s="75" t="str">
        <v/>
      </c>
      <c r="AR520" s="75" t="str">
        <v>-</v>
      </c>
      <c r="AS520" s="11"/>
      <c r="AT520" s="77" t="str">
        <v>-</v>
      </c>
      <c r="AU520" s="11" t="str">
        <v>-</v>
      </c>
      <c r="AV520" s="100"/>
      <c r="AW520" s="80" t="str">
        <f ca="1"/>
        <v>-</v>
      </c>
      <c r="AX520" s="80" t="b">
        <v>0</v>
      </c>
      <c r="AY520" s="68" t="str">
        <f t="shared" si="8"/>
        <v/>
      </c>
      <c r="AZ520" s="69" t="str">
        <f t="shared" si="9"/>
        <v/>
      </c>
      <c r="BA520" s="70" t="str">
        <f t="shared" si="10"/>
        <v/>
      </c>
      <c r="BB520" s="68" t="str">
        <f t="shared" si="11"/>
        <v/>
      </c>
      <c r="BC520" s="69" t="str">
        <f>IFERROR(VLOOKUP($AQ520,'(勿動)組件目錄表'!$D$15:$R$1094,7,FALSE),"")</f>
        <v/>
      </c>
      <c r="BD520" s="69" t="str">
        <f>IFERROR(VLOOKUP($AQ520,'(勿動)組件目錄表'!$D$15:$R$1094,8,FALSE),"")</f>
        <v/>
      </c>
      <c r="BE520" s="69" t="str">
        <f>IFERROR(VLOOKUP($AQ520,'(勿動)組件目錄表'!$D$15:$R$1094,9,FALSE),"")</f>
        <v/>
      </c>
      <c r="BF520" s="69" t="str">
        <f>IFERROR(VLOOKUP($AQ520,'(勿動)組件目錄表'!$D$15:$R$1094,10,FALSE),"")</f>
        <v/>
      </c>
      <c r="BG520" s="69" t="str">
        <f>IFERROR(VLOOKUP($AQ520,'(勿動)組件目錄表'!$D$15:$R$1094,11,FALSE),"")</f>
        <v/>
      </c>
      <c r="BH520" s="69" t="str">
        <f>IFERROR(VLOOKUP($AQ520,'(勿動)組件目錄表'!$D$15:$R$1094,12,FALSE),"")</f>
        <v/>
      </c>
      <c r="BI520" s="69" t="str">
        <f>IFERROR(VLOOKUP($AQ520,'(勿動)組件目錄表'!$D$15:$R$1094,13,FALSE),"")</f>
        <v/>
      </c>
      <c r="BJ520" s="69" t="str">
        <f>IFERROR(VLOOKUP($AQ520,'(勿動)組件目錄表'!$D$15:$R$1094,14,FALSE),"")</f>
        <v/>
      </c>
      <c r="BK520" s="69" t="str">
        <f>IFERROR(VLOOKUP($AQ520,'(勿動)組件目錄表'!$D$15:$R$1094,15,FALSE),"")</f>
        <v/>
      </c>
      <c r="BL520" s="81">
        <f ca="1">IFERROR(__xludf.DUMMYFUNCTION("IFERROR(
  LET(
    rowData, FILTER('(勿動)組件目錄表'!J:Q, '(勿動)組件目錄表'!D:D=AQ520),
    IF(ROWS(rowData)=0, 0, 
      (
        IF(AND(BC520&lt;&gt;"""", INDEX(rowData,1,1)=BC520),1,0) +
        IF(AND(BD520&lt;&gt;"""", INDEX(rowData,1,2)=BD520),1,0) +
        IF(AND(BE520"&amp;"&lt;&gt;"""", INDEX(rowData,1,3)=BE520),1,0) +
        IF(AND(BF520&lt;&gt;"""", INDEX(rowData,1,4)=BF520),1,0) +
        IF(AND(BG520&lt;&gt;"""", INDEX(rowData,1,5)=BG520),1,0) +
        IF(AND(BH520&lt;&gt;"""", INDEX(rowData,1,6)=BH520),1,0) +
        IF(AND(BI520&lt;&gt;"""", IND"&amp;"EX(rowData,1,7)=BI520),1,0) +
        IF(AND(BJ520&lt;&gt;"""", INDEX(rowData,1,8)=BJ520),1,0)
      ) - COUNTIF(BC520:BJ520, ""-"")
        - COUNTIF(BC520:BJ520, ""固定格式，不需提供資訊"")
        - COUNTIF(BC520:BJ520, ""由MKT更新，此欄位固定格式，不需提供資訊
(Voucher CID：12917705872)"&amp;""")
        - COUNTIF(BC520:BJ520, ""text固定為以下：
※直播間僅支援手機版"")
        - COUNTIF(BC520:BJ520, ""text固定為以下：
※短影音僅支援手機版"")
    )
  ), 
  0
)
"),0)</f>
        <v>0</v>
      </c>
      <c r="BM520" s="77" t="b">
        <v>0</v>
      </c>
      <c r="BN520" s="85"/>
      <c r="BO520" s="85"/>
    </row>
    <row r="521" spans="1:67" ht="30" customHeight="1">
      <c r="A521" s="73" t="str">
        <f t="array" aca="1" ref="A521" ca="1">IFERROR(TRANSPOSE(INDIRECT('MS section版配(Old)'!$AO521)),"")</f>
        <v/>
      </c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8"/>
      <c r="P521" s="88"/>
      <c r="Q521" s="88"/>
      <c r="R521" s="88"/>
      <c r="S521" s="88"/>
      <c r="T521" s="88"/>
      <c r="U521" s="88"/>
      <c r="V521" s="88"/>
      <c r="W521" s="88"/>
      <c r="X521" s="88"/>
      <c r="Y521" s="88"/>
      <c r="Z521" s="88"/>
      <c r="AA521" s="88"/>
      <c r="AB521" s="88"/>
      <c r="AC521" s="88"/>
      <c r="AD521" s="88"/>
      <c r="AE521" s="397" t="str">
        <f>IFERROR(VLOOKUP($AQ521,'(勿動)組件目錄表'!$D$15:$R$1094,4,FALSE),"")</f>
        <v/>
      </c>
      <c r="AF521" s="384"/>
      <c r="AG521" s="384"/>
      <c r="AH521" s="384"/>
      <c r="AI521" s="384"/>
      <c r="AJ521" s="385"/>
      <c r="AK521" s="54" t="b">
        <v>0</v>
      </c>
      <c r="AL521" s="54" t="b">
        <v>0</v>
      </c>
      <c r="AM521" s="54"/>
      <c r="AN521" s="7" t="str">
        <v>513</v>
      </c>
      <c r="AO521" s="7"/>
      <c r="AP521" s="62"/>
      <c r="AQ521" s="75" t="str">
        <v/>
      </c>
      <c r="AR521" s="75" t="str">
        <v>-</v>
      </c>
      <c r="AS521" s="11"/>
      <c r="AT521" s="77" t="str">
        <v>-</v>
      </c>
      <c r="AU521" s="11" t="str">
        <v>-</v>
      </c>
      <c r="AV521" s="100"/>
      <c r="AW521" s="80" t="str">
        <f ca="1"/>
        <v>-</v>
      </c>
      <c r="AX521" s="80" t="b">
        <v>0</v>
      </c>
      <c r="AY521" s="68" t="str">
        <f t="shared" si="8"/>
        <v/>
      </c>
      <c r="AZ521" s="69" t="str">
        <f t="shared" si="9"/>
        <v/>
      </c>
      <c r="BA521" s="70" t="str">
        <f t="shared" si="10"/>
        <v/>
      </c>
      <c r="BB521" s="68" t="str">
        <f t="shared" si="11"/>
        <v/>
      </c>
      <c r="BC521" s="69" t="str">
        <f>IFERROR(VLOOKUP($AQ521,'(勿動)組件目錄表'!$D$15:$R$1094,7,FALSE),"")</f>
        <v/>
      </c>
      <c r="BD521" s="69" t="str">
        <f>IFERROR(VLOOKUP($AQ521,'(勿動)組件目錄表'!$D$15:$R$1094,8,FALSE),"")</f>
        <v/>
      </c>
      <c r="BE521" s="69" t="str">
        <f>IFERROR(VLOOKUP($AQ521,'(勿動)組件目錄表'!$D$15:$R$1094,9,FALSE),"")</f>
        <v/>
      </c>
      <c r="BF521" s="69" t="str">
        <f>IFERROR(VLOOKUP($AQ521,'(勿動)組件目錄表'!$D$15:$R$1094,10,FALSE),"")</f>
        <v/>
      </c>
      <c r="BG521" s="69" t="str">
        <f>IFERROR(VLOOKUP($AQ521,'(勿動)組件目錄表'!$D$15:$R$1094,11,FALSE),"")</f>
        <v/>
      </c>
      <c r="BH521" s="69" t="str">
        <f>IFERROR(VLOOKUP($AQ521,'(勿動)組件目錄表'!$D$15:$R$1094,12,FALSE),"")</f>
        <v/>
      </c>
      <c r="BI521" s="69" t="str">
        <f>IFERROR(VLOOKUP($AQ521,'(勿動)組件目錄表'!$D$15:$R$1094,13,FALSE),"")</f>
        <v/>
      </c>
      <c r="BJ521" s="69" t="str">
        <f>IFERROR(VLOOKUP($AQ521,'(勿動)組件目錄表'!$D$15:$R$1094,14,FALSE),"")</f>
        <v/>
      </c>
      <c r="BK521" s="69" t="str">
        <f>IFERROR(VLOOKUP($AQ521,'(勿動)組件目錄表'!$D$15:$R$1094,15,FALSE),"")</f>
        <v/>
      </c>
      <c r="BL521" s="81">
        <f ca="1">IFERROR(__xludf.DUMMYFUNCTION("IFERROR(
  LET(
    rowData, FILTER('(勿動)組件目錄表'!J:Q, '(勿動)組件目錄表'!D:D=AQ521),
    IF(ROWS(rowData)=0, 0, 
      (
        IF(AND(BC521&lt;&gt;"""", INDEX(rowData,1,1)=BC521),1,0) +
        IF(AND(BD521&lt;&gt;"""", INDEX(rowData,1,2)=BD521),1,0) +
        IF(AND(BE521"&amp;"&lt;&gt;"""", INDEX(rowData,1,3)=BE521),1,0) +
        IF(AND(BF521&lt;&gt;"""", INDEX(rowData,1,4)=BF521),1,0) +
        IF(AND(BG521&lt;&gt;"""", INDEX(rowData,1,5)=BG521),1,0) +
        IF(AND(BH521&lt;&gt;"""", INDEX(rowData,1,6)=BH521),1,0) +
        IF(AND(BI521&lt;&gt;"""", IND"&amp;"EX(rowData,1,7)=BI521),1,0) +
        IF(AND(BJ521&lt;&gt;"""", INDEX(rowData,1,8)=BJ521),1,0)
      ) - COUNTIF(BC521:BJ521, ""-"")
        - COUNTIF(BC521:BJ521, ""固定格式，不需提供資訊"")
        - COUNTIF(BC521:BJ521, ""由MKT更新，此欄位固定格式，不需提供資訊
(Voucher CID：12917705872)"&amp;""")
        - COUNTIF(BC521:BJ521, ""text固定為以下：
※直播間僅支援手機版"")
        - COUNTIF(BC521:BJ521, ""text固定為以下：
※短影音僅支援手機版"")
    )
  ), 
  0
)
"),0)</f>
        <v>0</v>
      </c>
      <c r="BM521" s="77" t="b">
        <v>0</v>
      </c>
      <c r="BN521" s="85"/>
      <c r="BO521" s="85"/>
    </row>
    <row r="522" spans="1:67" ht="30" customHeight="1">
      <c r="A522" s="73" t="str">
        <f t="array" aca="1" ref="A522" ca="1">IFERROR(TRANSPOSE(INDIRECT('MS section版配(Old)'!$AO522)),"")</f>
        <v/>
      </c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8"/>
      <c r="P522" s="88"/>
      <c r="Q522" s="88"/>
      <c r="R522" s="88"/>
      <c r="S522" s="88"/>
      <c r="T522" s="88"/>
      <c r="U522" s="88"/>
      <c r="V522" s="88"/>
      <c r="W522" s="88"/>
      <c r="X522" s="88"/>
      <c r="Y522" s="88"/>
      <c r="Z522" s="88"/>
      <c r="AA522" s="88"/>
      <c r="AB522" s="88"/>
      <c r="AC522" s="88"/>
      <c r="AD522" s="88"/>
      <c r="AE522" s="397" t="str">
        <f>IFERROR(VLOOKUP($AQ522,'(勿動)組件目錄表'!$D$15:$R$1094,4,FALSE),"")</f>
        <v/>
      </c>
      <c r="AF522" s="384"/>
      <c r="AG522" s="384"/>
      <c r="AH522" s="384"/>
      <c r="AI522" s="384"/>
      <c r="AJ522" s="385"/>
      <c r="AK522" s="54" t="b">
        <v>0</v>
      </c>
      <c r="AL522" s="54" t="b">
        <v>0</v>
      </c>
      <c r="AM522" s="54"/>
      <c r="AN522" s="7" t="str">
        <v>514</v>
      </c>
      <c r="AO522" s="7"/>
      <c r="AP522" s="62"/>
      <c r="AQ522" s="75" t="str">
        <v/>
      </c>
      <c r="AR522" s="75" t="str">
        <v>-</v>
      </c>
      <c r="AS522" s="11"/>
      <c r="AT522" s="77" t="str">
        <v>-</v>
      </c>
      <c r="AU522" s="11" t="str">
        <v>-</v>
      </c>
      <c r="AV522" s="100"/>
      <c r="AW522" s="80" t="str">
        <f ca="1"/>
        <v>-</v>
      </c>
      <c r="AX522" s="80" t="b">
        <v>0</v>
      </c>
      <c r="AY522" s="68" t="str">
        <f t="shared" si="8"/>
        <v/>
      </c>
      <c r="AZ522" s="69" t="str">
        <f t="shared" si="9"/>
        <v/>
      </c>
      <c r="BA522" s="70" t="str">
        <f t="shared" si="10"/>
        <v/>
      </c>
      <c r="BB522" s="68" t="str">
        <f t="shared" si="11"/>
        <v/>
      </c>
      <c r="BC522" s="69" t="str">
        <f>IFERROR(VLOOKUP($AQ522,'(勿動)組件目錄表'!$D$15:$R$1094,7,FALSE),"")</f>
        <v/>
      </c>
      <c r="BD522" s="69" t="str">
        <f>IFERROR(VLOOKUP($AQ522,'(勿動)組件目錄表'!$D$15:$R$1094,8,FALSE),"")</f>
        <v/>
      </c>
      <c r="BE522" s="69" t="str">
        <f>IFERROR(VLOOKUP($AQ522,'(勿動)組件目錄表'!$D$15:$R$1094,9,FALSE),"")</f>
        <v/>
      </c>
      <c r="BF522" s="69" t="str">
        <f>IFERROR(VLOOKUP($AQ522,'(勿動)組件目錄表'!$D$15:$R$1094,10,FALSE),"")</f>
        <v/>
      </c>
      <c r="BG522" s="69" t="str">
        <f>IFERROR(VLOOKUP($AQ522,'(勿動)組件目錄表'!$D$15:$R$1094,11,FALSE),"")</f>
        <v/>
      </c>
      <c r="BH522" s="69" t="str">
        <f>IFERROR(VLOOKUP($AQ522,'(勿動)組件目錄表'!$D$15:$R$1094,12,FALSE),"")</f>
        <v/>
      </c>
      <c r="BI522" s="69" t="str">
        <f>IFERROR(VLOOKUP($AQ522,'(勿動)組件目錄表'!$D$15:$R$1094,13,FALSE),"")</f>
        <v/>
      </c>
      <c r="BJ522" s="69" t="str">
        <f>IFERROR(VLOOKUP($AQ522,'(勿動)組件目錄表'!$D$15:$R$1094,14,FALSE),"")</f>
        <v/>
      </c>
      <c r="BK522" s="69" t="str">
        <f>IFERROR(VLOOKUP($AQ522,'(勿動)組件目錄表'!$D$15:$R$1094,15,FALSE),"")</f>
        <v/>
      </c>
      <c r="BL522" s="81">
        <f ca="1">IFERROR(__xludf.DUMMYFUNCTION("IFERROR(
  LET(
    rowData, FILTER('(勿動)組件目錄表'!J:Q, '(勿動)組件目錄表'!D:D=AQ522),
    IF(ROWS(rowData)=0, 0, 
      (
        IF(AND(BC522&lt;&gt;"""", INDEX(rowData,1,1)=BC522),1,0) +
        IF(AND(BD522&lt;&gt;"""", INDEX(rowData,1,2)=BD522),1,0) +
        IF(AND(BE522"&amp;"&lt;&gt;"""", INDEX(rowData,1,3)=BE522),1,0) +
        IF(AND(BF522&lt;&gt;"""", INDEX(rowData,1,4)=BF522),1,0) +
        IF(AND(BG522&lt;&gt;"""", INDEX(rowData,1,5)=BG522),1,0) +
        IF(AND(BH522&lt;&gt;"""", INDEX(rowData,1,6)=BH522),1,0) +
        IF(AND(BI522&lt;&gt;"""", IND"&amp;"EX(rowData,1,7)=BI522),1,0) +
        IF(AND(BJ522&lt;&gt;"""", INDEX(rowData,1,8)=BJ522),1,0)
      ) - COUNTIF(BC522:BJ522, ""-"")
        - COUNTIF(BC522:BJ522, ""固定格式，不需提供資訊"")
        - COUNTIF(BC522:BJ522, ""由MKT更新，此欄位固定格式，不需提供資訊
(Voucher CID：12917705872)"&amp;""")
        - COUNTIF(BC522:BJ522, ""text固定為以下：
※直播間僅支援手機版"")
        - COUNTIF(BC522:BJ522, ""text固定為以下：
※短影音僅支援手機版"")
    )
  ), 
  0
)
"),0)</f>
        <v>0</v>
      </c>
      <c r="BM522" s="77" t="b">
        <v>0</v>
      </c>
      <c r="BN522" s="85"/>
      <c r="BO522" s="85"/>
    </row>
    <row r="523" spans="1:67" ht="30" customHeight="1">
      <c r="A523" s="73" t="str">
        <f t="array" aca="1" ref="A523" ca="1">IFERROR(TRANSPOSE(INDIRECT('MS section版配(Old)'!$AO523)),"")</f>
        <v/>
      </c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8"/>
      <c r="P523" s="88"/>
      <c r="Q523" s="88"/>
      <c r="R523" s="88"/>
      <c r="S523" s="88"/>
      <c r="T523" s="88"/>
      <c r="U523" s="88"/>
      <c r="V523" s="88"/>
      <c r="W523" s="88"/>
      <c r="X523" s="88"/>
      <c r="Y523" s="88"/>
      <c r="Z523" s="88"/>
      <c r="AA523" s="88"/>
      <c r="AB523" s="88"/>
      <c r="AC523" s="88"/>
      <c r="AD523" s="88"/>
      <c r="AE523" s="397" t="str">
        <f>IFERROR(VLOOKUP($AQ523,'(勿動)組件目錄表'!$D$15:$R$1094,4,FALSE),"")</f>
        <v/>
      </c>
      <c r="AF523" s="384"/>
      <c r="AG523" s="384"/>
      <c r="AH523" s="384"/>
      <c r="AI523" s="384"/>
      <c r="AJ523" s="385"/>
      <c r="AK523" s="54" t="b">
        <v>0</v>
      </c>
      <c r="AL523" s="54" t="b">
        <v>0</v>
      </c>
      <c r="AM523" s="54"/>
      <c r="AN523" s="7" t="str">
        <v>515</v>
      </c>
      <c r="AO523" s="7"/>
      <c r="AP523" s="62"/>
      <c r="AQ523" s="75" t="str">
        <v/>
      </c>
      <c r="AR523" s="75" t="str">
        <v>-</v>
      </c>
      <c r="AS523" s="11"/>
      <c r="AT523" s="77" t="str">
        <v>-</v>
      </c>
      <c r="AU523" s="11" t="str">
        <v>-</v>
      </c>
      <c r="AV523" s="100"/>
      <c r="AW523" s="80" t="str">
        <f ca="1"/>
        <v>-</v>
      </c>
      <c r="AX523" s="80" t="b">
        <v>0</v>
      </c>
      <c r="AY523" s="68" t="str">
        <f t="shared" si="8"/>
        <v/>
      </c>
      <c r="AZ523" s="69" t="str">
        <f t="shared" si="9"/>
        <v/>
      </c>
      <c r="BA523" s="70" t="str">
        <f t="shared" si="10"/>
        <v/>
      </c>
      <c r="BB523" s="68" t="str">
        <f t="shared" si="11"/>
        <v/>
      </c>
      <c r="BC523" s="69" t="str">
        <f>IFERROR(VLOOKUP($AQ523,'(勿動)組件目錄表'!$D$15:$R$1094,7,FALSE),"")</f>
        <v/>
      </c>
      <c r="BD523" s="69" t="str">
        <f>IFERROR(VLOOKUP($AQ523,'(勿動)組件目錄表'!$D$15:$R$1094,8,FALSE),"")</f>
        <v/>
      </c>
      <c r="BE523" s="69" t="str">
        <f>IFERROR(VLOOKUP($AQ523,'(勿動)組件目錄表'!$D$15:$R$1094,9,FALSE),"")</f>
        <v/>
      </c>
      <c r="BF523" s="69" t="str">
        <f>IFERROR(VLOOKUP($AQ523,'(勿動)組件目錄表'!$D$15:$R$1094,10,FALSE),"")</f>
        <v/>
      </c>
      <c r="BG523" s="69" t="str">
        <f>IFERROR(VLOOKUP($AQ523,'(勿動)組件目錄表'!$D$15:$R$1094,11,FALSE),"")</f>
        <v/>
      </c>
      <c r="BH523" s="69" t="str">
        <f>IFERROR(VLOOKUP($AQ523,'(勿動)組件目錄表'!$D$15:$R$1094,12,FALSE),"")</f>
        <v/>
      </c>
      <c r="BI523" s="69" t="str">
        <f>IFERROR(VLOOKUP($AQ523,'(勿動)組件目錄表'!$D$15:$R$1094,13,FALSE),"")</f>
        <v/>
      </c>
      <c r="BJ523" s="69" t="str">
        <f>IFERROR(VLOOKUP($AQ523,'(勿動)組件目錄表'!$D$15:$R$1094,14,FALSE),"")</f>
        <v/>
      </c>
      <c r="BK523" s="69" t="str">
        <f>IFERROR(VLOOKUP($AQ523,'(勿動)組件目錄表'!$D$15:$R$1094,15,FALSE),"")</f>
        <v/>
      </c>
      <c r="BL523" s="81">
        <f ca="1">IFERROR(__xludf.DUMMYFUNCTION("IFERROR(
  LET(
    rowData, FILTER('(勿動)組件目錄表'!J:Q, '(勿動)組件目錄表'!D:D=AQ523),
    IF(ROWS(rowData)=0, 0, 
      (
        IF(AND(BC523&lt;&gt;"""", INDEX(rowData,1,1)=BC523),1,0) +
        IF(AND(BD523&lt;&gt;"""", INDEX(rowData,1,2)=BD523),1,0) +
        IF(AND(BE523"&amp;"&lt;&gt;"""", INDEX(rowData,1,3)=BE523),1,0) +
        IF(AND(BF523&lt;&gt;"""", INDEX(rowData,1,4)=BF523),1,0) +
        IF(AND(BG523&lt;&gt;"""", INDEX(rowData,1,5)=BG523),1,0) +
        IF(AND(BH523&lt;&gt;"""", INDEX(rowData,1,6)=BH523),1,0) +
        IF(AND(BI523&lt;&gt;"""", IND"&amp;"EX(rowData,1,7)=BI523),1,0) +
        IF(AND(BJ523&lt;&gt;"""", INDEX(rowData,1,8)=BJ523),1,0)
      ) - COUNTIF(BC523:BJ523, ""-"")
        - COUNTIF(BC523:BJ523, ""固定格式，不需提供資訊"")
        - COUNTIF(BC523:BJ523, ""由MKT更新，此欄位固定格式，不需提供資訊
(Voucher CID：12917705872)"&amp;""")
        - COUNTIF(BC523:BJ523, ""text固定為以下：
※直播間僅支援手機版"")
        - COUNTIF(BC523:BJ523, ""text固定為以下：
※短影音僅支援手機版"")
    )
  ), 
  0
)
"),0)</f>
        <v>0</v>
      </c>
      <c r="BM523" s="77" t="b">
        <v>0</v>
      </c>
      <c r="BN523" s="85"/>
      <c r="BO523" s="85"/>
    </row>
    <row r="524" spans="1:67" ht="30" customHeight="1">
      <c r="A524" s="73" t="str">
        <f t="array" aca="1" ref="A524" ca="1">IFERROR(TRANSPOSE(INDIRECT('MS section版配(Old)'!$AO524)),"")</f>
        <v/>
      </c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8"/>
      <c r="P524" s="88"/>
      <c r="Q524" s="88"/>
      <c r="R524" s="88"/>
      <c r="S524" s="88"/>
      <c r="T524" s="88"/>
      <c r="U524" s="88"/>
      <c r="V524" s="88"/>
      <c r="W524" s="88"/>
      <c r="X524" s="88"/>
      <c r="Y524" s="88"/>
      <c r="Z524" s="88"/>
      <c r="AA524" s="88"/>
      <c r="AB524" s="88"/>
      <c r="AC524" s="88"/>
      <c r="AD524" s="88"/>
      <c r="AE524" s="397" t="str">
        <f>IFERROR(VLOOKUP($AQ524,'(勿動)組件目錄表'!$D$15:$R$1094,4,FALSE),"")</f>
        <v/>
      </c>
      <c r="AF524" s="384"/>
      <c r="AG524" s="384"/>
      <c r="AH524" s="384"/>
      <c r="AI524" s="384"/>
      <c r="AJ524" s="385"/>
      <c r="AK524" s="54" t="b">
        <v>0</v>
      </c>
      <c r="AL524" s="54" t="b">
        <v>0</v>
      </c>
      <c r="AM524" s="54"/>
      <c r="AN524" s="7" t="str">
        <v>516</v>
      </c>
      <c r="AO524" s="7"/>
      <c r="AP524" s="62"/>
      <c r="AQ524" s="75" t="str">
        <v/>
      </c>
      <c r="AR524" s="75" t="str">
        <v>-</v>
      </c>
      <c r="AS524" s="11"/>
      <c r="AT524" s="77" t="str">
        <v>-</v>
      </c>
      <c r="AU524" s="11" t="str">
        <v>-</v>
      </c>
      <c r="AV524" s="100"/>
      <c r="AW524" s="80" t="str">
        <f ca="1"/>
        <v>-</v>
      </c>
      <c r="AX524" s="80" t="b">
        <v>0</v>
      </c>
      <c r="AY524" s="68" t="str">
        <f t="shared" si="8"/>
        <v/>
      </c>
      <c r="AZ524" s="69" t="str">
        <f t="shared" si="9"/>
        <v/>
      </c>
      <c r="BA524" s="70" t="str">
        <f t="shared" si="10"/>
        <v/>
      </c>
      <c r="BB524" s="68" t="str">
        <f t="shared" si="11"/>
        <v/>
      </c>
      <c r="BC524" s="69" t="str">
        <f>IFERROR(VLOOKUP($AQ524,'(勿動)組件目錄表'!$D$15:$R$1094,7,FALSE),"")</f>
        <v/>
      </c>
      <c r="BD524" s="69" t="str">
        <f>IFERROR(VLOOKUP($AQ524,'(勿動)組件目錄表'!$D$15:$R$1094,8,FALSE),"")</f>
        <v/>
      </c>
      <c r="BE524" s="69" t="str">
        <f>IFERROR(VLOOKUP($AQ524,'(勿動)組件目錄表'!$D$15:$R$1094,9,FALSE),"")</f>
        <v/>
      </c>
      <c r="BF524" s="69" t="str">
        <f>IFERROR(VLOOKUP($AQ524,'(勿動)組件目錄表'!$D$15:$R$1094,10,FALSE),"")</f>
        <v/>
      </c>
      <c r="BG524" s="69" t="str">
        <f>IFERROR(VLOOKUP($AQ524,'(勿動)組件目錄表'!$D$15:$R$1094,11,FALSE),"")</f>
        <v/>
      </c>
      <c r="BH524" s="69" t="str">
        <f>IFERROR(VLOOKUP($AQ524,'(勿動)組件目錄表'!$D$15:$R$1094,12,FALSE),"")</f>
        <v/>
      </c>
      <c r="BI524" s="69" t="str">
        <f>IFERROR(VLOOKUP($AQ524,'(勿動)組件目錄表'!$D$15:$R$1094,13,FALSE),"")</f>
        <v/>
      </c>
      <c r="BJ524" s="69" t="str">
        <f>IFERROR(VLOOKUP($AQ524,'(勿動)組件目錄表'!$D$15:$R$1094,14,FALSE),"")</f>
        <v/>
      </c>
      <c r="BK524" s="69" t="str">
        <f>IFERROR(VLOOKUP($AQ524,'(勿動)組件目錄表'!$D$15:$R$1094,15,FALSE),"")</f>
        <v/>
      </c>
      <c r="BL524" s="81">
        <f ca="1">IFERROR(__xludf.DUMMYFUNCTION("IFERROR(
  LET(
    rowData, FILTER('(勿動)組件目錄表'!J:Q, '(勿動)組件目錄表'!D:D=AQ524),
    IF(ROWS(rowData)=0, 0, 
      (
        IF(AND(BC524&lt;&gt;"""", INDEX(rowData,1,1)=BC524),1,0) +
        IF(AND(BD524&lt;&gt;"""", INDEX(rowData,1,2)=BD524),1,0) +
        IF(AND(BE524"&amp;"&lt;&gt;"""", INDEX(rowData,1,3)=BE524),1,0) +
        IF(AND(BF524&lt;&gt;"""", INDEX(rowData,1,4)=BF524),1,0) +
        IF(AND(BG524&lt;&gt;"""", INDEX(rowData,1,5)=BG524),1,0) +
        IF(AND(BH524&lt;&gt;"""", INDEX(rowData,1,6)=BH524),1,0) +
        IF(AND(BI524&lt;&gt;"""", IND"&amp;"EX(rowData,1,7)=BI524),1,0) +
        IF(AND(BJ524&lt;&gt;"""", INDEX(rowData,1,8)=BJ524),1,0)
      ) - COUNTIF(BC524:BJ524, ""-"")
        - COUNTIF(BC524:BJ524, ""固定格式，不需提供資訊"")
        - COUNTIF(BC524:BJ524, ""由MKT更新，此欄位固定格式，不需提供資訊
(Voucher CID：12917705872)"&amp;""")
        - COUNTIF(BC524:BJ524, ""text固定為以下：
※直播間僅支援手機版"")
        - COUNTIF(BC524:BJ524, ""text固定為以下：
※短影音僅支援手機版"")
    )
  ), 
  0
)
"),0)</f>
        <v>0</v>
      </c>
      <c r="BM524" s="77" t="b">
        <v>0</v>
      </c>
      <c r="BN524" s="85"/>
      <c r="BO524" s="85"/>
    </row>
    <row r="525" spans="1:67" ht="30" customHeight="1">
      <c r="A525" s="73" t="str">
        <f t="array" aca="1" ref="A525" ca="1">IFERROR(TRANSPOSE(INDIRECT('MS section版配(Old)'!$AO525)),"")</f>
        <v/>
      </c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8"/>
      <c r="P525" s="88"/>
      <c r="Q525" s="88"/>
      <c r="R525" s="88"/>
      <c r="S525" s="88"/>
      <c r="T525" s="88"/>
      <c r="U525" s="88"/>
      <c r="V525" s="88"/>
      <c r="W525" s="88"/>
      <c r="X525" s="88"/>
      <c r="Y525" s="88"/>
      <c r="Z525" s="88"/>
      <c r="AA525" s="88"/>
      <c r="AB525" s="88"/>
      <c r="AC525" s="88"/>
      <c r="AD525" s="88"/>
      <c r="AE525" s="397" t="str">
        <f>IFERROR(VLOOKUP($AQ525,'(勿動)組件目錄表'!$D$15:$R$1094,4,FALSE),"")</f>
        <v/>
      </c>
      <c r="AF525" s="384"/>
      <c r="AG525" s="384"/>
      <c r="AH525" s="384"/>
      <c r="AI525" s="384"/>
      <c r="AJ525" s="385"/>
      <c r="AK525" s="54" t="b">
        <v>0</v>
      </c>
      <c r="AL525" s="54" t="b">
        <v>0</v>
      </c>
      <c r="AM525" s="54"/>
      <c r="AN525" s="7" t="str">
        <v>517</v>
      </c>
      <c r="AO525" s="7"/>
      <c r="AP525" s="62"/>
      <c r="AQ525" s="75" t="str">
        <v/>
      </c>
      <c r="AR525" s="75" t="str">
        <v>-</v>
      </c>
      <c r="AS525" s="11"/>
      <c r="AT525" s="77" t="str">
        <v>-</v>
      </c>
      <c r="AU525" s="11" t="str">
        <v>-</v>
      </c>
      <c r="AV525" s="100"/>
      <c r="AW525" s="80" t="str">
        <f ca="1"/>
        <v>-</v>
      </c>
      <c r="AX525" s="80" t="b">
        <v>0</v>
      </c>
      <c r="AY525" s="68" t="str">
        <f t="shared" si="8"/>
        <v/>
      </c>
      <c r="AZ525" s="69" t="str">
        <f t="shared" si="9"/>
        <v/>
      </c>
      <c r="BA525" s="70" t="str">
        <f t="shared" si="10"/>
        <v/>
      </c>
      <c r="BB525" s="68" t="str">
        <f t="shared" si="11"/>
        <v/>
      </c>
      <c r="BC525" s="69" t="str">
        <f>IFERROR(VLOOKUP($AQ525,'(勿動)組件目錄表'!$D$15:$R$1094,7,FALSE),"")</f>
        <v/>
      </c>
      <c r="BD525" s="69" t="str">
        <f>IFERROR(VLOOKUP($AQ525,'(勿動)組件目錄表'!$D$15:$R$1094,8,FALSE),"")</f>
        <v/>
      </c>
      <c r="BE525" s="69" t="str">
        <f>IFERROR(VLOOKUP($AQ525,'(勿動)組件目錄表'!$D$15:$R$1094,9,FALSE),"")</f>
        <v/>
      </c>
      <c r="BF525" s="69" t="str">
        <f>IFERROR(VLOOKUP($AQ525,'(勿動)組件目錄表'!$D$15:$R$1094,10,FALSE),"")</f>
        <v/>
      </c>
      <c r="BG525" s="69" t="str">
        <f>IFERROR(VLOOKUP($AQ525,'(勿動)組件目錄表'!$D$15:$R$1094,11,FALSE),"")</f>
        <v/>
      </c>
      <c r="BH525" s="69" t="str">
        <f>IFERROR(VLOOKUP($AQ525,'(勿動)組件目錄表'!$D$15:$R$1094,12,FALSE),"")</f>
        <v/>
      </c>
      <c r="BI525" s="69" t="str">
        <f>IFERROR(VLOOKUP($AQ525,'(勿動)組件目錄表'!$D$15:$R$1094,13,FALSE),"")</f>
        <v/>
      </c>
      <c r="BJ525" s="69" t="str">
        <f>IFERROR(VLOOKUP($AQ525,'(勿動)組件目錄表'!$D$15:$R$1094,14,FALSE),"")</f>
        <v/>
      </c>
      <c r="BK525" s="69" t="str">
        <f>IFERROR(VLOOKUP($AQ525,'(勿動)組件目錄表'!$D$15:$R$1094,15,FALSE),"")</f>
        <v/>
      </c>
      <c r="BL525" s="81">
        <f ca="1">IFERROR(__xludf.DUMMYFUNCTION("IFERROR(
  LET(
    rowData, FILTER('(勿動)組件目錄表'!J:Q, '(勿動)組件目錄表'!D:D=AQ525),
    IF(ROWS(rowData)=0, 0, 
      (
        IF(AND(BC525&lt;&gt;"""", INDEX(rowData,1,1)=BC525),1,0) +
        IF(AND(BD525&lt;&gt;"""", INDEX(rowData,1,2)=BD525),1,0) +
        IF(AND(BE525"&amp;"&lt;&gt;"""", INDEX(rowData,1,3)=BE525),1,0) +
        IF(AND(BF525&lt;&gt;"""", INDEX(rowData,1,4)=BF525),1,0) +
        IF(AND(BG525&lt;&gt;"""", INDEX(rowData,1,5)=BG525),1,0) +
        IF(AND(BH525&lt;&gt;"""", INDEX(rowData,1,6)=BH525),1,0) +
        IF(AND(BI525&lt;&gt;"""", IND"&amp;"EX(rowData,1,7)=BI525),1,0) +
        IF(AND(BJ525&lt;&gt;"""", INDEX(rowData,1,8)=BJ525),1,0)
      ) - COUNTIF(BC525:BJ525, ""-"")
        - COUNTIF(BC525:BJ525, ""固定格式，不需提供資訊"")
        - COUNTIF(BC525:BJ525, ""由MKT更新，此欄位固定格式，不需提供資訊
(Voucher CID：12917705872)"&amp;""")
        - COUNTIF(BC525:BJ525, ""text固定為以下：
※直播間僅支援手機版"")
        - COUNTIF(BC525:BJ525, ""text固定為以下：
※短影音僅支援手機版"")
    )
  ), 
  0
)
"),0)</f>
        <v>0</v>
      </c>
      <c r="BM525" s="77" t="b">
        <v>0</v>
      </c>
      <c r="BN525" s="85"/>
      <c r="BO525" s="85"/>
    </row>
    <row r="526" spans="1:67" ht="30" customHeight="1">
      <c r="A526" s="73" t="str">
        <f t="array" aca="1" ref="A526" ca="1">IFERROR(TRANSPOSE(INDIRECT('MS section版配(Old)'!$AO526)),"")</f>
        <v/>
      </c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8"/>
      <c r="P526" s="88"/>
      <c r="Q526" s="88"/>
      <c r="R526" s="88"/>
      <c r="S526" s="88"/>
      <c r="T526" s="88"/>
      <c r="U526" s="88"/>
      <c r="V526" s="88"/>
      <c r="W526" s="88"/>
      <c r="X526" s="88"/>
      <c r="Y526" s="88"/>
      <c r="Z526" s="88"/>
      <c r="AA526" s="88"/>
      <c r="AB526" s="88"/>
      <c r="AC526" s="88"/>
      <c r="AD526" s="88"/>
      <c r="AE526" s="397" t="str">
        <f>IFERROR(VLOOKUP($AQ526,'(勿動)組件目錄表'!$D$15:$R$1094,4,FALSE),"")</f>
        <v/>
      </c>
      <c r="AF526" s="384"/>
      <c r="AG526" s="384"/>
      <c r="AH526" s="384"/>
      <c r="AI526" s="384"/>
      <c r="AJ526" s="385"/>
      <c r="AK526" s="54" t="b">
        <v>0</v>
      </c>
      <c r="AL526" s="54" t="b">
        <v>0</v>
      </c>
      <c r="AM526" s="54"/>
      <c r="AN526" s="7" t="str">
        <v>518</v>
      </c>
      <c r="AO526" s="7"/>
      <c r="AP526" s="62"/>
      <c r="AQ526" s="75" t="str">
        <v/>
      </c>
      <c r="AR526" s="75" t="str">
        <v>-</v>
      </c>
      <c r="AS526" s="11"/>
      <c r="AT526" s="77" t="str">
        <v>-</v>
      </c>
      <c r="AU526" s="11" t="str">
        <v>-</v>
      </c>
      <c r="AV526" s="100"/>
      <c r="AW526" s="80" t="str">
        <f ca="1"/>
        <v>-</v>
      </c>
      <c r="AX526" s="80" t="b">
        <v>0</v>
      </c>
      <c r="AY526" s="68" t="str">
        <f t="shared" si="8"/>
        <v/>
      </c>
      <c r="AZ526" s="69" t="str">
        <f t="shared" si="9"/>
        <v/>
      </c>
      <c r="BA526" s="70" t="str">
        <f t="shared" si="10"/>
        <v/>
      </c>
      <c r="BB526" s="68" t="str">
        <f t="shared" si="11"/>
        <v/>
      </c>
      <c r="BC526" s="69" t="str">
        <f>IFERROR(VLOOKUP($AQ526,'(勿動)組件目錄表'!$D$15:$R$1094,7,FALSE),"")</f>
        <v/>
      </c>
      <c r="BD526" s="69" t="str">
        <f>IFERROR(VLOOKUP($AQ526,'(勿動)組件目錄表'!$D$15:$R$1094,8,FALSE),"")</f>
        <v/>
      </c>
      <c r="BE526" s="69" t="str">
        <f>IFERROR(VLOOKUP($AQ526,'(勿動)組件目錄表'!$D$15:$R$1094,9,FALSE),"")</f>
        <v/>
      </c>
      <c r="BF526" s="69" t="str">
        <f>IFERROR(VLOOKUP($AQ526,'(勿動)組件目錄表'!$D$15:$R$1094,10,FALSE),"")</f>
        <v/>
      </c>
      <c r="BG526" s="69" t="str">
        <f>IFERROR(VLOOKUP($AQ526,'(勿動)組件目錄表'!$D$15:$R$1094,11,FALSE),"")</f>
        <v/>
      </c>
      <c r="BH526" s="69" t="str">
        <f>IFERROR(VLOOKUP($AQ526,'(勿動)組件目錄表'!$D$15:$R$1094,12,FALSE),"")</f>
        <v/>
      </c>
      <c r="BI526" s="69" t="str">
        <f>IFERROR(VLOOKUP($AQ526,'(勿動)組件目錄表'!$D$15:$R$1094,13,FALSE),"")</f>
        <v/>
      </c>
      <c r="BJ526" s="69" t="str">
        <f>IFERROR(VLOOKUP($AQ526,'(勿動)組件目錄表'!$D$15:$R$1094,14,FALSE),"")</f>
        <v/>
      </c>
      <c r="BK526" s="69" t="str">
        <f>IFERROR(VLOOKUP($AQ526,'(勿動)組件目錄表'!$D$15:$R$1094,15,FALSE),"")</f>
        <v/>
      </c>
      <c r="BL526" s="81">
        <f ca="1">IFERROR(__xludf.DUMMYFUNCTION("IFERROR(
  LET(
    rowData, FILTER('(勿動)組件目錄表'!J:Q, '(勿動)組件目錄表'!D:D=AQ526),
    IF(ROWS(rowData)=0, 0, 
      (
        IF(AND(BC526&lt;&gt;"""", INDEX(rowData,1,1)=BC526),1,0) +
        IF(AND(BD526&lt;&gt;"""", INDEX(rowData,1,2)=BD526),1,0) +
        IF(AND(BE526"&amp;"&lt;&gt;"""", INDEX(rowData,1,3)=BE526),1,0) +
        IF(AND(BF526&lt;&gt;"""", INDEX(rowData,1,4)=BF526),1,0) +
        IF(AND(BG526&lt;&gt;"""", INDEX(rowData,1,5)=BG526),1,0) +
        IF(AND(BH526&lt;&gt;"""", INDEX(rowData,1,6)=BH526),1,0) +
        IF(AND(BI526&lt;&gt;"""", IND"&amp;"EX(rowData,1,7)=BI526),1,0) +
        IF(AND(BJ526&lt;&gt;"""", INDEX(rowData,1,8)=BJ526),1,0)
      ) - COUNTIF(BC526:BJ526, ""-"")
        - COUNTIF(BC526:BJ526, ""固定格式，不需提供資訊"")
        - COUNTIF(BC526:BJ526, ""由MKT更新，此欄位固定格式，不需提供資訊
(Voucher CID：12917705872)"&amp;""")
        - COUNTIF(BC526:BJ526, ""text固定為以下：
※直播間僅支援手機版"")
        - COUNTIF(BC526:BJ526, ""text固定為以下：
※短影音僅支援手機版"")
    )
  ), 
  0
)
"),0)</f>
        <v>0</v>
      </c>
      <c r="BM526" s="77" t="b">
        <v>0</v>
      </c>
      <c r="BN526" s="85"/>
      <c r="BO526" s="85"/>
    </row>
    <row r="527" spans="1:67" ht="30" customHeight="1">
      <c r="A527" s="73" t="str">
        <f t="array" aca="1" ref="A527" ca="1">IFERROR(TRANSPOSE(INDIRECT('MS section版配(Old)'!$AO527)),"")</f>
        <v/>
      </c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8"/>
      <c r="P527" s="88"/>
      <c r="Q527" s="88"/>
      <c r="R527" s="88"/>
      <c r="S527" s="88"/>
      <c r="T527" s="88"/>
      <c r="U527" s="88"/>
      <c r="V527" s="88"/>
      <c r="W527" s="88"/>
      <c r="X527" s="88"/>
      <c r="Y527" s="88"/>
      <c r="Z527" s="88"/>
      <c r="AA527" s="88"/>
      <c r="AB527" s="88"/>
      <c r="AC527" s="88"/>
      <c r="AD527" s="88"/>
      <c r="AE527" s="397" t="str">
        <f>IFERROR(VLOOKUP($AQ527,'(勿動)組件目錄表'!$D$15:$R$1094,4,FALSE),"")</f>
        <v/>
      </c>
      <c r="AF527" s="384"/>
      <c r="AG527" s="384"/>
      <c r="AH527" s="384"/>
      <c r="AI527" s="384"/>
      <c r="AJ527" s="385"/>
      <c r="AK527" s="54" t="b">
        <v>0</v>
      </c>
      <c r="AL527" s="54" t="b">
        <v>0</v>
      </c>
      <c r="AM527" s="54"/>
      <c r="AN527" s="7" t="str">
        <v>519</v>
      </c>
      <c r="AO527" s="7"/>
      <c r="AP527" s="62"/>
      <c r="AQ527" s="75" t="str">
        <v/>
      </c>
      <c r="AR527" s="75" t="str">
        <v>-</v>
      </c>
      <c r="AS527" s="11"/>
      <c r="AT527" s="77" t="str">
        <v>-</v>
      </c>
      <c r="AU527" s="11" t="str">
        <v>-</v>
      </c>
      <c r="AV527" s="100"/>
      <c r="AW527" s="80" t="str">
        <f ca="1"/>
        <v>-</v>
      </c>
      <c r="AX527" s="80" t="b">
        <v>0</v>
      </c>
      <c r="AY527" s="68" t="str">
        <f t="shared" si="8"/>
        <v/>
      </c>
      <c r="AZ527" s="69" t="str">
        <f t="shared" si="9"/>
        <v/>
      </c>
      <c r="BA527" s="70" t="str">
        <f t="shared" si="10"/>
        <v/>
      </c>
      <c r="BB527" s="68" t="str">
        <f t="shared" si="11"/>
        <v/>
      </c>
      <c r="BC527" s="69" t="str">
        <f>IFERROR(VLOOKUP($AQ527,'(勿動)組件目錄表'!$D$15:$R$1094,7,FALSE),"")</f>
        <v/>
      </c>
      <c r="BD527" s="69" t="str">
        <f>IFERROR(VLOOKUP($AQ527,'(勿動)組件目錄表'!$D$15:$R$1094,8,FALSE),"")</f>
        <v/>
      </c>
      <c r="BE527" s="69" t="str">
        <f>IFERROR(VLOOKUP($AQ527,'(勿動)組件目錄表'!$D$15:$R$1094,9,FALSE),"")</f>
        <v/>
      </c>
      <c r="BF527" s="69" t="str">
        <f>IFERROR(VLOOKUP($AQ527,'(勿動)組件目錄表'!$D$15:$R$1094,10,FALSE),"")</f>
        <v/>
      </c>
      <c r="BG527" s="69" t="str">
        <f>IFERROR(VLOOKUP($AQ527,'(勿動)組件目錄表'!$D$15:$R$1094,11,FALSE),"")</f>
        <v/>
      </c>
      <c r="BH527" s="69" t="str">
        <f>IFERROR(VLOOKUP($AQ527,'(勿動)組件目錄表'!$D$15:$R$1094,12,FALSE),"")</f>
        <v/>
      </c>
      <c r="BI527" s="69" t="str">
        <f>IFERROR(VLOOKUP($AQ527,'(勿動)組件目錄表'!$D$15:$R$1094,13,FALSE),"")</f>
        <v/>
      </c>
      <c r="BJ527" s="69" t="str">
        <f>IFERROR(VLOOKUP($AQ527,'(勿動)組件目錄表'!$D$15:$R$1094,14,FALSE),"")</f>
        <v/>
      </c>
      <c r="BK527" s="69" t="str">
        <f>IFERROR(VLOOKUP($AQ527,'(勿動)組件目錄表'!$D$15:$R$1094,15,FALSE),"")</f>
        <v/>
      </c>
      <c r="BL527" s="81">
        <f ca="1">IFERROR(__xludf.DUMMYFUNCTION("IFERROR(
  LET(
    rowData, FILTER('(勿動)組件目錄表'!J:Q, '(勿動)組件目錄表'!D:D=AQ527),
    IF(ROWS(rowData)=0, 0, 
      (
        IF(AND(BC527&lt;&gt;"""", INDEX(rowData,1,1)=BC527),1,0) +
        IF(AND(BD527&lt;&gt;"""", INDEX(rowData,1,2)=BD527),1,0) +
        IF(AND(BE527"&amp;"&lt;&gt;"""", INDEX(rowData,1,3)=BE527),1,0) +
        IF(AND(BF527&lt;&gt;"""", INDEX(rowData,1,4)=BF527),1,0) +
        IF(AND(BG527&lt;&gt;"""", INDEX(rowData,1,5)=BG527),1,0) +
        IF(AND(BH527&lt;&gt;"""", INDEX(rowData,1,6)=BH527),1,0) +
        IF(AND(BI527&lt;&gt;"""", IND"&amp;"EX(rowData,1,7)=BI527),1,0) +
        IF(AND(BJ527&lt;&gt;"""", INDEX(rowData,1,8)=BJ527),1,0)
      ) - COUNTIF(BC527:BJ527, ""-"")
        - COUNTIF(BC527:BJ527, ""固定格式，不需提供資訊"")
        - COUNTIF(BC527:BJ527, ""由MKT更新，此欄位固定格式，不需提供資訊
(Voucher CID：12917705872)"&amp;""")
        - COUNTIF(BC527:BJ527, ""text固定為以下：
※直播間僅支援手機版"")
        - COUNTIF(BC527:BJ527, ""text固定為以下：
※短影音僅支援手機版"")
    )
  ), 
  0
)
"),0)</f>
        <v>0</v>
      </c>
      <c r="BM527" s="77" t="b">
        <v>0</v>
      </c>
      <c r="BN527" s="85"/>
      <c r="BO527" s="85"/>
    </row>
    <row r="528" spans="1:67" ht="30" customHeight="1">
      <c r="A528" s="73" t="str">
        <f t="array" aca="1" ref="A528" ca="1">IFERROR(TRANSPOSE(INDIRECT('MS section版配(Old)'!$AO528)),"")</f>
        <v/>
      </c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8"/>
      <c r="P528" s="88"/>
      <c r="Q528" s="88"/>
      <c r="R528" s="88"/>
      <c r="S528" s="88"/>
      <c r="T528" s="88"/>
      <c r="U528" s="88"/>
      <c r="V528" s="88"/>
      <c r="W528" s="88"/>
      <c r="X528" s="88"/>
      <c r="Y528" s="88"/>
      <c r="Z528" s="88"/>
      <c r="AA528" s="88"/>
      <c r="AB528" s="88"/>
      <c r="AC528" s="88"/>
      <c r="AD528" s="88"/>
      <c r="AE528" s="397" t="str">
        <f>IFERROR(VLOOKUP($AQ528,'(勿動)組件目錄表'!$D$15:$R$1094,4,FALSE),"")</f>
        <v/>
      </c>
      <c r="AF528" s="384"/>
      <c r="AG528" s="384"/>
      <c r="AH528" s="384"/>
      <c r="AI528" s="384"/>
      <c r="AJ528" s="385"/>
      <c r="AK528" s="54" t="b">
        <v>0</v>
      </c>
      <c r="AL528" s="54" t="b">
        <v>0</v>
      </c>
      <c r="AM528" s="54"/>
      <c r="AN528" s="7" t="str">
        <v>520</v>
      </c>
      <c r="AO528" s="7"/>
      <c r="AP528" s="62"/>
      <c r="AQ528" s="75" t="str">
        <v/>
      </c>
      <c r="AR528" s="75" t="str">
        <v>-</v>
      </c>
      <c r="AS528" s="11"/>
      <c r="AT528" s="77" t="str">
        <v>-</v>
      </c>
      <c r="AU528" s="11" t="str">
        <v>-</v>
      </c>
      <c r="AV528" s="100"/>
      <c r="AW528" s="80" t="str">
        <f ca="1"/>
        <v>-</v>
      </c>
      <c r="AX528" s="80" t="b">
        <v>0</v>
      </c>
      <c r="AY528" s="68" t="str">
        <f t="shared" si="8"/>
        <v/>
      </c>
      <c r="AZ528" s="69" t="str">
        <f t="shared" si="9"/>
        <v/>
      </c>
      <c r="BA528" s="70" t="str">
        <f t="shared" si="10"/>
        <v/>
      </c>
      <c r="BB528" s="68" t="str">
        <f t="shared" si="11"/>
        <v/>
      </c>
      <c r="BC528" s="69" t="str">
        <f>IFERROR(VLOOKUP($AQ528,'(勿動)組件目錄表'!$D$15:$R$1094,7,FALSE),"")</f>
        <v/>
      </c>
      <c r="BD528" s="69" t="str">
        <f>IFERROR(VLOOKUP($AQ528,'(勿動)組件目錄表'!$D$15:$R$1094,8,FALSE),"")</f>
        <v/>
      </c>
      <c r="BE528" s="69" t="str">
        <f>IFERROR(VLOOKUP($AQ528,'(勿動)組件目錄表'!$D$15:$R$1094,9,FALSE),"")</f>
        <v/>
      </c>
      <c r="BF528" s="69" t="str">
        <f>IFERROR(VLOOKUP($AQ528,'(勿動)組件目錄表'!$D$15:$R$1094,10,FALSE),"")</f>
        <v/>
      </c>
      <c r="BG528" s="69" t="str">
        <f>IFERROR(VLOOKUP($AQ528,'(勿動)組件目錄表'!$D$15:$R$1094,11,FALSE),"")</f>
        <v/>
      </c>
      <c r="BH528" s="69" t="str">
        <f>IFERROR(VLOOKUP($AQ528,'(勿動)組件目錄表'!$D$15:$R$1094,12,FALSE),"")</f>
        <v/>
      </c>
      <c r="BI528" s="69" t="str">
        <f>IFERROR(VLOOKUP($AQ528,'(勿動)組件目錄表'!$D$15:$R$1094,13,FALSE),"")</f>
        <v/>
      </c>
      <c r="BJ528" s="69" t="str">
        <f>IFERROR(VLOOKUP($AQ528,'(勿動)組件目錄表'!$D$15:$R$1094,14,FALSE),"")</f>
        <v/>
      </c>
      <c r="BK528" s="69" t="str">
        <f>IFERROR(VLOOKUP($AQ528,'(勿動)組件目錄表'!$D$15:$R$1094,15,FALSE),"")</f>
        <v/>
      </c>
      <c r="BL528" s="81">
        <f ca="1">IFERROR(__xludf.DUMMYFUNCTION("IFERROR(
  LET(
    rowData, FILTER('(勿動)組件目錄表'!J:Q, '(勿動)組件目錄表'!D:D=AQ528),
    IF(ROWS(rowData)=0, 0, 
      (
        IF(AND(BC528&lt;&gt;"""", INDEX(rowData,1,1)=BC528),1,0) +
        IF(AND(BD528&lt;&gt;"""", INDEX(rowData,1,2)=BD528),1,0) +
        IF(AND(BE528"&amp;"&lt;&gt;"""", INDEX(rowData,1,3)=BE528),1,0) +
        IF(AND(BF528&lt;&gt;"""", INDEX(rowData,1,4)=BF528),1,0) +
        IF(AND(BG528&lt;&gt;"""", INDEX(rowData,1,5)=BG528),1,0) +
        IF(AND(BH528&lt;&gt;"""", INDEX(rowData,1,6)=BH528),1,0) +
        IF(AND(BI528&lt;&gt;"""", IND"&amp;"EX(rowData,1,7)=BI528),1,0) +
        IF(AND(BJ528&lt;&gt;"""", INDEX(rowData,1,8)=BJ528),1,0)
      ) - COUNTIF(BC528:BJ528, ""-"")
        - COUNTIF(BC528:BJ528, ""固定格式，不需提供資訊"")
        - COUNTIF(BC528:BJ528, ""由MKT更新，此欄位固定格式，不需提供資訊
(Voucher CID：12917705872)"&amp;""")
        - COUNTIF(BC528:BJ528, ""text固定為以下：
※直播間僅支援手機版"")
        - COUNTIF(BC528:BJ528, ""text固定為以下：
※短影音僅支援手機版"")
    )
  ), 
  0
)
"),0)</f>
        <v>0</v>
      </c>
      <c r="BM528" s="77" t="b">
        <v>0</v>
      </c>
      <c r="BN528" s="85"/>
      <c r="BO528" s="85"/>
    </row>
    <row r="529" spans="1:67" ht="30" customHeight="1">
      <c r="A529" s="73" t="str">
        <f t="array" aca="1" ref="A529" ca="1">IFERROR(TRANSPOSE(INDIRECT('MS section版配(Old)'!$AO529)),"")</f>
        <v/>
      </c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8"/>
      <c r="P529" s="88"/>
      <c r="Q529" s="88"/>
      <c r="R529" s="88"/>
      <c r="S529" s="88"/>
      <c r="T529" s="88"/>
      <c r="U529" s="88"/>
      <c r="V529" s="88"/>
      <c r="W529" s="88"/>
      <c r="X529" s="88"/>
      <c r="Y529" s="88"/>
      <c r="Z529" s="88"/>
      <c r="AA529" s="88"/>
      <c r="AB529" s="88"/>
      <c r="AC529" s="88"/>
      <c r="AD529" s="88"/>
      <c r="AE529" s="397" t="str">
        <f>IFERROR(VLOOKUP($AQ529,'(勿動)組件目錄表'!$D$15:$R$1094,4,FALSE),"")</f>
        <v/>
      </c>
      <c r="AF529" s="384"/>
      <c r="AG529" s="384"/>
      <c r="AH529" s="384"/>
      <c r="AI529" s="384"/>
      <c r="AJ529" s="385"/>
      <c r="AK529" s="54" t="b">
        <v>0</v>
      </c>
      <c r="AL529" s="54" t="b">
        <v>0</v>
      </c>
      <c r="AM529" s="54"/>
      <c r="AN529" s="7" t="str">
        <v>521</v>
      </c>
      <c r="AO529" s="7"/>
      <c r="AP529" s="62"/>
      <c r="AQ529" s="75" t="str">
        <v/>
      </c>
      <c r="AR529" s="75" t="str">
        <v>-</v>
      </c>
      <c r="AS529" s="11"/>
      <c r="AT529" s="77" t="str">
        <v>-</v>
      </c>
      <c r="AU529" s="11" t="str">
        <v>-</v>
      </c>
      <c r="AV529" s="100"/>
      <c r="AW529" s="80" t="str">
        <f ca="1"/>
        <v>-</v>
      </c>
      <c r="AX529" s="80" t="b">
        <v>0</v>
      </c>
      <c r="AY529" s="68" t="str">
        <f t="shared" si="8"/>
        <v/>
      </c>
      <c r="AZ529" s="69" t="str">
        <f t="shared" si="9"/>
        <v/>
      </c>
      <c r="BA529" s="70" t="str">
        <f t="shared" si="10"/>
        <v/>
      </c>
      <c r="BB529" s="68" t="str">
        <f t="shared" si="11"/>
        <v/>
      </c>
      <c r="BC529" s="69" t="str">
        <f>IFERROR(VLOOKUP($AQ529,'(勿動)組件目錄表'!$D$15:$R$1094,7,FALSE),"")</f>
        <v/>
      </c>
      <c r="BD529" s="69" t="str">
        <f>IFERROR(VLOOKUP($AQ529,'(勿動)組件目錄表'!$D$15:$R$1094,8,FALSE),"")</f>
        <v/>
      </c>
      <c r="BE529" s="69" t="str">
        <f>IFERROR(VLOOKUP($AQ529,'(勿動)組件目錄表'!$D$15:$R$1094,9,FALSE),"")</f>
        <v/>
      </c>
      <c r="BF529" s="69" t="str">
        <f>IFERROR(VLOOKUP($AQ529,'(勿動)組件目錄表'!$D$15:$R$1094,10,FALSE),"")</f>
        <v/>
      </c>
      <c r="BG529" s="69" t="str">
        <f>IFERROR(VLOOKUP($AQ529,'(勿動)組件目錄表'!$D$15:$R$1094,11,FALSE),"")</f>
        <v/>
      </c>
      <c r="BH529" s="69" t="str">
        <f>IFERROR(VLOOKUP($AQ529,'(勿動)組件目錄表'!$D$15:$R$1094,12,FALSE),"")</f>
        <v/>
      </c>
      <c r="BI529" s="69" t="str">
        <f>IFERROR(VLOOKUP($AQ529,'(勿動)組件目錄表'!$D$15:$R$1094,13,FALSE),"")</f>
        <v/>
      </c>
      <c r="BJ529" s="69" t="str">
        <f>IFERROR(VLOOKUP($AQ529,'(勿動)組件目錄表'!$D$15:$R$1094,14,FALSE),"")</f>
        <v/>
      </c>
      <c r="BK529" s="69" t="str">
        <f>IFERROR(VLOOKUP($AQ529,'(勿動)組件目錄表'!$D$15:$R$1094,15,FALSE),"")</f>
        <v/>
      </c>
      <c r="BL529" s="81">
        <f ca="1">IFERROR(__xludf.DUMMYFUNCTION("IFERROR(
  LET(
    rowData, FILTER('(勿動)組件目錄表'!J:Q, '(勿動)組件目錄表'!D:D=AQ529),
    IF(ROWS(rowData)=0, 0, 
      (
        IF(AND(BC529&lt;&gt;"""", INDEX(rowData,1,1)=BC529),1,0) +
        IF(AND(BD529&lt;&gt;"""", INDEX(rowData,1,2)=BD529),1,0) +
        IF(AND(BE529"&amp;"&lt;&gt;"""", INDEX(rowData,1,3)=BE529),1,0) +
        IF(AND(BF529&lt;&gt;"""", INDEX(rowData,1,4)=BF529),1,0) +
        IF(AND(BG529&lt;&gt;"""", INDEX(rowData,1,5)=BG529),1,0) +
        IF(AND(BH529&lt;&gt;"""", INDEX(rowData,1,6)=BH529),1,0) +
        IF(AND(BI529&lt;&gt;"""", IND"&amp;"EX(rowData,1,7)=BI529),1,0) +
        IF(AND(BJ529&lt;&gt;"""", INDEX(rowData,1,8)=BJ529),1,0)
      ) - COUNTIF(BC529:BJ529, ""-"")
        - COUNTIF(BC529:BJ529, ""固定格式，不需提供資訊"")
        - COUNTIF(BC529:BJ529, ""由MKT更新，此欄位固定格式，不需提供資訊
(Voucher CID：12917705872)"&amp;""")
        - COUNTIF(BC529:BJ529, ""text固定為以下：
※直播間僅支援手機版"")
        - COUNTIF(BC529:BJ529, ""text固定為以下：
※短影音僅支援手機版"")
    )
  ), 
  0
)
"),0)</f>
        <v>0</v>
      </c>
      <c r="BM529" s="77" t="b">
        <v>0</v>
      </c>
      <c r="BN529" s="85"/>
      <c r="BO529" s="85"/>
    </row>
    <row r="530" spans="1:67" ht="30" customHeight="1">
      <c r="A530" s="73" t="str">
        <f t="array" aca="1" ref="A530" ca="1">IFERROR(TRANSPOSE(INDIRECT('MS section版配(Old)'!$AO530)),"")</f>
        <v/>
      </c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8"/>
      <c r="P530" s="88"/>
      <c r="Q530" s="88"/>
      <c r="R530" s="88"/>
      <c r="S530" s="88"/>
      <c r="T530" s="88"/>
      <c r="U530" s="88"/>
      <c r="V530" s="88"/>
      <c r="W530" s="88"/>
      <c r="X530" s="88"/>
      <c r="Y530" s="88"/>
      <c r="Z530" s="88"/>
      <c r="AA530" s="88"/>
      <c r="AB530" s="88"/>
      <c r="AC530" s="88"/>
      <c r="AD530" s="88"/>
      <c r="AE530" s="397" t="str">
        <f>IFERROR(VLOOKUP($AQ530,'(勿動)組件目錄表'!$D$15:$R$1094,4,FALSE),"")</f>
        <v/>
      </c>
      <c r="AF530" s="384"/>
      <c r="AG530" s="384"/>
      <c r="AH530" s="384"/>
      <c r="AI530" s="384"/>
      <c r="AJ530" s="385"/>
      <c r="AK530" s="54" t="b">
        <v>0</v>
      </c>
      <c r="AL530" s="54" t="b">
        <v>0</v>
      </c>
      <c r="AM530" s="54"/>
      <c r="AN530" s="7" t="str">
        <v>522</v>
      </c>
      <c r="AO530" s="7"/>
      <c r="AP530" s="62"/>
      <c r="AQ530" s="75" t="str">
        <v/>
      </c>
      <c r="AR530" s="75" t="str">
        <v>-</v>
      </c>
      <c r="AS530" s="11"/>
      <c r="AT530" s="77" t="str">
        <v>-</v>
      </c>
      <c r="AU530" s="11" t="str">
        <v>-</v>
      </c>
      <c r="AV530" s="100"/>
      <c r="AW530" s="80" t="str">
        <f ca="1"/>
        <v>-</v>
      </c>
      <c r="AX530" s="80" t="b">
        <v>0</v>
      </c>
      <c r="AY530" s="68" t="str">
        <f t="shared" si="8"/>
        <v/>
      </c>
      <c r="AZ530" s="69" t="str">
        <f t="shared" si="9"/>
        <v/>
      </c>
      <c r="BA530" s="70" t="str">
        <f t="shared" si="10"/>
        <v/>
      </c>
      <c r="BB530" s="68" t="str">
        <f t="shared" si="11"/>
        <v/>
      </c>
      <c r="BC530" s="69" t="str">
        <f>IFERROR(VLOOKUP($AQ530,'(勿動)組件目錄表'!$D$15:$R$1094,7,FALSE),"")</f>
        <v/>
      </c>
      <c r="BD530" s="69" t="str">
        <f>IFERROR(VLOOKUP($AQ530,'(勿動)組件目錄表'!$D$15:$R$1094,8,FALSE),"")</f>
        <v/>
      </c>
      <c r="BE530" s="69" t="str">
        <f>IFERROR(VLOOKUP($AQ530,'(勿動)組件目錄表'!$D$15:$R$1094,9,FALSE),"")</f>
        <v/>
      </c>
      <c r="BF530" s="69" t="str">
        <f>IFERROR(VLOOKUP($AQ530,'(勿動)組件目錄表'!$D$15:$R$1094,10,FALSE),"")</f>
        <v/>
      </c>
      <c r="BG530" s="69" t="str">
        <f>IFERROR(VLOOKUP($AQ530,'(勿動)組件目錄表'!$D$15:$R$1094,11,FALSE),"")</f>
        <v/>
      </c>
      <c r="BH530" s="69" t="str">
        <f>IFERROR(VLOOKUP($AQ530,'(勿動)組件目錄表'!$D$15:$R$1094,12,FALSE),"")</f>
        <v/>
      </c>
      <c r="BI530" s="69" t="str">
        <f>IFERROR(VLOOKUP($AQ530,'(勿動)組件目錄表'!$D$15:$R$1094,13,FALSE),"")</f>
        <v/>
      </c>
      <c r="BJ530" s="69" t="str">
        <f>IFERROR(VLOOKUP($AQ530,'(勿動)組件目錄表'!$D$15:$R$1094,14,FALSE),"")</f>
        <v/>
      </c>
      <c r="BK530" s="69" t="str">
        <f>IFERROR(VLOOKUP($AQ530,'(勿動)組件目錄表'!$D$15:$R$1094,15,FALSE),"")</f>
        <v/>
      </c>
      <c r="BL530" s="81">
        <f ca="1">IFERROR(__xludf.DUMMYFUNCTION("IFERROR(
  LET(
    rowData, FILTER('(勿動)組件目錄表'!J:Q, '(勿動)組件目錄表'!D:D=AQ530),
    IF(ROWS(rowData)=0, 0, 
      (
        IF(AND(BC530&lt;&gt;"""", INDEX(rowData,1,1)=BC530),1,0) +
        IF(AND(BD530&lt;&gt;"""", INDEX(rowData,1,2)=BD530),1,0) +
        IF(AND(BE530"&amp;"&lt;&gt;"""", INDEX(rowData,1,3)=BE530),1,0) +
        IF(AND(BF530&lt;&gt;"""", INDEX(rowData,1,4)=BF530),1,0) +
        IF(AND(BG530&lt;&gt;"""", INDEX(rowData,1,5)=BG530),1,0) +
        IF(AND(BH530&lt;&gt;"""", INDEX(rowData,1,6)=BH530),1,0) +
        IF(AND(BI530&lt;&gt;"""", IND"&amp;"EX(rowData,1,7)=BI530),1,0) +
        IF(AND(BJ530&lt;&gt;"""", INDEX(rowData,1,8)=BJ530),1,0)
      ) - COUNTIF(BC530:BJ530, ""-"")
        - COUNTIF(BC530:BJ530, ""固定格式，不需提供資訊"")
        - COUNTIF(BC530:BJ530, ""由MKT更新，此欄位固定格式，不需提供資訊
(Voucher CID：12917705872)"&amp;""")
        - COUNTIF(BC530:BJ530, ""text固定為以下：
※直播間僅支援手機版"")
        - COUNTIF(BC530:BJ530, ""text固定為以下：
※短影音僅支援手機版"")
    )
  ), 
  0
)
"),0)</f>
        <v>0</v>
      </c>
      <c r="BM530" s="77" t="b">
        <v>0</v>
      </c>
      <c r="BN530" s="85"/>
      <c r="BO530" s="85"/>
    </row>
    <row r="531" spans="1:67" ht="30" customHeight="1">
      <c r="A531" s="73" t="str">
        <f t="array" aca="1" ref="A531" ca="1">IFERROR(TRANSPOSE(INDIRECT('MS section版配(Old)'!$AO531)),"")</f>
        <v/>
      </c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8"/>
      <c r="P531" s="88"/>
      <c r="Q531" s="88"/>
      <c r="R531" s="88"/>
      <c r="S531" s="88"/>
      <c r="T531" s="88"/>
      <c r="U531" s="88"/>
      <c r="V531" s="88"/>
      <c r="W531" s="88"/>
      <c r="X531" s="88"/>
      <c r="Y531" s="88"/>
      <c r="Z531" s="88"/>
      <c r="AA531" s="88"/>
      <c r="AB531" s="88"/>
      <c r="AC531" s="88"/>
      <c r="AD531" s="88"/>
      <c r="AE531" s="397" t="str">
        <f>IFERROR(VLOOKUP($AQ531,'(勿動)組件目錄表'!$D$15:$R$1094,4,FALSE),"")</f>
        <v/>
      </c>
      <c r="AF531" s="384"/>
      <c r="AG531" s="384"/>
      <c r="AH531" s="384"/>
      <c r="AI531" s="384"/>
      <c r="AJ531" s="385"/>
      <c r="AK531" s="54" t="b">
        <v>0</v>
      </c>
      <c r="AL531" s="54" t="b">
        <v>0</v>
      </c>
      <c r="AM531" s="54"/>
      <c r="AN531" s="7" t="str">
        <v>523</v>
      </c>
      <c r="AO531" s="7"/>
      <c r="AP531" s="62"/>
      <c r="AQ531" s="75" t="str">
        <v/>
      </c>
      <c r="AR531" s="75" t="str">
        <v>-</v>
      </c>
      <c r="AS531" s="11"/>
      <c r="AT531" s="77" t="str">
        <v>-</v>
      </c>
      <c r="AU531" s="11" t="str">
        <v>-</v>
      </c>
      <c r="AV531" s="100"/>
      <c r="AW531" s="80" t="str">
        <f ca="1"/>
        <v>-</v>
      </c>
      <c r="AX531" s="80" t="b">
        <v>0</v>
      </c>
      <c r="AY531" s="68" t="str">
        <f t="shared" si="8"/>
        <v/>
      </c>
      <c r="AZ531" s="69" t="str">
        <f t="shared" si="9"/>
        <v/>
      </c>
      <c r="BA531" s="70" t="str">
        <f t="shared" si="10"/>
        <v/>
      </c>
      <c r="BB531" s="68" t="str">
        <f t="shared" si="11"/>
        <v/>
      </c>
      <c r="BC531" s="69" t="str">
        <f>IFERROR(VLOOKUP($AQ531,'(勿動)組件目錄表'!$D$15:$R$1094,7,FALSE),"")</f>
        <v/>
      </c>
      <c r="BD531" s="69" t="str">
        <f>IFERROR(VLOOKUP($AQ531,'(勿動)組件目錄表'!$D$15:$R$1094,8,FALSE),"")</f>
        <v/>
      </c>
      <c r="BE531" s="69" t="str">
        <f>IFERROR(VLOOKUP($AQ531,'(勿動)組件目錄表'!$D$15:$R$1094,9,FALSE),"")</f>
        <v/>
      </c>
      <c r="BF531" s="69" t="str">
        <f>IFERROR(VLOOKUP($AQ531,'(勿動)組件目錄表'!$D$15:$R$1094,10,FALSE),"")</f>
        <v/>
      </c>
      <c r="BG531" s="69" t="str">
        <f>IFERROR(VLOOKUP($AQ531,'(勿動)組件目錄表'!$D$15:$R$1094,11,FALSE),"")</f>
        <v/>
      </c>
      <c r="BH531" s="69" t="str">
        <f>IFERROR(VLOOKUP($AQ531,'(勿動)組件目錄表'!$D$15:$R$1094,12,FALSE),"")</f>
        <v/>
      </c>
      <c r="BI531" s="69" t="str">
        <f>IFERROR(VLOOKUP($AQ531,'(勿動)組件目錄表'!$D$15:$R$1094,13,FALSE),"")</f>
        <v/>
      </c>
      <c r="BJ531" s="69" t="str">
        <f>IFERROR(VLOOKUP($AQ531,'(勿動)組件目錄表'!$D$15:$R$1094,14,FALSE),"")</f>
        <v/>
      </c>
      <c r="BK531" s="69" t="str">
        <f>IFERROR(VLOOKUP($AQ531,'(勿動)組件目錄表'!$D$15:$R$1094,15,FALSE),"")</f>
        <v/>
      </c>
      <c r="BL531" s="81">
        <f ca="1">IFERROR(__xludf.DUMMYFUNCTION("IFERROR(
  LET(
    rowData, FILTER('(勿動)組件目錄表'!J:Q, '(勿動)組件目錄表'!D:D=AQ531),
    IF(ROWS(rowData)=0, 0, 
      (
        IF(AND(BC531&lt;&gt;"""", INDEX(rowData,1,1)=BC531),1,0) +
        IF(AND(BD531&lt;&gt;"""", INDEX(rowData,1,2)=BD531),1,0) +
        IF(AND(BE531"&amp;"&lt;&gt;"""", INDEX(rowData,1,3)=BE531),1,0) +
        IF(AND(BF531&lt;&gt;"""", INDEX(rowData,1,4)=BF531),1,0) +
        IF(AND(BG531&lt;&gt;"""", INDEX(rowData,1,5)=BG531),1,0) +
        IF(AND(BH531&lt;&gt;"""", INDEX(rowData,1,6)=BH531),1,0) +
        IF(AND(BI531&lt;&gt;"""", IND"&amp;"EX(rowData,1,7)=BI531),1,0) +
        IF(AND(BJ531&lt;&gt;"""", INDEX(rowData,1,8)=BJ531),1,0)
      ) - COUNTIF(BC531:BJ531, ""-"")
        - COUNTIF(BC531:BJ531, ""固定格式，不需提供資訊"")
        - COUNTIF(BC531:BJ531, ""由MKT更新，此欄位固定格式，不需提供資訊
(Voucher CID：12917705872)"&amp;""")
        - COUNTIF(BC531:BJ531, ""text固定為以下：
※直播間僅支援手機版"")
        - COUNTIF(BC531:BJ531, ""text固定為以下：
※短影音僅支援手機版"")
    )
  ), 
  0
)
"),0)</f>
        <v>0</v>
      </c>
      <c r="BM531" s="77" t="b">
        <v>0</v>
      </c>
      <c r="BN531" s="85"/>
      <c r="BO531" s="85"/>
    </row>
    <row r="532" spans="1:67" ht="30" customHeight="1">
      <c r="A532" s="73" t="str">
        <f t="array" aca="1" ref="A532" ca="1">IFERROR(TRANSPOSE(INDIRECT('MS section版配(Old)'!$AO532)),"")</f>
        <v/>
      </c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8"/>
      <c r="P532" s="88"/>
      <c r="Q532" s="88"/>
      <c r="R532" s="88"/>
      <c r="S532" s="88"/>
      <c r="T532" s="88"/>
      <c r="U532" s="88"/>
      <c r="V532" s="88"/>
      <c r="W532" s="88"/>
      <c r="X532" s="88"/>
      <c r="Y532" s="88"/>
      <c r="Z532" s="88"/>
      <c r="AA532" s="88"/>
      <c r="AB532" s="88"/>
      <c r="AC532" s="88"/>
      <c r="AD532" s="88"/>
      <c r="AE532" s="397" t="str">
        <f>IFERROR(VLOOKUP($AQ532,'(勿動)組件目錄表'!$D$15:$R$1094,4,FALSE),"")</f>
        <v/>
      </c>
      <c r="AF532" s="384"/>
      <c r="AG532" s="384"/>
      <c r="AH532" s="384"/>
      <c r="AI532" s="384"/>
      <c r="AJ532" s="385"/>
      <c r="AK532" s="54" t="b">
        <v>0</v>
      </c>
      <c r="AL532" s="54" t="b">
        <v>0</v>
      </c>
      <c r="AM532" s="54"/>
      <c r="AN532" s="7" t="str">
        <v>524</v>
      </c>
      <c r="AO532" s="7"/>
      <c r="AP532" s="62"/>
      <c r="AQ532" s="75" t="str">
        <v/>
      </c>
      <c r="AR532" s="75" t="str">
        <v>-</v>
      </c>
      <c r="AS532" s="11"/>
      <c r="AT532" s="77" t="str">
        <v>-</v>
      </c>
      <c r="AU532" s="11" t="str">
        <v>-</v>
      </c>
      <c r="AV532" s="100"/>
      <c r="AW532" s="80" t="str">
        <f ca="1"/>
        <v>-</v>
      </c>
      <c r="AX532" s="80" t="b">
        <v>0</v>
      </c>
      <c r="AY532" s="68" t="str">
        <f t="shared" si="8"/>
        <v/>
      </c>
      <c r="AZ532" s="69" t="str">
        <f t="shared" si="9"/>
        <v/>
      </c>
      <c r="BA532" s="70" t="str">
        <f t="shared" si="10"/>
        <v/>
      </c>
      <c r="BB532" s="68" t="str">
        <f t="shared" si="11"/>
        <v/>
      </c>
      <c r="BC532" s="69" t="str">
        <f>IFERROR(VLOOKUP($AQ532,'(勿動)組件目錄表'!$D$15:$R$1094,7,FALSE),"")</f>
        <v/>
      </c>
      <c r="BD532" s="69" t="str">
        <f>IFERROR(VLOOKUP($AQ532,'(勿動)組件目錄表'!$D$15:$R$1094,8,FALSE),"")</f>
        <v/>
      </c>
      <c r="BE532" s="69" t="str">
        <f>IFERROR(VLOOKUP($AQ532,'(勿動)組件目錄表'!$D$15:$R$1094,9,FALSE),"")</f>
        <v/>
      </c>
      <c r="BF532" s="69" t="str">
        <f>IFERROR(VLOOKUP($AQ532,'(勿動)組件目錄表'!$D$15:$R$1094,10,FALSE),"")</f>
        <v/>
      </c>
      <c r="BG532" s="69" t="str">
        <f>IFERROR(VLOOKUP($AQ532,'(勿動)組件目錄表'!$D$15:$R$1094,11,FALSE),"")</f>
        <v/>
      </c>
      <c r="BH532" s="69" t="str">
        <f>IFERROR(VLOOKUP($AQ532,'(勿動)組件目錄表'!$D$15:$R$1094,12,FALSE),"")</f>
        <v/>
      </c>
      <c r="BI532" s="69" t="str">
        <f>IFERROR(VLOOKUP($AQ532,'(勿動)組件目錄表'!$D$15:$R$1094,13,FALSE),"")</f>
        <v/>
      </c>
      <c r="BJ532" s="69" t="str">
        <f>IFERROR(VLOOKUP($AQ532,'(勿動)組件目錄表'!$D$15:$R$1094,14,FALSE),"")</f>
        <v/>
      </c>
      <c r="BK532" s="69" t="str">
        <f>IFERROR(VLOOKUP($AQ532,'(勿動)組件目錄表'!$D$15:$R$1094,15,FALSE),"")</f>
        <v/>
      </c>
      <c r="BL532" s="81">
        <f ca="1">IFERROR(__xludf.DUMMYFUNCTION("IFERROR(
  LET(
    rowData, FILTER('(勿動)組件目錄表'!J:Q, '(勿動)組件目錄表'!D:D=AQ532),
    IF(ROWS(rowData)=0, 0, 
      (
        IF(AND(BC532&lt;&gt;"""", INDEX(rowData,1,1)=BC532),1,0) +
        IF(AND(BD532&lt;&gt;"""", INDEX(rowData,1,2)=BD532),1,0) +
        IF(AND(BE532"&amp;"&lt;&gt;"""", INDEX(rowData,1,3)=BE532),1,0) +
        IF(AND(BF532&lt;&gt;"""", INDEX(rowData,1,4)=BF532),1,0) +
        IF(AND(BG532&lt;&gt;"""", INDEX(rowData,1,5)=BG532),1,0) +
        IF(AND(BH532&lt;&gt;"""", INDEX(rowData,1,6)=BH532),1,0) +
        IF(AND(BI532&lt;&gt;"""", IND"&amp;"EX(rowData,1,7)=BI532),1,0) +
        IF(AND(BJ532&lt;&gt;"""", INDEX(rowData,1,8)=BJ532),1,0)
      ) - COUNTIF(BC532:BJ532, ""-"")
        - COUNTIF(BC532:BJ532, ""固定格式，不需提供資訊"")
        - COUNTIF(BC532:BJ532, ""由MKT更新，此欄位固定格式，不需提供資訊
(Voucher CID：12917705872)"&amp;""")
        - COUNTIF(BC532:BJ532, ""text固定為以下：
※直播間僅支援手機版"")
        - COUNTIF(BC532:BJ532, ""text固定為以下：
※短影音僅支援手機版"")
    )
  ), 
  0
)
"),0)</f>
        <v>0</v>
      </c>
      <c r="BM532" s="77" t="b">
        <v>0</v>
      </c>
      <c r="BN532" s="85"/>
      <c r="BO532" s="85"/>
    </row>
    <row r="533" spans="1:67" ht="30" customHeight="1">
      <c r="A533" s="73" t="str">
        <f t="array" aca="1" ref="A533" ca="1">IFERROR(TRANSPOSE(INDIRECT('MS section版配(Old)'!$AO533)),"")</f>
        <v/>
      </c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8"/>
      <c r="P533" s="88"/>
      <c r="Q533" s="88"/>
      <c r="R533" s="88"/>
      <c r="S533" s="88"/>
      <c r="T533" s="88"/>
      <c r="U533" s="88"/>
      <c r="V533" s="88"/>
      <c r="W533" s="88"/>
      <c r="X533" s="88"/>
      <c r="Y533" s="88"/>
      <c r="Z533" s="88"/>
      <c r="AA533" s="88"/>
      <c r="AB533" s="88"/>
      <c r="AC533" s="88"/>
      <c r="AD533" s="88"/>
      <c r="AE533" s="397" t="str">
        <f>IFERROR(VLOOKUP($AQ533,'(勿動)組件目錄表'!$D$15:$R$1094,4,FALSE),"")</f>
        <v/>
      </c>
      <c r="AF533" s="384"/>
      <c r="AG533" s="384"/>
      <c r="AH533" s="384"/>
      <c r="AI533" s="384"/>
      <c r="AJ533" s="385"/>
      <c r="AK533" s="54" t="b">
        <v>0</v>
      </c>
      <c r="AL533" s="54" t="b">
        <v>0</v>
      </c>
      <c r="AM533" s="54"/>
      <c r="AN533" s="7" t="str">
        <v>525</v>
      </c>
      <c r="AO533" s="7"/>
      <c r="AP533" s="62"/>
      <c r="AQ533" s="75" t="str">
        <v/>
      </c>
      <c r="AR533" s="75" t="str">
        <v>-</v>
      </c>
      <c r="AS533" s="11"/>
      <c r="AT533" s="77" t="str">
        <v>-</v>
      </c>
      <c r="AU533" s="11" t="str">
        <v>-</v>
      </c>
      <c r="AV533" s="100"/>
      <c r="AW533" s="80" t="str">
        <f ca="1"/>
        <v>-</v>
      </c>
      <c r="AX533" s="80" t="b">
        <v>0</v>
      </c>
      <c r="AY533" s="68" t="str">
        <f t="shared" si="8"/>
        <v/>
      </c>
      <c r="AZ533" s="69" t="str">
        <f t="shared" si="9"/>
        <v/>
      </c>
      <c r="BA533" s="70" t="str">
        <f t="shared" si="10"/>
        <v/>
      </c>
      <c r="BB533" s="68" t="str">
        <f t="shared" si="11"/>
        <v/>
      </c>
      <c r="BC533" s="69" t="str">
        <f>IFERROR(VLOOKUP($AQ533,'(勿動)組件目錄表'!$D$15:$R$1094,7,FALSE),"")</f>
        <v/>
      </c>
      <c r="BD533" s="69" t="str">
        <f>IFERROR(VLOOKUP($AQ533,'(勿動)組件目錄表'!$D$15:$R$1094,8,FALSE),"")</f>
        <v/>
      </c>
      <c r="BE533" s="69" t="str">
        <f>IFERROR(VLOOKUP($AQ533,'(勿動)組件目錄表'!$D$15:$R$1094,9,FALSE),"")</f>
        <v/>
      </c>
      <c r="BF533" s="69" t="str">
        <f>IFERROR(VLOOKUP($AQ533,'(勿動)組件目錄表'!$D$15:$R$1094,10,FALSE),"")</f>
        <v/>
      </c>
      <c r="BG533" s="69" t="str">
        <f>IFERROR(VLOOKUP($AQ533,'(勿動)組件目錄表'!$D$15:$R$1094,11,FALSE),"")</f>
        <v/>
      </c>
      <c r="BH533" s="69" t="str">
        <f>IFERROR(VLOOKUP($AQ533,'(勿動)組件目錄表'!$D$15:$R$1094,12,FALSE),"")</f>
        <v/>
      </c>
      <c r="BI533" s="69" t="str">
        <f>IFERROR(VLOOKUP($AQ533,'(勿動)組件目錄表'!$D$15:$R$1094,13,FALSE),"")</f>
        <v/>
      </c>
      <c r="BJ533" s="69" t="str">
        <f>IFERROR(VLOOKUP($AQ533,'(勿動)組件目錄表'!$D$15:$R$1094,14,FALSE),"")</f>
        <v/>
      </c>
      <c r="BK533" s="69" t="str">
        <f>IFERROR(VLOOKUP($AQ533,'(勿動)組件目錄表'!$D$15:$R$1094,15,FALSE),"")</f>
        <v/>
      </c>
      <c r="BL533" s="81">
        <f ca="1">IFERROR(__xludf.DUMMYFUNCTION("IFERROR(
  LET(
    rowData, FILTER('(勿動)組件目錄表'!J:Q, '(勿動)組件目錄表'!D:D=AQ533),
    IF(ROWS(rowData)=0, 0, 
      (
        IF(AND(BC533&lt;&gt;"""", INDEX(rowData,1,1)=BC533),1,0) +
        IF(AND(BD533&lt;&gt;"""", INDEX(rowData,1,2)=BD533),1,0) +
        IF(AND(BE533"&amp;"&lt;&gt;"""", INDEX(rowData,1,3)=BE533),1,0) +
        IF(AND(BF533&lt;&gt;"""", INDEX(rowData,1,4)=BF533),1,0) +
        IF(AND(BG533&lt;&gt;"""", INDEX(rowData,1,5)=BG533),1,0) +
        IF(AND(BH533&lt;&gt;"""", INDEX(rowData,1,6)=BH533),1,0) +
        IF(AND(BI533&lt;&gt;"""", IND"&amp;"EX(rowData,1,7)=BI533),1,0) +
        IF(AND(BJ533&lt;&gt;"""", INDEX(rowData,1,8)=BJ533),1,0)
      ) - COUNTIF(BC533:BJ533, ""-"")
        - COUNTIF(BC533:BJ533, ""固定格式，不需提供資訊"")
        - COUNTIF(BC533:BJ533, ""由MKT更新，此欄位固定格式，不需提供資訊
(Voucher CID：12917705872)"&amp;""")
        - COUNTIF(BC533:BJ533, ""text固定為以下：
※直播間僅支援手機版"")
        - COUNTIF(BC533:BJ533, ""text固定為以下：
※短影音僅支援手機版"")
    )
  ), 
  0
)
"),0)</f>
        <v>0</v>
      </c>
      <c r="BM533" s="77" t="b">
        <v>0</v>
      </c>
      <c r="BN533" s="85"/>
      <c r="BO533" s="85"/>
    </row>
    <row r="534" spans="1:67" ht="30" customHeight="1">
      <c r="A534" s="73" t="str">
        <f t="array" aca="1" ref="A534" ca="1">IFERROR(TRANSPOSE(INDIRECT('MS section版配(Old)'!$AO534)),"")</f>
        <v/>
      </c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8"/>
      <c r="P534" s="88"/>
      <c r="Q534" s="88"/>
      <c r="R534" s="88"/>
      <c r="S534" s="88"/>
      <c r="T534" s="88"/>
      <c r="U534" s="88"/>
      <c r="V534" s="88"/>
      <c r="W534" s="88"/>
      <c r="X534" s="88"/>
      <c r="Y534" s="88"/>
      <c r="Z534" s="88"/>
      <c r="AA534" s="88"/>
      <c r="AB534" s="88"/>
      <c r="AC534" s="88"/>
      <c r="AD534" s="88"/>
      <c r="AE534" s="397" t="str">
        <f>IFERROR(VLOOKUP($AQ534,'(勿動)組件目錄表'!$D$15:$R$1094,4,FALSE),"")</f>
        <v/>
      </c>
      <c r="AF534" s="384"/>
      <c r="AG534" s="384"/>
      <c r="AH534" s="384"/>
      <c r="AI534" s="384"/>
      <c r="AJ534" s="385"/>
      <c r="AK534" s="54" t="b">
        <v>0</v>
      </c>
      <c r="AL534" s="54" t="b">
        <v>0</v>
      </c>
      <c r="AM534" s="54"/>
      <c r="AN534" s="7" t="str">
        <v>526</v>
      </c>
      <c r="AO534" s="7"/>
      <c r="AP534" s="62"/>
      <c r="AQ534" s="75" t="str">
        <v/>
      </c>
      <c r="AR534" s="75" t="str">
        <v>-</v>
      </c>
      <c r="AS534" s="11"/>
      <c r="AT534" s="77" t="str">
        <v>-</v>
      </c>
      <c r="AU534" s="11" t="str">
        <v>-</v>
      </c>
      <c r="AV534" s="100"/>
      <c r="AW534" s="80" t="str">
        <f ca="1"/>
        <v>-</v>
      </c>
      <c r="AX534" s="80" t="b">
        <v>0</v>
      </c>
      <c r="AY534" s="68" t="str">
        <f t="shared" si="8"/>
        <v/>
      </c>
      <c r="AZ534" s="69" t="str">
        <f t="shared" si="9"/>
        <v/>
      </c>
      <c r="BA534" s="70" t="str">
        <f t="shared" si="10"/>
        <v/>
      </c>
      <c r="BB534" s="68" t="str">
        <f t="shared" si="11"/>
        <v/>
      </c>
      <c r="BC534" s="69" t="str">
        <f>IFERROR(VLOOKUP($AQ534,'(勿動)組件目錄表'!$D$15:$R$1094,7,FALSE),"")</f>
        <v/>
      </c>
      <c r="BD534" s="69" t="str">
        <f>IFERROR(VLOOKUP($AQ534,'(勿動)組件目錄表'!$D$15:$R$1094,8,FALSE),"")</f>
        <v/>
      </c>
      <c r="BE534" s="69" t="str">
        <f>IFERROR(VLOOKUP($AQ534,'(勿動)組件目錄表'!$D$15:$R$1094,9,FALSE),"")</f>
        <v/>
      </c>
      <c r="BF534" s="69" t="str">
        <f>IFERROR(VLOOKUP($AQ534,'(勿動)組件目錄表'!$D$15:$R$1094,10,FALSE),"")</f>
        <v/>
      </c>
      <c r="BG534" s="69" t="str">
        <f>IFERROR(VLOOKUP($AQ534,'(勿動)組件目錄表'!$D$15:$R$1094,11,FALSE),"")</f>
        <v/>
      </c>
      <c r="BH534" s="69" t="str">
        <f>IFERROR(VLOOKUP($AQ534,'(勿動)組件目錄表'!$D$15:$R$1094,12,FALSE),"")</f>
        <v/>
      </c>
      <c r="BI534" s="69" t="str">
        <f>IFERROR(VLOOKUP($AQ534,'(勿動)組件目錄表'!$D$15:$R$1094,13,FALSE),"")</f>
        <v/>
      </c>
      <c r="BJ534" s="69" t="str">
        <f>IFERROR(VLOOKUP($AQ534,'(勿動)組件目錄表'!$D$15:$R$1094,14,FALSE),"")</f>
        <v/>
      </c>
      <c r="BK534" s="69" t="str">
        <f>IFERROR(VLOOKUP($AQ534,'(勿動)組件目錄表'!$D$15:$R$1094,15,FALSE),"")</f>
        <v/>
      </c>
      <c r="BL534" s="81">
        <f ca="1">IFERROR(__xludf.DUMMYFUNCTION("IFERROR(
  LET(
    rowData, FILTER('(勿動)組件目錄表'!J:Q, '(勿動)組件目錄表'!D:D=AQ534),
    IF(ROWS(rowData)=0, 0, 
      (
        IF(AND(BC534&lt;&gt;"""", INDEX(rowData,1,1)=BC534),1,0) +
        IF(AND(BD534&lt;&gt;"""", INDEX(rowData,1,2)=BD534),1,0) +
        IF(AND(BE534"&amp;"&lt;&gt;"""", INDEX(rowData,1,3)=BE534),1,0) +
        IF(AND(BF534&lt;&gt;"""", INDEX(rowData,1,4)=BF534),1,0) +
        IF(AND(BG534&lt;&gt;"""", INDEX(rowData,1,5)=BG534),1,0) +
        IF(AND(BH534&lt;&gt;"""", INDEX(rowData,1,6)=BH534),1,0) +
        IF(AND(BI534&lt;&gt;"""", IND"&amp;"EX(rowData,1,7)=BI534),1,0) +
        IF(AND(BJ534&lt;&gt;"""", INDEX(rowData,1,8)=BJ534),1,0)
      ) - COUNTIF(BC534:BJ534, ""-"")
        - COUNTIF(BC534:BJ534, ""固定格式，不需提供資訊"")
        - COUNTIF(BC534:BJ534, ""由MKT更新，此欄位固定格式，不需提供資訊
(Voucher CID：12917705872)"&amp;""")
        - COUNTIF(BC534:BJ534, ""text固定為以下：
※直播間僅支援手機版"")
        - COUNTIF(BC534:BJ534, ""text固定為以下：
※短影音僅支援手機版"")
    )
  ), 
  0
)
"),0)</f>
        <v>0</v>
      </c>
      <c r="BM534" s="77" t="b">
        <v>0</v>
      </c>
      <c r="BN534" s="85"/>
      <c r="BO534" s="85"/>
    </row>
    <row r="535" spans="1:67" ht="30" customHeight="1">
      <c r="A535" s="73" t="str">
        <f t="array" aca="1" ref="A535" ca="1">IFERROR(TRANSPOSE(INDIRECT('MS section版配(Old)'!$AO535)),"")</f>
        <v/>
      </c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8"/>
      <c r="P535" s="88"/>
      <c r="Q535" s="88"/>
      <c r="R535" s="88"/>
      <c r="S535" s="88"/>
      <c r="T535" s="88"/>
      <c r="U535" s="88"/>
      <c r="V535" s="88"/>
      <c r="W535" s="88"/>
      <c r="X535" s="88"/>
      <c r="Y535" s="88"/>
      <c r="Z535" s="88"/>
      <c r="AA535" s="88"/>
      <c r="AB535" s="88"/>
      <c r="AC535" s="88"/>
      <c r="AD535" s="88"/>
      <c r="AE535" s="397" t="str">
        <f>IFERROR(VLOOKUP($AQ535,'(勿動)組件目錄表'!$D$15:$R$1094,4,FALSE),"")</f>
        <v/>
      </c>
      <c r="AF535" s="384"/>
      <c r="AG535" s="384"/>
      <c r="AH535" s="384"/>
      <c r="AI535" s="384"/>
      <c r="AJ535" s="385"/>
      <c r="AK535" s="54" t="b">
        <v>0</v>
      </c>
      <c r="AL535" s="54" t="b">
        <v>0</v>
      </c>
      <c r="AM535" s="54"/>
      <c r="AN535" s="7" t="str">
        <v>527</v>
      </c>
      <c r="AO535" s="7"/>
      <c r="AP535" s="62"/>
      <c r="AQ535" s="75" t="str">
        <v/>
      </c>
      <c r="AR535" s="75" t="str">
        <v>-</v>
      </c>
      <c r="AS535" s="11"/>
      <c r="AT535" s="77" t="str">
        <v>-</v>
      </c>
      <c r="AU535" s="11" t="str">
        <v>-</v>
      </c>
      <c r="AV535" s="100"/>
      <c r="AW535" s="80" t="str">
        <f ca="1"/>
        <v>-</v>
      </c>
      <c r="AX535" s="80" t="b">
        <v>0</v>
      </c>
      <c r="AY535" s="68" t="str">
        <f t="shared" si="8"/>
        <v/>
      </c>
      <c r="AZ535" s="69" t="str">
        <f t="shared" si="9"/>
        <v/>
      </c>
      <c r="BA535" s="70" t="str">
        <f t="shared" si="10"/>
        <v/>
      </c>
      <c r="BB535" s="68" t="str">
        <f t="shared" si="11"/>
        <v/>
      </c>
      <c r="BC535" s="69" t="str">
        <f>IFERROR(VLOOKUP($AQ535,'(勿動)組件目錄表'!$D$15:$R$1094,7,FALSE),"")</f>
        <v/>
      </c>
      <c r="BD535" s="69" t="str">
        <f>IFERROR(VLOOKUP($AQ535,'(勿動)組件目錄表'!$D$15:$R$1094,8,FALSE),"")</f>
        <v/>
      </c>
      <c r="BE535" s="69" t="str">
        <f>IFERROR(VLOOKUP($AQ535,'(勿動)組件目錄表'!$D$15:$R$1094,9,FALSE),"")</f>
        <v/>
      </c>
      <c r="BF535" s="69" t="str">
        <f>IFERROR(VLOOKUP($AQ535,'(勿動)組件目錄表'!$D$15:$R$1094,10,FALSE),"")</f>
        <v/>
      </c>
      <c r="BG535" s="69" t="str">
        <f>IFERROR(VLOOKUP($AQ535,'(勿動)組件目錄表'!$D$15:$R$1094,11,FALSE),"")</f>
        <v/>
      </c>
      <c r="BH535" s="69" t="str">
        <f>IFERROR(VLOOKUP($AQ535,'(勿動)組件目錄表'!$D$15:$R$1094,12,FALSE),"")</f>
        <v/>
      </c>
      <c r="BI535" s="69" t="str">
        <f>IFERROR(VLOOKUP($AQ535,'(勿動)組件目錄表'!$D$15:$R$1094,13,FALSE),"")</f>
        <v/>
      </c>
      <c r="BJ535" s="69" t="str">
        <f>IFERROR(VLOOKUP($AQ535,'(勿動)組件目錄表'!$D$15:$R$1094,14,FALSE),"")</f>
        <v/>
      </c>
      <c r="BK535" s="69" t="str">
        <f>IFERROR(VLOOKUP($AQ535,'(勿動)組件目錄表'!$D$15:$R$1094,15,FALSE),"")</f>
        <v/>
      </c>
      <c r="BL535" s="81">
        <f ca="1">IFERROR(__xludf.DUMMYFUNCTION("IFERROR(
  LET(
    rowData, FILTER('(勿動)組件目錄表'!J:Q, '(勿動)組件目錄表'!D:D=AQ535),
    IF(ROWS(rowData)=0, 0, 
      (
        IF(AND(BC535&lt;&gt;"""", INDEX(rowData,1,1)=BC535),1,0) +
        IF(AND(BD535&lt;&gt;"""", INDEX(rowData,1,2)=BD535),1,0) +
        IF(AND(BE535"&amp;"&lt;&gt;"""", INDEX(rowData,1,3)=BE535),1,0) +
        IF(AND(BF535&lt;&gt;"""", INDEX(rowData,1,4)=BF535),1,0) +
        IF(AND(BG535&lt;&gt;"""", INDEX(rowData,1,5)=BG535),1,0) +
        IF(AND(BH535&lt;&gt;"""", INDEX(rowData,1,6)=BH535),1,0) +
        IF(AND(BI535&lt;&gt;"""", IND"&amp;"EX(rowData,1,7)=BI535),1,0) +
        IF(AND(BJ535&lt;&gt;"""", INDEX(rowData,1,8)=BJ535),1,0)
      ) - COUNTIF(BC535:BJ535, ""-"")
        - COUNTIF(BC535:BJ535, ""固定格式，不需提供資訊"")
        - COUNTIF(BC535:BJ535, ""由MKT更新，此欄位固定格式，不需提供資訊
(Voucher CID：12917705872)"&amp;""")
        - COUNTIF(BC535:BJ535, ""text固定為以下：
※直播間僅支援手機版"")
        - COUNTIF(BC535:BJ535, ""text固定為以下：
※短影音僅支援手機版"")
    )
  ), 
  0
)
"),0)</f>
        <v>0</v>
      </c>
      <c r="BM535" s="77" t="b">
        <v>0</v>
      </c>
      <c r="BN535" s="85"/>
      <c r="BO535" s="85"/>
    </row>
    <row r="536" spans="1:67" ht="30" customHeight="1">
      <c r="A536" s="73" t="str">
        <f t="array" aca="1" ref="A536" ca="1">IFERROR(TRANSPOSE(INDIRECT('MS section版配(Old)'!$AO536)),"")</f>
        <v/>
      </c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8"/>
      <c r="P536" s="88"/>
      <c r="Q536" s="88"/>
      <c r="R536" s="88"/>
      <c r="S536" s="88"/>
      <c r="T536" s="88"/>
      <c r="U536" s="88"/>
      <c r="V536" s="88"/>
      <c r="W536" s="88"/>
      <c r="X536" s="88"/>
      <c r="Y536" s="88"/>
      <c r="Z536" s="88"/>
      <c r="AA536" s="88"/>
      <c r="AB536" s="88"/>
      <c r="AC536" s="88"/>
      <c r="AD536" s="88"/>
      <c r="AE536" s="397" t="str">
        <f>IFERROR(VLOOKUP($AQ536,'(勿動)組件目錄表'!$D$15:$R$1094,4,FALSE),"")</f>
        <v/>
      </c>
      <c r="AF536" s="384"/>
      <c r="AG536" s="384"/>
      <c r="AH536" s="384"/>
      <c r="AI536" s="384"/>
      <c r="AJ536" s="385"/>
      <c r="AK536" s="54" t="b">
        <v>0</v>
      </c>
      <c r="AL536" s="54" t="b">
        <v>0</v>
      </c>
      <c r="AM536" s="54"/>
      <c r="AN536" s="7" t="str">
        <v>528</v>
      </c>
      <c r="AO536" s="7"/>
      <c r="AP536" s="62"/>
      <c r="AQ536" s="75" t="str">
        <v/>
      </c>
      <c r="AR536" s="75" t="str">
        <v>-</v>
      </c>
      <c r="AS536" s="11"/>
      <c r="AT536" s="77" t="str">
        <v>-</v>
      </c>
      <c r="AU536" s="11" t="str">
        <v>-</v>
      </c>
      <c r="AV536" s="100"/>
      <c r="AW536" s="80" t="str">
        <f ca="1"/>
        <v>-</v>
      </c>
      <c r="AX536" s="80" t="b">
        <v>0</v>
      </c>
      <c r="AY536" s="68" t="str">
        <f t="shared" si="8"/>
        <v/>
      </c>
      <c r="AZ536" s="69" t="str">
        <f t="shared" si="9"/>
        <v/>
      </c>
      <c r="BA536" s="70" t="str">
        <f t="shared" si="10"/>
        <v/>
      </c>
      <c r="BB536" s="68" t="str">
        <f t="shared" si="11"/>
        <v/>
      </c>
      <c r="BC536" s="69" t="str">
        <f>IFERROR(VLOOKUP($AQ536,'(勿動)組件目錄表'!$D$15:$R$1094,7,FALSE),"")</f>
        <v/>
      </c>
      <c r="BD536" s="69" t="str">
        <f>IFERROR(VLOOKUP($AQ536,'(勿動)組件目錄表'!$D$15:$R$1094,8,FALSE),"")</f>
        <v/>
      </c>
      <c r="BE536" s="69" t="str">
        <f>IFERROR(VLOOKUP($AQ536,'(勿動)組件目錄表'!$D$15:$R$1094,9,FALSE),"")</f>
        <v/>
      </c>
      <c r="BF536" s="69" t="str">
        <f>IFERROR(VLOOKUP($AQ536,'(勿動)組件目錄表'!$D$15:$R$1094,10,FALSE),"")</f>
        <v/>
      </c>
      <c r="BG536" s="69" t="str">
        <f>IFERROR(VLOOKUP($AQ536,'(勿動)組件目錄表'!$D$15:$R$1094,11,FALSE),"")</f>
        <v/>
      </c>
      <c r="BH536" s="69" t="str">
        <f>IFERROR(VLOOKUP($AQ536,'(勿動)組件目錄表'!$D$15:$R$1094,12,FALSE),"")</f>
        <v/>
      </c>
      <c r="BI536" s="69" t="str">
        <f>IFERROR(VLOOKUP($AQ536,'(勿動)組件目錄表'!$D$15:$R$1094,13,FALSE),"")</f>
        <v/>
      </c>
      <c r="BJ536" s="69" t="str">
        <f>IFERROR(VLOOKUP($AQ536,'(勿動)組件目錄表'!$D$15:$R$1094,14,FALSE),"")</f>
        <v/>
      </c>
      <c r="BK536" s="69" t="str">
        <f>IFERROR(VLOOKUP($AQ536,'(勿動)組件目錄表'!$D$15:$R$1094,15,FALSE),"")</f>
        <v/>
      </c>
      <c r="BL536" s="81">
        <f ca="1">IFERROR(__xludf.DUMMYFUNCTION("IFERROR(
  LET(
    rowData, FILTER('(勿動)組件目錄表'!J:Q, '(勿動)組件目錄表'!D:D=AQ536),
    IF(ROWS(rowData)=0, 0, 
      (
        IF(AND(BC536&lt;&gt;"""", INDEX(rowData,1,1)=BC536),1,0) +
        IF(AND(BD536&lt;&gt;"""", INDEX(rowData,1,2)=BD536),1,0) +
        IF(AND(BE536"&amp;"&lt;&gt;"""", INDEX(rowData,1,3)=BE536),1,0) +
        IF(AND(BF536&lt;&gt;"""", INDEX(rowData,1,4)=BF536),1,0) +
        IF(AND(BG536&lt;&gt;"""", INDEX(rowData,1,5)=BG536),1,0) +
        IF(AND(BH536&lt;&gt;"""", INDEX(rowData,1,6)=BH536),1,0) +
        IF(AND(BI536&lt;&gt;"""", IND"&amp;"EX(rowData,1,7)=BI536),1,0) +
        IF(AND(BJ536&lt;&gt;"""", INDEX(rowData,1,8)=BJ536),1,0)
      ) - COUNTIF(BC536:BJ536, ""-"")
        - COUNTIF(BC536:BJ536, ""固定格式，不需提供資訊"")
        - COUNTIF(BC536:BJ536, ""由MKT更新，此欄位固定格式，不需提供資訊
(Voucher CID：12917705872)"&amp;""")
        - COUNTIF(BC536:BJ536, ""text固定為以下：
※直播間僅支援手機版"")
        - COUNTIF(BC536:BJ536, ""text固定為以下：
※短影音僅支援手機版"")
    )
  ), 
  0
)
"),0)</f>
        <v>0</v>
      </c>
      <c r="BM536" s="77" t="b">
        <v>0</v>
      </c>
      <c r="BN536" s="85"/>
      <c r="BO536" s="85"/>
    </row>
    <row r="537" spans="1:67" ht="30" customHeight="1">
      <c r="A537" s="73" t="str">
        <f t="array" aca="1" ref="A537" ca="1">IFERROR(TRANSPOSE(INDIRECT('MS section版配(Old)'!$AO537)),"")</f>
        <v/>
      </c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8"/>
      <c r="P537" s="88"/>
      <c r="Q537" s="88"/>
      <c r="R537" s="88"/>
      <c r="S537" s="88"/>
      <c r="T537" s="88"/>
      <c r="U537" s="88"/>
      <c r="V537" s="88"/>
      <c r="W537" s="88"/>
      <c r="X537" s="88"/>
      <c r="Y537" s="88"/>
      <c r="Z537" s="88"/>
      <c r="AA537" s="88"/>
      <c r="AB537" s="88"/>
      <c r="AC537" s="88"/>
      <c r="AD537" s="88"/>
      <c r="AE537" s="397" t="str">
        <f>IFERROR(VLOOKUP($AQ537,'(勿動)組件目錄表'!$D$15:$R$1094,4,FALSE),"")</f>
        <v/>
      </c>
      <c r="AF537" s="384"/>
      <c r="AG537" s="384"/>
      <c r="AH537" s="384"/>
      <c r="AI537" s="384"/>
      <c r="AJ537" s="385"/>
      <c r="AK537" s="54" t="b">
        <v>0</v>
      </c>
      <c r="AL537" s="54" t="b">
        <v>0</v>
      </c>
      <c r="AM537" s="54"/>
      <c r="AN537" s="7" t="str">
        <v>529</v>
      </c>
      <c r="AO537" s="7"/>
      <c r="AP537" s="62"/>
      <c r="AQ537" s="75" t="str">
        <v/>
      </c>
      <c r="AR537" s="75" t="str">
        <v>-</v>
      </c>
      <c r="AS537" s="11"/>
      <c r="AT537" s="77" t="str">
        <v>-</v>
      </c>
      <c r="AU537" s="11" t="str">
        <v>-</v>
      </c>
      <c r="AV537" s="100"/>
      <c r="AW537" s="80" t="str">
        <f ca="1"/>
        <v>-</v>
      </c>
      <c r="AX537" s="80" t="b">
        <v>0</v>
      </c>
      <c r="AY537" s="68" t="str">
        <f t="shared" si="8"/>
        <v/>
      </c>
      <c r="AZ537" s="69" t="str">
        <f t="shared" si="9"/>
        <v/>
      </c>
      <c r="BA537" s="70" t="str">
        <f t="shared" si="10"/>
        <v/>
      </c>
      <c r="BB537" s="68" t="str">
        <f t="shared" si="11"/>
        <v/>
      </c>
      <c r="BC537" s="69" t="str">
        <f>IFERROR(VLOOKUP($AQ537,'(勿動)組件目錄表'!$D$15:$R$1094,7,FALSE),"")</f>
        <v/>
      </c>
      <c r="BD537" s="69" t="str">
        <f>IFERROR(VLOOKUP($AQ537,'(勿動)組件目錄表'!$D$15:$R$1094,8,FALSE),"")</f>
        <v/>
      </c>
      <c r="BE537" s="69" t="str">
        <f>IFERROR(VLOOKUP($AQ537,'(勿動)組件目錄表'!$D$15:$R$1094,9,FALSE),"")</f>
        <v/>
      </c>
      <c r="BF537" s="69" t="str">
        <f>IFERROR(VLOOKUP($AQ537,'(勿動)組件目錄表'!$D$15:$R$1094,10,FALSE),"")</f>
        <v/>
      </c>
      <c r="BG537" s="69" t="str">
        <f>IFERROR(VLOOKUP($AQ537,'(勿動)組件目錄表'!$D$15:$R$1094,11,FALSE),"")</f>
        <v/>
      </c>
      <c r="BH537" s="69" t="str">
        <f>IFERROR(VLOOKUP($AQ537,'(勿動)組件目錄表'!$D$15:$R$1094,12,FALSE),"")</f>
        <v/>
      </c>
      <c r="BI537" s="69" t="str">
        <f>IFERROR(VLOOKUP($AQ537,'(勿動)組件目錄表'!$D$15:$R$1094,13,FALSE),"")</f>
        <v/>
      </c>
      <c r="BJ537" s="69" t="str">
        <f>IFERROR(VLOOKUP($AQ537,'(勿動)組件目錄表'!$D$15:$R$1094,14,FALSE),"")</f>
        <v/>
      </c>
      <c r="BK537" s="69" t="str">
        <f>IFERROR(VLOOKUP($AQ537,'(勿動)組件目錄表'!$D$15:$R$1094,15,FALSE),"")</f>
        <v/>
      </c>
      <c r="BL537" s="81">
        <f ca="1">IFERROR(__xludf.DUMMYFUNCTION("IFERROR(
  LET(
    rowData, FILTER('(勿動)組件目錄表'!J:Q, '(勿動)組件目錄表'!D:D=AQ537),
    IF(ROWS(rowData)=0, 0, 
      (
        IF(AND(BC537&lt;&gt;"""", INDEX(rowData,1,1)=BC537),1,0) +
        IF(AND(BD537&lt;&gt;"""", INDEX(rowData,1,2)=BD537),1,0) +
        IF(AND(BE537"&amp;"&lt;&gt;"""", INDEX(rowData,1,3)=BE537),1,0) +
        IF(AND(BF537&lt;&gt;"""", INDEX(rowData,1,4)=BF537),1,0) +
        IF(AND(BG537&lt;&gt;"""", INDEX(rowData,1,5)=BG537),1,0) +
        IF(AND(BH537&lt;&gt;"""", INDEX(rowData,1,6)=BH537),1,0) +
        IF(AND(BI537&lt;&gt;"""", IND"&amp;"EX(rowData,1,7)=BI537),1,0) +
        IF(AND(BJ537&lt;&gt;"""", INDEX(rowData,1,8)=BJ537),1,0)
      ) - COUNTIF(BC537:BJ537, ""-"")
        - COUNTIF(BC537:BJ537, ""固定格式，不需提供資訊"")
        - COUNTIF(BC537:BJ537, ""由MKT更新，此欄位固定格式，不需提供資訊
(Voucher CID：12917705872)"&amp;""")
        - COUNTIF(BC537:BJ537, ""text固定為以下：
※直播間僅支援手機版"")
        - COUNTIF(BC537:BJ537, ""text固定為以下：
※短影音僅支援手機版"")
    )
  ), 
  0
)
"),0)</f>
        <v>0</v>
      </c>
      <c r="BM537" s="77" t="b">
        <v>0</v>
      </c>
      <c r="BN537" s="85"/>
      <c r="BO537" s="85"/>
    </row>
    <row r="538" spans="1:67" ht="30" customHeight="1">
      <c r="A538" s="73" t="str">
        <f t="array" aca="1" ref="A538" ca="1">IFERROR(TRANSPOSE(INDIRECT('MS section版配(Old)'!$AO538)),"")</f>
        <v/>
      </c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8"/>
      <c r="P538" s="88"/>
      <c r="Q538" s="88"/>
      <c r="R538" s="88"/>
      <c r="S538" s="88"/>
      <c r="T538" s="88"/>
      <c r="U538" s="88"/>
      <c r="V538" s="88"/>
      <c r="W538" s="88"/>
      <c r="X538" s="88"/>
      <c r="Y538" s="88"/>
      <c r="Z538" s="88"/>
      <c r="AA538" s="88"/>
      <c r="AB538" s="88"/>
      <c r="AC538" s="88"/>
      <c r="AD538" s="88"/>
      <c r="AE538" s="397" t="str">
        <f>IFERROR(VLOOKUP($AQ538,'(勿動)組件目錄表'!$D$15:$R$1094,4,FALSE),"")</f>
        <v/>
      </c>
      <c r="AF538" s="384"/>
      <c r="AG538" s="384"/>
      <c r="AH538" s="384"/>
      <c r="AI538" s="384"/>
      <c r="AJ538" s="385"/>
      <c r="AK538" s="54" t="b">
        <v>0</v>
      </c>
      <c r="AL538" s="54" t="b">
        <v>0</v>
      </c>
      <c r="AM538" s="54"/>
      <c r="AN538" s="7" t="str">
        <v>530</v>
      </c>
      <c r="AO538" s="7"/>
      <c r="AP538" s="62"/>
      <c r="AQ538" s="75" t="str">
        <v/>
      </c>
      <c r="AR538" s="75" t="str">
        <v>-</v>
      </c>
      <c r="AS538" s="11"/>
      <c r="AT538" s="77" t="str">
        <v>-</v>
      </c>
      <c r="AU538" s="11" t="str">
        <v>-</v>
      </c>
      <c r="AV538" s="100"/>
      <c r="AW538" s="80" t="str">
        <f ca="1"/>
        <v>-</v>
      </c>
      <c r="AX538" s="80" t="b">
        <v>0</v>
      </c>
      <c r="AY538" s="68" t="str">
        <f t="shared" si="8"/>
        <v/>
      </c>
      <c r="AZ538" s="69" t="str">
        <f t="shared" si="9"/>
        <v/>
      </c>
      <c r="BA538" s="70" t="str">
        <f t="shared" si="10"/>
        <v/>
      </c>
      <c r="BB538" s="68" t="str">
        <f t="shared" si="11"/>
        <v/>
      </c>
      <c r="BC538" s="69" t="str">
        <f>IFERROR(VLOOKUP($AQ538,'(勿動)組件目錄表'!$D$15:$R$1094,7,FALSE),"")</f>
        <v/>
      </c>
      <c r="BD538" s="69" t="str">
        <f>IFERROR(VLOOKUP($AQ538,'(勿動)組件目錄表'!$D$15:$R$1094,8,FALSE),"")</f>
        <v/>
      </c>
      <c r="BE538" s="69" t="str">
        <f>IFERROR(VLOOKUP($AQ538,'(勿動)組件目錄表'!$D$15:$R$1094,9,FALSE),"")</f>
        <v/>
      </c>
      <c r="BF538" s="69" t="str">
        <f>IFERROR(VLOOKUP($AQ538,'(勿動)組件目錄表'!$D$15:$R$1094,10,FALSE),"")</f>
        <v/>
      </c>
      <c r="BG538" s="69" t="str">
        <f>IFERROR(VLOOKUP($AQ538,'(勿動)組件目錄表'!$D$15:$R$1094,11,FALSE),"")</f>
        <v/>
      </c>
      <c r="BH538" s="69" t="str">
        <f>IFERROR(VLOOKUP($AQ538,'(勿動)組件目錄表'!$D$15:$R$1094,12,FALSE),"")</f>
        <v/>
      </c>
      <c r="BI538" s="69" t="str">
        <f>IFERROR(VLOOKUP($AQ538,'(勿動)組件目錄表'!$D$15:$R$1094,13,FALSE),"")</f>
        <v/>
      </c>
      <c r="BJ538" s="69" t="str">
        <f>IFERROR(VLOOKUP($AQ538,'(勿動)組件目錄表'!$D$15:$R$1094,14,FALSE),"")</f>
        <v/>
      </c>
      <c r="BK538" s="69" t="str">
        <f>IFERROR(VLOOKUP($AQ538,'(勿動)組件目錄表'!$D$15:$R$1094,15,FALSE),"")</f>
        <v/>
      </c>
      <c r="BL538" s="81">
        <f ca="1">IFERROR(__xludf.DUMMYFUNCTION("IFERROR(
  LET(
    rowData, FILTER('(勿動)組件目錄表'!J:Q, '(勿動)組件目錄表'!D:D=AQ538),
    IF(ROWS(rowData)=0, 0, 
      (
        IF(AND(BC538&lt;&gt;"""", INDEX(rowData,1,1)=BC538),1,0) +
        IF(AND(BD538&lt;&gt;"""", INDEX(rowData,1,2)=BD538),1,0) +
        IF(AND(BE538"&amp;"&lt;&gt;"""", INDEX(rowData,1,3)=BE538),1,0) +
        IF(AND(BF538&lt;&gt;"""", INDEX(rowData,1,4)=BF538),1,0) +
        IF(AND(BG538&lt;&gt;"""", INDEX(rowData,1,5)=BG538),1,0) +
        IF(AND(BH538&lt;&gt;"""", INDEX(rowData,1,6)=BH538),1,0) +
        IF(AND(BI538&lt;&gt;"""", IND"&amp;"EX(rowData,1,7)=BI538),1,0) +
        IF(AND(BJ538&lt;&gt;"""", INDEX(rowData,1,8)=BJ538),1,0)
      ) - COUNTIF(BC538:BJ538, ""-"")
        - COUNTIF(BC538:BJ538, ""固定格式，不需提供資訊"")
        - COUNTIF(BC538:BJ538, ""由MKT更新，此欄位固定格式，不需提供資訊
(Voucher CID：12917705872)"&amp;""")
        - COUNTIF(BC538:BJ538, ""text固定為以下：
※直播間僅支援手機版"")
        - COUNTIF(BC538:BJ538, ""text固定為以下：
※短影音僅支援手機版"")
    )
  ), 
  0
)
"),0)</f>
        <v>0</v>
      </c>
      <c r="BM538" s="77" t="b">
        <v>0</v>
      </c>
      <c r="BN538" s="85"/>
      <c r="BO538" s="85"/>
    </row>
    <row r="539" spans="1:67" ht="30" customHeight="1">
      <c r="A539" s="73" t="str">
        <f t="array" aca="1" ref="A539" ca="1">IFERROR(TRANSPOSE(INDIRECT('MS section版配(Old)'!$AO539)),"")</f>
        <v/>
      </c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8"/>
      <c r="P539" s="88"/>
      <c r="Q539" s="88"/>
      <c r="R539" s="88"/>
      <c r="S539" s="88"/>
      <c r="T539" s="88"/>
      <c r="U539" s="88"/>
      <c r="V539" s="88"/>
      <c r="W539" s="88"/>
      <c r="X539" s="88"/>
      <c r="Y539" s="88"/>
      <c r="Z539" s="88"/>
      <c r="AA539" s="88"/>
      <c r="AB539" s="88"/>
      <c r="AC539" s="88"/>
      <c r="AD539" s="88"/>
      <c r="AE539" s="397" t="str">
        <f>IFERROR(VLOOKUP($AQ539,'(勿動)組件目錄表'!$D$15:$R$1094,4,FALSE),"")</f>
        <v/>
      </c>
      <c r="AF539" s="384"/>
      <c r="AG539" s="384"/>
      <c r="AH539" s="384"/>
      <c r="AI539" s="384"/>
      <c r="AJ539" s="385"/>
      <c r="AK539" s="54" t="b">
        <v>0</v>
      </c>
      <c r="AL539" s="54" t="b">
        <v>0</v>
      </c>
      <c r="AM539" s="54"/>
      <c r="AN539" s="7" t="str">
        <v>531</v>
      </c>
      <c r="AO539" s="7"/>
      <c r="AP539" s="62"/>
      <c r="AQ539" s="75" t="str">
        <v/>
      </c>
      <c r="AR539" s="75" t="str">
        <v>-</v>
      </c>
      <c r="AS539" s="11"/>
      <c r="AT539" s="77" t="str">
        <v>-</v>
      </c>
      <c r="AU539" s="11" t="str">
        <v>-</v>
      </c>
      <c r="AV539" s="100"/>
      <c r="AW539" s="80" t="str">
        <f ca="1"/>
        <v>-</v>
      </c>
      <c r="AX539" s="80" t="b">
        <v>0</v>
      </c>
      <c r="AY539" s="68" t="str">
        <f t="shared" si="8"/>
        <v/>
      </c>
      <c r="AZ539" s="69" t="str">
        <f t="shared" si="9"/>
        <v/>
      </c>
      <c r="BA539" s="70" t="str">
        <f t="shared" si="10"/>
        <v/>
      </c>
      <c r="BB539" s="68" t="str">
        <f t="shared" si="11"/>
        <v/>
      </c>
      <c r="BC539" s="69" t="str">
        <f>IFERROR(VLOOKUP($AQ539,'(勿動)組件目錄表'!$D$15:$R$1094,7,FALSE),"")</f>
        <v/>
      </c>
      <c r="BD539" s="69" t="str">
        <f>IFERROR(VLOOKUP($AQ539,'(勿動)組件目錄表'!$D$15:$R$1094,8,FALSE),"")</f>
        <v/>
      </c>
      <c r="BE539" s="69" t="str">
        <f>IFERROR(VLOOKUP($AQ539,'(勿動)組件目錄表'!$D$15:$R$1094,9,FALSE),"")</f>
        <v/>
      </c>
      <c r="BF539" s="69" t="str">
        <f>IFERROR(VLOOKUP($AQ539,'(勿動)組件目錄表'!$D$15:$R$1094,10,FALSE),"")</f>
        <v/>
      </c>
      <c r="BG539" s="69" t="str">
        <f>IFERROR(VLOOKUP($AQ539,'(勿動)組件目錄表'!$D$15:$R$1094,11,FALSE),"")</f>
        <v/>
      </c>
      <c r="BH539" s="69" t="str">
        <f>IFERROR(VLOOKUP($AQ539,'(勿動)組件目錄表'!$D$15:$R$1094,12,FALSE),"")</f>
        <v/>
      </c>
      <c r="BI539" s="69" t="str">
        <f>IFERROR(VLOOKUP($AQ539,'(勿動)組件目錄表'!$D$15:$R$1094,13,FALSE),"")</f>
        <v/>
      </c>
      <c r="BJ539" s="69" t="str">
        <f>IFERROR(VLOOKUP($AQ539,'(勿動)組件目錄表'!$D$15:$R$1094,14,FALSE),"")</f>
        <v/>
      </c>
      <c r="BK539" s="69" t="str">
        <f>IFERROR(VLOOKUP($AQ539,'(勿動)組件目錄表'!$D$15:$R$1094,15,FALSE),"")</f>
        <v/>
      </c>
      <c r="BL539" s="81">
        <f ca="1">IFERROR(__xludf.DUMMYFUNCTION("IFERROR(
  LET(
    rowData, FILTER('(勿動)組件目錄表'!J:Q, '(勿動)組件目錄表'!D:D=AQ539),
    IF(ROWS(rowData)=0, 0, 
      (
        IF(AND(BC539&lt;&gt;"""", INDEX(rowData,1,1)=BC539),1,0) +
        IF(AND(BD539&lt;&gt;"""", INDEX(rowData,1,2)=BD539),1,0) +
        IF(AND(BE539"&amp;"&lt;&gt;"""", INDEX(rowData,1,3)=BE539),1,0) +
        IF(AND(BF539&lt;&gt;"""", INDEX(rowData,1,4)=BF539),1,0) +
        IF(AND(BG539&lt;&gt;"""", INDEX(rowData,1,5)=BG539),1,0) +
        IF(AND(BH539&lt;&gt;"""", INDEX(rowData,1,6)=BH539),1,0) +
        IF(AND(BI539&lt;&gt;"""", IND"&amp;"EX(rowData,1,7)=BI539),1,0) +
        IF(AND(BJ539&lt;&gt;"""", INDEX(rowData,1,8)=BJ539),1,0)
      ) - COUNTIF(BC539:BJ539, ""-"")
        - COUNTIF(BC539:BJ539, ""固定格式，不需提供資訊"")
        - COUNTIF(BC539:BJ539, ""由MKT更新，此欄位固定格式，不需提供資訊
(Voucher CID：12917705872)"&amp;""")
        - COUNTIF(BC539:BJ539, ""text固定為以下：
※直播間僅支援手機版"")
        - COUNTIF(BC539:BJ539, ""text固定為以下：
※短影音僅支援手機版"")
    )
  ), 
  0
)
"),0)</f>
        <v>0</v>
      </c>
      <c r="BM539" s="77" t="b">
        <v>0</v>
      </c>
      <c r="BN539" s="85"/>
      <c r="BO539" s="85"/>
    </row>
    <row r="540" spans="1:67" ht="30" customHeight="1">
      <c r="A540" s="73" t="str">
        <f t="array" aca="1" ref="A540" ca="1">IFERROR(TRANSPOSE(INDIRECT('MS section版配(Old)'!$AO540)),"")</f>
        <v/>
      </c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8"/>
      <c r="P540" s="88"/>
      <c r="Q540" s="88"/>
      <c r="R540" s="88"/>
      <c r="S540" s="88"/>
      <c r="T540" s="88"/>
      <c r="U540" s="88"/>
      <c r="V540" s="88"/>
      <c r="W540" s="88"/>
      <c r="X540" s="88"/>
      <c r="Y540" s="88"/>
      <c r="Z540" s="88"/>
      <c r="AA540" s="88"/>
      <c r="AB540" s="88"/>
      <c r="AC540" s="88"/>
      <c r="AD540" s="88"/>
      <c r="AE540" s="397" t="str">
        <f>IFERROR(VLOOKUP($AQ540,'(勿動)組件目錄表'!$D$15:$R$1094,4,FALSE),"")</f>
        <v/>
      </c>
      <c r="AF540" s="384"/>
      <c r="AG540" s="384"/>
      <c r="AH540" s="384"/>
      <c r="AI540" s="384"/>
      <c r="AJ540" s="385"/>
      <c r="AK540" s="54" t="b">
        <v>0</v>
      </c>
      <c r="AL540" s="54" t="b">
        <v>0</v>
      </c>
      <c r="AM540" s="54"/>
      <c r="AN540" s="7" t="str">
        <v>532</v>
      </c>
      <c r="AO540" s="7"/>
      <c r="AP540" s="62"/>
      <c r="AQ540" s="75" t="str">
        <v/>
      </c>
      <c r="AR540" s="75" t="str">
        <v>-</v>
      </c>
      <c r="AS540" s="11"/>
      <c r="AT540" s="77" t="str">
        <v>-</v>
      </c>
      <c r="AU540" s="11" t="str">
        <v>-</v>
      </c>
      <c r="AV540" s="100"/>
      <c r="AW540" s="80" t="str">
        <f ca="1"/>
        <v>-</v>
      </c>
      <c r="AX540" s="80" t="b">
        <v>0</v>
      </c>
      <c r="AY540" s="68" t="str">
        <f t="shared" si="8"/>
        <v/>
      </c>
      <c r="AZ540" s="69" t="str">
        <f t="shared" si="9"/>
        <v/>
      </c>
      <c r="BA540" s="70" t="str">
        <f t="shared" si="10"/>
        <v/>
      </c>
      <c r="BB540" s="68" t="str">
        <f t="shared" si="11"/>
        <v/>
      </c>
      <c r="BC540" s="69" t="str">
        <f>IFERROR(VLOOKUP($AQ540,'(勿動)組件目錄表'!$D$15:$R$1094,7,FALSE),"")</f>
        <v/>
      </c>
      <c r="BD540" s="69" t="str">
        <f>IFERROR(VLOOKUP($AQ540,'(勿動)組件目錄表'!$D$15:$R$1094,8,FALSE),"")</f>
        <v/>
      </c>
      <c r="BE540" s="69" t="str">
        <f>IFERROR(VLOOKUP($AQ540,'(勿動)組件目錄表'!$D$15:$R$1094,9,FALSE),"")</f>
        <v/>
      </c>
      <c r="BF540" s="69" t="str">
        <f>IFERROR(VLOOKUP($AQ540,'(勿動)組件目錄表'!$D$15:$R$1094,10,FALSE),"")</f>
        <v/>
      </c>
      <c r="BG540" s="69" t="str">
        <f>IFERROR(VLOOKUP($AQ540,'(勿動)組件目錄表'!$D$15:$R$1094,11,FALSE),"")</f>
        <v/>
      </c>
      <c r="BH540" s="69" t="str">
        <f>IFERROR(VLOOKUP($AQ540,'(勿動)組件目錄表'!$D$15:$R$1094,12,FALSE),"")</f>
        <v/>
      </c>
      <c r="BI540" s="69" t="str">
        <f>IFERROR(VLOOKUP($AQ540,'(勿動)組件目錄表'!$D$15:$R$1094,13,FALSE),"")</f>
        <v/>
      </c>
      <c r="BJ540" s="69" t="str">
        <f>IFERROR(VLOOKUP($AQ540,'(勿動)組件目錄表'!$D$15:$R$1094,14,FALSE),"")</f>
        <v/>
      </c>
      <c r="BK540" s="69" t="str">
        <f>IFERROR(VLOOKUP($AQ540,'(勿動)組件目錄表'!$D$15:$R$1094,15,FALSE),"")</f>
        <v/>
      </c>
      <c r="BL540" s="81">
        <f ca="1">IFERROR(__xludf.DUMMYFUNCTION("IFERROR(
  LET(
    rowData, FILTER('(勿動)組件目錄表'!J:Q, '(勿動)組件目錄表'!D:D=AQ540),
    IF(ROWS(rowData)=0, 0, 
      (
        IF(AND(BC540&lt;&gt;"""", INDEX(rowData,1,1)=BC540),1,0) +
        IF(AND(BD540&lt;&gt;"""", INDEX(rowData,1,2)=BD540),1,0) +
        IF(AND(BE540"&amp;"&lt;&gt;"""", INDEX(rowData,1,3)=BE540),1,0) +
        IF(AND(BF540&lt;&gt;"""", INDEX(rowData,1,4)=BF540),1,0) +
        IF(AND(BG540&lt;&gt;"""", INDEX(rowData,1,5)=BG540),1,0) +
        IF(AND(BH540&lt;&gt;"""", INDEX(rowData,1,6)=BH540),1,0) +
        IF(AND(BI540&lt;&gt;"""", IND"&amp;"EX(rowData,1,7)=BI540),1,0) +
        IF(AND(BJ540&lt;&gt;"""", INDEX(rowData,1,8)=BJ540),1,0)
      ) - COUNTIF(BC540:BJ540, ""-"")
        - COUNTIF(BC540:BJ540, ""固定格式，不需提供資訊"")
        - COUNTIF(BC540:BJ540, ""由MKT更新，此欄位固定格式，不需提供資訊
(Voucher CID：12917705872)"&amp;""")
        - COUNTIF(BC540:BJ540, ""text固定為以下：
※直播間僅支援手機版"")
        - COUNTIF(BC540:BJ540, ""text固定為以下：
※短影音僅支援手機版"")
    )
  ), 
  0
)
"),0)</f>
        <v>0</v>
      </c>
      <c r="BM540" s="77" t="b">
        <v>0</v>
      </c>
      <c r="BN540" s="85"/>
      <c r="BO540" s="85"/>
    </row>
    <row r="541" spans="1:67" ht="30" customHeight="1">
      <c r="A541" s="73" t="str">
        <f t="array" aca="1" ref="A541" ca="1">IFERROR(TRANSPOSE(INDIRECT('MS section版配(Old)'!$AO541)),"")</f>
        <v/>
      </c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8"/>
      <c r="P541" s="88"/>
      <c r="Q541" s="88"/>
      <c r="R541" s="88"/>
      <c r="S541" s="88"/>
      <c r="T541" s="88"/>
      <c r="U541" s="88"/>
      <c r="V541" s="88"/>
      <c r="W541" s="88"/>
      <c r="X541" s="88"/>
      <c r="Y541" s="88"/>
      <c r="Z541" s="88"/>
      <c r="AA541" s="88"/>
      <c r="AB541" s="88"/>
      <c r="AC541" s="88"/>
      <c r="AD541" s="88"/>
      <c r="AE541" s="397" t="str">
        <f>IFERROR(VLOOKUP($AQ541,'(勿動)組件目錄表'!$D$15:$R$1094,4,FALSE),"")</f>
        <v/>
      </c>
      <c r="AF541" s="384"/>
      <c r="AG541" s="384"/>
      <c r="AH541" s="384"/>
      <c r="AI541" s="384"/>
      <c r="AJ541" s="385"/>
      <c r="AK541" s="54" t="b">
        <v>0</v>
      </c>
      <c r="AL541" s="54" t="b">
        <v>0</v>
      </c>
      <c r="AM541" s="54"/>
      <c r="AN541" s="7" t="str">
        <v>533</v>
      </c>
      <c r="AO541" s="7"/>
      <c r="AP541" s="62"/>
      <c r="AQ541" s="75" t="str">
        <v/>
      </c>
      <c r="AR541" s="75" t="str">
        <v>-</v>
      </c>
      <c r="AS541" s="11"/>
      <c r="AT541" s="77" t="str">
        <v>-</v>
      </c>
      <c r="AU541" s="11" t="str">
        <v>-</v>
      </c>
      <c r="AV541" s="100"/>
      <c r="AW541" s="80" t="str">
        <f ca="1"/>
        <v>-</v>
      </c>
      <c r="AX541" s="80" t="b">
        <v>0</v>
      </c>
      <c r="AY541" s="68" t="str">
        <f t="shared" si="8"/>
        <v/>
      </c>
      <c r="AZ541" s="69" t="str">
        <f t="shared" si="9"/>
        <v/>
      </c>
      <c r="BA541" s="70" t="str">
        <f t="shared" si="10"/>
        <v/>
      </c>
      <c r="BB541" s="68" t="str">
        <f t="shared" si="11"/>
        <v/>
      </c>
      <c r="BC541" s="69" t="str">
        <f>IFERROR(VLOOKUP($AQ541,'(勿動)組件目錄表'!$D$15:$R$1094,7,FALSE),"")</f>
        <v/>
      </c>
      <c r="BD541" s="69" t="str">
        <f>IFERROR(VLOOKUP($AQ541,'(勿動)組件目錄表'!$D$15:$R$1094,8,FALSE),"")</f>
        <v/>
      </c>
      <c r="BE541" s="69" t="str">
        <f>IFERROR(VLOOKUP($AQ541,'(勿動)組件目錄表'!$D$15:$R$1094,9,FALSE),"")</f>
        <v/>
      </c>
      <c r="BF541" s="69" t="str">
        <f>IFERROR(VLOOKUP($AQ541,'(勿動)組件目錄表'!$D$15:$R$1094,10,FALSE),"")</f>
        <v/>
      </c>
      <c r="BG541" s="69" t="str">
        <f>IFERROR(VLOOKUP($AQ541,'(勿動)組件目錄表'!$D$15:$R$1094,11,FALSE),"")</f>
        <v/>
      </c>
      <c r="BH541" s="69" t="str">
        <f>IFERROR(VLOOKUP($AQ541,'(勿動)組件目錄表'!$D$15:$R$1094,12,FALSE),"")</f>
        <v/>
      </c>
      <c r="BI541" s="69" t="str">
        <f>IFERROR(VLOOKUP($AQ541,'(勿動)組件目錄表'!$D$15:$R$1094,13,FALSE),"")</f>
        <v/>
      </c>
      <c r="BJ541" s="69" t="str">
        <f>IFERROR(VLOOKUP($AQ541,'(勿動)組件目錄表'!$D$15:$R$1094,14,FALSE),"")</f>
        <v/>
      </c>
      <c r="BK541" s="69" t="str">
        <f>IFERROR(VLOOKUP($AQ541,'(勿動)組件目錄表'!$D$15:$R$1094,15,FALSE),"")</f>
        <v/>
      </c>
      <c r="BL541" s="81">
        <f ca="1">IFERROR(__xludf.DUMMYFUNCTION("IFERROR(
  LET(
    rowData, FILTER('(勿動)組件目錄表'!J:Q, '(勿動)組件目錄表'!D:D=AQ541),
    IF(ROWS(rowData)=0, 0, 
      (
        IF(AND(BC541&lt;&gt;"""", INDEX(rowData,1,1)=BC541),1,0) +
        IF(AND(BD541&lt;&gt;"""", INDEX(rowData,1,2)=BD541),1,0) +
        IF(AND(BE541"&amp;"&lt;&gt;"""", INDEX(rowData,1,3)=BE541),1,0) +
        IF(AND(BF541&lt;&gt;"""", INDEX(rowData,1,4)=BF541),1,0) +
        IF(AND(BG541&lt;&gt;"""", INDEX(rowData,1,5)=BG541),1,0) +
        IF(AND(BH541&lt;&gt;"""", INDEX(rowData,1,6)=BH541),1,0) +
        IF(AND(BI541&lt;&gt;"""", IND"&amp;"EX(rowData,1,7)=BI541),1,0) +
        IF(AND(BJ541&lt;&gt;"""", INDEX(rowData,1,8)=BJ541),1,0)
      ) - COUNTIF(BC541:BJ541, ""-"")
        - COUNTIF(BC541:BJ541, ""固定格式，不需提供資訊"")
        - COUNTIF(BC541:BJ541, ""由MKT更新，此欄位固定格式，不需提供資訊
(Voucher CID：12917705872)"&amp;""")
        - COUNTIF(BC541:BJ541, ""text固定為以下：
※直播間僅支援手機版"")
        - COUNTIF(BC541:BJ541, ""text固定為以下：
※短影音僅支援手機版"")
    )
  ), 
  0
)
"),0)</f>
        <v>0</v>
      </c>
      <c r="BM541" s="77" t="b">
        <v>0</v>
      </c>
      <c r="BN541" s="85"/>
      <c r="BO541" s="85"/>
    </row>
    <row r="542" spans="1:67" ht="30" customHeight="1">
      <c r="A542" s="73" t="str">
        <f t="array" aca="1" ref="A542" ca="1">IFERROR(TRANSPOSE(INDIRECT('MS section版配(Old)'!$AO542)),"")</f>
        <v/>
      </c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8"/>
      <c r="P542" s="88"/>
      <c r="Q542" s="88"/>
      <c r="R542" s="88"/>
      <c r="S542" s="88"/>
      <c r="T542" s="88"/>
      <c r="U542" s="88"/>
      <c r="V542" s="88"/>
      <c r="W542" s="88"/>
      <c r="X542" s="88"/>
      <c r="Y542" s="88"/>
      <c r="Z542" s="88"/>
      <c r="AA542" s="88"/>
      <c r="AB542" s="88"/>
      <c r="AC542" s="88"/>
      <c r="AD542" s="88"/>
      <c r="AE542" s="397" t="str">
        <f>IFERROR(VLOOKUP($AQ542,'(勿動)組件目錄表'!$D$15:$R$1094,4,FALSE),"")</f>
        <v/>
      </c>
      <c r="AF542" s="384"/>
      <c r="AG542" s="384"/>
      <c r="AH542" s="384"/>
      <c r="AI542" s="384"/>
      <c r="AJ542" s="385"/>
      <c r="AK542" s="54" t="b">
        <v>0</v>
      </c>
      <c r="AL542" s="54" t="b">
        <v>0</v>
      </c>
      <c r="AM542" s="54"/>
      <c r="AN542" s="7" t="str">
        <v>534</v>
      </c>
      <c r="AO542" s="7"/>
      <c r="AP542" s="62"/>
      <c r="AQ542" s="75" t="str">
        <v/>
      </c>
      <c r="AR542" s="75" t="str">
        <v>-</v>
      </c>
      <c r="AS542" s="11"/>
      <c r="AT542" s="77" t="str">
        <v>-</v>
      </c>
      <c r="AU542" s="11" t="str">
        <v>-</v>
      </c>
      <c r="AV542" s="100"/>
      <c r="AW542" s="80" t="str">
        <f ca="1"/>
        <v>-</v>
      </c>
      <c r="AX542" s="80" t="b">
        <v>0</v>
      </c>
      <c r="AY542" s="68" t="str">
        <f t="shared" si="8"/>
        <v/>
      </c>
      <c r="AZ542" s="69" t="str">
        <f t="shared" si="9"/>
        <v/>
      </c>
      <c r="BA542" s="70" t="str">
        <f t="shared" si="10"/>
        <v/>
      </c>
      <c r="BB542" s="68" t="str">
        <f t="shared" si="11"/>
        <v/>
      </c>
      <c r="BC542" s="69" t="str">
        <f>IFERROR(VLOOKUP($AQ542,'(勿動)組件目錄表'!$D$15:$R$1094,7,FALSE),"")</f>
        <v/>
      </c>
      <c r="BD542" s="69" t="str">
        <f>IFERROR(VLOOKUP($AQ542,'(勿動)組件目錄表'!$D$15:$R$1094,8,FALSE),"")</f>
        <v/>
      </c>
      <c r="BE542" s="69" t="str">
        <f>IFERROR(VLOOKUP($AQ542,'(勿動)組件目錄表'!$D$15:$R$1094,9,FALSE),"")</f>
        <v/>
      </c>
      <c r="BF542" s="69" t="str">
        <f>IFERROR(VLOOKUP($AQ542,'(勿動)組件目錄表'!$D$15:$R$1094,10,FALSE),"")</f>
        <v/>
      </c>
      <c r="BG542" s="69" t="str">
        <f>IFERROR(VLOOKUP($AQ542,'(勿動)組件目錄表'!$D$15:$R$1094,11,FALSE),"")</f>
        <v/>
      </c>
      <c r="BH542" s="69" t="str">
        <f>IFERROR(VLOOKUP($AQ542,'(勿動)組件目錄表'!$D$15:$R$1094,12,FALSE),"")</f>
        <v/>
      </c>
      <c r="BI542" s="69" t="str">
        <f>IFERROR(VLOOKUP($AQ542,'(勿動)組件目錄表'!$D$15:$R$1094,13,FALSE),"")</f>
        <v/>
      </c>
      <c r="BJ542" s="69" t="str">
        <f>IFERROR(VLOOKUP($AQ542,'(勿動)組件目錄表'!$D$15:$R$1094,14,FALSE),"")</f>
        <v/>
      </c>
      <c r="BK542" s="69" t="str">
        <f>IFERROR(VLOOKUP($AQ542,'(勿動)組件目錄表'!$D$15:$R$1094,15,FALSE),"")</f>
        <v/>
      </c>
      <c r="BL542" s="81">
        <f ca="1">IFERROR(__xludf.DUMMYFUNCTION("IFERROR(
  LET(
    rowData, FILTER('(勿動)組件目錄表'!J:Q, '(勿動)組件目錄表'!D:D=AQ542),
    IF(ROWS(rowData)=0, 0, 
      (
        IF(AND(BC542&lt;&gt;"""", INDEX(rowData,1,1)=BC542),1,0) +
        IF(AND(BD542&lt;&gt;"""", INDEX(rowData,1,2)=BD542),1,0) +
        IF(AND(BE542"&amp;"&lt;&gt;"""", INDEX(rowData,1,3)=BE542),1,0) +
        IF(AND(BF542&lt;&gt;"""", INDEX(rowData,1,4)=BF542),1,0) +
        IF(AND(BG542&lt;&gt;"""", INDEX(rowData,1,5)=BG542),1,0) +
        IF(AND(BH542&lt;&gt;"""", INDEX(rowData,1,6)=BH542),1,0) +
        IF(AND(BI542&lt;&gt;"""", IND"&amp;"EX(rowData,1,7)=BI542),1,0) +
        IF(AND(BJ542&lt;&gt;"""", INDEX(rowData,1,8)=BJ542),1,0)
      ) - COUNTIF(BC542:BJ542, ""-"")
        - COUNTIF(BC542:BJ542, ""固定格式，不需提供資訊"")
        - COUNTIF(BC542:BJ542, ""由MKT更新，此欄位固定格式，不需提供資訊
(Voucher CID：12917705872)"&amp;""")
        - COUNTIF(BC542:BJ542, ""text固定為以下：
※直播間僅支援手機版"")
        - COUNTIF(BC542:BJ542, ""text固定為以下：
※短影音僅支援手機版"")
    )
  ), 
  0
)
"),0)</f>
        <v>0</v>
      </c>
      <c r="BM542" s="77" t="b">
        <v>0</v>
      </c>
      <c r="BN542" s="85"/>
      <c r="BO542" s="85"/>
    </row>
    <row r="543" spans="1:67" ht="30" customHeight="1">
      <c r="A543" s="73" t="str">
        <f t="array" aca="1" ref="A543" ca="1">IFERROR(TRANSPOSE(INDIRECT('MS section版配(Old)'!$AO543)),"")</f>
        <v/>
      </c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8"/>
      <c r="P543" s="88"/>
      <c r="Q543" s="88"/>
      <c r="R543" s="88"/>
      <c r="S543" s="88"/>
      <c r="T543" s="88"/>
      <c r="U543" s="88"/>
      <c r="V543" s="88"/>
      <c r="W543" s="88"/>
      <c r="X543" s="88"/>
      <c r="Y543" s="88"/>
      <c r="Z543" s="88"/>
      <c r="AA543" s="88"/>
      <c r="AB543" s="88"/>
      <c r="AC543" s="88"/>
      <c r="AD543" s="88"/>
      <c r="AE543" s="397" t="str">
        <f>IFERROR(VLOOKUP($AQ543,'(勿動)組件目錄表'!$D$15:$R$1094,4,FALSE),"")</f>
        <v/>
      </c>
      <c r="AF543" s="384"/>
      <c r="AG543" s="384"/>
      <c r="AH543" s="384"/>
      <c r="AI543" s="384"/>
      <c r="AJ543" s="385"/>
      <c r="AK543" s="54" t="b">
        <v>0</v>
      </c>
      <c r="AL543" s="54" t="b">
        <v>0</v>
      </c>
      <c r="AM543" s="54"/>
      <c r="AN543" s="7" t="str">
        <v>535</v>
      </c>
      <c r="AO543" s="7"/>
      <c r="AP543" s="62"/>
      <c r="AQ543" s="75" t="str">
        <v/>
      </c>
      <c r="AR543" s="75" t="str">
        <v>-</v>
      </c>
      <c r="AS543" s="11"/>
      <c r="AT543" s="77" t="str">
        <v>-</v>
      </c>
      <c r="AU543" s="11" t="str">
        <v>-</v>
      </c>
      <c r="AV543" s="100"/>
      <c r="AW543" s="80" t="str">
        <f ca="1"/>
        <v>-</v>
      </c>
      <c r="AX543" s="80" t="b">
        <v>0</v>
      </c>
      <c r="AY543" s="68" t="str">
        <f t="shared" si="8"/>
        <v/>
      </c>
      <c r="AZ543" s="69" t="str">
        <f t="shared" si="9"/>
        <v/>
      </c>
      <c r="BA543" s="70" t="str">
        <f t="shared" si="10"/>
        <v/>
      </c>
      <c r="BB543" s="68" t="str">
        <f t="shared" si="11"/>
        <v/>
      </c>
      <c r="BC543" s="69" t="str">
        <f>IFERROR(VLOOKUP($AQ543,'(勿動)組件目錄表'!$D$15:$R$1094,7,FALSE),"")</f>
        <v/>
      </c>
      <c r="BD543" s="69" t="str">
        <f>IFERROR(VLOOKUP($AQ543,'(勿動)組件目錄表'!$D$15:$R$1094,8,FALSE),"")</f>
        <v/>
      </c>
      <c r="BE543" s="69" t="str">
        <f>IFERROR(VLOOKUP($AQ543,'(勿動)組件目錄表'!$D$15:$R$1094,9,FALSE),"")</f>
        <v/>
      </c>
      <c r="BF543" s="69" t="str">
        <f>IFERROR(VLOOKUP($AQ543,'(勿動)組件目錄表'!$D$15:$R$1094,10,FALSE),"")</f>
        <v/>
      </c>
      <c r="BG543" s="69" t="str">
        <f>IFERROR(VLOOKUP($AQ543,'(勿動)組件目錄表'!$D$15:$R$1094,11,FALSE),"")</f>
        <v/>
      </c>
      <c r="BH543" s="69" t="str">
        <f>IFERROR(VLOOKUP($AQ543,'(勿動)組件目錄表'!$D$15:$R$1094,12,FALSE),"")</f>
        <v/>
      </c>
      <c r="BI543" s="69" t="str">
        <f>IFERROR(VLOOKUP($AQ543,'(勿動)組件目錄表'!$D$15:$R$1094,13,FALSE),"")</f>
        <v/>
      </c>
      <c r="BJ543" s="69" t="str">
        <f>IFERROR(VLOOKUP($AQ543,'(勿動)組件目錄表'!$D$15:$R$1094,14,FALSE),"")</f>
        <v/>
      </c>
      <c r="BK543" s="69" t="str">
        <f>IFERROR(VLOOKUP($AQ543,'(勿動)組件目錄表'!$D$15:$R$1094,15,FALSE),"")</f>
        <v/>
      </c>
      <c r="BL543" s="81">
        <f ca="1">IFERROR(__xludf.DUMMYFUNCTION("IFERROR(
  LET(
    rowData, FILTER('(勿動)組件目錄表'!J:Q, '(勿動)組件目錄表'!D:D=AQ543),
    IF(ROWS(rowData)=0, 0, 
      (
        IF(AND(BC543&lt;&gt;"""", INDEX(rowData,1,1)=BC543),1,0) +
        IF(AND(BD543&lt;&gt;"""", INDEX(rowData,1,2)=BD543),1,0) +
        IF(AND(BE543"&amp;"&lt;&gt;"""", INDEX(rowData,1,3)=BE543),1,0) +
        IF(AND(BF543&lt;&gt;"""", INDEX(rowData,1,4)=BF543),1,0) +
        IF(AND(BG543&lt;&gt;"""", INDEX(rowData,1,5)=BG543),1,0) +
        IF(AND(BH543&lt;&gt;"""", INDEX(rowData,1,6)=BH543),1,0) +
        IF(AND(BI543&lt;&gt;"""", IND"&amp;"EX(rowData,1,7)=BI543),1,0) +
        IF(AND(BJ543&lt;&gt;"""", INDEX(rowData,1,8)=BJ543),1,0)
      ) - COUNTIF(BC543:BJ543, ""-"")
        - COUNTIF(BC543:BJ543, ""固定格式，不需提供資訊"")
        - COUNTIF(BC543:BJ543, ""由MKT更新，此欄位固定格式，不需提供資訊
(Voucher CID：12917705872)"&amp;""")
        - COUNTIF(BC543:BJ543, ""text固定為以下：
※直播間僅支援手機版"")
        - COUNTIF(BC543:BJ543, ""text固定為以下：
※短影音僅支援手機版"")
    )
  ), 
  0
)
"),0)</f>
        <v>0</v>
      </c>
      <c r="BM543" s="77" t="b">
        <v>0</v>
      </c>
      <c r="BN543" s="85"/>
      <c r="BO543" s="85"/>
    </row>
    <row r="544" spans="1:67" ht="30" customHeight="1">
      <c r="A544" s="73" t="str">
        <f t="array" aca="1" ref="A544" ca="1">IFERROR(TRANSPOSE(INDIRECT('MS section版配(Old)'!$AO544)),"")</f>
        <v/>
      </c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8"/>
      <c r="P544" s="88"/>
      <c r="Q544" s="88"/>
      <c r="R544" s="88"/>
      <c r="S544" s="88"/>
      <c r="T544" s="88"/>
      <c r="U544" s="88"/>
      <c r="V544" s="88"/>
      <c r="W544" s="88"/>
      <c r="X544" s="88"/>
      <c r="Y544" s="88"/>
      <c r="Z544" s="88"/>
      <c r="AA544" s="88"/>
      <c r="AB544" s="88"/>
      <c r="AC544" s="88"/>
      <c r="AD544" s="88"/>
      <c r="AE544" s="397" t="str">
        <f>IFERROR(VLOOKUP($AQ544,'(勿動)組件目錄表'!$D$15:$R$1094,4,FALSE),"")</f>
        <v/>
      </c>
      <c r="AF544" s="384"/>
      <c r="AG544" s="384"/>
      <c r="AH544" s="384"/>
      <c r="AI544" s="384"/>
      <c r="AJ544" s="385"/>
      <c r="AK544" s="54" t="b">
        <v>0</v>
      </c>
      <c r="AL544" s="54" t="b">
        <v>0</v>
      </c>
      <c r="AM544" s="54"/>
      <c r="AN544" s="7" t="str">
        <v>536</v>
      </c>
      <c r="AO544" s="7"/>
      <c r="AP544" s="62"/>
      <c r="AQ544" s="75" t="str">
        <v/>
      </c>
      <c r="AR544" s="75" t="str">
        <v>-</v>
      </c>
      <c r="AS544" s="11"/>
      <c r="AT544" s="77" t="str">
        <v>-</v>
      </c>
      <c r="AU544" s="11" t="str">
        <v>-</v>
      </c>
      <c r="AV544" s="100"/>
      <c r="AW544" s="80" t="str">
        <f ca="1"/>
        <v>-</v>
      </c>
      <c r="AX544" s="80" t="b">
        <v>0</v>
      </c>
      <c r="AY544" s="68" t="str">
        <f t="shared" si="8"/>
        <v/>
      </c>
      <c r="AZ544" s="69" t="str">
        <f t="shared" si="9"/>
        <v/>
      </c>
      <c r="BA544" s="70" t="str">
        <f t="shared" si="10"/>
        <v/>
      </c>
      <c r="BB544" s="68" t="str">
        <f t="shared" si="11"/>
        <v/>
      </c>
      <c r="BC544" s="69" t="str">
        <f>IFERROR(VLOOKUP($AQ544,'(勿動)組件目錄表'!$D$15:$R$1094,7,FALSE),"")</f>
        <v/>
      </c>
      <c r="BD544" s="69" t="str">
        <f>IFERROR(VLOOKUP($AQ544,'(勿動)組件目錄表'!$D$15:$R$1094,8,FALSE),"")</f>
        <v/>
      </c>
      <c r="BE544" s="69" t="str">
        <f>IFERROR(VLOOKUP($AQ544,'(勿動)組件目錄表'!$D$15:$R$1094,9,FALSE),"")</f>
        <v/>
      </c>
      <c r="BF544" s="69" t="str">
        <f>IFERROR(VLOOKUP($AQ544,'(勿動)組件目錄表'!$D$15:$R$1094,10,FALSE),"")</f>
        <v/>
      </c>
      <c r="BG544" s="69" t="str">
        <f>IFERROR(VLOOKUP($AQ544,'(勿動)組件目錄表'!$D$15:$R$1094,11,FALSE),"")</f>
        <v/>
      </c>
      <c r="BH544" s="69" t="str">
        <f>IFERROR(VLOOKUP($AQ544,'(勿動)組件目錄表'!$D$15:$R$1094,12,FALSE),"")</f>
        <v/>
      </c>
      <c r="BI544" s="69" t="str">
        <f>IFERROR(VLOOKUP($AQ544,'(勿動)組件目錄表'!$D$15:$R$1094,13,FALSE),"")</f>
        <v/>
      </c>
      <c r="BJ544" s="69" t="str">
        <f>IFERROR(VLOOKUP($AQ544,'(勿動)組件目錄表'!$D$15:$R$1094,14,FALSE),"")</f>
        <v/>
      </c>
      <c r="BK544" s="69" t="str">
        <f>IFERROR(VLOOKUP($AQ544,'(勿動)組件目錄表'!$D$15:$R$1094,15,FALSE),"")</f>
        <v/>
      </c>
      <c r="BL544" s="81">
        <f ca="1">IFERROR(__xludf.DUMMYFUNCTION("IFERROR(
  LET(
    rowData, FILTER('(勿動)組件目錄表'!J:Q, '(勿動)組件目錄表'!D:D=AQ544),
    IF(ROWS(rowData)=0, 0, 
      (
        IF(AND(BC544&lt;&gt;"""", INDEX(rowData,1,1)=BC544),1,0) +
        IF(AND(BD544&lt;&gt;"""", INDEX(rowData,1,2)=BD544),1,0) +
        IF(AND(BE544"&amp;"&lt;&gt;"""", INDEX(rowData,1,3)=BE544),1,0) +
        IF(AND(BF544&lt;&gt;"""", INDEX(rowData,1,4)=BF544),1,0) +
        IF(AND(BG544&lt;&gt;"""", INDEX(rowData,1,5)=BG544),1,0) +
        IF(AND(BH544&lt;&gt;"""", INDEX(rowData,1,6)=BH544),1,0) +
        IF(AND(BI544&lt;&gt;"""", IND"&amp;"EX(rowData,1,7)=BI544),1,0) +
        IF(AND(BJ544&lt;&gt;"""", INDEX(rowData,1,8)=BJ544),1,0)
      ) - COUNTIF(BC544:BJ544, ""-"")
        - COUNTIF(BC544:BJ544, ""固定格式，不需提供資訊"")
        - COUNTIF(BC544:BJ544, ""由MKT更新，此欄位固定格式，不需提供資訊
(Voucher CID：12917705872)"&amp;""")
        - COUNTIF(BC544:BJ544, ""text固定為以下：
※直播間僅支援手機版"")
        - COUNTIF(BC544:BJ544, ""text固定為以下：
※短影音僅支援手機版"")
    )
  ), 
  0
)
"),0)</f>
        <v>0</v>
      </c>
      <c r="BM544" s="77" t="b">
        <v>0</v>
      </c>
      <c r="BN544" s="85"/>
      <c r="BO544" s="85"/>
    </row>
    <row r="545" spans="1:67" ht="30" customHeight="1">
      <c r="A545" s="73" t="str">
        <f t="array" aca="1" ref="A545" ca="1">IFERROR(TRANSPOSE(INDIRECT('MS section版配(Old)'!$AO545)),"")</f>
        <v/>
      </c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8"/>
      <c r="P545" s="88"/>
      <c r="Q545" s="88"/>
      <c r="R545" s="88"/>
      <c r="S545" s="88"/>
      <c r="T545" s="88"/>
      <c r="U545" s="88"/>
      <c r="V545" s="88"/>
      <c r="W545" s="88"/>
      <c r="X545" s="88"/>
      <c r="Y545" s="88"/>
      <c r="Z545" s="88"/>
      <c r="AA545" s="88"/>
      <c r="AB545" s="88"/>
      <c r="AC545" s="88"/>
      <c r="AD545" s="88"/>
      <c r="AE545" s="397" t="str">
        <f>IFERROR(VLOOKUP($AQ545,'(勿動)組件目錄表'!$D$15:$R$1094,4,FALSE),"")</f>
        <v/>
      </c>
      <c r="AF545" s="384"/>
      <c r="AG545" s="384"/>
      <c r="AH545" s="384"/>
      <c r="AI545" s="384"/>
      <c r="AJ545" s="385"/>
      <c r="AK545" s="54" t="b">
        <v>0</v>
      </c>
      <c r="AL545" s="54" t="b">
        <v>0</v>
      </c>
      <c r="AM545" s="54"/>
      <c r="AN545" s="7" t="str">
        <v>537</v>
      </c>
      <c r="AO545" s="7"/>
      <c r="AP545" s="62"/>
      <c r="AQ545" s="75" t="str">
        <v/>
      </c>
      <c r="AR545" s="75" t="str">
        <v>-</v>
      </c>
      <c r="AS545" s="11"/>
      <c r="AT545" s="77" t="str">
        <v>-</v>
      </c>
      <c r="AU545" s="11" t="str">
        <v>-</v>
      </c>
      <c r="AV545" s="100"/>
      <c r="AW545" s="80" t="str">
        <f ca="1"/>
        <v>-</v>
      </c>
      <c r="AX545" s="80" t="b">
        <v>0</v>
      </c>
      <c r="AY545" s="68" t="str">
        <f t="shared" si="8"/>
        <v/>
      </c>
      <c r="AZ545" s="69" t="str">
        <f t="shared" si="9"/>
        <v/>
      </c>
      <c r="BA545" s="70" t="str">
        <f t="shared" si="10"/>
        <v/>
      </c>
      <c r="BB545" s="68" t="str">
        <f t="shared" si="11"/>
        <v/>
      </c>
      <c r="BC545" s="69" t="str">
        <f>IFERROR(VLOOKUP($AQ545,'(勿動)組件目錄表'!$D$15:$R$1094,7,FALSE),"")</f>
        <v/>
      </c>
      <c r="BD545" s="69" t="str">
        <f>IFERROR(VLOOKUP($AQ545,'(勿動)組件目錄表'!$D$15:$R$1094,8,FALSE),"")</f>
        <v/>
      </c>
      <c r="BE545" s="69" t="str">
        <f>IFERROR(VLOOKUP($AQ545,'(勿動)組件目錄表'!$D$15:$R$1094,9,FALSE),"")</f>
        <v/>
      </c>
      <c r="BF545" s="69" t="str">
        <f>IFERROR(VLOOKUP($AQ545,'(勿動)組件目錄表'!$D$15:$R$1094,10,FALSE),"")</f>
        <v/>
      </c>
      <c r="BG545" s="69" t="str">
        <f>IFERROR(VLOOKUP($AQ545,'(勿動)組件目錄表'!$D$15:$R$1094,11,FALSE),"")</f>
        <v/>
      </c>
      <c r="BH545" s="69" t="str">
        <f>IFERROR(VLOOKUP($AQ545,'(勿動)組件目錄表'!$D$15:$R$1094,12,FALSE),"")</f>
        <v/>
      </c>
      <c r="BI545" s="69" t="str">
        <f>IFERROR(VLOOKUP($AQ545,'(勿動)組件目錄表'!$D$15:$R$1094,13,FALSE),"")</f>
        <v/>
      </c>
      <c r="BJ545" s="69" t="str">
        <f>IFERROR(VLOOKUP($AQ545,'(勿動)組件目錄表'!$D$15:$R$1094,14,FALSE),"")</f>
        <v/>
      </c>
      <c r="BK545" s="69" t="str">
        <f>IFERROR(VLOOKUP($AQ545,'(勿動)組件目錄表'!$D$15:$R$1094,15,FALSE),"")</f>
        <v/>
      </c>
      <c r="BL545" s="81">
        <f ca="1">IFERROR(__xludf.DUMMYFUNCTION("IFERROR(
  LET(
    rowData, FILTER('(勿動)組件目錄表'!J:Q, '(勿動)組件目錄表'!D:D=AQ545),
    IF(ROWS(rowData)=0, 0, 
      (
        IF(AND(BC545&lt;&gt;"""", INDEX(rowData,1,1)=BC545),1,0) +
        IF(AND(BD545&lt;&gt;"""", INDEX(rowData,1,2)=BD545),1,0) +
        IF(AND(BE545"&amp;"&lt;&gt;"""", INDEX(rowData,1,3)=BE545),1,0) +
        IF(AND(BF545&lt;&gt;"""", INDEX(rowData,1,4)=BF545),1,0) +
        IF(AND(BG545&lt;&gt;"""", INDEX(rowData,1,5)=BG545),1,0) +
        IF(AND(BH545&lt;&gt;"""", INDEX(rowData,1,6)=BH545),1,0) +
        IF(AND(BI545&lt;&gt;"""", IND"&amp;"EX(rowData,1,7)=BI545),1,0) +
        IF(AND(BJ545&lt;&gt;"""", INDEX(rowData,1,8)=BJ545),1,0)
      ) - COUNTIF(BC545:BJ545, ""-"")
        - COUNTIF(BC545:BJ545, ""固定格式，不需提供資訊"")
        - COUNTIF(BC545:BJ545, ""由MKT更新，此欄位固定格式，不需提供資訊
(Voucher CID：12917705872)"&amp;""")
        - COUNTIF(BC545:BJ545, ""text固定為以下：
※直播間僅支援手機版"")
        - COUNTIF(BC545:BJ545, ""text固定為以下：
※短影音僅支援手機版"")
    )
  ), 
  0
)
"),0)</f>
        <v>0</v>
      </c>
      <c r="BM545" s="77" t="b">
        <v>0</v>
      </c>
      <c r="BN545" s="85"/>
      <c r="BO545" s="85"/>
    </row>
    <row r="546" spans="1:67" ht="30" customHeight="1">
      <c r="A546" s="73" t="str">
        <f t="array" aca="1" ref="A546" ca="1">IFERROR(TRANSPOSE(INDIRECT('MS section版配(Old)'!$AO546)),"")</f>
        <v/>
      </c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8"/>
      <c r="P546" s="88"/>
      <c r="Q546" s="88"/>
      <c r="R546" s="88"/>
      <c r="S546" s="88"/>
      <c r="T546" s="88"/>
      <c r="U546" s="88"/>
      <c r="V546" s="88"/>
      <c r="W546" s="88"/>
      <c r="X546" s="88"/>
      <c r="Y546" s="88"/>
      <c r="Z546" s="88"/>
      <c r="AA546" s="88"/>
      <c r="AB546" s="88"/>
      <c r="AC546" s="88"/>
      <c r="AD546" s="88"/>
      <c r="AE546" s="397" t="str">
        <f>IFERROR(VLOOKUP($AQ546,'(勿動)組件目錄表'!$D$15:$R$1094,4,FALSE),"")</f>
        <v/>
      </c>
      <c r="AF546" s="384"/>
      <c r="AG546" s="384"/>
      <c r="AH546" s="384"/>
      <c r="AI546" s="384"/>
      <c r="AJ546" s="385"/>
      <c r="AK546" s="54" t="b">
        <v>0</v>
      </c>
      <c r="AL546" s="54" t="b">
        <v>0</v>
      </c>
      <c r="AM546" s="54"/>
      <c r="AN546" s="7" t="str">
        <v>538</v>
      </c>
      <c r="AO546" s="7"/>
      <c r="AP546" s="62"/>
      <c r="AQ546" s="75" t="str">
        <v/>
      </c>
      <c r="AR546" s="75" t="str">
        <v>-</v>
      </c>
      <c r="AS546" s="11"/>
      <c r="AT546" s="77" t="str">
        <v>-</v>
      </c>
      <c r="AU546" s="11" t="str">
        <v>-</v>
      </c>
      <c r="AV546" s="100"/>
      <c r="AW546" s="80" t="str">
        <f ca="1"/>
        <v>-</v>
      </c>
      <c r="AX546" s="80" t="b">
        <v>0</v>
      </c>
      <c r="AY546" s="68" t="str">
        <f t="shared" si="8"/>
        <v/>
      </c>
      <c r="AZ546" s="69" t="str">
        <f t="shared" si="9"/>
        <v/>
      </c>
      <c r="BA546" s="70" t="str">
        <f t="shared" si="10"/>
        <v/>
      </c>
      <c r="BB546" s="68" t="str">
        <f t="shared" si="11"/>
        <v/>
      </c>
      <c r="BC546" s="69" t="str">
        <f>IFERROR(VLOOKUP($AQ546,'(勿動)組件目錄表'!$D$15:$R$1094,7,FALSE),"")</f>
        <v/>
      </c>
      <c r="BD546" s="69" t="str">
        <f>IFERROR(VLOOKUP($AQ546,'(勿動)組件目錄表'!$D$15:$R$1094,8,FALSE),"")</f>
        <v/>
      </c>
      <c r="BE546" s="69" t="str">
        <f>IFERROR(VLOOKUP($AQ546,'(勿動)組件目錄表'!$D$15:$R$1094,9,FALSE),"")</f>
        <v/>
      </c>
      <c r="BF546" s="69" t="str">
        <f>IFERROR(VLOOKUP($AQ546,'(勿動)組件目錄表'!$D$15:$R$1094,10,FALSE),"")</f>
        <v/>
      </c>
      <c r="BG546" s="69" t="str">
        <f>IFERROR(VLOOKUP($AQ546,'(勿動)組件目錄表'!$D$15:$R$1094,11,FALSE),"")</f>
        <v/>
      </c>
      <c r="BH546" s="69" t="str">
        <f>IFERROR(VLOOKUP($AQ546,'(勿動)組件目錄表'!$D$15:$R$1094,12,FALSE),"")</f>
        <v/>
      </c>
      <c r="BI546" s="69" t="str">
        <f>IFERROR(VLOOKUP($AQ546,'(勿動)組件目錄表'!$D$15:$R$1094,13,FALSE),"")</f>
        <v/>
      </c>
      <c r="BJ546" s="69" t="str">
        <f>IFERROR(VLOOKUP($AQ546,'(勿動)組件目錄表'!$D$15:$R$1094,14,FALSE),"")</f>
        <v/>
      </c>
      <c r="BK546" s="69" t="str">
        <f>IFERROR(VLOOKUP($AQ546,'(勿動)組件目錄表'!$D$15:$R$1094,15,FALSE),"")</f>
        <v/>
      </c>
      <c r="BL546" s="81">
        <f ca="1">IFERROR(__xludf.DUMMYFUNCTION("IFERROR(
  LET(
    rowData, FILTER('(勿動)組件目錄表'!J:Q, '(勿動)組件目錄表'!D:D=AQ546),
    IF(ROWS(rowData)=0, 0, 
      (
        IF(AND(BC546&lt;&gt;"""", INDEX(rowData,1,1)=BC546),1,0) +
        IF(AND(BD546&lt;&gt;"""", INDEX(rowData,1,2)=BD546),1,0) +
        IF(AND(BE546"&amp;"&lt;&gt;"""", INDEX(rowData,1,3)=BE546),1,0) +
        IF(AND(BF546&lt;&gt;"""", INDEX(rowData,1,4)=BF546),1,0) +
        IF(AND(BG546&lt;&gt;"""", INDEX(rowData,1,5)=BG546),1,0) +
        IF(AND(BH546&lt;&gt;"""", INDEX(rowData,1,6)=BH546),1,0) +
        IF(AND(BI546&lt;&gt;"""", IND"&amp;"EX(rowData,1,7)=BI546),1,0) +
        IF(AND(BJ546&lt;&gt;"""", INDEX(rowData,1,8)=BJ546),1,0)
      ) - COUNTIF(BC546:BJ546, ""-"")
        - COUNTIF(BC546:BJ546, ""固定格式，不需提供資訊"")
        - COUNTIF(BC546:BJ546, ""由MKT更新，此欄位固定格式，不需提供資訊
(Voucher CID：12917705872)"&amp;""")
        - COUNTIF(BC546:BJ546, ""text固定為以下：
※直播間僅支援手機版"")
        - COUNTIF(BC546:BJ546, ""text固定為以下：
※短影音僅支援手機版"")
    )
  ), 
  0
)
"),0)</f>
        <v>0</v>
      </c>
      <c r="BM546" s="77" t="b">
        <v>0</v>
      </c>
      <c r="BN546" s="85"/>
      <c r="BO546" s="85"/>
    </row>
    <row r="547" spans="1:67" ht="30" customHeight="1">
      <c r="A547" s="73" t="str">
        <f t="array" aca="1" ref="A547" ca="1">IFERROR(TRANSPOSE(INDIRECT('MS section版配(Old)'!$AO547)),"")</f>
        <v/>
      </c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8"/>
      <c r="P547" s="88"/>
      <c r="Q547" s="88"/>
      <c r="R547" s="88"/>
      <c r="S547" s="88"/>
      <c r="T547" s="88"/>
      <c r="U547" s="88"/>
      <c r="V547" s="88"/>
      <c r="W547" s="88"/>
      <c r="X547" s="88"/>
      <c r="Y547" s="88"/>
      <c r="Z547" s="88"/>
      <c r="AA547" s="88"/>
      <c r="AB547" s="88"/>
      <c r="AC547" s="88"/>
      <c r="AD547" s="88"/>
      <c r="AE547" s="397" t="str">
        <f>IFERROR(VLOOKUP($AQ547,'(勿動)組件目錄表'!$D$15:$R$1094,4,FALSE),"")</f>
        <v/>
      </c>
      <c r="AF547" s="384"/>
      <c r="AG547" s="384"/>
      <c r="AH547" s="384"/>
      <c r="AI547" s="384"/>
      <c r="AJ547" s="385"/>
      <c r="AK547" s="54" t="b">
        <v>0</v>
      </c>
      <c r="AL547" s="54" t="b">
        <v>0</v>
      </c>
      <c r="AM547" s="54"/>
      <c r="AN547" s="7" t="str">
        <v>539</v>
      </c>
      <c r="AO547" s="7"/>
      <c r="AP547" s="62"/>
      <c r="AQ547" s="75" t="str">
        <v/>
      </c>
      <c r="AR547" s="75" t="str">
        <v>-</v>
      </c>
      <c r="AS547" s="11"/>
      <c r="AT547" s="77" t="str">
        <v>-</v>
      </c>
      <c r="AU547" s="11" t="str">
        <v>-</v>
      </c>
      <c r="AV547" s="100"/>
      <c r="AW547" s="80" t="str">
        <f ca="1"/>
        <v>-</v>
      </c>
      <c r="AX547" s="80" t="b">
        <v>0</v>
      </c>
      <c r="AY547" s="68" t="str">
        <f t="shared" si="8"/>
        <v/>
      </c>
      <c r="AZ547" s="69" t="str">
        <f t="shared" si="9"/>
        <v/>
      </c>
      <c r="BA547" s="70" t="str">
        <f t="shared" si="10"/>
        <v/>
      </c>
      <c r="BB547" s="68" t="str">
        <f t="shared" si="11"/>
        <v/>
      </c>
      <c r="BC547" s="69" t="str">
        <f>IFERROR(VLOOKUP($AQ547,'(勿動)組件目錄表'!$D$15:$R$1094,7,FALSE),"")</f>
        <v/>
      </c>
      <c r="BD547" s="69" t="str">
        <f>IFERROR(VLOOKUP($AQ547,'(勿動)組件目錄表'!$D$15:$R$1094,8,FALSE),"")</f>
        <v/>
      </c>
      <c r="BE547" s="69" t="str">
        <f>IFERROR(VLOOKUP($AQ547,'(勿動)組件目錄表'!$D$15:$R$1094,9,FALSE),"")</f>
        <v/>
      </c>
      <c r="BF547" s="69" t="str">
        <f>IFERROR(VLOOKUP($AQ547,'(勿動)組件目錄表'!$D$15:$R$1094,10,FALSE),"")</f>
        <v/>
      </c>
      <c r="BG547" s="69" t="str">
        <f>IFERROR(VLOOKUP($AQ547,'(勿動)組件目錄表'!$D$15:$R$1094,11,FALSE),"")</f>
        <v/>
      </c>
      <c r="BH547" s="69" t="str">
        <f>IFERROR(VLOOKUP($AQ547,'(勿動)組件目錄表'!$D$15:$R$1094,12,FALSE),"")</f>
        <v/>
      </c>
      <c r="BI547" s="69" t="str">
        <f>IFERROR(VLOOKUP($AQ547,'(勿動)組件目錄表'!$D$15:$R$1094,13,FALSE),"")</f>
        <v/>
      </c>
      <c r="BJ547" s="69" t="str">
        <f>IFERROR(VLOOKUP($AQ547,'(勿動)組件目錄表'!$D$15:$R$1094,14,FALSE),"")</f>
        <v/>
      </c>
      <c r="BK547" s="69" t="str">
        <f>IFERROR(VLOOKUP($AQ547,'(勿動)組件目錄表'!$D$15:$R$1094,15,FALSE),"")</f>
        <v/>
      </c>
      <c r="BL547" s="81">
        <f ca="1">IFERROR(__xludf.DUMMYFUNCTION("IFERROR(
  LET(
    rowData, FILTER('(勿動)組件目錄表'!J:Q, '(勿動)組件目錄表'!D:D=AQ547),
    IF(ROWS(rowData)=0, 0, 
      (
        IF(AND(BC547&lt;&gt;"""", INDEX(rowData,1,1)=BC547),1,0) +
        IF(AND(BD547&lt;&gt;"""", INDEX(rowData,1,2)=BD547),1,0) +
        IF(AND(BE547"&amp;"&lt;&gt;"""", INDEX(rowData,1,3)=BE547),1,0) +
        IF(AND(BF547&lt;&gt;"""", INDEX(rowData,1,4)=BF547),1,0) +
        IF(AND(BG547&lt;&gt;"""", INDEX(rowData,1,5)=BG547),1,0) +
        IF(AND(BH547&lt;&gt;"""", INDEX(rowData,1,6)=BH547),1,0) +
        IF(AND(BI547&lt;&gt;"""", IND"&amp;"EX(rowData,1,7)=BI547),1,0) +
        IF(AND(BJ547&lt;&gt;"""", INDEX(rowData,1,8)=BJ547),1,0)
      ) - COUNTIF(BC547:BJ547, ""-"")
        - COUNTIF(BC547:BJ547, ""固定格式，不需提供資訊"")
        - COUNTIF(BC547:BJ547, ""由MKT更新，此欄位固定格式，不需提供資訊
(Voucher CID：12917705872)"&amp;""")
        - COUNTIF(BC547:BJ547, ""text固定為以下：
※直播間僅支援手機版"")
        - COUNTIF(BC547:BJ547, ""text固定為以下：
※短影音僅支援手機版"")
    )
  ), 
  0
)
"),0)</f>
        <v>0</v>
      </c>
      <c r="BM547" s="77" t="b">
        <v>0</v>
      </c>
      <c r="BN547" s="85"/>
      <c r="BO547" s="85"/>
    </row>
    <row r="548" spans="1:67" ht="30" customHeight="1">
      <c r="A548" s="73" t="str">
        <f t="array" aca="1" ref="A548" ca="1">IFERROR(TRANSPOSE(INDIRECT('MS section版配(Old)'!$AO548)),"")</f>
        <v/>
      </c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8"/>
      <c r="P548" s="88"/>
      <c r="Q548" s="88"/>
      <c r="R548" s="88"/>
      <c r="S548" s="88"/>
      <c r="T548" s="88"/>
      <c r="U548" s="88"/>
      <c r="V548" s="88"/>
      <c r="W548" s="88"/>
      <c r="X548" s="88"/>
      <c r="Y548" s="88"/>
      <c r="Z548" s="88"/>
      <c r="AA548" s="88"/>
      <c r="AB548" s="88"/>
      <c r="AC548" s="88"/>
      <c r="AD548" s="88"/>
      <c r="AE548" s="397" t="str">
        <f>IFERROR(VLOOKUP($AQ548,'(勿動)組件目錄表'!$D$15:$R$1094,4,FALSE),"")</f>
        <v/>
      </c>
      <c r="AF548" s="384"/>
      <c r="AG548" s="384"/>
      <c r="AH548" s="384"/>
      <c r="AI548" s="384"/>
      <c r="AJ548" s="385"/>
      <c r="AK548" s="54" t="b">
        <v>0</v>
      </c>
      <c r="AL548" s="54" t="b">
        <v>0</v>
      </c>
      <c r="AM548" s="54"/>
      <c r="AN548" s="7" t="str">
        <v>540</v>
      </c>
      <c r="AO548" s="7"/>
      <c r="AP548" s="62"/>
      <c r="AQ548" s="75" t="str">
        <v/>
      </c>
      <c r="AR548" s="75" t="str">
        <v>-</v>
      </c>
      <c r="AS548" s="11"/>
      <c r="AT548" s="77" t="str">
        <v>-</v>
      </c>
      <c r="AU548" s="11" t="str">
        <v>-</v>
      </c>
      <c r="AV548" s="100"/>
      <c r="AW548" s="80" t="str">
        <f ca="1"/>
        <v>-</v>
      </c>
      <c r="AX548" s="80" t="b">
        <v>0</v>
      </c>
      <c r="AY548" s="68" t="str">
        <f t="shared" si="8"/>
        <v/>
      </c>
      <c r="AZ548" s="69" t="str">
        <f t="shared" si="9"/>
        <v/>
      </c>
      <c r="BA548" s="70" t="str">
        <f t="shared" si="10"/>
        <v/>
      </c>
      <c r="BB548" s="68" t="str">
        <f t="shared" si="11"/>
        <v/>
      </c>
      <c r="BC548" s="69" t="str">
        <f>IFERROR(VLOOKUP($AQ548,'(勿動)組件目錄表'!$D$15:$R$1094,7,FALSE),"")</f>
        <v/>
      </c>
      <c r="BD548" s="69" t="str">
        <f>IFERROR(VLOOKUP($AQ548,'(勿動)組件目錄表'!$D$15:$R$1094,8,FALSE),"")</f>
        <v/>
      </c>
      <c r="BE548" s="69" t="str">
        <f>IFERROR(VLOOKUP($AQ548,'(勿動)組件目錄表'!$D$15:$R$1094,9,FALSE),"")</f>
        <v/>
      </c>
      <c r="BF548" s="69" t="str">
        <f>IFERROR(VLOOKUP($AQ548,'(勿動)組件目錄表'!$D$15:$R$1094,10,FALSE),"")</f>
        <v/>
      </c>
      <c r="BG548" s="69" t="str">
        <f>IFERROR(VLOOKUP($AQ548,'(勿動)組件目錄表'!$D$15:$R$1094,11,FALSE),"")</f>
        <v/>
      </c>
      <c r="BH548" s="69" t="str">
        <f>IFERROR(VLOOKUP($AQ548,'(勿動)組件目錄表'!$D$15:$R$1094,12,FALSE),"")</f>
        <v/>
      </c>
      <c r="BI548" s="69" t="str">
        <f>IFERROR(VLOOKUP($AQ548,'(勿動)組件目錄表'!$D$15:$R$1094,13,FALSE),"")</f>
        <v/>
      </c>
      <c r="BJ548" s="69" t="str">
        <f>IFERROR(VLOOKUP($AQ548,'(勿動)組件目錄表'!$D$15:$R$1094,14,FALSE),"")</f>
        <v/>
      </c>
      <c r="BK548" s="69" t="str">
        <f>IFERROR(VLOOKUP($AQ548,'(勿動)組件目錄表'!$D$15:$R$1094,15,FALSE),"")</f>
        <v/>
      </c>
      <c r="BL548" s="81">
        <f ca="1">IFERROR(__xludf.DUMMYFUNCTION("IFERROR(
  LET(
    rowData, FILTER('(勿動)組件目錄表'!J:Q, '(勿動)組件目錄表'!D:D=AQ548),
    IF(ROWS(rowData)=0, 0, 
      (
        IF(AND(BC548&lt;&gt;"""", INDEX(rowData,1,1)=BC548),1,0) +
        IF(AND(BD548&lt;&gt;"""", INDEX(rowData,1,2)=BD548),1,0) +
        IF(AND(BE548"&amp;"&lt;&gt;"""", INDEX(rowData,1,3)=BE548),1,0) +
        IF(AND(BF548&lt;&gt;"""", INDEX(rowData,1,4)=BF548),1,0) +
        IF(AND(BG548&lt;&gt;"""", INDEX(rowData,1,5)=BG548),1,0) +
        IF(AND(BH548&lt;&gt;"""", INDEX(rowData,1,6)=BH548),1,0) +
        IF(AND(BI548&lt;&gt;"""", IND"&amp;"EX(rowData,1,7)=BI548),1,0) +
        IF(AND(BJ548&lt;&gt;"""", INDEX(rowData,1,8)=BJ548),1,0)
      ) - COUNTIF(BC548:BJ548, ""-"")
        - COUNTIF(BC548:BJ548, ""固定格式，不需提供資訊"")
        - COUNTIF(BC548:BJ548, ""由MKT更新，此欄位固定格式，不需提供資訊
(Voucher CID：12917705872)"&amp;""")
        - COUNTIF(BC548:BJ548, ""text固定為以下：
※直播間僅支援手機版"")
        - COUNTIF(BC548:BJ548, ""text固定為以下：
※短影音僅支援手機版"")
    )
  ), 
  0
)
"),0)</f>
        <v>0</v>
      </c>
      <c r="BM548" s="77" t="b">
        <v>0</v>
      </c>
      <c r="BN548" s="85"/>
      <c r="BO548" s="85"/>
    </row>
    <row r="549" spans="1:67" ht="30" customHeight="1">
      <c r="A549" s="73" t="str">
        <f t="array" aca="1" ref="A549" ca="1">IFERROR(TRANSPOSE(INDIRECT('MS section版配(Old)'!$AO549)),"")</f>
        <v/>
      </c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8"/>
      <c r="P549" s="88"/>
      <c r="Q549" s="88"/>
      <c r="R549" s="88"/>
      <c r="S549" s="88"/>
      <c r="T549" s="88"/>
      <c r="U549" s="88"/>
      <c r="V549" s="88"/>
      <c r="W549" s="88"/>
      <c r="X549" s="88"/>
      <c r="Y549" s="88"/>
      <c r="Z549" s="88"/>
      <c r="AA549" s="88"/>
      <c r="AB549" s="88"/>
      <c r="AC549" s="88"/>
      <c r="AD549" s="88"/>
      <c r="AE549" s="397" t="str">
        <f>IFERROR(VLOOKUP($AQ549,'(勿動)組件目錄表'!$D$15:$R$1094,4,FALSE),"")</f>
        <v/>
      </c>
      <c r="AF549" s="384"/>
      <c r="AG549" s="384"/>
      <c r="AH549" s="384"/>
      <c r="AI549" s="384"/>
      <c r="AJ549" s="385"/>
      <c r="AK549" s="54" t="b">
        <v>0</v>
      </c>
      <c r="AL549" s="54" t="b">
        <v>0</v>
      </c>
      <c r="AM549" s="54"/>
      <c r="AN549" s="7" t="str">
        <v>541</v>
      </c>
      <c r="AO549" s="7"/>
      <c r="AP549" s="62"/>
      <c r="AQ549" s="75" t="str">
        <v/>
      </c>
      <c r="AR549" s="75" t="str">
        <v>-</v>
      </c>
      <c r="AS549" s="11"/>
      <c r="AT549" s="77" t="str">
        <v>-</v>
      </c>
      <c r="AU549" s="11" t="str">
        <v>-</v>
      </c>
      <c r="AV549" s="100"/>
      <c r="AW549" s="80" t="str">
        <f ca="1"/>
        <v>-</v>
      </c>
      <c r="AX549" s="80" t="b">
        <v>0</v>
      </c>
      <c r="AY549" s="68" t="str">
        <f t="shared" si="8"/>
        <v/>
      </c>
      <c r="AZ549" s="69" t="str">
        <f t="shared" si="9"/>
        <v/>
      </c>
      <c r="BA549" s="70" t="str">
        <f t="shared" si="10"/>
        <v/>
      </c>
      <c r="BB549" s="68" t="str">
        <f t="shared" si="11"/>
        <v/>
      </c>
      <c r="BC549" s="69" t="str">
        <f>IFERROR(VLOOKUP($AQ549,'(勿動)組件目錄表'!$D$15:$R$1094,7,FALSE),"")</f>
        <v/>
      </c>
      <c r="BD549" s="69" t="str">
        <f>IFERROR(VLOOKUP($AQ549,'(勿動)組件目錄表'!$D$15:$R$1094,8,FALSE),"")</f>
        <v/>
      </c>
      <c r="BE549" s="69" t="str">
        <f>IFERROR(VLOOKUP($AQ549,'(勿動)組件目錄表'!$D$15:$R$1094,9,FALSE),"")</f>
        <v/>
      </c>
      <c r="BF549" s="69" t="str">
        <f>IFERROR(VLOOKUP($AQ549,'(勿動)組件目錄表'!$D$15:$R$1094,10,FALSE),"")</f>
        <v/>
      </c>
      <c r="BG549" s="69" t="str">
        <f>IFERROR(VLOOKUP($AQ549,'(勿動)組件目錄表'!$D$15:$R$1094,11,FALSE),"")</f>
        <v/>
      </c>
      <c r="BH549" s="69" t="str">
        <f>IFERROR(VLOOKUP($AQ549,'(勿動)組件目錄表'!$D$15:$R$1094,12,FALSE),"")</f>
        <v/>
      </c>
      <c r="BI549" s="69" t="str">
        <f>IFERROR(VLOOKUP($AQ549,'(勿動)組件目錄表'!$D$15:$R$1094,13,FALSE),"")</f>
        <v/>
      </c>
      <c r="BJ549" s="69" t="str">
        <f>IFERROR(VLOOKUP($AQ549,'(勿動)組件目錄表'!$D$15:$R$1094,14,FALSE),"")</f>
        <v/>
      </c>
      <c r="BK549" s="69" t="str">
        <f>IFERROR(VLOOKUP($AQ549,'(勿動)組件目錄表'!$D$15:$R$1094,15,FALSE),"")</f>
        <v/>
      </c>
      <c r="BL549" s="81">
        <f ca="1">IFERROR(__xludf.DUMMYFUNCTION("IFERROR(
  LET(
    rowData, FILTER('(勿動)組件目錄表'!J:Q, '(勿動)組件目錄表'!D:D=AQ549),
    IF(ROWS(rowData)=0, 0, 
      (
        IF(AND(BC549&lt;&gt;"""", INDEX(rowData,1,1)=BC549),1,0) +
        IF(AND(BD549&lt;&gt;"""", INDEX(rowData,1,2)=BD549),1,0) +
        IF(AND(BE549"&amp;"&lt;&gt;"""", INDEX(rowData,1,3)=BE549),1,0) +
        IF(AND(BF549&lt;&gt;"""", INDEX(rowData,1,4)=BF549),1,0) +
        IF(AND(BG549&lt;&gt;"""", INDEX(rowData,1,5)=BG549),1,0) +
        IF(AND(BH549&lt;&gt;"""", INDEX(rowData,1,6)=BH549),1,0) +
        IF(AND(BI549&lt;&gt;"""", IND"&amp;"EX(rowData,1,7)=BI549),1,0) +
        IF(AND(BJ549&lt;&gt;"""", INDEX(rowData,1,8)=BJ549),1,0)
      ) - COUNTIF(BC549:BJ549, ""-"")
        - COUNTIF(BC549:BJ549, ""固定格式，不需提供資訊"")
        - COUNTIF(BC549:BJ549, ""由MKT更新，此欄位固定格式，不需提供資訊
(Voucher CID：12917705872)"&amp;""")
        - COUNTIF(BC549:BJ549, ""text固定為以下：
※直播間僅支援手機版"")
        - COUNTIF(BC549:BJ549, ""text固定為以下：
※短影音僅支援手機版"")
    )
  ), 
  0
)
"),0)</f>
        <v>0</v>
      </c>
      <c r="BM549" s="77" t="b">
        <v>0</v>
      </c>
      <c r="BN549" s="85"/>
      <c r="BO549" s="85"/>
    </row>
    <row r="550" spans="1:67" ht="30" customHeight="1">
      <c r="A550" s="73" t="str">
        <f t="array" aca="1" ref="A550" ca="1">IFERROR(TRANSPOSE(INDIRECT('MS section版配(Old)'!$AO550)),"")</f>
        <v/>
      </c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8"/>
      <c r="P550" s="88"/>
      <c r="Q550" s="88"/>
      <c r="R550" s="88"/>
      <c r="S550" s="88"/>
      <c r="T550" s="88"/>
      <c r="U550" s="88"/>
      <c r="V550" s="88"/>
      <c r="W550" s="88"/>
      <c r="X550" s="88"/>
      <c r="Y550" s="88"/>
      <c r="Z550" s="88"/>
      <c r="AA550" s="88"/>
      <c r="AB550" s="88"/>
      <c r="AC550" s="88"/>
      <c r="AD550" s="88"/>
      <c r="AE550" s="397" t="str">
        <f>IFERROR(VLOOKUP($AQ550,'(勿動)組件目錄表'!$D$15:$R$1094,4,FALSE),"")</f>
        <v/>
      </c>
      <c r="AF550" s="384"/>
      <c r="AG550" s="384"/>
      <c r="AH550" s="384"/>
      <c r="AI550" s="384"/>
      <c r="AJ550" s="385"/>
      <c r="AK550" s="54" t="b">
        <v>0</v>
      </c>
      <c r="AL550" s="54" t="b">
        <v>0</v>
      </c>
      <c r="AM550" s="54"/>
      <c r="AN550" s="7" t="str">
        <v>542</v>
      </c>
      <c r="AO550" s="7"/>
      <c r="AP550" s="62"/>
      <c r="AQ550" s="75" t="str">
        <v/>
      </c>
      <c r="AR550" s="75" t="str">
        <v>-</v>
      </c>
      <c r="AS550" s="11"/>
      <c r="AT550" s="77" t="str">
        <v>-</v>
      </c>
      <c r="AU550" s="11" t="str">
        <v>-</v>
      </c>
      <c r="AV550" s="100"/>
      <c r="AW550" s="80" t="str">
        <f ca="1"/>
        <v>-</v>
      </c>
      <c r="AX550" s="80" t="b">
        <v>0</v>
      </c>
      <c r="AY550" s="68" t="str">
        <f t="shared" si="8"/>
        <v/>
      </c>
      <c r="AZ550" s="69" t="str">
        <f t="shared" si="9"/>
        <v/>
      </c>
      <c r="BA550" s="70" t="str">
        <f t="shared" si="10"/>
        <v/>
      </c>
      <c r="BB550" s="68" t="str">
        <f t="shared" si="11"/>
        <v/>
      </c>
      <c r="BC550" s="69" t="str">
        <f>IFERROR(VLOOKUP($AQ550,'(勿動)組件目錄表'!$D$15:$R$1094,7,FALSE),"")</f>
        <v/>
      </c>
      <c r="BD550" s="69" t="str">
        <f>IFERROR(VLOOKUP($AQ550,'(勿動)組件目錄表'!$D$15:$R$1094,8,FALSE),"")</f>
        <v/>
      </c>
      <c r="BE550" s="69" t="str">
        <f>IFERROR(VLOOKUP($AQ550,'(勿動)組件目錄表'!$D$15:$R$1094,9,FALSE),"")</f>
        <v/>
      </c>
      <c r="BF550" s="69" t="str">
        <f>IFERROR(VLOOKUP($AQ550,'(勿動)組件目錄表'!$D$15:$R$1094,10,FALSE),"")</f>
        <v/>
      </c>
      <c r="BG550" s="69" t="str">
        <f>IFERROR(VLOOKUP($AQ550,'(勿動)組件目錄表'!$D$15:$R$1094,11,FALSE),"")</f>
        <v/>
      </c>
      <c r="BH550" s="69" t="str">
        <f>IFERROR(VLOOKUP($AQ550,'(勿動)組件目錄表'!$D$15:$R$1094,12,FALSE),"")</f>
        <v/>
      </c>
      <c r="BI550" s="69" t="str">
        <f>IFERROR(VLOOKUP($AQ550,'(勿動)組件目錄表'!$D$15:$R$1094,13,FALSE),"")</f>
        <v/>
      </c>
      <c r="BJ550" s="69" t="str">
        <f>IFERROR(VLOOKUP($AQ550,'(勿動)組件目錄表'!$D$15:$R$1094,14,FALSE),"")</f>
        <v/>
      </c>
      <c r="BK550" s="69" t="str">
        <f>IFERROR(VLOOKUP($AQ550,'(勿動)組件目錄表'!$D$15:$R$1094,15,FALSE),"")</f>
        <v/>
      </c>
      <c r="BL550" s="81">
        <f ca="1">IFERROR(__xludf.DUMMYFUNCTION("IFERROR(
  LET(
    rowData, FILTER('(勿動)組件目錄表'!J:Q, '(勿動)組件目錄表'!D:D=AQ550),
    IF(ROWS(rowData)=0, 0, 
      (
        IF(AND(BC550&lt;&gt;"""", INDEX(rowData,1,1)=BC550),1,0) +
        IF(AND(BD550&lt;&gt;"""", INDEX(rowData,1,2)=BD550),1,0) +
        IF(AND(BE550"&amp;"&lt;&gt;"""", INDEX(rowData,1,3)=BE550),1,0) +
        IF(AND(BF550&lt;&gt;"""", INDEX(rowData,1,4)=BF550),1,0) +
        IF(AND(BG550&lt;&gt;"""", INDEX(rowData,1,5)=BG550),1,0) +
        IF(AND(BH550&lt;&gt;"""", INDEX(rowData,1,6)=BH550),1,0) +
        IF(AND(BI550&lt;&gt;"""", IND"&amp;"EX(rowData,1,7)=BI550),1,0) +
        IF(AND(BJ550&lt;&gt;"""", INDEX(rowData,1,8)=BJ550),1,0)
      ) - COUNTIF(BC550:BJ550, ""-"")
        - COUNTIF(BC550:BJ550, ""固定格式，不需提供資訊"")
        - COUNTIF(BC550:BJ550, ""由MKT更新，此欄位固定格式，不需提供資訊
(Voucher CID：12917705872)"&amp;""")
        - COUNTIF(BC550:BJ550, ""text固定為以下：
※直播間僅支援手機版"")
        - COUNTIF(BC550:BJ550, ""text固定為以下：
※短影音僅支援手機版"")
    )
  ), 
  0
)
"),0)</f>
        <v>0</v>
      </c>
      <c r="BM550" s="77" t="b">
        <v>0</v>
      </c>
      <c r="BN550" s="85"/>
      <c r="BO550" s="85"/>
    </row>
    <row r="551" spans="1:67" ht="30" customHeight="1">
      <c r="A551" s="73" t="str">
        <f t="array" aca="1" ref="A551" ca="1">IFERROR(TRANSPOSE(INDIRECT('MS section版配(Old)'!$AO551)),"")</f>
        <v/>
      </c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8"/>
      <c r="P551" s="88"/>
      <c r="Q551" s="88"/>
      <c r="R551" s="88"/>
      <c r="S551" s="88"/>
      <c r="T551" s="88"/>
      <c r="U551" s="88"/>
      <c r="V551" s="88"/>
      <c r="W551" s="88"/>
      <c r="X551" s="88"/>
      <c r="Y551" s="88"/>
      <c r="Z551" s="88"/>
      <c r="AA551" s="88"/>
      <c r="AB551" s="88"/>
      <c r="AC551" s="88"/>
      <c r="AD551" s="88"/>
      <c r="AE551" s="397" t="str">
        <f>IFERROR(VLOOKUP($AQ551,'(勿動)組件目錄表'!$D$15:$R$1094,4,FALSE),"")</f>
        <v/>
      </c>
      <c r="AF551" s="384"/>
      <c r="AG551" s="384"/>
      <c r="AH551" s="384"/>
      <c r="AI551" s="384"/>
      <c r="AJ551" s="385"/>
      <c r="AK551" s="54" t="b">
        <v>0</v>
      </c>
      <c r="AL551" s="54" t="b">
        <v>0</v>
      </c>
      <c r="AM551" s="54"/>
      <c r="AN551" s="7" t="str">
        <v>543</v>
      </c>
      <c r="AO551" s="7"/>
      <c r="AP551" s="62"/>
      <c r="AQ551" s="75" t="str">
        <v/>
      </c>
      <c r="AR551" s="75" t="str">
        <v>-</v>
      </c>
      <c r="AS551" s="11"/>
      <c r="AT551" s="77" t="str">
        <v>-</v>
      </c>
      <c r="AU551" s="11" t="str">
        <v>-</v>
      </c>
      <c r="AV551" s="100"/>
      <c r="AW551" s="80" t="str">
        <f ca="1"/>
        <v>-</v>
      </c>
      <c r="AX551" s="80" t="b">
        <v>0</v>
      </c>
      <c r="AY551" s="68" t="str">
        <f t="shared" si="8"/>
        <v/>
      </c>
      <c r="AZ551" s="69" t="str">
        <f t="shared" si="9"/>
        <v/>
      </c>
      <c r="BA551" s="70" t="str">
        <f t="shared" si="10"/>
        <v/>
      </c>
      <c r="BB551" s="68" t="str">
        <f t="shared" si="11"/>
        <v/>
      </c>
      <c r="BC551" s="69" t="str">
        <f>IFERROR(VLOOKUP($AQ551,'(勿動)組件目錄表'!$D$15:$R$1094,7,FALSE),"")</f>
        <v/>
      </c>
      <c r="BD551" s="69" t="str">
        <f>IFERROR(VLOOKUP($AQ551,'(勿動)組件目錄表'!$D$15:$R$1094,8,FALSE),"")</f>
        <v/>
      </c>
      <c r="BE551" s="69" t="str">
        <f>IFERROR(VLOOKUP($AQ551,'(勿動)組件目錄表'!$D$15:$R$1094,9,FALSE),"")</f>
        <v/>
      </c>
      <c r="BF551" s="69" t="str">
        <f>IFERROR(VLOOKUP($AQ551,'(勿動)組件目錄表'!$D$15:$R$1094,10,FALSE),"")</f>
        <v/>
      </c>
      <c r="BG551" s="69" t="str">
        <f>IFERROR(VLOOKUP($AQ551,'(勿動)組件目錄表'!$D$15:$R$1094,11,FALSE),"")</f>
        <v/>
      </c>
      <c r="BH551" s="69" t="str">
        <f>IFERROR(VLOOKUP($AQ551,'(勿動)組件目錄表'!$D$15:$R$1094,12,FALSE),"")</f>
        <v/>
      </c>
      <c r="BI551" s="69" t="str">
        <f>IFERROR(VLOOKUP($AQ551,'(勿動)組件目錄表'!$D$15:$R$1094,13,FALSE),"")</f>
        <v/>
      </c>
      <c r="BJ551" s="69" t="str">
        <f>IFERROR(VLOOKUP($AQ551,'(勿動)組件目錄表'!$D$15:$R$1094,14,FALSE),"")</f>
        <v/>
      </c>
      <c r="BK551" s="69" t="str">
        <f>IFERROR(VLOOKUP($AQ551,'(勿動)組件目錄表'!$D$15:$R$1094,15,FALSE),"")</f>
        <v/>
      </c>
      <c r="BL551" s="81">
        <f ca="1">IFERROR(__xludf.DUMMYFUNCTION("IFERROR(
  LET(
    rowData, FILTER('(勿動)組件目錄表'!J:Q, '(勿動)組件目錄表'!D:D=AQ551),
    IF(ROWS(rowData)=0, 0, 
      (
        IF(AND(BC551&lt;&gt;"""", INDEX(rowData,1,1)=BC551),1,0) +
        IF(AND(BD551&lt;&gt;"""", INDEX(rowData,1,2)=BD551),1,0) +
        IF(AND(BE551"&amp;"&lt;&gt;"""", INDEX(rowData,1,3)=BE551),1,0) +
        IF(AND(BF551&lt;&gt;"""", INDEX(rowData,1,4)=BF551),1,0) +
        IF(AND(BG551&lt;&gt;"""", INDEX(rowData,1,5)=BG551),1,0) +
        IF(AND(BH551&lt;&gt;"""", INDEX(rowData,1,6)=BH551),1,0) +
        IF(AND(BI551&lt;&gt;"""", IND"&amp;"EX(rowData,1,7)=BI551),1,0) +
        IF(AND(BJ551&lt;&gt;"""", INDEX(rowData,1,8)=BJ551),1,0)
      ) - COUNTIF(BC551:BJ551, ""-"")
        - COUNTIF(BC551:BJ551, ""固定格式，不需提供資訊"")
        - COUNTIF(BC551:BJ551, ""由MKT更新，此欄位固定格式，不需提供資訊
(Voucher CID：12917705872)"&amp;""")
        - COUNTIF(BC551:BJ551, ""text固定為以下：
※直播間僅支援手機版"")
        - COUNTIF(BC551:BJ551, ""text固定為以下：
※短影音僅支援手機版"")
    )
  ), 
  0
)
"),0)</f>
        <v>0</v>
      </c>
      <c r="BM551" s="77" t="b">
        <v>0</v>
      </c>
      <c r="BN551" s="85"/>
      <c r="BO551" s="85"/>
    </row>
    <row r="552" spans="1:67" ht="30" customHeight="1">
      <c r="A552" s="73" t="str">
        <f t="array" aca="1" ref="A552" ca="1">IFERROR(TRANSPOSE(INDIRECT('MS section版配(Old)'!$AO552)),"")</f>
        <v/>
      </c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8"/>
      <c r="P552" s="88"/>
      <c r="Q552" s="88"/>
      <c r="R552" s="88"/>
      <c r="S552" s="88"/>
      <c r="T552" s="88"/>
      <c r="U552" s="88"/>
      <c r="V552" s="88"/>
      <c r="W552" s="88"/>
      <c r="X552" s="88"/>
      <c r="Y552" s="88"/>
      <c r="Z552" s="88"/>
      <c r="AA552" s="88"/>
      <c r="AB552" s="88"/>
      <c r="AC552" s="88"/>
      <c r="AD552" s="88"/>
      <c r="AE552" s="397" t="str">
        <f>IFERROR(VLOOKUP($AQ552,'(勿動)組件目錄表'!$D$15:$R$1094,4,FALSE),"")</f>
        <v/>
      </c>
      <c r="AF552" s="384"/>
      <c r="AG552" s="384"/>
      <c r="AH552" s="384"/>
      <c r="AI552" s="384"/>
      <c r="AJ552" s="385"/>
      <c r="AK552" s="54" t="b">
        <v>0</v>
      </c>
      <c r="AL552" s="54" t="b">
        <v>0</v>
      </c>
      <c r="AM552" s="54"/>
      <c r="AN552" s="7" t="str">
        <v>544</v>
      </c>
      <c r="AO552" s="7"/>
      <c r="AP552" s="62"/>
      <c r="AQ552" s="75" t="str">
        <v/>
      </c>
      <c r="AR552" s="75" t="str">
        <v>-</v>
      </c>
      <c r="AS552" s="11"/>
      <c r="AT552" s="77" t="str">
        <v>-</v>
      </c>
      <c r="AU552" s="11" t="str">
        <v>-</v>
      </c>
      <c r="AV552" s="100"/>
      <c r="AW552" s="80" t="str">
        <f ca="1"/>
        <v>-</v>
      </c>
      <c r="AX552" s="80" t="b">
        <v>0</v>
      </c>
      <c r="AY552" s="68" t="str">
        <f t="shared" si="8"/>
        <v/>
      </c>
      <c r="AZ552" s="69" t="str">
        <f t="shared" si="9"/>
        <v/>
      </c>
      <c r="BA552" s="70" t="str">
        <f t="shared" si="10"/>
        <v/>
      </c>
      <c r="BB552" s="68" t="str">
        <f t="shared" si="11"/>
        <v/>
      </c>
      <c r="BC552" s="69" t="str">
        <f>IFERROR(VLOOKUP($AQ552,'(勿動)組件目錄表'!$D$15:$R$1094,7,FALSE),"")</f>
        <v/>
      </c>
      <c r="BD552" s="69" t="str">
        <f>IFERROR(VLOOKUP($AQ552,'(勿動)組件目錄表'!$D$15:$R$1094,8,FALSE),"")</f>
        <v/>
      </c>
      <c r="BE552" s="69" t="str">
        <f>IFERROR(VLOOKUP($AQ552,'(勿動)組件目錄表'!$D$15:$R$1094,9,FALSE),"")</f>
        <v/>
      </c>
      <c r="BF552" s="69" t="str">
        <f>IFERROR(VLOOKUP($AQ552,'(勿動)組件目錄表'!$D$15:$R$1094,10,FALSE),"")</f>
        <v/>
      </c>
      <c r="BG552" s="69" t="str">
        <f>IFERROR(VLOOKUP($AQ552,'(勿動)組件目錄表'!$D$15:$R$1094,11,FALSE),"")</f>
        <v/>
      </c>
      <c r="BH552" s="69" t="str">
        <f>IFERROR(VLOOKUP($AQ552,'(勿動)組件目錄表'!$D$15:$R$1094,12,FALSE),"")</f>
        <v/>
      </c>
      <c r="BI552" s="69" t="str">
        <f>IFERROR(VLOOKUP($AQ552,'(勿動)組件目錄表'!$D$15:$R$1094,13,FALSE),"")</f>
        <v/>
      </c>
      <c r="BJ552" s="69" t="str">
        <f>IFERROR(VLOOKUP($AQ552,'(勿動)組件目錄表'!$D$15:$R$1094,14,FALSE),"")</f>
        <v/>
      </c>
      <c r="BK552" s="69" t="str">
        <f>IFERROR(VLOOKUP($AQ552,'(勿動)組件目錄表'!$D$15:$R$1094,15,FALSE),"")</f>
        <v/>
      </c>
      <c r="BL552" s="81">
        <f ca="1">IFERROR(__xludf.DUMMYFUNCTION("IFERROR(
  LET(
    rowData, FILTER('(勿動)組件目錄表'!J:Q, '(勿動)組件目錄表'!D:D=AQ552),
    IF(ROWS(rowData)=0, 0, 
      (
        IF(AND(BC552&lt;&gt;"""", INDEX(rowData,1,1)=BC552),1,0) +
        IF(AND(BD552&lt;&gt;"""", INDEX(rowData,1,2)=BD552),1,0) +
        IF(AND(BE552"&amp;"&lt;&gt;"""", INDEX(rowData,1,3)=BE552),1,0) +
        IF(AND(BF552&lt;&gt;"""", INDEX(rowData,1,4)=BF552),1,0) +
        IF(AND(BG552&lt;&gt;"""", INDEX(rowData,1,5)=BG552),1,0) +
        IF(AND(BH552&lt;&gt;"""", INDEX(rowData,1,6)=BH552),1,0) +
        IF(AND(BI552&lt;&gt;"""", IND"&amp;"EX(rowData,1,7)=BI552),1,0) +
        IF(AND(BJ552&lt;&gt;"""", INDEX(rowData,1,8)=BJ552),1,0)
      ) - COUNTIF(BC552:BJ552, ""-"")
        - COUNTIF(BC552:BJ552, ""固定格式，不需提供資訊"")
        - COUNTIF(BC552:BJ552, ""由MKT更新，此欄位固定格式，不需提供資訊
(Voucher CID：12917705872)"&amp;""")
        - COUNTIF(BC552:BJ552, ""text固定為以下：
※直播間僅支援手機版"")
        - COUNTIF(BC552:BJ552, ""text固定為以下：
※短影音僅支援手機版"")
    )
  ), 
  0
)
"),0)</f>
        <v>0</v>
      </c>
      <c r="BM552" s="77" t="b">
        <v>0</v>
      </c>
      <c r="BN552" s="85"/>
      <c r="BO552" s="85"/>
    </row>
    <row r="553" spans="1:67" ht="30" customHeight="1">
      <c r="A553" s="73" t="str">
        <f t="array" aca="1" ref="A553" ca="1">IFERROR(TRANSPOSE(INDIRECT('MS section版配(Old)'!$AO553)),"")</f>
        <v/>
      </c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8"/>
      <c r="P553" s="88"/>
      <c r="Q553" s="88"/>
      <c r="R553" s="88"/>
      <c r="S553" s="88"/>
      <c r="T553" s="88"/>
      <c r="U553" s="88"/>
      <c r="V553" s="88"/>
      <c r="W553" s="88"/>
      <c r="X553" s="88"/>
      <c r="Y553" s="88"/>
      <c r="Z553" s="88"/>
      <c r="AA553" s="88"/>
      <c r="AB553" s="88"/>
      <c r="AC553" s="88"/>
      <c r="AD553" s="88"/>
      <c r="AE553" s="397" t="str">
        <f>IFERROR(VLOOKUP($AQ553,'(勿動)組件目錄表'!$D$15:$R$1094,4,FALSE),"")</f>
        <v/>
      </c>
      <c r="AF553" s="384"/>
      <c r="AG553" s="384"/>
      <c r="AH553" s="384"/>
      <c r="AI553" s="384"/>
      <c r="AJ553" s="385"/>
      <c r="AK553" s="54" t="b">
        <v>0</v>
      </c>
      <c r="AL553" s="54" t="b">
        <v>0</v>
      </c>
      <c r="AM553" s="54"/>
      <c r="AN553" s="7" t="str">
        <v>545</v>
      </c>
      <c r="AO553" s="7"/>
      <c r="AP553" s="62"/>
      <c r="AQ553" s="75" t="str">
        <v/>
      </c>
      <c r="AR553" s="75" t="str">
        <v>-</v>
      </c>
      <c r="AS553" s="11"/>
      <c r="AT553" s="77" t="str">
        <v>-</v>
      </c>
      <c r="AU553" s="11" t="str">
        <v>-</v>
      </c>
      <c r="AV553" s="100"/>
      <c r="AW553" s="80" t="str">
        <f ca="1"/>
        <v>-</v>
      </c>
      <c r="AX553" s="80" t="b">
        <v>0</v>
      </c>
      <c r="AY553" s="68" t="str">
        <f t="shared" si="8"/>
        <v/>
      </c>
      <c r="AZ553" s="69" t="str">
        <f t="shared" si="9"/>
        <v/>
      </c>
      <c r="BA553" s="70" t="str">
        <f t="shared" si="10"/>
        <v/>
      </c>
      <c r="BB553" s="68" t="str">
        <f t="shared" si="11"/>
        <v/>
      </c>
      <c r="BC553" s="69" t="str">
        <f>IFERROR(VLOOKUP($AQ553,'(勿動)組件目錄表'!$D$15:$R$1094,7,FALSE),"")</f>
        <v/>
      </c>
      <c r="BD553" s="69" t="str">
        <f>IFERROR(VLOOKUP($AQ553,'(勿動)組件目錄表'!$D$15:$R$1094,8,FALSE),"")</f>
        <v/>
      </c>
      <c r="BE553" s="69" t="str">
        <f>IFERROR(VLOOKUP($AQ553,'(勿動)組件目錄表'!$D$15:$R$1094,9,FALSE),"")</f>
        <v/>
      </c>
      <c r="BF553" s="69" t="str">
        <f>IFERROR(VLOOKUP($AQ553,'(勿動)組件目錄表'!$D$15:$R$1094,10,FALSE),"")</f>
        <v/>
      </c>
      <c r="BG553" s="69" t="str">
        <f>IFERROR(VLOOKUP($AQ553,'(勿動)組件目錄表'!$D$15:$R$1094,11,FALSE),"")</f>
        <v/>
      </c>
      <c r="BH553" s="69" t="str">
        <f>IFERROR(VLOOKUP($AQ553,'(勿動)組件目錄表'!$D$15:$R$1094,12,FALSE),"")</f>
        <v/>
      </c>
      <c r="BI553" s="69" t="str">
        <f>IFERROR(VLOOKUP($AQ553,'(勿動)組件目錄表'!$D$15:$R$1094,13,FALSE),"")</f>
        <v/>
      </c>
      <c r="BJ553" s="69" t="str">
        <f>IFERROR(VLOOKUP($AQ553,'(勿動)組件目錄表'!$D$15:$R$1094,14,FALSE),"")</f>
        <v/>
      </c>
      <c r="BK553" s="69" t="str">
        <f>IFERROR(VLOOKUP($AQ553,'(勿動)組件目錄表'!$D$15:$R$1094,15,FALSE),"")</f>
        <v/>
      </c>
      <c r="BL553" s="81">
        <f ca="1">IFERROR(__xludf.DUMMYFUNCTION("IFERROR(
  LET(
    rowData, FILTER('(勿動)組件目錄表'!J:Q, '(勿動)組件目錄表'!D:D=AQ553),
    IF(ROWS(rowData)=0, 0, 
      (
        IF(AND(BC553&lt;&gt;"""", INDEX(rowData,1,1)=BC553),1,0) +
        IF(AND(BD553&lt;&gt;"""", INDEX(rowData,1,2)=BD553),1,0) +
        IF(AND(BE553"&amp;"&lt;&gt;"""", INDEX(rowData,1,3)=BE553),1,0) +
        IF(AND(BF553&lt;&gt;"""", INDEX(rowData,1,4)=BF553),1,0) +
        IF(AND(BG553&lt;&gt;"""", INDEX(rowData,1,5)=BG553),1,0) +
        IF(AND(BH553&lt;&gt;"""", INDEX(rowData,1,6)=BH553),1,0) +
        IF(AND(BI553&lt;&gt;"""", IND"&amp;"EX(rowData,1,7)=BI553),1,0) +
        IF(AND(BJ553&lt;&gt;"""", INDEX(rowData,1,8)=BJ553),1,0)
      ) - COUNTIF(BC553:BJ553, ""-"")
        - COUNTIF(BC553:BJ553, ""固定格式，不需提供資訊"")
        - COUNTIF(BC553:BJ553, ""由MKT更新，此欄位固定格式，不需提供資訊
(Voucher CID：12917705872)"&amp;""")
        - COUNTIF(BC553:BJ553, ""text固定為以下：
※直播間僅支援手機版"")
        - COUNTIF(BC553:BJ553, ""text固定為以下：
※短影音僅支援手機版"")
    )
  ), 
  0
)
"),0)</f>
        <v>0</v>
      </c>
      <c r="BM553" s="77" t="b">
        <v>0</v>
      </c>
      <c r="BN553" s="85"/>
      <c r="BO553" s="85"/>
    </row>
    <row r="554" spans="1:67" ht="30" customHeight="1">
      <c r="A554" s="73" t="str">
        <f t="array" aca="1" ref="A554" ca="1">IFERROR(TRANSPOSE(INDIRECT('MS section版配(Old)'!$AO554)),"")</f>
        <v/>
      </c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8"/>
      <c r="P554" s="88"/>
      <c r="Q554" s="88"/>
      <c r="R554" s="88"/>
      <c r="S554" s="88"/>
      <c r="T554" s="88"/>
      <c r="U554" s="88"/>
      <c r="V554" s="88"/>
      <c r="W554" s="88"/>
      <c r="X554" s="88"/>
      <c r="Y554" s="88"/>
      <c r="Z554" s="88"/>
      <c r="AA554" s="88"/>
      <c r="AB554" s="88"/>
      <c r="AC554" s="88"/>
      <c r="AD554" s="88"/>
      <c r="AE554" s="397" t="str">
        <f>IFERROR(VLOOKUP($AQ554,'(勿動)組件目錄表'!$D$15:$R$1094,4,FALSE),"")</f>
        <v/>
      </c>
      <c r="AF554" s="384"/>
      <c r="AG554" s="384"/>
      <c r="AH554" s="384"/>
      <c r="AI554" s="384"/>
      <c r="AJ554" s="385"/>
      <c r="AK554" s="54" t="b">
        <v>0</v>
      </c>
      <c r="AL554" s="54" t="b">
        <v>0</v>
      </c>
      <c r="AM554" s="54"/>
      <c r="AN554" s="7" t="str">
        <v>546</v>
      </c>
      <c r="AO554" s="7"/>
      <c r="AP554" s="62"/>
      <c r="AQ554" s="75" t="str">
        <v/>
      </c>
      <c r="AR554" s="75" t="str">
        <v>-</v>
      </c>
      <c r="AS554" s="11"/>
      <c r="AT554" s="77" t="str">
        <v>-</v>
      </c>
      <c r="AU554" s="11" t="str">
        <v>-</v>
      </c>
      <c r="AV554" s="100"/>
      <c r="AW554" s="80" t="str">
        <f ca="1"/>
        <v>-</v>
      </c>
      <c r="AX554" s="80" t="b">
        <v>0</v>
      </c>
      <c r="AY554" s="68" t="str">
        <f t="shared" si="8"/>
        <v/>
      </c>
      <c r="AZ554" s="69" t="str">
        <f t="shared" si="9"/>
        <v/>
      </c>
      <c r="BA554" s="70" t="str">
        <f t="shared" si="10"/>
        <v/>
      </c>
      <c r="BB554" s="68" t="str">
        <f t="shared" si="11"/>
        <v/>
      </c>
      <c r="BC554" s="69" t="str">
        <f>IFERROR(VLOOKUP($AQ554,'(勿動)組件目錄表'!$D$15:$R$1094,7,FALSE),"")</f>
        <v/>
      </c>
      <c r="BD554" s="69" t="str">
        <f>IFERROR(VLOOKUP($AQ554,'(勿動)組件目錄表'!$D$15:$R$1094,8,FALSE),"")</f>
        <v/>
      </c>
      <c r="BE554" s="69" t="str">
        <f>IFERROR(VLOOKUP($AQ554,'(勿動)組件目錄表'!$D$15:$R$1094,9,FALSE),"")</f>
        <v/>
      </c>
      <c r="BF554" s="69" t="str">
        <f>IFERROR(VLOOKUP($AQ554,'(勿動)組件目錄表'!$D$15:$R$1094,10,FALSE),"")</f>
        <v/>
      </c>
      <c r="BG554" s="69" t="str">
        <f>IFERROR(VLOOKUP($AQ554,'(勿動)組件目錄表'!$D$15:$R$1094,11,FALSE),"")</f>
        <v/>
      </c>
      <c r="BH554" s="69" t="str">
        <f>IFERROR(VLOOKUP($AQ554,'(勿動)組件目錄表'!$D$15:$R$1094,12,FALSE),"")</f>
        <v/>
      </c>
      <c r="BI554" s="69" t="str">
        <f>IFERROR(VLOOKUP($AQ554,'(勿動)組件目錄表'!$D$15:$R$1094,13,FALSE),"")</f>
        <v/>
      </c>
      <c r="BJ554" s="69" t="str">
        <f>IFERROR(VLOOKUP($AQ554,'(勿動)組件目錄表'!$D$15:$R$1094,14,FALSE),"")</f>
        <v/>
      </c>
      <c r="BK554" s="69" t="str">
        <f>IFERROR(VLOOKUP($AQ554,'(勿動)組件目錄表'!$D$15:$R$1094,15,FALSE),"")</f>
        <v/>
      </c>
      <c r="BL554" s="81">
        <f ca="1">IFERROR(__xludf.DUMMYFUNCTION("IFERROR(
  LET(
    rowData, FILTER('(勿動)組件目錄表'!J:Q, '(勿動)組件目錄表'!D:D=AQ554),
    IF(ROWS(rowData)=0, 0, 
      (
        IF(AND(BC554&lt;&gt;"""", INDEX(rowData,1,1)=BC554),1,0) +
        IF(AND(BD554&lt;&gt;"""", INDEX(rowData,1,2)=BD554),1,0) +
        IF(AND(BE554"&amp;"&lt;&gt;"""", INDEX(rowData,1,3)=BE554),1,0) +
        IF(AND(BF554&lt;&gt;"""", INDEX(rowData,1,4)=BF554),1,0) +
        IF(AND(BG554&lt;&gt;"""", INDEX(rowData,1,5)=BG554),1,0) +
        IF(AND(BH554&lt;&gt;"""", INDEX(rowData,1,6)=BH554),1,0) +
        IF(AND(BI554&lt;&gt;"""", IND"&amp;"EX(rowData,1,7)=BI554),1,0) +
        IF(AND(BJ554&lt;&gt;"""", INDEX(rowData,1,8)=BJ554),1,0)
      ) - COUNTIF(BC554:BJ554, ""-"")
        - COUNTIF(BC554:BJ554, ""固定格式，不需提供資訊"")
        - COUNTIF(BC554:BJ554, ""由MKT更新，此欄位固定格式，不需提供資訊
(Voucher CID：12917705872)"&amp;""")
        - COUNTIF(BC554:BJ554, ""text固定為以下：
※直播間僅支援手機版"")
        - COUNTIF(BC554:BJ554, ""text固定為以下：
※短影音僅支援手機版"")
    )
  ), 
  0
)
"),0)</f>
        <v>0</v>
      </c>
      <c r="BM554" s="77" t="b">
        <v>0</v>
      </c>
      <c r="BN554" s="85"/>
      <c r="BO554" s="85"/>
    </row>
    <row r="555" spans="1:67" ht="30" customHeight="1">
      <c r="A555" s="73" t="str">
        <f t="array" aca="1" ref="A555" ca="1">IFERROR(TRANSPOSE(INDIRECT('MS section版配(Old)'!$AO555)),"")</f>
        <v/>
      </c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8"/>
      <c r="P555" s="88"/>
      <c r="Q555" s="88"/>
      <c r="R555" s="88"/>
      <c r="S555" s="88"/>
      <c r="T555" s="88"/>
      <c r="U555" s="88"/>
      <c r="V555" s="88"/>
      <c r="W555" s="88"/>
      <c r="X555" s="88"/>
      <c r="Y555" s="88"/>
      <c r="Z555" s="88"/>
      <c r="AA555" s="88"/>
      <c r="AB555" s="88"/>
      <c r="AC555" s="88"/>
      <c r="AD555" s="88"/>
      <c r="AE555" s="397" t="str">
        <f>IFERROR(VLOOKUP($AQ555,'(勿動)組件目錄表'!$D$15:$R$1094,4,FALSE),"")</f>
        <v/>
      </c>
      <c r="AF555" s="384"/>
      <c r="AG555" s="384"/>
      <c r="AH555" s="384"/>
      <c r="AI555" s="384"/>
      <c r="AJ555" s="385"/>
      <c r="AK555" s="54" t="b">
        <v>0</v>
      </c>
      <c r="AL555" s="54" t="b">
        <v>0</v>
      </c>
      <c r="AM555" s="54"/>
      <c r="AN555" s="7" t="str">
        <v>547</v>
      </c>
      <c r="AO555" s="7"/>
      <c r="AP555" s="62"/>
      <c r="AQ555" s="75" t="str">
        <v/>
      </c>
      <c r="AR555" s="75" t="str">
        <v>-</v>
      </c>
      <c r="AS555" s="11"/>
      <c r="AT555" s="77" t="str">
        <v>-</v>
      </c>
      <c r="AU555" s="11" t="str">
        <v>-</v>
      </c>
      <c r="AV555" s="100"/>
      <c r="AW555" s="80" t="str">
        <f ca="1"/>
        <v>-</v>
      </c>
      <c r="AX555" s="80" t="b">
        <v>0</v>
      </c>
      <c r="AY555" s="68" t="str">
        <f t="shared" si="8"/>
        <v/>
      </c>
      <c r="AZ555" s="69" t="str">
        <f t="shared" si="9"/>
        <v/>
      </c>
      <c r="BA555" s="70" t="str">
        <f t="shared" si="10"/>
        <v/>
      </c>
      <c r="BB555" s="68" t="str">
        <f t="shared" si="11"/>
        <v/>
      </c>
      <c r="BC555" s="69" t="str">
        <f>IFERROR(VLOOKUP($AQ555,'(勿動)組件目錄表'!$D$15:$R$1094,7,FALSE),"")</f>
        <v/>
      </c>
      <c r="BD555" s="69" t="str">
        <f>IFERROR(VLOOKUP($AQ555,'(勿動)組件目錄表'!$D$15:$R$1094,8,FALSE),"")</f>
        <v/>
      </c>
      <c r="BE555" s="69" t="str">
        <f>IFERROR(VLOOKUP($AQ555,'(勿動)組件目錄表'!$D$15:$R$1094,9,FALSE),"")</f>
        <v/>
      </c>
      <c r="BF555" s="69" t="str">
        <f>IFERROR(VLOOKUP($AQ555,'(勿動)組件目錄表'!$D$15:$R$1094,10,FALSE),"")</f>
        <v/>
      </c>
      <c r="BG555" s="69" t="str">
        <f>IFERROR(VLOOKUP($AQ555,'(勿動)組件目錄表'!$D$15:$R$1094,11,FALSE),"")</f>
        <v/>
      </c>
      <c r="BH555" s="69" t="str">
        <f>IFERROR(VLOOKUP($AQ555,'(勿動)組件目錄表'!$D$15:$R$1094,12,FALSE),"")</f>
        <v/>
      </c>
      <c r="BI555" s="69" t="str">
        <f>IFERROR(VLOOKUP($AQ555,'(勿動)組件目錄表'!$D$15:$R$1094,13,FALSE),"")</f>
        <v/>
      </c>
      <c r="BJ555" s="69" t="str">
        <f>IFERROR(VLOOKUP($AQ555,'(勿動)組件目錄表'!$D$15:$R$1094,14,FALSE),"")</f>
        <v/>
      </c>
      <c r="BK555" s="69" t="str">
        <f>IFERROR(VLOOKUP($AQ555,'(勿動)組件目錄表'!$D$15:$R$1094,15,FALSE),"")</f>
        <v/>
      </c>
      <c r="BL555" s="81">
        <f ca="1">IFERROR(__xludf.DUMMYFUNCTION("IFERROR(
  LET(
    rowData, FILTER('(勿動)組件目錄表'!J:Q, '(勿動)組件目錄表'!D:D=AQ555),
    IF(ROWS(rowData)=0, 0, 
      (
        IF(AND(BC555&lt;&gt;"""", INDEX(rowData,1,1)=BC555),1,0) +
        IF(AND(BD555&lt;&gt;"""", INDEX(rowData,1,2)=BD555),1,0) +
        IF(AND(BE555"&amp;"&lt;&gt;"""", INDEX(rowData,1,3)=BE555),1,0) +
        IF(AND(BF555&lt;&gt;"""", INDEX(rowData,1,4)=BF555),1,0) +
        IF(AND(BG555&lt;&gt;"""", INDEX(rowData,1,5)=BG555),1,0) +
        IF(AND(BH555&lt;&gt;"""", INDEX(rowData,1,6)=BH555),1,0) +
        IF(AND(BI555&lt;&gt;"""", IND"&amp;"EX(rowData,1,7)=BI555),1,0) +
        IF(AND(BJ555&lt;&gt;"""", INDEX(rowData,1,8)=BJ555),1,0)
      ) - COUNTIF(BC555:BJ555, ""-"")
        - COUNTIF(BC555:BJ555, ""固定格式，不需提供資訊"")
        - COUNTIF(BC555:BJ555, ""由MKT更新，此欄位固定格式，不需提供資訊
(Voucher CID：12917705872)"&amp;""")
        - COUNTIF(BC555:BJ555, ""text固定為以下：
※直播間僅支援手機版"")
        - COUNTIF(BC555:BJ555, ""text固定為以下：
※短影音僅支援手機版"")
    )
  ), 
  0
)
"),0)</f>
        <v>0</v>
      </c>
      <c r="BM555" s="77" t="b">
        <v>0</v>
      </c>
      <c r="BN555" s="85"/>
      <c r="BO555" s="85"/>
    </row>
    <row r="556" spans="1:67" ht="30" customHeight="1">
      <c r="A556" s="73" t="str">
        <f t="array" aca="1" ref="A556" ca="1">IFERROR(TRANSPOSE(INDIRECT('MS section版配(Old)'!$AO556)),"")</f>
        <v/>
      </c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8"/>
      <c r="P556" s="88"/>
      <c r="Q556" s="88"/>
      <c r="R556" s="88"/>
      <c r="S556" s="88"/>
      <c r="T556" s="88"/>
      <c r="U556" s="88"/>
      <c r="V556" s="88"/>
      <c r="W556" s="88"/>
      <c r="X556" s="88"/>
      <c r="Y556" s="88"/>
      <c r="Z556" s="88"/>
      <c r="AA556" s="88"/>
      <c r="AB556" s="88"/>
      <c r="AC556" s="88"/>
      <c r="AD556" s="88"/>
      <c r="AE556" s="397" t="str">
        <f>IFERROR(VLOOKUP($AQ556,'(勿動)組件目錄表'!$D$15:$R$1094,4,FALSE),"")</f>
        <v/>
      </c>
      <c r="AF556" s="384"/>
      <c r="AG556" s="384"/>
      <c r="AH556" s="384"/>
      <c r="AI556" s="384"/>
      <c r="AJ556" s="385"/>
      <c r="AK556" s="54" t="b">
        <v>0</v>
      </c>
      <c r="AL556" s="54" t="b">
        <v>0</v>
      </c>
      <c r="AM556" s="54"/>
      <c r="AN556" s="7" t="str">
        <v>548</v>
      </c>
      <c r="AO556" s="7"/>
      <c r="AP556" s="62"/>
      <c r="AQ556" s="75" t="str">
        <v/>
      </c>
      <c r="AR556" s="75" t="str">
        <v>-</v>
      </c>
      <c r="AS556" s="11"/>
      <c r="AT556" s="77" t="str">
        <v>-</v>
      </c>
      <c r="AU556" s="11" t="str">
        <v>-</v>
      </c>
      <c r="AV556" s="100"/>
      <c r="AW556" s="80" t="str">
        <f ca="1"/>
        <v>-</v>
      </c>
      <c r="AX556" s="80" t="b">
        <v>0</v>
      </c>
      <c r="AY556" s="68" t="str">
        <f t="shared" si="8"/>
        <v/>
      </c>
      <c r="AZ556" s="69" t="str">
        <f t="shared" si="9"/>
        <v/>
      </c>
      <c r="BA556" s="70" t="str">
        <f t="shared" si="10"/>
        <v/>
      </c>
      <c r="BB556" s="68" t="str">
        <f t="shared" si="11"/>
        <v/>
      </c>
      <c r="BC556" s="69" t="str">
        <f>IFERROR(VLOOKUP($AQ556,'(勿動)組件目錄表'!$D$15:$R$1094,7,FALSE),"")</f>
        <v/>
      </c>
      <c r="BD556" s="69" t="str">
        <f>IFERROR(VLOOKUP($AQ556,'(勿動)組件目錄表'!$D$15:$R$1094,8,FALSE),"")</f>
        <v/>
      </c>
      <c r="BE556" s="69" t="str">
        <f>IFERROR(VLOOKUP($AQ556,'(勿動)組件目錄表'!$D$15:$R$1094,9,FALSE),"")</f>
        <v/>
      </c>
      <c r="BF556" s="69" t="str">
        <f>IFERROR(VLOOKUP($AQ556,'(勿動)組件目錄表'!$D$15:$R$1094,10,FALSE),"")</f>
        <v/>
      </c>
      <c r="BG556" s="69" t="str">
        <f>IFERROR(VLOOKUP($AQ556,'(勿動)組件目錄表'!$D$15:$R$1094,11,FALSE),"")</f>
        <v/>
      </c>
      <c r="BH556" s="69" t="str">
        <f>IFERROR(VLOOKUP($AQ556,'(勿動)組件目錄表'!$D$15:$R$1094,12,FALSE),"")</f>
        <v/>
      </c>
      <c r="BI556" s="69" t="str">
        <f>IFERROR(VLOOKUP($AQ556,'(勿動)組件目錄表'!$D$15:$R$1094,13,FALSE),"")</f>
        <v/>
      </c>
      <c r="BJ556" s="69" t="str">
        <f>IFERROR(VLOOKUP($AQ556,'(勿動)組件目錄表'!$D$15:$R$1094,14,FALSE),"")</f>
        <v/>
      </c>
      <c r="BK556" s="69" t="str">
        <f>IFERROR(VLOOKUP($AQ556,'(勿動)組件目錄表'!$D$15:$R$1094,15,FALSE),"")</f>
        <v/>
      </c>
      <c r="BL556" s="81">
        <f ca="1">IFERROR(__xludf.DUMMYFUNCTION("IFERROR(
  LET(
    rowData, FILTER('(勿動)組件目錄表'!J:Q, '(勿動)組件目錄表'!D:D=AQ556),
    IF(ROWS(rowData)=0, 0, 
      (
        IF(AND(BC556&lt;&gt;"""", INDEX(rowData,1,1)=BC556),1,0) +
        IF(AND(BD556&lt;&gt;"""", INDEX(rowData,1,2)=BD556),1,0) +
        IF(AND(BE556"&amp;"&lt;&gt;"""", INDEX(rowData,1,3)=BE556),1,0) +
        IF(AND(BF556&lt;&gt;"""", INDEX(rowData,1,4)=BF556),1,0) +
        IF(AND(BG556&lt;&gt;"""", INDEX(rowData,1,5)=BG556),1,0) +
        IF(AND(BH556&lt;&gt;"""", INDEX(rowData,1,6)=BH556),1,0) +
        IF(AND(BI556&lt;&gt;"""", IND"&amp;"EX(rowData,1,7)=BI556),1,0) +
        IF(AND(BJ556&lt;&gt;"""", INDEX(rowData,1,8)=BJ556),1,0)
      ) - COUNTIF(BC556:BJ556, ""-"")
        - COUNTIF(BC556:BJ556, ""固定格式，不需提供資訊"")
        - COUNTIF(BC556:BJ556, ""由MKT更新，此欄位固定格式，不需提供資訊
(Voucher CID：12917705872)"&amp;""")
        - COUNTIF(BC556:BJ556, ""text固定為以下：
※直播間僅支援手機版"")
        - COUNTIF(BC556:BJ556, ""text固定為以下：
※短影音僅支援手機版"")
    )
  ), 
  0
)
"),0)</f>
        <v>0</v>
      </c>
      <c r="BM556" s="77" t="b">
        <v>0</v>
      </c>
      <c r="BN556" s="85"/>
      <c r="BO556" s="85"/>
    </row>
    <row r="557" spans="1:67" ht="30" customHeight="1">
      <c r="A557" s="73" t="str">
        <f t="array" aca="1" ref="A557" ca="1">IFERROR(TRANSPOSE(INDIRECT('MS section版配(Old)'!$AO557)),"")</f>
        <v/>
      </c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8"/>
      <c r="P557" s="88"/>
      <c r="Q557" s="88"/>
      <c r="R557" s="88"/>
      <c r="S557" s="88"/>
      <c r="T557" s="88"/>
      <c r="U557" s="88"/>
      <c r="V557" s="88"/>
      <c r="W557" s="88"/>
      <c r="X557" s="88"/>
      <c r="Y557" s="88"/>
      <c r="Z557" s="88"/>
      <c r="AA557" s="88"/>
      <c r="AB557" s="88"/>
      <c r="AC557" s="88"/>
      <c r="AD557" s="88"/>
      <c r="AE557" s="397" t="str">
        <f>IFERROR(VLOOKUP($AQ557,'(勿動)組件目錄表'!$D$15:$R$1094,4,FALSE),"")</f>
        <v/>
      </c>
      <c r="AF557" s="384"/>
      <c r="AG557" s="384"/>
      <c r="AH557" s="384"/>
      <c r="AI557" s="384"/>
      <c r="AJ557" s="385"/>
      <c r="AK557" s="54" t="b">
        <v>0</v>
      </c>
      <c r="AL557" s="54" t="b">
        <v>0</v>
      </c>
      <c r="AM557" s="54"/>
      <c r="AN557" s="7" t="str">
        <v>549</v>
      </c>
      <c r="AO557" s="7"/>
      <c r="AP557" s="62"/>
      <c r="AQ557" s="75" t="str">
        <v/>
      </c>
      <c r="AR557" s="75" t="str">
        <v>-</v>
      </c>
      <c r="AS557" s="11"/>
      <c r="AT557" s="77" t="str">
        <v>-</v>
      </c>
      <c r="AU557" s="11" t="str">
        <v>-</v>
      </c>
      <c r="AV557" s="100"/>
      <c r="AW557" s="80" t="str">
        <f ca="1"/>
        <v>-</v>
      </c>
      <c r="AX557" s="80" t="b">
        <v>0</v>
      </c>
      <c r="AY557" s="68" t="str">
        <f t="shared" si="8"/>
        <v/>
      </c>
      <c r="AZ557" s="69" t="str">
        <f t="shared" si="9"/>
        <v/>
      </c>
      <c r="BA557" s="70" t="str">
        <f t="shared" si="10"/>
        <v/>
      </c>
      <c r="BB557" s="68" t="str">
        <f t="shared" si="11"/>
        <v/>
      </c>
      <c r="BC557" s="69" t="str">
        <f>IFERROR(VLOOKUP($AQ557,'(勿動)組件目錄表'!$D$15:$R$1094,7,FALSE),"")</f>
        <v/>
      </c>
      <c r="BD557" s="69" t="str">
        <f>IFERROR(VLOOKUP($AQ557,'(勿動)組件目錄表'!$D$15:$R$1094,8,FALSE),"")</f>
        <v/>
      </c>
      <c r="BE557" s="69" t="str">
        <f>IFERROR(VLOOKUP($AQ557,'(勿動)組件目錄表'!$D$15:$R$1094,9,FALSE),"")</f>
        <v/>
      </c>
      <c r="BF557" s="69" t="str">
        <f>IFERROR(VLOOKUP($AQ557,'(勿動)組件目錄表'!$D$15:$R$1094,10,FALSE),"")</f>
        <v/>
      </c>
      <c r="BG557" s="69" t="str">
        <f>IFERROR(VLOOKUP($AQ557,'(勿動)組件目錄表'!$D$15:$R$1094,11,FALSE),"")</f>
        <v/>
      </c>
      <c r="BH557" s="69" t="str">
        <f>IFERROR(VLOOKUP($AQ557,'(勿動)組件目錄表'!$D$15:$R$1094,12,FALSE),"")</f>
        <v/>
      </c>
      <c r="BI557" s="69" t="str">
        <f>IFERROR(VLOOKUP($AQ557,'(勿動)組件目錄表'!$D$15:$R$1094,13,FALSE),"")</f>
        <v/>
      </c>
      <c r="BJ557" s="69" t="str">
        <f>IFERROR(VLOOKUP($AQ557,'(勿動)組件目錄表'!$D$15:$R$1094,14,FALSE),"")</f>
        <v/>
      </c>
      <c r="BK557" s="69" t="str">
        <f>IFERROR(VLOOKUP($AQ557,'(勿動)組件目錄表'!$D$15:$R$1094,15,FALSE),"")</f>
        <v/>
      </c>
      <c r="BL557" s="81">
        <f ca="1">IFERROR(__xludf.DUMMYFUNCTION("IFERROR(
  LET(
    rowData, FILTER('(勿動)組件目錄表'!J:Q, '(勿動)組件目錄表'!D:D=AQ557),
    IF(ROWS(rowData)=0, 0, 
      (
        IF(AND(BC557&lt;&gt;"""", INDEX(rowData,1,1)=BC557),1,0) +
        IF(AND(BD557&lt;&gt;"""", INDEX(rowData,1,2)=BD557),1,0) +
        IF(AND(BE557"&amp;"&lt;&gt;"""", INDEX(rowData,1,3)=BE557),1,0) +
        IF(AND(BF557&lt;&gt;"""", INDEX(rowData,1,4)=BF557),1,0) +
        IF(AND(BG557&lt;&gt;"""", INDEX(rowData,1,5)=BG557),1,0) +
        IF(AND(BH557&lt;&gt;"""", INDEX(rowData,1,6)=BH557),1,0) +
        IF(AND(BI557&lt;&gt;"""", IND"&amp;"EX(rowData,1,7)=BI557),1,0) +
        IF(AND(BJ557&lt;&gt;"""", INDEX(rowData,1,8)=BJ557),1,0)
      ) - COUNTIF(BC557:BJ557, ""-"")
        - COUNTIF(BC557:BJ557, ""固定格式，不需提供資訊"")
        - COUNTIF(BC557:BJ557, ""由MKT更新，此欄位固定格式，不需提供資訊
(Voucher CID：12917705872)"&amp;""")
        - COUNTIF(BC557:BJ557, ""text固定為以下：
※直播間僅支援手機版"")
        - COUNTIF(BC557:BJ557, ""text固定為以下：
※短影音僅支援手機版"")
    )
  ), 
  0
)
"),0)</f>
        <v>0</v>
      </c>
      <c r="BM557" s="77" t="b">
        <v>0</v>
      </c>
      <c r="BN557" s="85"/>
      <c r="BO557" s="85"/>
    </row>
    <row r="558" spans="1:67" ht="30" customHeight="1">
      <c r="A558" s="73" t="str">
        <f t="array" aca="1" ref="A558" ca="1">IFERROR(TRANSPOSE(INDIRECT('MS section版配(Old)'!$AO558)),"")</f>
        <v/>
      </c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8"/>
      <c r="P558" s="88"/>
      <c r="Q558" s="88"/>
      <c r="R558" s="88"/>
      <c r="S558" s="88"/>
      <c r="T558" s="88"/>
      <c r="U558" s="88"/>
      <c r="V558" s="88"/>
      <c r="W558" s="88"/>
      <c r="X558" s="88"/>
      <c r="Y558" s="88"/>
      <c r="Z558" s="88"/>
      <c r="AA558" s="88"/>
      <c r="AB558" s="88"/>
      <c r="AC558" s="88"/>
      <c r="AD558" s="88"/>
      <c r="AE558" s="397" t="str">
        <f>IFERROR(VLOOKUP($AQ558,'(勿動)組件目錄表'!$D$15:$R$1094,4,FALSE),"")</f>
        <v/>
      </c>
      <c r="AF558" s="384"/>
      <c r="AG558" s="384"/>
      <c r="AH558" s="384"/>
      <c r="AI558" s="384"/>
      <c r="AJ558" s="385"/>
      <c r="AK558" s="54" t="b">
        <v>0</v>
      </c>
      <c r="AL558" s="54" t="b">
        <v>0</v>
      </c>
      <c r="AM558" s="54"/>
      <c r="AN558" s="7" t="str">
        <v>550</v>
      </c>
      <c r="AO558" s="7"/>
      <c r="AP558" s="62"/>
      <c r="AQ558" s="75" t="str">
        <v/>
      </c>
      <c r="AR558" s="75" t="str">
        <v>-</v>
      </c>
      <c r="AS558" s="11"/>
      <c r="AT558" s="77" t="str">
        <v>-</v>
      </c>
      <c r="AU558" s="11" t="str">
        <v>-</v>
      </c>
      <c r="AV558" s="100"/>
      <c r="AW558" s="80" t="str">
        <f ca="1"/>
        <v>-</v>
      </c>
      <c r="AX558" s="80" t="b">
        <v>0</v>
      </c>
      <c r="AY558" s="68" t="str">
        <f t="shared" si="8"/>
        <v/>
      </c>
      <c r="AZ558" s="69" t="str">
        <f t="shared" si="9"/>
        <v/>
      </c>
      <c r="BA558" s="70" t="str">
        <f t="shared" si="10"/>
        <v/>
      </c>
      <c r="BB558" s="68" t="str">
        <f t="shared" si="11"/>
        <v/>
      </c>
      <c r="BC558" s="69" t="str">
        <f>IFERROR(VLOOKUP($AQ558,'(勿動)組件目錄表'!$D$15:$R$1094,7,FALSE),"")</f>
        <v/>
      </c>
      <c r="BD558" s="69" t="str">
        <f>IFERROR(VLOOKUP($AQ558,'(勿動)組件目錄表'!$D$15:$R$1094,8,FALSE),"")</f>
        <v/>
      </c>
      <c r="BE558" s="69" t="str">
        <f>IFERROR(VLOOKUP($AQ558,'(勿動)組件目錄表'!$D$15:$R$1094,9,FALSE),"")</f>
        <v/>
      </c>
      <c r="BF558" s="69" t="str">
        <f>IFERROR(VLOOKUP($AQ558,'(勿動)組件目錄表'!$D$15:$R$1094,10,FALSE),"")</f>
        <v/>
      </c>
      <c r="BG558" s="69" t="str">
        <f>IFERROR(VLOOKUP($AQ558,'(勿動)組件目錄表'!$D$15:$R$1094,11,FALSE),"")</f>
        <v/>
      </c>
      <c r="BH558" s="69" t="str">
        <f>IFERROR(VLOOKUP($AQ558,'(勿動)組件目錄表'!$D$15:$R$1094,12,FALSE),"")</f>
        <v/>
      </c>
      <c r="BI558" s="69" t="str">
        <f>IFERROR(VLOOKUP($AQ558,'(勿動)組件目錄表'!$D$15:$R$1094,13,FALSE),"")</f>
        <v/>
      </c>
      <c r="BJ558" s="69" t="str">
        <f>IFERROR(VLOOKUP($AQ558,'(勿動)組件目錄表'!$D$15:$R$1094,14,FALSE),"")</f>
        <v/>
      </c>
      <c r="BK558" s="69" t="str">
        <f>IFERROR(VLOOKUP($AQ558,'(勿動)組件目錄表'!$D$15:$R$1094,15,FALSE),"")</f>
        <v/>
      </c>
      <c r="BL558" s="81">
        <f ca="1">IFERROR(__xludf.DUMMYFUNCTION("IFERROR(
  LET(
    rowData, FILTER('(勿動)組件目錄表'!J:Q, '(勿動)組件目錄表'!D:D=AQ558),
    IF(ROWS(rowData)=0, 0, 
      (
        IF(AND(BC558&lt;&gt;"""", INDEX(rowData,1,1)=BC558),1,0) +
        IF(AND(BD558&lt;&gt;"""", INDEX(rowData,1,2)=BD558),1,0) +
        IF(AND(BE558"&amp;"&lt;&gt;"""", INDEX(rowData,1,3)=BE558),1,0) +
        IF(AND(BF558&lt;&gt;"""", INDEX(rowData,1,4)=BF558),1,0) +
        IF(AND(BG558&lt;&gt;"""", INDEX(rowData,1,5)=BG558),1,0) +
        IF(AND(BH558&lt;&gt;"""", INDEX(rowData,1,6)=BH558),1,0) +
        IF(AND(BI558&lt;&gt;"""", IND"&amp;"EX(rowData,1,7)=BI558),1,0) +
        IF(AND(BJ558&lt;&gt;"""", INDEX(rowData,1,8)=BJ558),1,0)
      ) - COUNTIF(BC558:BJ558, ""-"")
        - COUNTIF(BC558:BJ558, ""固定格式，不需提供資訊"")
        - COUNTIF(BC558:BJ558, ""由MKT更新，此欄位固定格式，不需提供資訊
(Voucher CID：12917705872)"&amp;""")
        - COUNTIF(BC558:BJ558, ""text固定為以下：
※直播間僅支援手機版"")
        - COUNTIF(BC558:BJ558, ""text固定為以下：
※短影音僅支援手機版"")
    )
  ), 
  0
)
"),0)</f>
        <v>0</v>
      </c>
      <c r="BM558" s="77" t="b">
        <v>0</v>
      </c>
      <c r="BN558" s="85"/>
      <c r="BO558" s="85"/>
    </row>
    <row r="559" spans="1:67" ht="30" customHeight="1">
      <c r="A559" s="73" t="str">
        <f t="array" aca="1" ref="A559" ca="1">IFERROR(TRANSPOSE(INDIRECT('MS section版配(Old)'!$AO559)),"")</f>
        <v/>
      </c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8"/>
      <c r="P559" s="88"/>
      <c r="Q559" s="88"/>
      <c r="R559" s="88"/>
      <c r="S559" s="88"/>
      <c r="T559" s="88"/>
      <c r="U559" s="88"/>
      <c r="V559" s="88"/>
      <c r="W559" s="88"/>
      <c r="X559" s="88"/>
      <c r="Y559" s="88"/>
      <c r="Z559" s="88"/>
      <c r="AA559" s="88"/>
      <c r="AB559" s="88"/>
      <c r="AC559" s="88"/>
      <c r="AD559" s="88"/>
      <c r="AE559" s="397" t="str">
        <f>IFERROR(VLOOKUP($AQ559,'(勿動)組件目錄表'!$D$15:$R$1094,4,FALSE),"")</f>
        <v/>
      </c>
      <c r="AF559" s="384"/>
      <c r="AG559" s="384"/>
      <c r="AH559" s="384"/>
      <c r="AI559" s="384"/>
      <c r="AJ559" s="385"/>
      <c r="AK559" s="54" t="b">
        <v>0</v>
      </c>
      <c r="AL559" s="54" t="b">
        <v>0</v>
      </c>
      <c r="AM559" s="54"/>
      <c r="AN559" s="7" t="str">
        <v>551</v>
      </c>
      <c r="AO559" s="7"/>
      <c r="AP559" s="62"/>
      <c r="AQ559" s="75" t="str">
        <v/>
      </c>
      <c r="AR559" s="75" t="str">
        <v>-</v>
      </c>
      <c r="AS559" s="11"/>
      <c r="AT559" s="77" t="str">
        <v>-</v>
      </c>
      <c r="AU559" s="11" t="str">
        <v>-</v>
      </c>
      <c r="AV559" s="100"/>
      <c r="AW559" s="80" t="str">
        <f ca="1"/>
        <v>-</v>
      </c>
      <c r="AX559" s="80" t="b">
        <v>0</v>
      </c>
      <c r="AY559" s="68" t="str">
        <f t="shared" si="8"/>
        <v/>
      </c>
      <c r="AZ559" s="69" t="str">
        <f t="shared" si="9"/>
        <v/>
      </c>
      <c r="BA559" s="70" t="str">
        <f t="shared" si="10"/>
        <v/>
      </c>
      <c r="BB559" s="68" t="str">
        <f t="shared" si="11"/>
        <v/>
      </c>
      <c r="BC559" s="69" t="str">
        <f>IFERROR(VLOOKUP($AQ559,'(勿動)組件目錄表'!$D$15:$R$1094,7,FALSE),"")</f>
        <v/>
      </c>
      <c r="BD559" s="69" t="str">
        <f>IFERROR(VLOOKUP($AQ559,'(勿動)組件目錄表'!$D$15:$R$1094,8,FALSE),"")</f>
        <v/>
      </c>
      <c r="BE559" s="69" t="str">
        <f>IFERROR(VLOOKUP($AQ559,'(勿動)組件目錄表'!$D$15:$R$1094,9,FALSE),"")</f>
        <v/>
      </c>
      <c r="BF559" s="69" t="str">
        <f>IFERROR(VLOOKUP($AQ559,'(勿動)組件目錄表'!$D$15:$R$1094,10,FALSE),"")</f>
        <v/>
      </c>
      <c r="BG559" s="69" t="str">
        <f>IFERROR(VLOOKUP($AQ559,'(勿動)組件目錄表'!$D$15:$R$1094,11,FALSE),"")</f>
        <v/>
      </c>
      <c r="BH559" s="69" t="str">
        <f>IFERROR(VLOOKUP($AQ559,'(勿動)組件目錄表'!$D$15:$R$1094,12,FALSE),"")</f>
        <v/>
      </c>
      <c r="BI559" s="69" t="str">
        <f>IFERROR(VLOOKUP($AQ559,'(勿動)組件目錄表'!$D$15:$R$1094,13,FALSE),"")</f>
        <v/>
      </c>
      <c r="BJ559" s="69" t="str">
        <f>IFERROR(VLOOKUP($AQ559,'(勿動)組件目錄表'!$D$15:$R$1094,14,FALSE),"")</f>
        <v/>
      </c>
      <c r="BK559" s="69" t="str">
        <f>IFERROR(VLOOKUP($AQ559,'(勿動)組件目錄表'!$D$15:$R$1094,15,FALSE),"")</f>
        <v/>
      </c>
      <c r="BL559" s="81">
        <f ca="1">IFERROR(__xludf.DUMMYFUNCTION("IFERROR(
  LET(
    rowData, FILTER('(勿動)組件目錄表'!J:Q, '(勿動)組件目錄表'!D:D=AQ559),
    IF(ROWS(rowData)=0, 0, 
      (
        IF(AND(BC559&lt;&gt;"""", INDEX(rowData,1,1)=BC559),1,0) +
        IF(AND(BD559&lt;&gt;"""", INDEX(rowData,1,2)=BD559),1,0) +
        IF(AND(BE559"&amp;"&lt;&gt;"""", INDEX(rowData,1,3)=BE559),1,0) +
        IF(AND(BF559&lt;&gt;"""", INDEX(rowData,1,4)=BF559),1,0) +
        IF(AND(BG559&lt;&gt;"""", INDEX(rowData,1,5)=BG559),1,0) +
        IF(AND(BH559&lt;&gt;"""", INDEX(rowData,1,6)=BH559),1,0) +
        IF(AND(BI559&lt;&gt;"""", IND"&amp;"EX(rowData,1,7)=BI559),1,0) +
        IF(AND(BJ559&lt;&gt;"""", INDEX(rowData,1,8)=BJ559),1,0)
      ) - COUNTIF(BC559:BJ559, ""-"")
        - COUNTIF(BC559:BJ559, ""固定格式，不需提供資訊"")
        - COUNTIF(BC559:BJ559, ""由MKT更新，此欄位固定格式，不需提供資訊
(Voucher CID：12917705872)"&amp;""")
        - COUNTIF(BC559:BJ559, ""text固定為以下：
※直播間僅支援手機版"")
        - COUNTIF(BC559:BJ559, ""text固定為以下：
※短影音僅支援手機版"")
    )
  ), 
  0
)
"),0)</f>
        <v>0</v>
      </c>
      <c r="BM559" s="77" t="b">
        <v>0</v>
      </c>
      <c r="BN559" s="85"/>
      <c r="BO559" s="85"/>
    </row>
    <row r="560" spans="1:67" ht="30" customHeight="1">
      <c r="A560" s="73" t="str">
        <f t="array" aca="1" ref="A560" ca="1">IFERROR(TRANSPOSE(INDIRECT('MS section版配(Old)'!$AO560)),"")</f>
        <v/>
      </c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8"/>
      <c r="P560" s="88"/>
      <c r="Q560" s="88"/>
      <c r="R560" s="88"/>
      <c r="S560" s="88"/>
      <c r="T560" s="88"/>
      <c r="U560" s="88"/>
      <c r="V560" s="88"/>
      <c r="W560" s="88"/>
      <c r="X560" s="88"/>
      <c r="Y560" s="88"/>
      <c r="Z560" s="88"/>
      <c r="AA560" s="88"/>
      <c r="AB560" s="88"/>
      <c r="AC560" s="88"/>
      <c r="AD560" s="88"/>
      <c r="AE560" s="397" t="str">
        <f>IFERROR(VLOOKUP($AQ560,'(勿動)組件目錄表'!$D$15:$R$1094,4,FALSE),"")</f>
        <v/>
      </c>
      <c r="AF560" s="384"/>
      <c r="AG560" s="384"/>
      <c r="AH560" s="384"/>
      <c r="AI560" s="384"/>
      <c r="AJ560" s="385"/>
      <c r="AK560" s="54" t="b">
        <v>0</v>
      </c>
      <c r="AL560" s="54" t="b">
        <v>0</v>
      </c>
      <c r="AM560" s="54"/>
      <c r="AN560" s="7" t="str">
        <v>552</v>
      </c>
      <c r="AO560" s="7"/>
      <c r="AP560" s="62"/>
      <c r="AQ560" s="75" t="str">
        <v/>
      </c>
      <c r="AR560" s="75" t="str">
        <v>-</v>
      </c>
      <c r="AS560" s="11"/>
      <c r="AT560" s="77" t="str">
        <v>-</v>
      </c>
      <c r="AU560" s="11" t="str">
        <v>-</v>
      </c>
      <c r="AV560" s="100"/>
      <c r="AW560" s="80" t="str">
        <f ca="1"/>
        <v>-</v>
      </c>
      <c r="AX560" s="80" t="b">
        <v>0</v>
      </c>
      <c r="AY560" s="68" t="str">
        <f t="shared" si="8"/>
        <v/>
      </c>
      <c r="AZ560" s="69" t="str">
        <f t="shared" si="9"/>
        <v/>
      </c>
      <c r="BA560" s="70" t="str">
        <f t="shared" si="10"/>
        <v/>
      </c>
      <c r="BB560" s="68" t="str">
        <f t="shared" si="11"/>
        <v/>
      </c>
      <c r="BC560" s="69" t="str">
        <f>IFERROR(VLOOKUP($AQ560,'(勿動)組件目錄表'!$D$15:$R$1094,7,FALSE),"")</f>
        <v/>
      </c>
      <c r="BD560" s="69" t="str">
        <f>IFERROR(VLOOKUP($AQ560,'(勿動)組件目錄表'!$D$15:$R$1094,8,FALSE),"")</f>
        <v/>
      </c>
      <c r="BE560" s="69" t="str">
        <f>IFERROR(VLOOKUP($AQ560,'(勿動)組件目錄表'!$D$15:$R$1094,9,FALSE),"")</f>
        <v/>
      </c>
      <c r="BF560" s="69" t="str">
        <f>IFERROR(VLOOKUP($AQ560,'(勿動)組件目錄表'!$D$15:$R$1094,10,FALSE),"")</f>
        <v/>
      </c>
      <c r="BG560" s="69" t="str">
        <f>IFERROR(VLOOKUP($AQ560,'(勿動)組件目錄表'!$D$15:$R$1094,11,FALSE),"")</f>
        <v/>
      </c>
      <c r="BH560" s="69" t="str">
        <f>IFERROR(VLOOKUP($AQ560,'(勿動)組件目錄表'!$D$15:$R$1094,12,FALSE),"")</f>
        <v/>
      </c>
      <c r="BI560" s="69" t="str">
        <f>IFERROR(VLOOKUP($AQ560,'(勿動)組件目錄表'!$D$15:$R$1094,13,FALSE),"")</f>
        <v/>
      </c>
      <c r="BJ560" s="69" t="str">
        <f>IFERROR(VLOOKUP($AQ560,'(勿動)組件目錄表'!$D$15:$R$1094,14,FALSE),"")</f>
        <v/>
      </c>
      <c r="BK560" s="69" t="str">
        <f>IFERROR(VLOOKUP($AQ560,'(勿動)組件目錄表'!$D$15:$R$1094,15,FALSE),"")</f>
        <v/>
      </c>
      <c r="BL560" s="81">
        <f ca="1">IFERROR(__xludf.DUMMYFUNCTION("IFERROR(
  LET(
    rowData, FILTER('(勿動)組件目錄表'!J:Q, '(勿動)組件目錄表'!D:D=AQ560),
    IF(ROWS(rowData)=0, 0, 
      (
        IF(AND(BC560&lt;&gt;"""", INDEX(rowData,1,1)=BC560),1,0) +
        IF(AND(BD560&lt;&gt;"""", INDEX(rowData,1,2)=BD560),1,0) +
        IF(AND(BE560"&amp;"&lt;&gt;"""", INDEX(rowData,1,3)=BE560),1,0) +
        IF(AND(BF560&lt;&gt;"""", INDEX(rowData,1,4)=BF560),1,0) +
        IF(AND(BG560&lt;&gt;"""", INDEX(rowData,1,5)=BG560),1,0) +
        IF(AND(BH560&lt;&gt;"""", INDEX(rowData,1,6)=BH560),1,0) +
        IF(AND(BI560&lt;&gt;"""", IND"&amp;"EX(rowData,1,7)=BI560),1,0) +
        IF(AND(BJ560&lt;&gt;"""", INDEX(rowData,1,8)=BJ560),1,0)
      ) - COUNTIF(BC560:BJ560, ""-"")
        - COUNTIF(BC560:BJ560, ""固定格式，不需提供資訊"")
        - COUNTIF(BC560:BJ560, ""由MKT更新，此欄位固定格式，不需提供資訊
(Voucher CID：12917705872)"&amp;""")
        - COUNTIF(BC560:BJ560, ""text固定為以下：
※直播間僅支援手機版"")
        - COUNTIF(BC560:BJ560, ""text固定為以下：
※短影音僅支援手機版"")
    )
  ), 
  0
)
"),0)</f>
        <v>0</v>
      </c>
      <c r="BM560" s="77" t="b">
        <v>0</v>
      </c>
      <c r="BN560" s="85"/>
      <c r="BO560" s="85"/>
    </row>
    <row r="561" spans="1:67" ht="30" customHeight="1">
      <c r="A561" s="73" t="str">
        <f t="array" aca="1" ref="A561" ca="1">IFERROR(TRANSPOSE(INDIRECT('MS section版配(Old)'!$AO561)),"")</f>
        <v/>
      </c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8"/>
      <c r="P561" s="88"/>
      <c r="Q561" s="88"/>
      <c r="R561" s="88"/>
      <c r="S561" s="88"/>
      <c r="T561" s="88"/>
      <c r="U561" s="88"/>
      <c r="V561" s="88"/>
      <c r="W561" s="88"/>
      <c r="X561" s="88"/>
      <c r="Y561" s="88"/>
      <c r="Z561" s="88"/>
      <c r="AA561" s="88"/>
      <c r="AB561" s="88"/>
      <c r="AC561" s="88"/>
      <c r="AD561" s="88"/>
      <c r="AE561" s="397" t="str">
        <f>IFERROR(VLOOKUP($AQ561,'(勿動)組件目錄表'!$D$15:$R$1094,4,FALSE),"")</f>
        <v/>
      </c>
      <c r="AF561" s="384"/>
      <c r="AG561" s="384"/>
      <c r="AH561" s="384"/>
      <c r="AI561" s="384"/>
      <c r="AJ561" s="385"/>
      <c r="AK561" s="54" t="b">
        <v>0</v>
      </c>
      <c r="AL561" s="54" t="b">
        <v>0</v>
      </c>
      <c r="AM561" s="54"/>
      <c r="AN561" s="7" t="str">
        <v>553</v>
      </c>
      <c r="AO561" s="7"/>
      <c r="AP561" s="62"/>
      <c r="AQ561" s="75" t="str">
        <v/>
      </c>
      <c r="AR561" s="75" t="str">
        <v>-</v>
      </c>
      <c r="AS561" s="11"/>
      <c r="AT561" s="77" t="str">
        <v>-</v>
      </c>
      <c r="AU561" s="11" t="str">
        <v>-</v>
      </c>
      <c r="AV561" s="100"/>
      <c r="AW561" s="80" t="str">
        <f ca="1"/>
        <v>-</v>
      </c>
      <c r="AX561" s="80" t="b">
        <v>0</v>
      </c>
      <c r="AY561" s="68" t="str">
        <f t="shared" si="8"/>
        <v/>
      </c>
      <c r="AZ561" s="69" t="str">
        <f t="shared" si="9"/>
        <v/>
      </c>
      <c r="BA561" s="70" t="str">
        <f t="shared" si="10"/>
        <v/>
      </c>
      <c r="BB561" s="68" t="str">
        <f t="shared" si="11"/>
        <v/>
      </c>
      <c r="BC561" s="69" t="str">
        <f>IFERROR(VLOOKUP($AQ561,'(勿動)組件目錄表'!$D$15:$R$1094,7,FALSE),"")</f>
        <v/>
      </c>
      <c r="BD561" s="69" t="str">
        <f>IFERROR(VLOOKUP($AQ561,'(勿動)組件目錄表'!$D$15:$R$1094,8,FALSE),"")</f>
        <v/>
      </c>
      <c r="BE561" s="69" t="str">
        <f>IFERROR(VLOOKUP($AQ561,'(勿動)組件目錄表'!$D$15:$R$1094,9,FALSE),"")</f>
        <v/>
      </c>
      <c r="BF561" s="69" t="str">
        <f>IFERROR(VLOOKUP($AQ561,'(勿動)組件目錄表'!$D$15:$R$1094,10,FALSE),"")</f>
        <v/>
      </c>
      <c r="BG561" s="69" t="str">
        <f>IFERROR(VLOOKUP($AQ561,'(勿動)組件目錄表'!$D$15:$R$1094,11,FALSE),"")</f>
        <v/>
      </c>
      <c r="BH561" s="69" t="str">
        <f>IFERROR(VLOOKUP($AQ561,'(勿動)組件目錄表'!$D$15:$R$1094,12,FALSE),"")</f>
        <v/>
      </c>
      <c r="BI561" s="69" t="str">
        <f>IFERROR(VLOOKUP($AQ561,'(勿動)組件目錄表'!$D$15:$R$1094,13,FALSE),"")</f>
        <v/>
      </c>
      <c r="BJ561" s="69" t="str">
        <f>IFERROR(VLOOKUP($AQ561,'(勿動)組件目錄表'!$D$15:$R$1094,14,FALSE),"")</f>
        <v/>
      </c>
      <c r="BK561" s="69" t="str">
        <f>IFERROR(VLOOKUP($AQ561,'(勿動)組件目錄表'!$D$15:$R$1094,15,FALSE),"")</f>
        <v/>
      </c>
      <c r="BL561" s="81">
        <f ca="1">IFERROR(__xludf.DUMMYFUNCTION("IFERROR(
  LET(
    rowData, FILTER('(勿動)組件目錄表'!J:Q, '(勿動)組件目錄表'!D:D=AQ561),
    IF(ROWS(rowData)=0, 0, 
      (
        IF(AND(BC561&lt;&gt;"""", INDEX(rowData,1,1)=BC561),1,0) +
        IF(AND(BD561&lt;&gt;"""", INDEX(rowData,1,2)=BD561),1,0) +
        IF(AND(BE561"&amp;"&lt;&gt;"""", INDEX(rowData,1,3)=BE561),1,0) +
        IF(AND(BF561&lt;&gt;"""", INDEX(rowData,1,4)=BF561),1,0) +
        IF(AND(BG561&lt;&gt;"""", INDEX(rowData,1,5)=BG561),1,0) +
        IF(AND(BH561&lt;&gt;"""", INDEX(rowData,1,6)=BH561),1,0) +
        IF(AND(BI561&lt;&gt;"""", IND"&amp;"EX(rowData,1,7)=BI561),1,0) +
        IF(AND(BJ561&lt;&gt;"""", INDEX(rowData,1,8)=BJ561),1,0)
      ) - COUNTIF(BC561:BJ561, ""-"")
        - COUNTIF(BC561:BJ561, ""固定格式，不需提供資訊"")
        - COUNTIF(BC561:BJ561, ""由MKT更新，此欄位固定格式，不需提供資訊
(Voucher CID：12917705872)"&amp;""")
        - COUNTIF(BC561:BJ561, ""text固定為以下：
※直播間僅支援手機版"")
        - COUNTIF(BC561:BJ561, ""text固定為以下：
※短影音僅支援手機版"")
    )
  ), 
  0
)
"),0)</f>
        <v>0</v>
      </c>
      <c r="BM561" s="77" t="b">
        <v>0</v>
      </c>
      <c r="BN561" s="85"/>
      <c r="BO561" s="85"/>
    </row>
    <row r="562" spans="1:67" ht="30" customHeight="1">
      <c r="A562" s="73" t="str">
        <f t="array" aca="1" ref="A562" ca="1">IFERROR(TRANSPOSE(INDIRECT('MS section版配(Old)'!$AO562)),"")</f>
        <v/>
      </c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8"/>
      <c r="P562" s="88"/>
      <c r="Q562" s="88"/>
      <c r="R562" s="88"/>
      <c r="S562" s="88"/>
      <c r="T562" s="88"/>
      <c r="U562" s="88"/>
      <c r="V562" s="88"/>
      <c r="W562" s="88"/>
      <c r="X562" s="88"/>
      <c r="Y562" s="88"/>
      <c r="Z562" s="88"/>
      <c r="AA562" s="88"/>
      <c r="AB562" s="88"/>
      <c r="AC562" s="88"/>
      <c r="AD562" s="88"/>
      <c r="AE562" s="397" t="str">
        <f>IFERROR(VLOOKUP($AQ562,'(勿動)組件目錄表'!$D$15:$R$1094,4,FALSE),"")</f>
        <v/>
      </c>
      <c r="AF562" s="384"/>
      <c r="AG562" s="384"/>
      <c r="AH562" s="384"/>
      <c r="AI562" s="384"/>
      <c r="AJ562" s="385"/>
      <c r="AK562" s="54" t="b">
        <v>0</v>
      </c>
      <c r="AL562" s="54" t="b">
        <v>0</v>
      </c>
      <c r="AM562" s="54"/>
      <c r="AN562" s="7" t="str">
        <v>554</v>
      </c>
      <c r="AO562" s="7"/>
      <c r="AP562" s="62"/>
      <c r="AQ562" s="75" t="str">
        <v/>
      </c>
      <c r="AR562" s="75" t="str">
        <v>-</v>
      </c>
      <c r="AS562" s="11"/>
      <c r="AT562" s="77" t="str">
        <v>-</v>
      </c>
      <c r="AU562" s="11" t="str">
        <v>-</v>
      </c>
      <c r="AV562" s="100"/>
      <c r="AW562" s="80" t="str">
        <f ca="1"/>
        <v>-</v>
      </c>
      <c r="AX562" s="80" t="b">
        <v>0</v>
      </c>
      <c r="AY562" s="68" t="str">
        <f t="shared" si="8"/>
        <v/>
      </c>
      <c r="AZ562" s="69" t="str">
        <f t="shared" si="9"/>
        <v/>
      </c>
      <c r="BA562" s="70" t="str">
        <f t="shared" si="10"/>
        <v/>
      </c>
      <c r="BB562" s="68" t="str">
        <f t="shared" si="11"/>
        <v/>
      </c>
      <c r="BC562" s="69" t="str">
        <f>IFERROR(VLOOKUP($AQ562,'(勿動)組件目錄表'!$D$15:$R$1094,7,FALSE),"")</f>
        <v/>
      </c>
      <c r="BD562" s="69" t="str">
        <f>IFERROR(VLOOKUP($AQ562,'(勿動)組件目錄表'!$D$15:$R$1094,8,FALSE),"")</f>
        <v/>
      </c>
      <c r="BE562" s="69" t="str">
        <f>IFERROR(VLOOKUP($AQ562,'(勿動)組件目錄表'!$D$15:$R$1094,9,FALSE),"")</f>
        <v/>
      </c>
      <c r="BF562" s="69" t="str">
        <f>IFERROR(VLOOKUP($AQ562,'(勿動)組件目錄表'!$D$15:$R$1094,10,FALSE),"")</f>
        <v/>
      </c>
      <c r="BG562" s="69" t="str">
        <f>IFERROR(VLOOKUP($AQ562,'(勿動)組件目錄表'!$D$15:$R$1094,11,FALSE),"")</f>
        <v/>
      </c>
      <c r="BH562" s="69" t="str">
        <f>IFERROR(VLOOKUP($AQ562,'(勿動)組件目錄表'!$D$15:$R$1094,12,FALSE),"")</f>
        <v/>
      </c>
      <c r="BI562" s="69" t="str">
        <f>IFERROR(VLOOKUP($AQ562,'(勿動)組件目錄表'!$D$15:$R$1094,13,FALSE),"")</f>
        <v/>
      </c>
      <c r="BJ562" s="69" t="str">
        <f>IFERROR(VLOOKUP($AQ562,'(勿動)組件目錄表'!$D$15:$R$1094,14,FALSE),"")</f>
        <v/>
      </c>
      <c r="BK562" s="69" t="str">
        <f>IFERROR(VLOOKUP($AQ562,'(勿動)組件目錄表'!$D$15:$R$1094,15,FALSE),"")</f>
        <v/>
      </c>
      <c r="BL562" s="81">
        <f ca="1">IFERROR(__xludf.DUMMYFUNCTION("IFERROR(
  LET(
    rowData, FILTER('(勿動)組件目錄表'!J:Q, '(勿動)組件目錄表'!D:D=AQ562),
    IF(ROWS(rowData)=0, 0, 
      (
        IF(AND(BC562&lt;&gt;"""", INDEX(rowData,1,1)=BC562),1,0) +
        IF(AND(BD562&lt;&gt;"""", INDEX(rowData,1,2)=BD562),1,0) +
        IF(AND(BE562"&amp;"&lt;&gt;"""", INDEX(rowData,1,3)=BE562),1,0) +
        IF(AND(BF562&lt;&gt;"""", INDEX(rowData,1,4)=BF562),1,0) +
        IF(AND(BG562&lt;&gt;"""", INDEX(rowData,1,5)=BG562),1,0) +
        IF(AND(BH562&lt;&gt;"""", INDEX(rowData,1,6)=BH562),1,0) +
        IF(AND(BI562&lt;&gt;"""", IND"&amp;"EX(rowData,1,7)=BI562),1,0) +
        IF(AND(BJ562&lt;&gt;"""", INDEX(rowData,1,8)=BJ562),1,0)
      ) - COUNTIF(BC562:BJ562, ""-"")
        - COUNTIF(BC562:BJ562, ""固定格式，不需提供資訊"")
        - COUNTIF(BC562:BJ562, ""由MKT更新，此欄位固定格式，不需提供資訊
(Voucher CID：12917705872)"&amp;""")
        - COUNTIF(BC562:BJ562, ""text固定為以下：
※直播間僅支援手機版"")
        - COUNTIF(BC562:BJ562, ""text固定為以下：
※短影音僅支援手機版"")
    )
  ), 
  0
)
"),0)</f>
        <v>0</v>
      </c>
      <c r="BM562" s="77" t="b">
        <v>0</v>
      </c>
      <c r="BN562" s="85"/>
      <c r="BO562" s="85"/>
    </row>
    <row r="563" spans="1:67" ht="30" customHeight="1">
      <c r="A563" s="73" t="str">
        <f t="array" aca="1" ref="A563" ca="1">IFERROR(TRANSPOSE(INDIRECT('MS section版配(Old)'!$AO563)),"")</f>
        <v/>
      </c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8"/>
      <c r="P563" s="88"/>
      <c r="Q563" s="88"/>
      <c r="R563" s="88"/>
      <c r="S563" s="88"/>
      <c r="T563" s="88"/>
      <c r="U563" s="88"/>
      <c r="V563" s="88"/>
      <c r="W563" s="88"/>
      <c r="X563" s="88"/>
      <c r="Y563" s="88"/>
      <c r="Z563" s="88"/>
      <c r="AA563" s="88"/>
      <c r="AB563" s="88"/>
      <c r="AC563" s="88"/>
      <c r="AD563" s="88"/>
      <c r="AE563" s="397" t="str">
        <f>IFERROR(VLOOKUP($AQ563,'(勿動)組件目錄表'!$D$15:$R$1094,4,FALSE),"")</f>
        <v/>
      </c>
      <c r="AF563" s="384"/>
      <c r="AG563" s="384"/>
      <c r="AH563" s="384"/>
      <c r="AI563" s="384"/>
      <c r="AJ563" s="385"/>
      <c r="AK563" s="54" t="b">
        <v>0</v>
      </c>
      <c r="AL563" s="54" t="b">
        <v>0</v>
      </c>
      <c r="AM563" s="54"/>
      <c r="AN563" s="7" t="str">
        <v>555</v>
      </c>
      <c r="AO563" s="7"/>
      <c r="AP563" s="62"/>
      <c r="AQ563" s="75" t="str">
        <v/>
      </c>
      <c r="AR563" s="75" t="str">
        <v>-</v>
      </c>
      <c r="AS563" s="11"/>
      <c r="AT563" s="77" t="str">
        <v>-</v>
      </c>
      <c r="AU563" s="11" t="str">
        <v>-</v>
      </c>
      <c r="AV563" s="100"/>
      <c r="AW563" s="80" t="str">
        <f ca="1"/>
        <v>-</v>
      </c>
      <c r="AX563" s="80" t="b">
        <v>0</v>
      </c>
      <c r="AY563" s="68" t="str">
        <f t="shared" si="8"/>
        <v/>
      </c>
      <c r="AZ563" s="69" t="str">
        <f t="shared" si="9"/>
        <v/>
      </c>
      <c r="BA563" s="70" t="str">
        <f t="shared" si="10"/>
        <v/>
      </c>
      <c r="BB563" s="68" t="str">
        <f t="shared" si="11"/>
        <v/>
      </c>
      <c r="BC563" s="69" t="str">
        <f>IFERROR(VLOOKUP($AQ563,'(勿動)組件目錄表'!$D$15:$R$1094,7,FALSE),"")</f>
        <v/>
      </c>
      <c r="BD563" s="69" t="str">
        <f>IFERROR(VLOOKUP($AQ563,'(勿動)組件目錄表'!$D$15:$R$1094,8,FALSE),"")</f>
        <v/>
      </c>
      <c r="BE563" s="69" t="str">
        <f>IFERROR(VLOOKUP($AQ563,'(勿動)組件目錄表'!$D$15:$R$1094,9,FALSE),"")</f>
        <v/>
      </c>
      <c r="BF563" s="69" t="str">
        <f>IFERROR(VLOOKUP($AQ563,'(勿動)組件目錄表'!$D$15:$R$1094,10,FALSE),"")</f>
        <v/>
      </c>
      <c r="BG563" s="69" t="str">
        <f>IFERROR(VLOOKUP($AQ563,'(勿動)組件目錄表'!$D$15:$R$1094,11,FALSE),"")</f>
        <v/>
      </c>
      <c r="BH563" s="69" t="str">
        <f>IFERROR(VLOOKUP($AQ563,'(勿動)組件目錄表'!$D$15:$R$1094,12,FALSE),"")</f>
        <v/>
      </c>
      <c r="BI563" s="69" t="str">
        <f>IFERROR(VLOOKUP($AQ563,'(勿動)組件目錄表'!$D$15:$R$1094,13,FALSE),"")</f>
        <v/>
      </c>
      <c r="BJ563" s="69" t="str">
        <f>IFERROR(VLOOKUP($AQ563,'(勿動)組件目錄表'!$D$15:$R$1094,14,FALSE),"")</f>
        <v/>
      </c>
      <c r="BK563" s="69" t="str">
        <f>IFERROR(VLOOKUP($AQ563,'(勿動)組件目錄表'!$D$15:$R$1094,15,FALSE),"")</f>
        <v/>
      </c>
      <c r="BL563" s="81">
        <f ca="1">IFERROR(__xludf.DUMMYFUNCTION("IFERROR(
  LET(
    rowData, FILTER('(勿動)組件目錄表'!J:Q, '(勿動)組件目錄表'!D:D=AQ563),
    IF(ROWS(rowData)=0, 0, 
      (
        IF(AND(BC563&lt;&gt;"""", INDEX(rowData,1,1)=BC563),1,0) +
        IF(AND(BD563&lt;&gt;"""", INDEX(rowData,1,2)=BD563),1,0) +
        IF(AND(BE563"&amp;"&lt;&gt;"""", INDEX(rowData,1,3)=BE563),1,0) +
        IF(AND(BF563&lt;&gt;"""", INDEX(rowData,1,4)=BF563),1,0) +
        IF(AND(BG563&lt;&gt;"""", INDEX(rowData,1,5)=BG563),1,0) +
        IF(AND(BH563&lt;&gt;"""", INDEX(rowData,1,6)=BH563),1,0) +
        IF(AND(BI563&lt;&gt;"""", IND"&amp;"EX(rowData,1,7)=BI563),1,0) +
        IF(AND(BJ563&lt;&gt;"""", INDEX(rowData,1,8)=BJ563),1,0)
      ) - COUNTIF(BC563:BJ563, ""-"")
        - COUNTIF(BC563:BJ563, ""固定格式，不需提供資訊"")
        - COUNTIF(BC563:BJ563, ""由MKT更新，此欄位固定格式，不需提供資訊
(Voucher CID：12917705872)"&amp;""")
        - COUNTIF(BC563:BJ563, ""text固定為以下：
※直播間僅支援手機版"")
        - COUNTIF(BC563:BJ563, ""text固定為以下：
※短影音僅支援手機版"")
    )
  ), 
  0
)
"),0)</f>
        <v>0</v>
      </c>
      <c r="BM563" s="77" t="b">
        <v>0</v>
      </c>
      <c r="BN563" s="85"/>
      <c r="BO563" s="85"/>
    </row>
    <row r="564" spans="1:67" ht="30" customHeight="1">
      <c r="A564" s="73" t="str">
        <f t="array" aca="1" ref="A564" ca="1">IFERROR(TRANSPOSE(INDIRECT('MS section版配(Old)'!$AO564)),"")</f>
        <v/>
      </c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8"/>
      <c r="P564" s="88"/>
      <c r="Q564" s="88"/>
      <c r="R564" s="88"/>
      <c r="S564" s="88"/>
      <c r="T564" s="88"/>
      <c r="U564" s="88"/>
      <c r="V564" s="88"/>
      <c r="W564" s="88"/>
      <c r="X564" s="88"/>
      <c r="Y564" s="88"/>
      <c r="Z564" s="88"/>
      <c r="AA564" s="88"/>
      <c r="AB564" s="88"/>
      <c r="AC564" s="88"/>
      <c r="AD564" s="88"/>
      <c r="AE564" s="397" t="str">
        <f>IFERROR(VLOOKUP($AQ564,'(勿動)組件目錄表'!$D$15:$R$1094,4,FALSE),"")</f>
        <v/>
      </c>
      <c r="AF564" s="384"/>
      <c r="AG564" s="384"/>
      <c r="AH564" s="384"/>
      <c r="AI564" s="384"/>
      <c r="AJ564" s="385"/>
      <c r="AK564" s="54" t="b">
        <v>0</v>
      </c>
      <c r="AL564" s="54" t="b">
        <v>0</v>
      </c>
      <c r="AM564" s="54"/>
      <c r="AN564" s="7" t="str">
        <v>556</v>
      </c>
      <c r="AO564" s="7"/>
      <c r="AP564" s="62"/>
      <c r="AQ564" s="75" t="str">
        <v/>
      </c>
      <c r="AR564" s="75" t="str">
        <v>-</v>
      </c>
      <c r="AS564" s="11"/>
      <c r="AT564" s="77" t="str">
        <v>-</v>
      </c>
      <c r="AU564" s="11" t="str">
        <v>-</v>
      </c>
      <c r="AV564" s="100"/>
      <c r="AW564" s="80" t="str">
        <f ca="1"/>
        <v>-</v>
      </c>
      <c r="AX564" s="80" t="b">
        <v>0</v>
      </c>
      <c r="AY564" s="68" t="str">
        <f t="shared" si="8"/>
        <v/>
      </c>
      <c r="AZ564" s="69" t="str">
        <f t="shared" si="9"/>
        <v/>
      </c>
      <c r="BA564" s="70" t="str">
        <f t="shared" si="10"/>
        <v/>
      </c>
      <c r="BB564" s="68" t="str">
        <f t="shared" si="11"/>
        <v/>
      </c>
      <c r="BC564" s="69" t="str">
        <f>IFERROR(VLOOKUP($AQ564,'(勿動)組件目錄表'!$D$15:$R$1094,7,FALSE),"")</f>
        <v/>
      </c>
      <c r="BD564" s="69" t="str">
        <f>IFERROR(VLOOKUP($AQ564,'(勿動)組件目錄表'!$D$15:$R$1094,8,FALSE),"")</f>
        <v/>
      </c>
      <c r="BE564" s="69" t="str">
        <f>IFERROR(VLOOKUP($AQ564,'(勿動)組件目錄表'!$D$15:$R$1094,9,FALSE),"")</f>
        <v/>
      </c>
      <c r="BF564" s="69" t="str">
        <f>IFERROR(VLOOKUP($AQ564,'(勿動)組件目錄表'!$D$15:$R$1094,10,FALSE),"")</f>
        <v/>
      </c>
      <c r="BG564" s="69" t="str">
        <f>IFERROR(VLOOKUP($AQ564,'(勿動)組件目錄表'!$D$15:$R$1094,11,FALSE),"")</f>
        <v/>
      </c>
      <c r="BH564" s="69" t="str">
        <f>IFERROR(VLOOKUP($AQ564,'(勿動)組件目錄表'!$D$15:$R$1094,12,FALSE),"")</f>
        <v/>
      </c>
      <c r="BI564" s="69" t="str">
        <f>IFERROR(VLOOKUP($AQ564,'(勿動)組件目錄表'!$D$15:$R$1094,13,FALSE),"")</f>
        <v/>
      </c>
      <c r="BJ564" s="69" t="str">
        <f>IFERROR(VLOOKUP($AQ564,'(勿動)組件目錄表'!$D$15:$R$1094,14,FALSE),"")</f>
        <v/>
      </c>
      <c r="BK564" s="69" t="str">
        <f>IFERROR(VLOOKUP($AQ564,'(勿動)組件目錄表'!$D$15:$R$1094,15,FALSE),"")</f>
        <v/>
      </c>
      <c r="BL564" s="81">
        <f ca="1">IFERROR(__xludf.DUMMYFUNCTION("IFERROR(
  LET(
    rowData, FILTER('(勿動)組件目錄表'!J:Q, '(勿動)組件目錄表'!D:D=AQ564),
    IF(ROWS(rowData)=0, 0, 
      (
        IF(AND(BC564&lt;&gt;"""", INDEX(rowData,1,1)=BC564),1,0) +
        IF(AND(BD564&lt;&gt;"""", INDEX(rowData,1,2)=BD564),1,0) +
        IF(AND(BE564"&amp;"&lt;&gt;"""", INDEX(rowData,1,3)=BE564),1,0) +
        IF(AND(BF564&lt;&gt;"""", INDEX(rowData,1,4)=BF564),1,0) +
        IF(AND(BG564&lt;&gt;"""", INDEX(rowData,1,5)=BG564),1,0) +
        IF(AND(BH564&lt;&gt;"""", INDEX(rowData,1,6)=BH564),1,0) +
        IF(AND(BI564&lt;&gt;"""", IND"&amp;"EX(rowData,1,7)=BI564),1,0) +
        IF(AND(BJ564&lt;&gt;"""", INDEX(rowData,1,8)=BJ564),1,0)
      ) - COUNTIF(BC564:BJ564, ""-"")
        - COUNTIF(BC564:BJ564, ""固定格式，不需提供資訊"")
        - COUNTIF(BC564:BJ564, ""由MKT更新，此欄位固定格式，不需提供資訊
(Voucher CID：12917705872)"&amp;""")
        - COUNTIF(BC564:BJ564, ""text固定為以下：
※直播間僅支援手機版"")
        - COUNTIF(BC564:BJ564, ""text固定為以下：
※短影音僅支援手機版"")
    )
  ), 
  0
)
"),0)</f>
        <v>0</v>
      </c>
      <c r="BM564" s="77" t="b">
        <v>0</v>
      </c>
      <c r="BN564" s="85"/>
      <c r="BO564" s="85"/>
    </row>
    <row r="565" spans="1:67" ht="30" customHeight="1">
      <c r="A565" s="73" t="str">
        <f t="array" aca="1" ref="A565" ca="1">IFERROR(TRANSPOSE(INDIRECT('MS section版配(Old)'!$AO565)),"")</f>
        <v/>
      </c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8"/>
      <c r="P565" s="88"/>
      <c r="Q565" s="88"/>
      <c r="R565" s="88"/>
      <c r="S565" s="88"/>
      <c r="T565" s="88"/>
      <c r="U565" s="88"/>
      <c r="V565" s="88"/>
      <c r="W565" s="88"/>
      <c r="X565" s="88"/>
      <c r="Y565" s="88"/>
      <c r="Z565" s="88"/>
      <c r="AA565" s="88"/>
      <c r="AB565" s="88"/>
      <c r="AC565" s="88"/>
      <c r="AD565" s="88"/>
      <c r="AE565" s="397" t="str">
        <f>IFERROR(VLOOKUP($AQ565,'(勿動)組件目錄表'!$D$15:$R$1094,4,FALSE),"")</f>
        <v/>
      </c>
      <c r="AF565" s="384"/>
      <c r="AG565" s="384"/>
      <c r="AH565" s="384"/>
      <c r="AI565" s="384"/>
      <c r="AJ565" s="385"/>
      <c r="AK565" s="54" t="b">
        <v>0</v>
      </c>
      <c r="AL565" s="54" t="b">
        <v>0</v>
      </c>
      <c r="AM565" s="54"/>
      <c r="AN565" s="7" t="str">
        <v>557</v>
      </c>
      <c r="AO565" s="7"/>
      <c r="AP565" s="62"/>
      <c r="AQ565" s="75" t="str">
        <v/>
      </c>
      <c r="AR565" s="75" t="str">
        <v>-</v>
      </c>
      <c r="AS565" s="11"/>
      <c r="AT565" s="77" t="str">
        <v>-</v>
      </c>
      <c r="AU565" s="11" t="str">
        <v>-</v>
      </c>
      <c r="AV565" s="100"/>
      <c r="AW565" s="80" t="str">
        <f ca="1"/>
        <v>-</v>
      </c>
      <c r="AX565" s="80" t="b">
        <v>0</v>
      </c>
      <c r="AY565" s="68" t="str">
        <f t="shared" si="8"/>
        <v/>
      </c>
      <c r="AZ565" s="69" t="str">
        <f t="shared" si="9"/>
        <v/>
      </c>
      <c r="BA565" s="70" t="str">
        <f t="shared" si="10"/>
        <v/>
      </c>
      <c r="BB565" s="68" t="str">
        <f t="shared" si="11"/>
        <v/>
      </c>
      <c r="BC565" s="69" t="str">
        <f>IFERROR(VLOOKUP($AQ565,'(勿動)組件目錄表'!$D$15:$R$1094,7,FALSE),"")</f>
        <v/>
      </c>
      <c r="BD565" s="69" t="str">
        <f>IFERROR(VLOOKUP($AQ565,'(勿動)組件目錄表'!$D$15:$R$1094,8,FALSE),"")</f>
        <v/>
      </c>
      <c r="BE565" s="69" t="str">
        <f>IFERROR(VLOOKUP($AQ565,'(勿動)組件目錄表'!$D$15:$R$1094,9,FALSE),"")</f>
        <v/>
      </c>
      <c r="BF565" s="69" t="str">
        <f>IFERROR(VLOOKUP($AQ565,'(勿動)組件目錄表'!$D$15:$R$1094,10,FALSE),"")</f>
        <v/>
      </c>
      <c r="BG565" s="69" t="str">
        <f>IFERROR(VLOOKUP($AQ565,'(勿動)組件目錄表'!$D$15:$R$1094,11,FALSE),"")</f>
        <v/>
      </c>
      <c r="BH565" s="69" t="str">
        <f>IFERROR(VLOOKUP($AQ565,'(勿動)組件目錄表'!$D$15:$R$1094,12,FALSE),"")</f>
        <v/>
      </c>
      <c r="BI565" s="69" t="str">
        <f>IFERROR(VLOOKUP($AQ565,'(勿動)組件目錄表'!$D$15:$R$1094,13,FALSE),"")</f>
        <v/>
      </c>
      <c r="BJ565" s="69" t="str">
        <f>IFERROR(VLOOKUP($AQ565,'(勿動)組件目錄表'!$D$15:$R$1094,14,FALSE),"")</f>
        <v/>
      </c>
      <c r="BK565" s="69" t="str">
        <f>IFERROR(VLOOKUP($AQ565,'(勿動)組件目錄表'!$D$15:$R$1094,15,FALSE),"")</f>
        <v/>
      </c>
      <c r="BL565" s="81">
        <f ca="1">IFERROR(__xludf.DUMMYFUNCTION("IFERROR(
  LET(
    rowData, FILTER('(勿動)組件目錄表'!J:Q, '(勿動)組件目錄表'!D:D=AQ565),
    IF(ROWS(rowData)=0, 0, 
      (
        IF(AND(BC565&lt;&gt;"""", INDEX(rowData,1,1)=BC565),1,0) +
        IF(AND(BD565&lt;&gt;"""", INDEX(rowData,1,2)=BD565),1,0) +
        IF(AND(BE565"&amp;"&lt;&gt;"""", INDEX(rowData,1,3)=BE565),1,0) +
        IF(AND(BF565&lt;&gt;"""", INDEX(rowData,1,4)=BF565),1,0) +
        IF(AND(BG565&lt;&gt;"""", INDEX(rowData,1,5)=BG565),1,0) +
        IF(AND(BH565&lt;&gt;"""", INDEX(rowData,1,6)=BH565),1,0) +
        IF(AND(BI565&lt;&gt;"""", IND"&amp;"EX(rowData,1,7)=BI565),1,0) +
        IF(AND(BJ565&lt;&gt;"""", INDEX(rowData,1,8)=BJ565),1,0)
      ) - COUNTIF(BC565:BJ565, ""-"")
        - COUNTIF(BC565:BJ565, ""固定格式，不需提供資訊"")
        - COUNTIF(BC565:BJ565, ""由MKT更新，此欄位固定格式，不需提供資訊
(Voucher CID：12917705872)"&amp;""")
        - COUNTIF(BC565:BJ565, ""text固定為以下：
※直播間僅支援手機版"")
        - COUNTIF(BC565:BJ565, ""text固定為以下：
※短影音僅支援手機版"")
    )
  ), 
  0
)
"),0)</f>
        <v>0</v>
      </c>
      <c r="BM565" s="77" t="b">
        <v>0</v>
      </c>
      <c r="BN565" s="85"/>
      <c r="BO565" s="85"/>
    </row>
    <row r="566" spans="1:67" ht="30" customHeight="1">
      <c r="A566" s="73" t="str">
        <f t="array" aca="1" ref="A566" ca="1">IFERROR(TRANSPOSE(INDIRECT('MS section版配(Old)'!$AO566)),"")</f>
        <v/>
      </c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8"/>
      <c r="P566" s="88"/>
      <c r="Q566" s="88"/>
      <c r="R566" s="88"/>
      <c r="S566" s="88"/>
      <c r="T566" s="88"/>
      <c r="U566" s="88"/>
      <c r="V566" s="88"/>
      <c r="W566" s="88"/>
      <c r="X566" s="88"/>
      <c r="Y566" s="88"/>
      <c r="Z566" s="88"/>
      <c r="AA566" s="88"/>
      <c r="AB566" s="88"/>
      <c r="AC566" s="88"/>
      <c r="AD566" s="88"/>
      <c r="AE566" s="397" t="str">
        <f>IFERROR(VLOOKUP($AQ566,'(勿動)組件目錄表'!$D$15:$R$1094,4,FALSE),"")</f>
        <v/>
      </c>
      <c r="AF566" s="384"/>
      <c r="AG566" s="384"/>
      <c r="AH566" s="384"/>
      <c r="AI566" s="384"/>
      <c r="AJ566" s="385"/>
      <c r="AK566" s="54" t="b">
        <v>0</v>
      </c>
      <c r="AL566" s="54" t="b">
        <v>0</v>
      </c>
      <c r="AM566" s="54"/>
      <c r="AN566" s="7" t="str">
        <v>558</v>
      </c>
      <c r="AO566" s="7"/>
      <c r="AP566" s="62"/>
      <c r="AQ566" s="75" t="str">
        <v/>
      </c>
      <c r="AR566" s="75" t="str">
        <v>-</v>
      </c>
      <c r="AS566" s="11"/>
      <c r="AT566" s="77" t="str">
        <v>-</v>
      </c>
      <c r="AU566" s="11" t="str">
        <v>-</v>
      </c>
      <c r="AV566" s="100"/>
      <c r="AW566" s="80" t="str">
        <f ca="1"/>
        <v>-</v>
      </c>
      <c r="AX566" s="80" t="b">
        <v>0</v>
      </c>
      <c r="AY566" s="68" t="str">
        <f t="shared" si="8"/>
        <v/>
      </c>
      <c r="AZ566" s="69" t="str">
        <f t="shared" si="9"/>
        <v/>
      </c>
      <c r="BA566" s="70" t="str">
        <f t="shared" si="10"/>
        <v/>
      </c>
      <c r="BB566" s="68" t="str">
        <f t="shared" si="11"/>
        <v/>
      </c>
      <c r="BC566" s="69" t="str">
        <f>IFERROR(VLOOKUP($AQ566,'(勿動)組件目錄表'!$D$15:$R$1094,7,FALSE),"")</f>
        <v/>
      </c>
      <c r="BD566" s="69" t="str">
        <f>IFERROR(VLOOKUP($AQ566,'(勿動)組件目錄表'!$D$15:$R$1094,8,FALSE),"")</f>
        <v/>
      </c>
      <c r="BE566" s="69" t="str">
        <f>IFERROR(VLOOKUP($AQ566,'(勿動)組件目錄表'!$D$15:$R$1094,9,FALSE),"")</f>
        <v/>
      </c>
      <c r="BF566" s="69" t="str">
        <f>IFERROR(VLOOKUP($AQ566,'(勿動)組件目錄表'!$D$15:$R$1094,10,FALSE),"")</f>
        <v/>
      </c>
      <c r="BG566" s="69" t="str">
        <f>IFERROR(VLOOKUP($AQ566,'(勿動)組件目錄表'!$D$15:$R$1094,11,FALSE),"")</f>
        <v/>
      </c>
      <c r="BH566" s="69" t="str">
        <f>IFERROR(VLOOKUP($AQ566,'(勿動)組件目錄表'!$D$15:$R$1094,12,FALSE),"")</f>
        <v/>
      </c>
      <c r="BI566" s="69" t="str">
        <f>IFERROR(VLOOKUP($AQ566,'(勿動)組件目錄表'!$D$15:$R$1094,13,FALSE),"")</f>
        <v/>
      </c>
      <c r="BJ566" s="69" t="str">
        <f>IFERROR(VLOOKUP($AQ566,'(勿動)組件目錄表'!$D$15:$R$1094,14,FALSE),"")</f>
        <v/>
      </c>
      <c r="BK566" s="69" t="str">
        <f>IFERROR(VLOOKUP($AQ566,'(勿動)組件目錄表'!$D$15:$R$1094,15,FALSE),"")</f>
        <v/>
      </c>
      <c r="BL566" s="81">
        <f ca="1">IFERROR(__xludf.DUMMYFUNCTION("IFERROR(
  LET(
    rowData, FILTER('(勿動)組件目錄表'!J:Q, '(勿動)組件目錄表'!D:D=AQ566),
    IF(ROWS(rowData)=0, 0, 
      (
        IF(AND(BC566&lt;&gt;"""", INDEX(rowData,1,1)=BC566),1,0) +
        IF(AND(BD566&lt;&gt;"""", INDEX(rowData,1,2)=BD566),1,0) +
        IF(AND(BE566"&amp;"&lt;&gt;"""", INDEX(rowData,1,3)=BE566),1,0) +
        IF(AND(BF566&lt;&gt;"""", INDEX(rowData,1,4)=BF566),1,0) +
        IF(AND(BG566&lt;&gt;"""", INDEX(rowData,1,5)=BG566),1,0) +
        IF(AND(BH566&lt;&gt;"""", INDEX(rowData,1,6)=BH566),1,0) +
        IF(AND(BI566&lt;&gt;"""", IND"&amp;"EX(rowData,1,7)=BI566),1,0) +
        IF(AND(BJ566&lt;&gt;"""", INDEX(rowData,1,8)=BJ566),1,0)
      ) - COUNTIF(BC566:BJ566, ""-"")
        - COUNTIF(BC566:BJ566, ""固定格式，不需提供資訊"")
        - COUNTIF(BC566:BJ566, ""由MKT更新，此欄位固定格式，不需提供資訊
(Voucher CID：12917705872)"&amp;""")
        - COUNTIF(BC566:BJ566, ""text固定為以下：
※直播間僅支援手機版"")
        - COUNTIF(BC566:BJ566, ""text固定為以下：
※短影音僅支援手機版"")
    )
  ), 
  0
)
"),0)</f>
        <v>0</v>
      </c>
      <c r="BM566" s="77" t="b">
        <v>0</v>
      </c>
      <c r="BN566" s="85"/>
      <c r="BO566" s="85"/>
    </row>
    <row r="567" spans="1:67" ht="30" customHeight="1">
      <c r="A567" s="73" t="str">
        <f t="array" aca="1" ref="A567" ca="1">IFERROR(TRANSPOSE(INDIRECT('MS section版配(Old)'!$AO567)),"")</f>
        <v/>
      </c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8"/>
      <c r="P567" s="88"/>
      <c r="Q567" s="88"/>
      <c r="R567" s="88"/>
      <c r="S567" s="88"/>
      <c r="T567" s="88"/>
      <c r="U567" s="88"/>
      <c r="V567" s="88"/>
      <c r="W567" s="88"/>
      <c r="X567" s="88"/>
      <c r="Y567" s="88"/>
      <c r="Z567" s="88"/>
      <c r="AA567" s="88"/>
      <c r="AB567" s="88"/>
      <c r="AC567" s="88"/>
      <c r="AD567" s="88"/>
      <c r="AE567" s="397" t="str">
        <f>IFERROR(VLOOKUP($AQ567,'(勿動)組件目錄表'!$D$15:$R$1094,4,FALSE),"")</f>
        <v/>
      </c>
      <c r="AF567" s="384"/>
      <c r="AG567" s="384"/>
      <c r="AH567" s="384"/>
      <c r="AI567" s="384"/>
      <c r="AJ567" s="385"/>
      <c r="AK567" s="54" t="b">
        <v>0</v>
      </c>
      <c r="AL567" s="54" t="b">
        <v>0</v>
      </c>
      <c r="AM567" s="54"/>
      <c r="AN567" s="7" t="str">
        <v>559</v>
      </c>
      <c r="AO567" s="7"/>
      <c r="AP567" s="62"/>
      <c r="AQ567" s="75" t="str">
        <v/>
      </c>
      <c r="AR567" s="75" t="str">
        <v>-</v>
      </c>
      <c r="AS567" s="11"/>
      <c r="AT567" s="77" t="str">
        <v>-</v>
      </c>
      <c r="AU567" s="11" t="str">
        <v>-</v>
      </c>
      <c r="AV567" s="100"/>
      <c r="AW567" s="80" t="str">
        <f ca="1"/>
        <v>-</v>
      </c>
      <c r="AX567" s="80" t="b">
        <v>0</v>
      </c>
      <c r="AY567" s="68" t="str">
        <f t="shared" si="8"/>
        <v/>
      </c>
      <c r="AZ567" s="69" t="str">
        <f t="shared" si="9"/>
        <v/>
      </c>
      <c r="BA567" s="70" t="str">
        <f t="shared" si="10"/>
        <v/>
      </c>
      <c r="BB567" s="68" t="str">
        <f t="shared" si="11"/>
        <v/>
      </c>
      <c r="BC567" s="69" t="str">
        <f>IFERROR(VLOOKUP($AQ567,'(勿動)組件目錄表'!$D$15:$R$1094,7,FALSE),"")</f>
        <v/>
      </c>
      <c r="BD567" s="69" t="str">
        <f>IFERROR(VLOOKUP($AQ567,'(勿動)組件目錄表'!$D$15:$R$1094,8,FALSE),"")</f>
        <v/>
      </c>
      <c r="BE567" s="69" t="str">
        <f>IFERROR(VLOOKUP($AQ567,'(勿動)組件目錄表'!$D$15:$R$1094,9,FALSE),"")</f>
        <v/>
      </c>
      <c r="BF567" s="69" t="str">
        <f>IFERROR(VLOOKUP($AQ567,'(勿動)組件目錄表'!$D$15:$R$1094,10,FALSE),"")</f>
        <v/>
      </c>
      <c r="BG567" s="69" t="str">
        <f>IFERROR(VLOOKUP($AQ567,'(勿動)組件目錄表'!$D$15:$R$1094,11,FALSE),"")</f>
        <v/>
      </c>
      <c r="BH567" s="69" t="str">
        <f>IFERROR(VLOOKUP($AQ567,'(勿動)組件目錄表'!$D$15:$R$1094,12,FALSE),"")</f>
        <v/>
      </c>
      <c r="BI567" s="69" t="str">
        <f>IFERROR(VLOOKUP($AQ567,'(勿動)組件目錄表'!$D$15:$R$1094,13,FALSE),"")</f>
        <v/>
      </c>
      <c r="BJ567" s="69" t="str">
        <f>IFERROR(VLOOKUP($AQ567,'(勿動)組件目錄表'!$D$15:$R$1094,14,FALSE),"")</f>
        <v/>
      </c>
      <c r="BK567" s="69" t="str">
        <f>IFERROR(VLOOKUP($AQ567,'(勿動)組件目錄表'!$D$15:$R$1094,15,FALSE),"")</f>
        <v/>
      </c>
      <c r="BL567" s="81">
        <f ca="1">IFERROR(__xludf.DUMMYFUNCTION("IFERROR(
  LET(
    rowData, FILTER('(勿動)組件目錄表'!J:Q, '(勿動)組件目錄表'!D:D=AQ567),
    IF(ROWS(rowData)=0, 0, 
      (
        IF(AND(BC567&lt;&gt;"""", INDEX(rowData,1,1)=BC567),1,0) +
        IF(AND(BD567&lt;&gt;"""", INDEX(rowData,1,2)=BD567),1,0) +
        IF(AND(BE567"&amp;"&lt;&gt;"""", INDEX(rowData,1,3)=BE567),1,0) +
        IF(AND(BF567&lt;&gt;"""", INDEX(rowData,1,4)=BF567),1,0) +
        IF(AND(BG567&lt;&gt;"""", INDEX(rowData,1,5)=BG567),1,0) +
        IF(AND(BH567&lt;&gt;"""", INDEX(rowData,1,6)=BH567),1,0) +
        IF(AND(BI567&lt;&gt;"""", IND"&amp;"EX(rowData,1,7)=BI567),1,0) +
        IF(AND(BJ567&lt;&gt;"""", INDEX(rowData,1,8)=BJ567),1,0)
      ) - COUNTIF(BC567:BJ567, ""-"")
        - COUNTIF(BC567:BJ567, ""固定格式，不需提供資訊"")
        - COUNTIF(BC567:BJ567, ""由MKT更新，此欄位固定格式，不需提供資訊
(Voucher CID：12917705872)"&amp;""")
        - COUNTIF(BC567:BJ567, ""text固定為以下：
※直播間僅支援手機版"")
        - COUNTIF(BC567:BJ567, ""text固定為以下：
※短影音僅支援手機版"")
    )
  ), 
  0
)
"),0)</f>
        <v>0</v>
      </c>
      <c r="BM567" s="77" t="b">
        <v>0</v>
      </c>
      <c r="BN567" s="85"/>
      <c r="BO567" s="85"/>
    </row>
    <row r="568" spans="1:67" ht="30" customHeight="1">
      <c r="A568" s="73" t="str">
        <f t="array" aca="1" ref="A568" ca="1">IFERROR(TRANSPOSE(INDIRECT('MS section版配(Old)'!$AO568)),"")</f>
        <v/>
      </c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8"/>
      <c r="P568" s="88"/>
      <c r="Q568" s="88"/>
      <c r="R568" s="88"/>
      <c r="S568" s="88"/>
      <c r="T568" s="88"/>
      <c r="U568" s="88"/>
      <c r="V568" s="88"/>
      <c r="W568" s="88"/>
      <c r="X568" s="88"/>
      <c r="Y568" s="88"/>
      <c r="Z568" s="88"/>
      <c r="AA568" s="88"/>
      <c r="AB568" s="88"/>
      <c r="AC568" s="88"/>
      <c r="AD568" s="88"/>
      <c r="AE568" s="397" t="str">
        <f>IFERROR(VLOOKUP($AQ568,'(勿動)組件目錄表'!$D$15:$R$1094,4,FALSE),"")</f>
        <v/>
      </c>
      <c r="AF568" s="384"/>
      <c r="AG568" s="384"/>
      <c r="AH568" s="384"/>
      <c r="AI568" s="384"/>
      <c r="AJ568" s="385"/>
      <c r="AK568" s="54" t="b">
        <v>0</v>
      </c>
      <c r="AL568" s="54" t="b">
        <v>0</v>
      </c>
      <c r="AM568" s="54"/>
      <c r="AN568" s="7" t="str">
        <v>560</v>
      </c>
      <c r="AO568" s="7"/>
      <c r="AP568" s="62"/>
      <c r="AQ568" s="75" t="str">
        <v/>
      </c>
      <c r="AR568" s="75" t="str">
        <v>-</v>
      </c>
      <c r="AS568" s="11"/>
      <c r="AT568" s="77" t="str">
        <v>-</v>
      </c>
      <c r="AU568" s="11" t="str">
        <v>-</v>
      </c>
      <c r="AV568" s="100"/>
      <c r="AW568" s="80" t="str">
        <f ca="1"/>
        <v>-</v>
      </c>
      <c r="AX568" s="80" t="b">
        <v>0</v>
      </c>
      <c r="AY568" s="68" t="str">
        <f t="shared" si="8"/>
        <v/>
      </c>
      <c r="AZ568" s="69" t="str">
        <f t="shared" si="9"/>
        <v/>
      </c>
      <c r="BA568" s="70" t="str">
        <f t="shared" si="10"/>
        <v/>
      </c>
      <c r="BB568" s="68" t="str">
        <f t="shared" si="11"/>
        <v/>
      </c>
      <c r="BC568" s="69" t="str">
        <f>IFERROR(VLOOKUP($AQ568,'(勿動)組件目錄表'!$D$15:$R$1094,7,FALSE),"")</f>
        <v/>
      </c>
      <c r="BD568" s="69" t="str">
        <f>IFERROR(VLOOKUP($AQ568,'(勿動)組件目錄表'!$D$15:$R$1094,8,FALSE),"")</f>
        <v/>
      </c>
      <c r="BE568" s="69" t="str">
        <f>IFERROR(VLOOKUP($AQ568,'(勿動)組件目錄表'!$D$15:$R$1094,9,FALSE),"")</f>
        <v/>
      </c>
      <c r="BF568" s="69" t="str">
        <f>IFERROR(VLOOKUP($AQ568,'(勿動)組件目錄表'!$D$15:$R$1094,10,FALSE),"")</f>
        <v/>
      </c>
      <c r="BG568" s="69" t="str">
        <f>IFERROR(VLOOKUP($AQ568,'(勿動)組件目錄表'!$D$15:$R$1094,11,FALSE),"")</f>
        <v/>
      </c>
      <c r="BH568" s="69" t="str">
        <f>IFERROR(VLOOKUP($AQ568,'(勿動)組件目錄表'!$D$15:$R$1094,12,FALSE),"")</f>
        <v/>
      </c>
      <c r="BI568" s="69" t="str">
        <f>IFERROR(VLOOKUP($AQ568,'(勿動)組件目錄表'!$D$15:$R$1094,13,FALSE),"")</f>
        <v/>
      </c>
      <c r="BJ568" s="69" t="str">
        <f>IFERROR(VLOOKUP($AQ568,'(勿動)組件目錄表'!$D$15:$R$1094,14,FALSE),"")</f>
        <v/>
      </c>
      <c r="BK568" s="69" t="str">
        <f>IFERROR(VLOOKUP($AQ568,'(勿動)組件目錄表'!$D$15:$R$1094,15,FALSE),"")</f>
        <v/>
      </c>
      <c r="BL568" s="81">
        <f ca="1">IFERROR(__xludf.DUMMYFUNCTION("IFERROR(
  LET(
    rowData, FILTER('(勿動)組件目錄表'!J:Q, '(勿動)組件目錄表'!D:D=AQ568),
    IF(ROWS(rowData)=0, 0, 
      (
        IF(AND(BC568&lt;&gt;"""", INDEX(rowData,1,1)=BC568),1,0) +
        IF(AND(BD568&lt;&gt;"""", INDEX(rowData,1,2)=BD568),1,0) +
        IF(AND(BE568"&amp;"&lt;&gt;"""", INDEX(rowData,1,3)=BE568),1,0) +
        IF(AND(BF568&lt;&gt;"""", INDEX(rowData,1,4)=BF568),1,0) +
        IF(AND(BG568&lt;&gt;"""", INDEX(rowData,1,5)=BG568),1,0) +
        IF(AND(BH568&lt;&gt;"""", INDEX(rowData,1,6)=BH568),1,0) +
        IF(AND(BI568&lt;&gt;"""", IND"&amp;"EX(rowData,1,7)=BI568),1,0) +
        IF(AND(BJ568&lt;&gt;"""", INDEX(rowData,1,8)=BJ568),1,0)
      ) - COUNTIF(BC568:BJ568, ""-"")
        - COUNTIF(BC568:BJ568, ""固定格式，不需提供資訊"")
        - COUNTIF(BC568:BJ568, ""由MKT更新，此欄位固定格式，不需提供資訊
(Voucher CID：12917705872)"&amp;""")
        - COUNTIF(BC568:BJ568, ""text固定為以下：
※直播間僅支援手機版"")
        - COUNTIF(BC568:BJ568, ""text固定為以下：
※短影音僅支援手機版"")
    )
  ), 
  0
)
"),0)</f>
        <v>0</v>
      </c>
      <c r="BM568" s="77" t="b">
        <v>0</v>
      </c>
      <c r="BN568" s="85"/>
      <c r="BO568" s="85"/>
    </row>
    <row r="569" spans="1:67" ht="30" customHeight="1">
      <c r="A569" s="73" t="str">
        <f t="array" aca="1" ref="A569" ca="1">IFERROR(TRANSPOSE(INDIRECT('MS section版配(Old)'!$AO569)),"")</f>
        <v/>
      </c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8"/>
      <c r="P569" s="88"/>
      <c r="Q569" s="88"/>
      <c r="R569" s="88"/>
      <c r="S569" s="88"/>
      <c r="T569" s="88"/>
      <c r="U569" s="88"/>
      <c r="V569" s="88"/>
      <c r="W569" s="88"/>
      <c r="X569" s="88"/>
      <c r="Y569" s="88"/>
      <c r="Z569" s="88"/>
      <c r="AA569" s="88"/>
      <c r="AB569" s="88"/>
      <c r="AC569" s="88"/>
      <c r="AD569" s="88"/>
      <c r="AE569" s="397" t="str">
        <f>IFERROR(VLOOKUP($AQ569,'(勿動)組件目錄表'!$D$15:$R$1094,4,FALSE),"")</f>
        <v/>
      </c>
      <c r="AF569" s="384"/>
      <c r="AG569" s="384"/>
      <c r="AH569" s="384"/>
      <c r="AI569" s="384"/>
      <c r="AJ569" s="385"/>
      <c r="AK569" s="54" t="b">
        <v>0</v>
      </c>
      <c r="AL569" s="54" t="b">
        <v>0</v>
      </c>
      <c r="AM569" s="54"/>
      <c r="AN569" s="7" t="str">
        <v>561</v>
      </c>
      <c r="AO569" s="7"/>
      <c r="AP569" s="62"/>
      <c r="AQ569" s="75" t="str">
        <v/>
      </c>
      <c r="AR569" s="75" t="str">
        <v>-</v>
      </c>
      <c r="AS569" s="11"/>
      <c r="AT569" s="77" t="str">
        <v>-</v>
      </c>
      <c r="AU569" s="11" t="str">
        <v>-</v>
      </c>
      <c r="AV569" s="100"/>
      <c r="AW569" s="80" t="str">
        <f ca="1"/>
        <v>-</v>
      </c>
      <c r="AX569" s="80" t="b">
        <v>0</v>
      </c>
      <c r="AY569" s="68" t="str">
        <f t="shared" si="8"/>
        <v/>
      </c>
      <c r="AZ569" s="69" t="str">
        <f t="shared" si="9"/>
        <v/>
      </c>
      <c r="BA569" s="70" t="str">
        <f t="shared" si="10"/>
        <v/>
      </c>
      <c r="BB569" s="68" t="str">
        <f t="shared" si="11"/>
        <v/>
      </c>
      <c r="BC569" s="69" t="str">
        <f>IFERROR(VLOOKUP($AQ569,'(勿動)組件目錄表'!$D$15:$R$1094,7,FALSE),"")</f>
        <v/>
      </c>
      <c r="BD569" s="69" t="str">
        <f>IFERROR(VLOOKUP($AQ569,'(勿動)組件目錄表'!$D$15:$R$1094,8,FALSE),"")</f>
        <v/>
      </c>
      <c r="BE569" s="69" t="str">
        <f>IFERROR(VLOOKUP($AQ569,'(勿動)組件目錄表'!$D$15:$R$1094,9,FALSE),"")</f>
        <v/>
      </c>
      <c r="BF569" s="69" t="str">
        <f>IFERROR(VLOOKUP($AQ569,'(勿動)組件目錄表'!$D$15:$R$1094,10,FALSE),"")</f>
        <v/>
      </c>
      <c r="BG569" s="69" t="str">
        <f>IFERROR(VLOOKUP($AQ569,'(勿動)組件目錄表'!$D$15:$R$1094,11,FALSE),"")</f>
        <v/>
      </c>
      <c r="BH569" s="69" t="str">
        <f>IFERROR(VLOOKUP($AQ569,'(勿動)組件目錄表'!$D$15:$R$1094,12,FALSE),"")</f>
        <v/>
      </c>
      <c r="BI569" s="69" t="str">
        <f>IFERROR(VLOOKUP($AQ569,'(勿動)組件目錄表'!$D$15:$R$1094,13,FALSE),"")</f>
        <v/>
      </c>
      <c r="BJ569" s="69" t="str">
        <f>IFERROR(VLOOKUP($AQ569,'(勿動)組件目錄表'!$D$15:$R$1094,14,FALSE),"")</f>
        <v/>
      </c>
      <c r="BK569" s="69" t="str">
        <f>IFERROR(VLOOKUP($AQ569,'(勿動)組件目錄表'!$D$15:$R$1094,15,FALSE),"")</f>
        <v/>
      </c>
      <c r="BL569" s="81">
        <f ca="1">IFERROR(__xludf.DUMMYFUNCTION("IFERROR(
  LET(
    rowData, FILTER('(勿動)組件目錄表'!J:Q, '(勿動)組件目錄表'!D:D=AQ569),
    IF(ROWS(rowData)=0, 0, 
      (
        IF(AND(BC569&lt;&gt;"""", INDEX(rowData,1,1)=BC569),1,0) +
        IF(AND(BD569&lt;&gt;"""", INDEX(rowData,1,2)=BD569),1,0) +
        IF(AND(BE569"&amp;"&lt;&gt;"""", INDEX(rowData,1,3)=BE569),1,0) +
        IF(AND(BF569&lt;&gt;"""", INDEX(rowData,1,4)=BF569),1,0) +
        IF(AND(BG569&lt;&gt;"""", INDEX(rowData,1,5)=BG569),1,0) +
        IF(AND(BH569&lt;&gt;"""", INDEX(rowData,1,6)=BH569),1,0) +
        IF(AND(BI569&lt;&gt;"""", IND"&amp;"EX(rowData,1,7)=BI569),1,0) +
        IF(AND(BJ569&lt;&gt;"""", INDEX(rowData,1,8)=BJ569),1,0)
      ) - COUNTIF(BC569:BJ569, ""-"")
        - COUNTIF(BC569:BJ569, ""固定格式，不需提供資訊"")
        - COUNTIF(BC569:BJ569, ""由MKT更新，此欄位固定格式，不需提供資訊
(Voucher CID：12917705872)"&amp;""")
        - COUNTIF(BC569:BJ569, ""text固定為以下：
※直播間僅支援手機版"")
        - COUNTIF(BC569:BJ569, ""text固定為以下：
※短影音僅支援手機版"")
    )
  ), 
  0
)
"),0)</f>
        <v>0</v>
      </c>
      <c r="BM569" s="77" t="b">
        <v>0</v>
      </c>
      <c r="BN569" s="85"/>
      <c r="BO569" s="85"/>
    </row>
    <row r="570" spans="1:67" ht="30" customHeight="1">
      <c r="A570" s="73" t="str">
        <f t="array" aca="1" ref="A570" ca="1">IFERROR(TRANSPOSE(INDIRECT('MS section版配(Old)'!$AO570)),"")</f>
        <v/>
      </c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8"/>
      <c r="P570" s="88"/>
      <c r="Q570" s="88"/>
      <c r="R570" s="88"/>
      <c r="S570" s="88"/>
      <c r="T570" s="88"/>
      <c r="U570" s="88"/>
      <c r="V570" s="88"/>
      <c r="W570" s="88"/>
      <c r="X570" s="88"/>
      <c r="Y570" s="88"/>
      <c r="Z570" s="88"/>
      <c r="AA570" s="88"/>
      <c r="AB570" s="88"/>
      <c r="AC570" s="88"/>
      <c r="AD570" s="88"/>
      <c r="AE570" s="397" t="str">
        <f>IFERROR(VLOOKUP($AQ570,'(勿動)組件目錄表'!$D$15:$R$1094,4,FALSE),"")</f>
        <v/>
      </c>
      <c r="AF570" s="384"/>
      <c r="AG570" s="384"/>
      <c r="AH570" s="384"/>
      <c r="AI570" s="384"/>
      <c r="AJ570" s="385"/>
      <c r="AK570" s="54" t="b">
        <v>0</v>
      </c>
      <c r="AL570" s="54" t="b">
        <v>0</v>
      </c>
      <c r="AM570" s="54"/>
      <c r="AN570" s="7" t="str">
        <v>562</v>
      </c>
      <c r="AO570" s="7"/>
      <c r="AP570" s="62"/>
      <c r="AQ570" s="75" t="str">
        <v/>
      </c>
      <c r="AR570" s="75" t="str">
        <v>-</v>
      </c>
      <c r="AS570" s="11"/>
      <c r="AT570" s="77" t="str">
        <v>-</v>
      </c>
      <c r="AU570" s="11" t="str">
        <v>-</v>
      </c>
      <c r="AV570" s="100"/>
      <c r="AW570" s="80" t="str">
        <f ca="1"/>
        <v>-</v>
      </c>
      <c r="AX570" s="80" t="b">
        <v>0</v>
      </c>
      <c r="AY570" s="68" t="str">
        <f t="shared" si="8"/>
        <v/>
      </c>
      <c r="AZ570" s="69" t="str">
        <f t="shared" si="9"/>
        <v/>
      </c>
      <c r="BA570" s="70" t="str">
        <f t="shared" si="10"/>
        <v/>
      </c>
      <c r="BB570" s="68" t="str">
        <f t="shared" si="11"/>
        <v/>
      </c>
      <c r="BC570" s="69" t="str">
        <f>IFERROR(VLOOKUP($AQ570,'(勿動)組件目錄表'!$D$15:$R$1094,7,FALSE),"")</f>
        <v/>
      </c>
      <c r="BD570" s="69" t="str">
        <f>IFERROR(VLOOKUP($AQ570,'(勿動)組件目錄表'!$D$15:$R$1094,8,FALSE),"")</f>
        <v/>
      </c>
      <c r="BE570" s="69" t="str">
        <f>IFERROR(VLOOKUP($AQ570,'(勿動)組件目錄表'!$D$15:$R$1094,9,FALSE),"")</f>
        <v/>
      </c>
      <c r="BF570" s="69" t="str">
        <f>IFERROR(VLOOKUP($AQ570,'(勿動)組件目錄表'!$D$15:$R$1094,10,FALSE),"")</f>
        <v/>
      </c>
      <c r="BG570" s="69" t="str">
        <f>IFERROR(VLOOKUP($AQ570,'(勿動)組件目錄表'!$D$15:$R$1094,11,FALSE),"")</f>
        <v/>
      </c>
      <c r="BH570" s="69" t="str">
        <f>IFERROR(VLOOKUP($AQ570,'(勿動)組件目錄表'!$D$15:$R$1094,12,FALSE),"")</f>
        <v/>
      </c>
      <c r="BI570" s="69" t="str">
        <f>IFERROR(VLOOKUP($AQ570,'(勿動)組件目錄表'!$D$15:$R$1094,13,FALSE),"")</f>
        <v/>
      </c>
      <c r="BJ570" s="69" t="str">
        <f>IFERROR(VLOOKUP($AQ570,'(勿動)組件目錄表'!$D$15:$R$1094,14,FALSE),"")</f>
        <v/>
      </c>
      <c r="BK570" s="69" t="str">
        <f>IFERROR(VLOOKUP($AQ570,'(勿動)組件目錄表'!$D$15:$R$1094,15,FALSE),"")</f>
        <v/>
      </c>
      <c r="BL570" s="81">
        <f ca="1">IFERROR(__xludf.DUMMYFUNCTION("IFERROR(
  LET(
    rowData, FILTER('(勿動)組件目錄表'!J:Q, '(勿動)組件目錄表'!D:D=AQ570),
    IF(ROWS(rowData)=0, 0, 
      (
        IF(AND(BC570&lt;&gt;"""", INDEX(rowData,1,1)=BC570),1,0) +
        IF(AND(BD570&lt;&gt;"""", INDEX(rowData,1,2)=BD570),1,0) +
        IF(AND(BE570"&amp;"&lt;&gt;"""", INDEX(rowData,1,3)=BE570),1,0) +
        IF(AND(BF570&lt;&gt;"""", INDEX(rowData,1,4)=BF570),1,0) +
        IF(AND(BG570&lt;&gt;"""", INDEX(rowData,1,5)=BG570),1,0) +
        IF(AND(BH570&lt;&gt;"""", INDEX(rowData,1,6)=BH570),1,0) +
        IF(AND(BI570&lt;&gt;"""", IND"&amp;"EX(rowData,1,7)=BI570),1,0) +
        IF(AND(BJ570&lt;&gt;"""", INDEX(rowData,1,8)=BJ570),1,0)
      ) - COUNTIF(BC570:BJ570, ""-"")
        - COUNTIF(BC570:BJ570, ""固定格式，不需提供資訊"")
        - COUNTIF(BC570:BJ570, ""由MKT更新，此欄位固定格式，不需提供資訊
(Voucher CID：12917705872)"&amp;""")
        - COUNTIF(BC570:BJ570, ""text固定為以下：
※直播間僅支援手機版"")
        - COUNTIF(BC570:BJ570, ""text固定為以下：
※短影音僅支援手機版"")
    )
  ), 
  0
)
"),0)</f>
        <v>0</v>
      </c>
      <c r="BM570" s="77" t="b">
        <v>0</v>
      </c>
      <c r="BN570" s="85"/>
      <c r="BO570" s="85"/>
    </row>
    <row r="571" spans="1:67" ht="30" customHeight="1">
      <c r="A571" s="73" t="str">
        <f t="array" aca="1" ref="A571" ca="1">IFERROR(TRANSPOSE(INDIRECT('MS section版配(Old)'!$AO571)),"")</f>
        <v/>
      </c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8"/>
      <c r="P571" s="88"/>
      <c r="Q571" s="88"/>
      <c r="R571" s="88"/>
      <c r="S571" s="88"/>
      <c r="T571" s="88"/>
      <c r="U571" s="88"/>
      <c r="V571" s="88"/>
      <c r="W571" s="88"/>
      <c r="X571" s="88"/>
      <c r="Y571" s="88"/>
      <c r="Z571" s="88"/>
      <c r="AA571" s="88"/>
      <c r="AB571" s="88"/>
      <c r="AC571" s="88"/>
      <c r="AD571" s="88"/>
      <c r="AE571" s="397" t="str">
        <f>IFERROR(VLOOKUP($AQ571,'(勿動)組件目錄表'!$D$15:$R$1094,4,FALSE),"")</f>
        <v/>
      </c>
      <c r="AF571" s="384"/>
      <c r="AG571" s="384"/>
      <c r="AH571" s="384"/>
      <c r="AI571" s="384"/>
      <c r="AJ571" s="385"/>
      <c r="AK571" s="54" t="b">
        <v>0</v>
      </c>
      <c r="AL571" s="54" t="b">
        <v>0</v>
      </c>
      <c r="AM571" s="54"/>
      <c r="AN571" s="7" t="str">
        <v>563</v>
      </c>
      <c r="AO571" s="7"/>
      <c r="AP571" s="62"/>
      <c r="AQ571" s="75" t="str">
        <v/>
      </c>
      <c r="AR571" s="75" t="str">
        <v>-</v>
      </c>
      <c r="AS571" s="11"/>
      <c r="AT571" s="77" t="str">
        <v>-</v>
      </c>
      <c r="AU571" s="11" t="str">
        <v>-</v>
      </c>
      <c r="AV571" s="100"/>
      <c r="AW571" s="80" t="str">
        <f ca="1"/>
        <v>-</v>
      </c>
      <c r="AX571" s="80" t="b">
        <v>0</v>
      </c>
      <c r="AY571" s="68" t="str">
        <f t="shared" si="8"/>
        <v/>
      </c>
      <c r="AZ571" s="69" t="str">
        <f t="shared" si="9"/>
        <v/>
      </c>
      <c r="BA571" s="70" t="str">
        <f t="shared" si="10"/>
        <v/>
      </c>
      <c r="BB571" s="68" t="str">
        <f t="shared" si="11"/>
        <v/>
      </c>
      <c r="BC571" s="69" t="str">
        <f>IFERROR(VLOOKUP($AQ571,'(勿動)組件目錄表'!$D$15:$R$1094,7,FALSE),"")</f>
        <v/>
      </c>
      <c r="BD571" s="69" t="str">
        <f>IFERROR(VLOOKUP($AQ571,'(勿動)組件目錄表'!$D$15:$R$1094,8,FALSE),"")</f>
        <v/>
      </c>
      <c r="BE571" s="69" t="str">
        <f>IFERROR(VLOOKUP($AQ571,'(勿動)組件目錄表'!$D$15:$R$1094,9,FALSE),"")</f>
        <v/>
      </c>
      <c r="BF571" s="69" t="str">
        <f>IFERROR(VLOOKUP($AQ571,'(勿動)組件目錄表'!$D$15:$R$1094,10,FALSE),"")</f>
        <v/>
      </c>
      <c r="BG571" s="69" t="str">
        <f>IFERROR(VLOOKUP($AQ571,'(勿動)組件目錄表'!$D$15:$R$1094,11,FALSE),"")</f>
        <v/>
      </c>
      <c r="BH571" s="69" t="str">
        <f>IFERROR(VLOOKUP($AQ571,'(勿動)組件目錄表'!$D$15:$R$1094,12,FALSE),"")</f>
        <v/>
      </c>
      <c r="BI571" s="69" t="str">
        <f>IFERROR(VLOOKUP($AQ571,'(勿動)組件目錄表'!$D$15:$R$1094,13,FALSE),"")</f>
        <v/>
      </c>
      <c r="BJ571" s="69" t="str">
        <f>IFERROR(VLOOKUP($AQ571,'(勿動)組件目錄表'!$D$15:$R$1094,14,FALSE),"")</f>
        <v/>
      </c>
      <c r="BK571" s="69" t="str">
        <f>IFERROR(VLOOKUP($AQ571,'(勿動)組件目錄表'!$D$15:$R$1094,15,FALSE),"")</f>
        <v/>
      </c>
      <c r="BL571" s="81">
        <f ca="1">IFERROR(__xludf.DUMMYFUNCTION("IFERROR(
  LET(
    rowData, FILTER('(勿動)組件目錄表'!J:Q, '(勿動)組件目錄表'!D:D=AQ571),
    IF(ROWS(rowData)=0, 0, 
      (
        IF(AND(BC571&lt;&gt;"""", INDEX(rowData,1,1)=BC571),1,0) +
        IF(AND(BD571&lt;&gt;"""", INDEX(rowData,1,2)=BD571),1,0) +
        IF(AND(BE571"&amp;"&lt;&gt;"""", INDEX(rowData,1,3)=BE571),1,0) +
        IF(AND(BF571&lt;&gt;"""", INDEX(rowData,1,4)=BF571),1,0) +
        IF(AND(BG571&lt;&gt;"""", INDEX(rowData,1,5)=BG571),1,0) +
        IF(AND(BH571&lt;&gt;"""", INDEX(rowData,1,6)=BH571),1,0) +
        IF(AND(BI571&lt;&gt;"""", IND"&amp;"EX(rowData,1,7)=BI571),1,0) +
        IF(AND(BJ571&lt;&gt;"""", INDEX(rowData,1,8)=BJ571),1,0)
      ) - COUNTIF(BC571:BJ571, ""-"")
        - COUNTIF(BC571:BJ571, ""固定格式，不需提供資訊"")
        - COUNTIF(BC571:BJ571, ""由MKT更新，此欄位固定格式，不需提供資訊
(Voucher CID：12917705872)"&amp;""")
        - COUNTIF(BC571:BJ571, ""text固定為以下：
※直播間僅支援手機版"")
        - COUNTIF(BC571:BJ571, ""text固定為以下：
※短影音僅支援手機版"")
    )
  ), 
  0
)
"),0)</f>
        <v>0</v>
      </c>
      <c r="BM571" s="77" t="b">
        <v>0</v>
      </c>
      <c r="BN571" s="85"/>
      <c r="BO571" s="85"/>
    </row>
    <row r="572" spans="1:67" ht="30" customHeight="1">
      <c r="A572" s="73" t="str">
        <f t="array" aca="1" ref="A572" ca="1">IFERROR(TRANSPOSE(INDIRECT('MS section版配(Old)'!$AO572)),"")</f>
        <v/>
      </c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8"/>
      <c r="P572" s="88"/>
      <c r="Q572" s="88"/>
      <c r="R572" s="88"/>
      <c r="S572" s="88"/>
      <c r="T572" s="88"/>
      <c r="U572" s="88"/>
      <c r="V572" s="88"/>
      <c r="W572" s="88"/>
      <c r="X572" s="88"/>
      <c r="Y572" s="88"/>
      <c r="Z572" s="88"/>
      <c r="AA572" s="88"/>
      <c r="AB572" s="88"/>
      <c r="AC572" s="88"/>
      <c r="AD572" s="88"/>
      <c r="AE572" s="397" t="str">
        <f>IFERROR(VLOOKUP($AQ572,'(勿動)組件目錄表'!$D$15:$R$1094,4,FALSE),"")</f>
        <v/>
      </c>
      <c r="AF572" s="384"/>
      <c r="AG572" s="384"/>
      <c r="AH572" s="384"/>
      <c r="AI572" s="384"/>
      <c r="AJ572" s="385"/>
      <c r="AK572" s="54" t="b">
        <v>0</v>
      </c>
      <c r="AL572" s="54" t="b">
        <v>0</v>
      </c>
      <c r="AM572" s="54"/>
      <c r="AN572" s="7" t="str">
        <v>564</v>
      </c>
      <c r="AO572" s="7"/>
      <c r="AP572" s="62"/>
      <c r="AQ572" s="75" t="str">
        <v/>
      </c>
      <c r="AR572" s="75" t="str">
        <v>-</v>
      </c>
      <c r="AS572" s="11"/>
      <c r="AT572" s="77" t="str">
        <v>-</v>
      </c>
      <c r="AU572" s="11" t="str">
        <v>-</v>
      </c>
      <c r="AV572" s="100"/>
      <c r="AW572" s="80" t="str">
        <f ca="1"/>
        <v>-</v>
      </c>
      <c r="AX572" s="80" t="b">
        <v>0</v>
      </c>
      <c r="AY572" s="68" t="str">
        <f t="shared" si="8"/>
        <v/>
      </c>
      <c r="AZ572" s="69" t="str">
        <f t="shared" si="9"/>
        <v/>
      </c>
      <c r="BA572" s="70" t="str">
        <f t="shared" si="10"/>
        <v/>
      </c>
      <c r="BB572" s="68" t="str">
        <f t="shared" si="11"/>
        <v/>
      </c>
      <c r="BC572" s="69" t="str">
        <f>IFERROR(VLOOKUP($AQ572,'(勿動)組件目錄表'!$D$15:$R$1094,7,FALSE),"")</f>
        <v/>
      </c>
      <c r="BD572" s="69" t="str">
        <f>IFERROR(VLOOKUP($AQ572,'(勿動)組件目錄表'!$D$15:$R$1094,8,FALSE),"")</f>
        <v/>
      </c>
      <c r="BE572" s="69" t="str">
        <f>IFERROR(VLOOKUP($AQ572,'(勿動)組件目錄表'!$D$15:$R$1094,9,FALSE),"")</f>
        <v/>
      </c>
      <c r="BF572" s="69" t="str">
        <f>IFERROR(VLOOKUP($AQ572,'(勿動)組件目錄表'!$D$15:$R$1094,10,FALSE),"")</f>
        <v/>
      </c>
      <c r="BG572" s="69" t="str">
        <f>IFERROR(VLOOKUP($AQ572,'(勿動)組件目錄表'!$D$15:$R$1094,11,FALSE),"")</f>
        <v/>
      </c>
      <c r="BH572" s="69" t="str">
        <f>IFERROR(VLOOKUP($AQ572,'(勿動)組件目錄表'!$D$15:$R$1094,12,FALSE),"")</f>
        <v/>
      </c>
      <c r="BI572" s="69" t="str">
        <f>IFERROR(VLOOKUP($AQ572,'(勿動)組件目錄表'!$D$15:$R$1094,13,FALSE),"")</f>
        <v/>
      </c>
      <c r="BJ572" s="69" t="str">
        <f>IFERROR(VLOOKUP($AQ572,'(勿動)組件目錄表'!$D$15:$R$1094,14,FALSE),"")</f>
        <v/>
      </c>
      <c r="BK572" s="69" t="str">
        <f>IFERROR(VLOOKUP($AQ572,'(勿動)組件目錄表'!$D$15:$R$1094,15,FALSE),"")</f>
        <v/>
      </c>
      <c r="BL572" s="81">
        <f ca="1">IFERROR(__xludf.DUMMYFUNCTION("IFERROR(
  LET(
    rowData, FILTER('(勿動)組件目錄表'!J:Q, '(勿動)組件目錄表'!D:D=AQ572),
    IF(ROWS(rowData)=0, 0, 
      (
        IF(AND(BC572&lt;&gt;"""", INDEX(rowData,1,1)=BC572),1,0) +
        IF(AND(BD572&lt;&gt;"""", INDEX(rowData,1,2)=BD572),1,0) +
        IF(AND(BE572"&amp;"&lt;&gt;"""", INDEX(rowData,1,3)=BE572),1,0) +
        IF(AND(BF572&lt;&gt;"""", INDEX(rowData,1,4)=BF572),1,0) +
        IF(AND(BG572&lt;&gt;"""", INDEX(rowData,1,5)=BG572),1,0) +
        IF(AND(BH572&lt;&gt;"""", INDEX(rowData,1,6)=BH572),1,0) +
        IF(AND(BI572&lt;&gt;"""", IND"&amp;"EX(rowData,1,7)=BI572),1,0) +
        IF(AND(BJ572&lt;&gt;"""", INDEX(rowData,1,8)=BJ572),1,0)
      ) - COUNTIF(BC572:BJ572, ""-"")
        - COUNTIF(BC572:BJ572, ""固定格式，不需提供資訊"")
        - COUNTIF(BC572:BJ572, ""由MKT更新，此欄位固定格式，不需提供資訊
(Voucher CID：12917705872)"&amp;""")
        - COUNTIF(BC572:BJ572, ""text固定為以下：
※直播間僅支援手機版"")
        - COUNTIF(BC572:BJ572, ""text固定為以下：
※短影音僅支援手機版"")
    )
  ), 
  0
)
"),0)</f>
        <v>0</v>
      </c>
      <c r="BM572" s="77" t="b">
        <v>0</v>
      </c>
      <c r="BN572" s="85"/>
      <c r="BO572" s="85"/>
    </row>
    <row r="573" spans="1:67" ht="30" customHeight="1">
      <c r="A573" s="73" t="str">
        <f t="array" aca="1" ref="A573" ca="1">IFERROR(TRANSPOSE(INDIRECT('MS section版配(Old)'!$AO573)),"")</f>
        <v/>
      </c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8"/>
      <c r="P573" s="88"/>
      <c r="Q573" s="88"/>
      <c r="R573" s="88"/>
      <c r="S573" s="88"/>
      <c r="T573" s="88"/>
      <c r="U573" s="88"/>
      <c r="V573" s="88"/>
      <c r="W573" s="88"/>
      <c r="X573" s="88"/>
      <c r="Y573" s="88"/>
      <c r="Z573" s="88"/>
      <c r="AA573" s="88"/>
      <c r="AB573" s="88"/>
      <c r="AC573" s="88"/>
      <c r="AD573" s="88"/>
      <c r="AE573" s="397" t="str">
        <f>IFERROR(VLOOKUP($AQ573,'(勿動)組件目錄表'!$D$15:$R$1094,4,FALSE),"")</f>
        <v/>
      </c>
      <c r="AF573" s="384"/>
      <c r="AG573" s="384"/>
      <c r="AH573" s="384"/>
      <c r="AI573" s="384"/>
      <c r="AJ573" s="385"/>
      <c r="AK573" s="54" t="b">
        <v>0</v>
      </c>
      <c r="AL573" s="54" t="b">
        <v>0</v>
      </c>
      <c r="AM573" s="54"/>
      <c r="AN573" s="7" t="str">
        <v>565</v>
      </c>
      <c r="AO573" s="7"/>
      <c r="AP573" s="62"/>
      <c r="AQ573" s="75" t="str">
        <v/>
      </c>
      <c r="AR573" s="75" t="str">
        <v>-</v>
      </c>
      <c r="AS573" s="11"/>
      <c r="AT573" s="77" t="str">
        <v>-</v>
      </c>
      <c r="AU573" s="11" t="str">
        <v>-</v>
      </c>
      <c r="AV573" s="100"/>
      <c r="AW573" s="80" t="str">
        <f ca="1"/>
        <v>-</v>
      </c>
      <c r="AX573" s="80" t="b">
        <v>0</v>
      </c>
      <c r="AY573" s="68" t="str">
        <f t="shared" si="8"/>
        <v/>
      </c>
      <c r="AZ573" s="69" t="str">
        <f t="shared" si="9"/>
        <v/>
      </c>
      <c r="BA573" s="70" t="str">
        <f t="shared" si="10"/>
        <v/>
      </c>
      <c r="BB573" s="68" t="str">
        <f t="shared" si="11"/>
        <v/>
      </c>
      <c r="BC573" s="69" t="str">
        <f>IFERROR(VLOOKUP($AQ573,'(勿動)組件目錄表'!$D$15:$R$1094,7,FALSE),"")</f>
        <v/>
      </c>
      <c r="BD573" s="69" t="str">
        <f>IFERROR(VLOOKUP($AQ573,'(勿動)組件目錄表'!$D$15:$R$1094,8,FALSE),"")</f>
        <v/>
      </c>
      <c r="BE573" s="69" t="str">
        <f>IFERROR(VLOOKUP($AQ573,'(勿動)組件目錄表'!$D$15:$R$1094,9,FALSE),"")</f>
        <v/>
      </c>
      <c r="BF573" s="69" t="str">
        <f>IFERROR(VLOOKUP($AQ573,'(勿動)組件目錄表'!$D$15:$R$1094,10,FALSE),"")</f>
        <v/>
      </c>
      <c r="BG573" s="69" t="str">
        <f>IFERROR(VLOOKUP($AQ573,'(勿動)組件目錄表'!$D$15:$R$1094,11,FALSE),"")</f>
        <v/>
      </c>
      <c r="BH573" s="69" t="str">
        <f>IFERROR(VLOOKUP($AQ573,'(勿動)組件目錄表'!$D$15:$R$1094,12,FALSE),"")</f>
        <v/>
      </c>
      <c r="BI573" s="69" t="str">
        <f>IFERROR(VLOOKUP($AQ573,'(勿動)組件目錄表'!$D$15:$R$1094,13,FALSE),"")</f>
        <v/>
      </c>
      <c r="BJ573" s="69" t="str">
        <f>IFERROR(VLOOKUP($AQ573,'(勿動)組件目錄表'!$D$15:$R$1094,14,FALSE),"")</f>
        <v/>
      </c>
      <c r="BK573" s="69" t="str">
        <f>IFERROR(VLOOKUP($AQ573,'(勿動)組件目錄表'!$D$15:$R$1094,15,FALSE),"")</f>
        <v/>
      </c>
      <c r="BL573" s="81">
        <f ca="1">IFERROR(__xludf.DUMMYFUNCTION("IFERROR(
  LET(
    rowData, FILTER('(勿動)組件目錄表'!J:Q, '(勿動)組件目錄表'!D:D=AQ573),
    IF(ROWS(rowData)=0, 0, 
      (
        IF(AND(BC573&lt;&gt;"""", INDEX(rowData,1,1)=BC573),1,0) +
        IF(AND(BD573&lt;&gt;"""", INDEX(rowData,1,2)=BD573),1,0) +
        IF(AND(BE573"&amp;"&lt;&gt;"""", INDEX(rowData,1,3)=BE573),1,0) +
        IF(AND(BF573&lt;&gt;"""", INDEX(rowData,1,4)=BF573),1,0) +
        IF(AND(BG573&lt;&gt;"""", INDEX(rowData,1,5)=BG573),1,0) +
        IF(AND(BH573&lt;&gt;"""", INDEX(rowData,1,6)=BH573),1,0) +
        IF(AND(BI573&lt;&gt;"""", IND"&amp;"EX(rowData,1,7)=BI573),1,0) +
        IF(AND(BJ573&lt;&gt;"""", INDEX(rowData,1,8)=BJ573),1,0)
      ) - COUNTIF(BC573:BJ573, ""-"")
        - COUNTIF(BC573:BJ573, ""固定格式，不需提供資訊"")
        - COUNTIF(BC573:BJ573, ""由MKT更新，此欄位固定格式，不需提供資訊
(Voucher CID：12917705872)"&amp;""")
        - COUNTIF(BC573:BJ573, ""text固定為以下：
※直播間僅支援手機版"")
        - COUNTIF(BC573:BJ573, ""text固定為以下：
※短影音僅支援手機版"")
    )
  ), 
  0
)
"),0)</f>
        <v>0</v>
      </c>
      <c r="BM573" s="77" t="b">
        <v>0</v>
      </c>
      <c r="BN573" s="85"/>
      <c r="BO573" s="85"/>
    </row>
    <row r="574" spans="1:67" ht="30" customHeight="1">
      <c r="A574" s="73" t="str">
        <f t="array" aca="1" ref="A574" ca="1">IFERROR(TRANSPOSE(INDIRECT('MS section版配(Old)'!$AO574)),"")</f>
        <v/>
      </c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8"/>
      <c r="P574" s="88"/>
      <c r="Q574" s="88"/>
      <c r="R574" s="88"/>
      <c r="S574" s="88"/>
      <c r="T574" s="88"/>
      <c r="U574" s="88"/>
      <c r="V574" s="88"/>
      <c r="W574" s="88"/>
      <c r="X574" s="88"/>
      <c r="Y574" s="88"/>
      <c r="Z574" s="88"/>
      <c r="AA574" s="88"/>
      <c r="AB574" s="88"/>
      <c r="AC574" s="88"/>
      <c r="AD574" s="88"/>
      <c r="AE574" s="397" t="str">
        <f>IFERROR(VLOOKUP($AQ574,'(勿動)組件目錄表'!$D$15:$R$1094,4,FALSE),"")</f>
        <v/>
      </c>
      <c r="AF574" s="384"/>
      <c r="AG574" s="384"/>
      <c r="AH574" s="384"/>
      <c r="AI574" s="384"/>
      <c r="AJ574" s="385"/>
      <c r="AK574" s="54" t="b">
        <v>0</v>
      </c>
      <c r="AL574" s="54" t="b">
        <v>0</v>
      </c>
      <c r="AM574" s="54"/>
      <c r="AN574" s="7" t="str">
        <v>566</v>
      </c>
      <c r="AO574" s="7"/>
      <c r="AP574" s="62"/>
      <c r="AQ574" s="75" t="str">
        <v/>
      </c>
      <c r="AR574" s="75" t="str">
        <v>-</v>
      </c>
      <c r="AS574" s="11"/>
      <c r="AT574" s="77" t="str">
        <v>-</v>
      </c>
      <c r="AU574" s="11" t="str">
        <v>-</v>
      </c>
      <c r="AV574" s="100"/>
      <c r="AW574" s="80" t="str">
        <f ca="1"/>
        <v>-</v>
      </c>
      <c r="AX574" s="80" t="b">
        <v>0</v>
      </c>
      <c r="AY574" s="68" t="str">
        <f t="shared" si="8"/>
        <v/>
      </c>
      <c r="AZ574" s="69" t="str">
        <f t="shared" si="9"/>
        <v/>
      </c>
      <c r="BA574" s="70" t="str">
        <f t="shared" si="10"/>
        <v/>
      </c>
      <c r="BB574" s="68" t="str">
        <f t="shared" si="11"/>
        <v/>
      </c>
      <c r="BC574" s="69" t="str">
        <f>IFERROR(VLOOKUP($AQ574,'(勿動)組件目錄表'!$D$15:$R$1094,7,FALSE),"")</f>
        <v/>
      </c>
      <c r="BD574" s="69" t="str">
        <f>IFERROR(VLOOKUP($AQ574,'(勿動)組件目錄表'!$D$15:$R$1094,8,FALSE),"")</f>
        <v/>
      </c>
      <c r="BE574" s="69" t="str">
        <f>IFERROR(VLOOKUP($AQ574,'(勿動)組件目錄表'!$D$15:$R$1094,9,FALSE),"")</f>
        <v/>
      </c>
      <c r="BF574" s="69" t="str">
        <f>IFERROR(VLOOKUP($AQ574,'(勿動)組件目錄表'!$D$15:$R$1094,10,FALSE),"")</f>
        <v/>
      </c>
      <c r="BG574" s="69" t="str">
        <f>IFERROR(VLOOKUP($AQ574,'(勿動)組件目錄表'!$D$15:$R$1094,11,FALSE),"")</f>
        <v/>
      </c>
      <c r="BH574" s="69" t="str">
        <f>IFERROR(VLOOKUP($AQ574,'(勿動)組件目錄表'!$D$15:$R$1094,12,FALSE),"")</f>
        <v/>
      </c>
      <c r="BI574" s="69" t="str">
        <f>IFERROR(VLOOKUP($AQ574,'(勿動)組件目錄表'!$D$15:$R$1094,13,FALSE),"")</f>
        <v/>
      </c>
      <c r="BJ574" s="69" t="str">
        <f>IFERROR(VLOOKUP($AQ574,'(勿動)組件目錄表'!$D$15:$R$1094,14,FALSE),"")</f>
        <v/>
      </c>
      <c r="BK574" s="69" t="str">
        <f>IFERROR(VLOOKUP($AQ574,'(勿動)組件目錄表'!$D$15:$R$1094,15,FALSE),"")</f>
        <v/>
      </c>
      <c r="BL574" s="81">
        <f ca="1">IFERROR(__xludf.DUMMYFUNCTION("IFERROR(
  LET(
    rowData, FILTER('(勿動)組件目錄表'!J:Q, '(勿動)組件目錄表'!D:D=AQ574),
    IF(ROWS(rowData)=0, 0, 
      (
        IF(AND(BC574&lt;&gt;"""", INDEX(rowData,1,1)=BC574),1,0) +
        IF(AND(BD574&lt;&gt;"""", INDEX(rowData,1,2)=BD574),1,0) +
        IF(AND(BE574"&amp;"&lt;&gt;"""", INDEX(rowData,1,3)=BE574),1,0) +
        IF(AND(BF574&lt;&gt;"""", INDEX(rowData,1,4)=BF574),1,0) +
        IF(AND(BG574&lt;&gt;"""", INDEX(rowData,1,5)=BG574),1,0) +
        IF(AND(BH574&lt;&gt;"""", INDEX(rowData,1,6)=BH574),1,0) +
        IF(AND(BI574&lt;&gt;"""", IND"&amp;"EX(rowData,1,7)=BI574),1,0) +
        IF(AND(BJ574&lt;&gt;"""", INDEX(rowData,1,8)=BJ574),1,0)
      ) - COUNTIF(BC574:BJ574, ""-"")
        - COUNTIF(BC574:BJ574, ""固定格式，不需提供資訊"")
        - COUNTIF(BC574:BJ574, ""由MKT更新，此欄位固定格式，不需提供資訊
(Voucher CID：12917705872)"&amp;""")
        - COUNTIF(BC574:BJ574, ""text固定為以下：
※直播間僅支援手機版"")
        - COUNTIF(BC574:BJ574, ""text固定為以下：
※短影音僅支援手機版"")
    )
  ), 
  0
)
"),0)</f>
        <v>0</v>
      </c>
      <c r="BM574" s="77" t="b">
        <v>0</v>
      </c>
      <c r="BN574" s="85"/>
      <c r="BO574" s="85"/>
    </row>
    <row r="575" spans="1:67" ht="30" customHeight="1">
      <c r="A575" s="73" t="str">
        <f t="array" aca="1" ref="A575" ca="1">IFERROR(TRANSPOSE(INDIRECT('MS section版配(Old)'!$AO575)),"")</f>
        <v/>
      </c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8"/>
      <c r="P575" s="88"/>
      <c r="Q575" s="88"/>
      <c r="R575" s="88"/>
      <c r="S575" s="88"/>
      <c r="T575" s="88"/>
      <c r="U575" s="88"/>
      <c r="V575" s="88"/>
      <c r="W575" s="88"/>
      <c r="X575" s="88"/>
      <c r="Y575" s="88"/>
      <c r="Z575" s="88"/>
      <c r="AA575" s="88"/>
      <c r="AB575" s="88"/>
      <c r="AC575" s="88"/>
      <c r="AD575" s="88"/>
      <c r="AE575" s="397" t="str">
        <f>IFERROR(VLOOKUP($AQ575,'(勿動)組件目錄表'!$D$15:$R$1094,4,FALSE),"")</f>
        <v/>
      </c>
      <c r="AF575" s="384"/>
      <c r="AG575" s="384"/>
      <c r="AH575" s="384"/>
      <c r="AI575" s="384"/>
      <c r="AJ575" s="385"/>
      <c r="AK575" s="54" t="b">
        <v>0</v>
      </c>
      <c r="AL575" s="54" t="b">
        <v>0</v>
      </c>
      <c r="AM575" s="54"/>
      <c r="AN575" s="7" t="str">
        <v>567</v>
      </c>
      <c r="AO575" s="7"/>
      <c r="AP575" s="62"/>
      <c r="AQ575" s="75" t="str">
        <v/>
      </c>
      <c r="AR575" s="75" t="str">
        <v>-</v>
      </c>
      <c r="AS575" s="11"/>
      <c r="AT575" s="77" t="str">
        <v>-</v>
      </c>
      <c r="AU575" s="11" t="str">
        <v>-</v>
      </c>
      <c r="AV575" s="100"/>
      <c r="AW575" s="80" t="str">
        <f ca="1"/>
        <v>-</v>
      </c>
      <c r="AX575" s="80" t="b">
        <v>0</v>
      </c>
      <c r="AY575" s="68" t="str">
        <f t="shared" si="8"/>
        <v/>
      </c>
      <c r="AZ575" s="69" t="str">
        <f t="shared" si="9"/>
        <v/>
      </c>
      <c r="BA575" s="70" t="str">
        <f t="shared" si="10"/>
        <v/>
      </c>
      <c r="BB575" s="68" t="str">
        <f t="shared" si="11"/>
        <v/>
      </c>
      <c r="BC575" s="69" t="str">
        <f>IFERROR(VLOOKUP($AQ575,'(勿動)組件目錄表'!$D$15:$R$1094,7,FALSE),"")</f>
        <v/>
      </c>
      <c r="BD575" s="69" t="str">
        <f>IFERROR(VLOOKUP($AQ575,'(勿動)組件目錄表'!$D$15:$R$1094,8,FALSE),"")</f>
        <v/>
      </c>
      <c r="BE575" s="69" t="str">
        <f>IFERROR(VLOOKUP($AQ575,'(勿動)組件目錄表'!$D$15:$R$1094,9,FALSE),"")</f>
        <v/>
      </c>
      <c r="BF575" s="69" t="str">
        <f>IFERROR(VLOOKUP($AQ575,'(勿動)組件目錄表'!$D$15:$R$1094,10,FALSE),"")</f>
        <v/>
      </c>
      <c r="BG575" s="69" t="str">
        <f>IFERROR(VLOOKUP($AQ575,'(勿動)組件目錄表'!$D$15:$R$1094,11,FALSE),"")</f>
        <v/>
      </c>
      <c r="BH575" s="69" t="str">
        <f>IFERROR(VLOOKUP($AQ575,'(勿動)組件目錄表'!$D$15:$R$1094,12,FALSE),"")</f>
        <v/>
      </c>
      <c r="BI575" s="69" t="str">
        <f>IFERROR(VLOOKUP($AQ575,'(勿動)組件目錄表'!$D$15:$R$1094,13,FALSE),"")</f>
        <v/>
      </c>
      <c r="BJ575" s="69" t="str">
        <f>IFERROR(VLOOKUP($AQ575,'(勿動)組件目錄表'!$D$15:$R$1094,14,FALSE),"")</f>
        <v/>
      </c>
      <c r="BK575" s="69" t="str">
        <f>IFERROR(VLOOKUP($AQ575,'(勿動)組件目錄表'!$D$15:$R$1094,15,FALSE),"")</f>
        <v/>
      </c>
      <c r="BL575" s="81">
        <f ca="1">IFERROR(__xludf.DUMMYFUNCTION("IFERROR(
  LET(
    rowData, FILTER('(勿動)組件目錄表'!J:Q, '(勿動)組件目錄表'!D:D=AQ575),
    IF(ROWS(rowData)=0, 0, 
      (
        IF(AND(BC575&lt;&gt;"""", INDEX(rowData,1,1)=BC575),1,0) +
        IF(AND(BD575&lt;&gt;"""", INDEX(rowData,1,2)=BD575),1,0) +
        IF(AND(BE575"&amp;"&lt;&gt;"""", INDEX(rowData,1,3)=BE575),1,0) +
        IF(AND(BF575&lt;&gt;"""", INDEX(rowData,1,4)=BF575),1,0) +
        IF(AND(BG575&lt;&gt;"""", INDEX(rowData,1,5)=BG575),1,0) +
        IF(AND(BH575&lt;&gt;"""", INDEX(rowData,1,6)=BH575),1,0) +
        IF(AND(BI575&lt;&gt;"""", IND"&amp;"EX(rowData,1,7)=BI575),1,0) +
        IF(AND(BJ575&lt;&gt;"""", INDEX(rowData,1,8)=BJ575),1,0)
      ) - COUNTIF(BC575:BJ575, ""-"")
        - COUNTIF(BC575:BJ575, ""固定格式，不需提供資訊"")
        - COUNTIF(BC575:BJ575, ""由MKT更新，此欄位固定格式，不需提供資訊
(Voucher CID：12917705872)"&amp;""")
        - COUNTIF(BC575:BJ575, ""text固定為以下：
※直播間僅支援手機版"")
        - COUNTIF(BC575:BJ575, ""text固定為以下：
※短影音僅支援手機版"")
    )
  ), 
  0
)
"),0)</f>
        <v>0</v>
      </c>
      <c r="BM575" s="77" t="b">
        <v>0</v>
      </c>
      <c r="BN575" s="85"/>
      <c r="BO575" s="85"/>
    </row>
    <row r="576" spans="1:67" ht="30" customHeight="1">
      <c r="A576" s="73" t="str">
        <f t="array" aca="1" ref="A576" ca="1">IFERROR(TRANSPOSE(INDIRECT('MS section版配(Old)'!$AO576)),"")</f>
        <v/>
      </c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8"/>
      <c r="P576" s="88"/>
      <c r="Q576" s="88"/>
      <c r="R576" s="88"/>
      <c r="S576" s="88"/>
      <c r="T576" s="88"/>
      <c r="U576" s="88"/>
      <c r="V576" s="88"/>
      <c r="W576" s="88"/>
      <c r="X576" s="88"/>
      <c r="Y576" s="88"/>
      <c r="Z576" s="88"/>
      <c r="AA576" s="88"/>
      <c r="AB576" s="88"/>
      <c r="AC576" s="88"/>
      <c r="AD576" s="88"/>
      <c r="AE576" s="397" t="str">
        <f>IFERROR(VLOOKUP($AQ576,'(勿動)組件目錄表'!$D$15:$R$1094,4,FALSE),"")</f>
        <v/>
      </c>
      <c r="AF576" s="384"/>
      <c r="AG576" s="384"/>
      <c r="AH576" s="384"/>
      <c r="AI576" s="384"/>
      <c r="AJ576" s="385"/>
      <c r="AK576" s="54" t="b">
        <v>0</v>
      </c>
      <c r="AL576" s="54" t="b">
        <v>0</v>
      </c>
      <c r="AM576" s="54"/>
      <c r="AN576" s="7" t="str">
        <v>568</v>
      </c>
      <c r="AO576" s="7"/>
      <c r="AP576" s="62"/>
      <c r="AQ576" s="75" t="str">
        <v/>
      </c>
      <c r="AR576" s="75" t="str">
        <v>-</v>
      </c>
      <c r="AS576" s="11"/>
      <c r="AT576" s="77" t="str">
        <v>-</v>
      </c>
      <c r="AU576" s="11" t="str">
        <v>-</v>
      </c>
      <c r="AV576" s="100"/>
      <c r="AW576" s="80" t="str">
        <f ca="1"/>
        <v>-</v>
      </c>
      <c r="AX576" s="80" t="b">
        <v>0</v>
      </c>
      <c r="AY576" s="68" t="str">
        <f t="shared" si="8"/>
        <v/>
      </c>
      <c r="AZ576" s="69" t="str">
        <f t="shared" si="9"/>
        <v/>
      </c>
      <c r="BA576" s="70" t="str">
        <f t="shared" si="10"/>
        <v/>
      </c>
      <c r="BB576" s="68" t="str">
        <f t="shared" si="11"/>
        <v/>
      </c>
      <c r="BC576" s="69" t="str">
        <f>IFERROR(VLOOKUP($AQ576,'(勿動)組件目錄表'!$D$15:$R$1094,7,FALSE),"")</f>
        <v/>
      </c>
      <c r="BD576" s="69" t="str">
        <f>IFERROR(VLOOKUP($AQ576,'(勿動)組件目錄表'!$D$15:$R$1094,8,FALSE),"")</f>
        <v/>
      </c>
      <c r="BE576" s="69" t="str">
        <f>IFERROR(VLOOKUP($AQ576,'(勿動)組件目錄表'!$D$15:$R$1094,9,FALSE),"")</f>
        <v/>
      </c>
      <c r="BF576" s="69" t="str">
        <f>IFERROR(VLOOKUP($AQ576,'(勿動)組件目錄表'!$D$15:$R$1094,10,FALSE),"")</f>
        <v/>
      </c>
      <c r="BG576" s="69" t="str">
        <f>IFERROR(VLOOKUP($AQ576,'(勿動)組件目錄表'!$D$15:$R$1094,11,FALSE),"")</f>
        <v/>
      </c>
      <c r="BH576" s="69" t="str">
        <f>IFERROR(VLOOKUP($AQ576,'(勿動)組件目錄表'!$D$15:$R$1094,12,FALSE),"")</f>
        <v/>
      </c>
      <c r="BI576" s="69" t="str">
        <f>IFERROR(VLOOKUP($AQ576,'(勿動)組件目錄表'!$D$15:$R$1094,13,FALSE),"")</f>
        <v/>
      </c>
      <c r="BJ576" s="69" t="str">
        <f>IFERROR(VLOOKUP($AQ576,'(勿動)組件目錄表'!$D$15:$R$1094,14,FALSE),"")</f>
        <v/>
      </c>
      <c r="BK576" s="69" t="str">
        <f>IFERROR(VLOOKUP($AQ576,'(勿動)組件目錄表'!$D$15:$R$1094,15,FALSE),"")</f>
        <v/>
      </c>
      <c r="BL576" s="81">
        <f ca="1">IFERROR(__xludf.DUMMYFUNCTION("IFERROR(
  LET(
    rowData, FILTER('(勿動)組件目錄表'!J:Q, '(勿動)組件目錄表'!D:D=AQ576),
    IF(ROWS(rowData)=0, 0, 
      (
        IF(AND(BC576&lt;&gt;"""", INDEX(rowData,1,1)=BC576),1,0) +
        IF(AND(BD576&lt;&gt;"""", INDEX(rowData,1,2)=BD576),1,0) +
        IF(AND(BE576"&amp;"&lt;&gt;"""", INDEX(rowData,1,3)=BE576),1,0) +
        IF(AND(BF576&lt;&gt;"""", INDEX(rowData,1,4)=BF576),1,0) +
        IF(AND(BG576&lt;&gt;"""", INDEX(rowData,1,5)=BG576),1,0) +
        IF(AND(BH576&lt;&gt;"""", INDEX(rowData,1,6)=BH576),1,0) +
        IF(AND(BI576&lt;&gt;"""", IND"&amp;"EX(rowData,1,7)=BI576),1,0) +
        IF(AND(BJ576&lt;&gt;"""", INDEX(rowData,1,8)=BJ576),1,0)
      ) - COUNTIF(BC576:BJ576, ""-"")
        - COUNTIF(BC576:BJ576, ""固定格式，不需提供資訊"")
        - COUNTIF(BC576:BJ576, ""由MKT更新，此欄位固定格式，不需提供資訊
(Voucher CID：12917705872)"&amp;""")
        - COUNTIF(BC576:BJ576, ""text固定為以下：
※直播間僅支援手機版"")
        - COUNTIF(BC576:BJ576, ""text固定為以下：
※短影音僅支援手機版"")
    )
  ), 
  0
)
"),0)</f>
        <v>0</v>
      </c>
      <c r="BM576" s="77" t="b">
        <v>0</v>
      </c>
      <c r="BN576" s="85"/>
      <c r="BO576" s="85"/>
    </row>
    <row r="577" spans="1:67" ht="30" customHeight="1">
      <c r="A577" s="73" t="str">
        <f t="array" aca="1" ref="A577" ca="1">IFERROR(TRANSPOSE(INDIRECT('MS section版配(Old)'!$AO577)),"")</f>
        <v/>
      </c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8"/>
      <c r="P577" s="88"/>
      <c r="Q577" s="88"/>
      <c r="R577" s="88"/>
      <c r="S577" s="88"/>
      <c r="T577" s="88"/>
      <c r="U577" s="88"/>
      <c r="V577" s="88"/>
      <c r="W577" s="88"/>
      <c r="X577" s="88"/>
      <c r="Y577" s="88"/>
      <c r="Z577" s="88"/>
      <c r="AA577" s="88"/>
      <c r="AB577" s="88"/>
      <c r="AC577" s="88"/>
      <c r="AD577" s="88"/>
      <c r="AE577" s="397" t="str">
        <f>IFERROR(VLOOKUP($AQ577,'(勿動)組件目錄表'!$D$15:$R$1094,4,FALSE),"")</f>
        <v/>
      </c>
      <c r="AF577" s="384"/>
      <c r="AG577" s="384"/>
      <c r="AH577" s="384"/>
      <c r="AI577" s="384"/>
      <c r="AJ577" s="385"/>
      <c r="AK577" s="54" t="b">
        <v>0</v>
      </c>
      <c r="AL577" s="54" t="b">
        <v>0</v>
      </c>
      <c r="AM577" s="54"/>
      <c r="AN577" s="7" t="str">
        <v>569</v>
      </c>
      <c r="AO577" s="7"/>
      <c r="AP577" s="62"/>
      <c r="AQ577" s="75" t="str">
        <v/>
      </c>
      <c r="AR577" s="75" t="str">
        <v>-</v>
      </c>
      <c r="AS577" s="11"/>
      <c r="AT577" s="77" t="str">
        <v>-</v>
      </c>
      <c r="AU577" s="11" t="str">
        <v>-</v>
      </c>
      <c r="AV577" s="100"/>
      <c r="AW577" s="80" t="str">
        <f ca="1"/>
        <v>-</v>
      </c>
      <c r="AX577" s="80" t="b">
        <v>0</v>
      </c>
      <c r="AY577" s="68" t="str">
        <f t="shared" si="8"/>
        <v/>
      </c>
      <c r="AZ577" s="69" t="str">
        <f t="shared" si="9"/>
        <v/>
      </c>
      <c r="BA577" s="70" t="str">
        <f t="shared" si="10"/>
        <v/>
      </c>
      <c r="BB577" s="68" t="str">
        <f t="shared" si="11"/>
        <v/>
      </c>
      <c r="BC577" s="69" t="str">
        <f>IFERROR(VLOOKUP($AQ577,'(勿動)組件目錄表'!$D$15:$R$1094,7,FALSE),"")</f>
        <v/>
      </c>
      <c r="BD577" s="69" t="str">
        <f>IFERROR(VLOOKUP($AQ577,'(勿動)組件目錄表'!$D$15:$R$1094,8,FALSE),"")</f>
        <v/>
      </c>
      <c r="BE577" s="69" t="str">
        <f>IFERROR(VLOOKUP($AQ577,'(勿動)組件目錄表'!$D$15:$R$1094,9,FALSE),"")</f>
        <v/>
      </c>
      <c r="BF577" s="69" t="str">
        <f>IFERROR(VLOOKUP($AQ577,'(勿動)組件目錄表'!$D$15:$R$1094,10,FALSE),"")</f>
        <v/>
      </c>
      <c r="BG577" s="69" t="str">
        <f>IFERROR(VLOOKUP($AQ577,'(勿動)組件目錄表'!$D$15:$R$1094,11,FALSE),"")</f>
        <v/>
      </c>
      <c r="BH577" s="69" t="str">
        <f>IFERROR(VLOOKUP($AQ577,'(勿動)組件目錄表'!$D$15:$R$1094,12,FALSE),"")</f>
        <v/>
      </c>
      <c r="BI577" s="69" t="str">
        <f>IFERROR(VLOOKUP($AQ577,'(勿動)組件目錄表'!$D$15:$R$1094,13,FALSE),"")</f>
        <v/>
      </c>
      <c r="BJ577" s="69" t="str">
        <f>IFERROR(VLOOKUP($AQ577,'(勿動)組件目錄表'!$D$15:$R$1094,14,FALSE),"")</f>
        <v/>
      </c>
      <c r="BK577" s="69" t="str">
        <f>IFERROR(VLOOKUP($AQ577,'(勿動)組件目錄表'!$D$15:$R$1094,15,FALSE),"")</f>
        <v/>
      </c>
      <c r="BL577" s="81">
        <f ca="1">IFERROR(__xludf.DUMMYFUNCTION("IFERROR(
  LET(
    rowData, FILTER('(勿動)組件目錄表'!J:Q, '(勿動)組件目錄表'!D:D=AQ577),
    IF(ROWS(rowData)=0, 0, 
      (
        IF(AND(BC577&lt;&gt;"""", INDEX(rowData,1,1)=BC577),1,0) +
        IF(AND(BD577&lt;&gt;"""", INDEX(rowData,1,2)=BD577),1,0) +
        IF(AND(BE577"&amp;"&lt;&gt;"""", INDEX(rowData,1,3)=BE577),1,0) +
        IF(AND(BF577&lt;&gt;"""", INDEX(rowData,1,4)=BF577),1,0) +
        IF(AND(BG577&lt;&gt;"""", INDEX(rowData,1,5)=BG577),1,0) +
        IF(AND(BH577&lt;&gt;"""", INDEX(rowData,1,6)=BH577),1,0) +
        IF(AND(BI577&lt;&gt;"""", IND"&amp;"EX(rowData,1,7)=BI577),1,0) +
        IF(AND(BJ577&lt;&gt;"""", INDEX(rowData,1,8)=BJ577),1,0)
      ) - COUNTIF(BC577:BJ577, ""-"")
        - COUNTIF(BC577:BJ577, ""固定格式，不需提供資訊"")
        - COUNTIF(BC577:BJ577, ""由MKT更新，此欄位固定格式，不需提供資訊
(Voucher CID：12917705872)"&amp;""")
        - COUNTIF(BC577:BJ577, ""text固定為以下：
※直播間僅支援手機版"")
        - COUNTIF(BC577:BJ577, ""text固定為以下：
※短影音僅支援手機版"")
    )
  ), 
  0
)
"),0)</f>
        <v>0</v>
      </c>
      <c r="BM577" s="77" t="b">
        <v>0</v>
      </c>
      <c r="BN577" s="85"/>
      <c r="BO577" s="85"/>
    </row>
    <row r="578" spans="1:67" ht="30" customHeight="1">
      <c r="A578" s="73" t="str">
        <f t="array" aca="1" ref="A578" ca="1">IFERROR(TRANSPOSE(INDIRECT('MS section版配(Old)'!$AO578)),"")</f>
        <v/>
      </c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8"/>
      <c r="P578" s="88"/>
      <c r="Q578" s="88"/>
      <c r="R578" s="88"/>
      <c r="S578" s="88"/>
      <c r="T578" s="88"/>
      <c r="U578" s="88"/>
      <c r="V578" s="88"/>
      <c r="W578" s="88"/>
      <c r="X578" s="88"/>
      <c r="Y578" s="88"/>
      <c r="Z578" s="88"/>
      <c r="AA578" s="88"/>
      <c r="AB578" s="88"/>
      <c r="AC578" s="88"/>
      <c r="AD578" s="88"/>
      <c r="AE578" s="397" t="str">
        <f>IFERROR(VLOOKUP($AQ578,'(勿動)組件目錄表'!$D$15:$R$1094,4,FALSE),"")</f>
        <v/>
      </c>
      <c r="AF578" s="384"/>
      <c r="AG578" s="384"/>
      <c r="AH578" s="384"/>
      <c r="AI578" s="384"/>
      <c r="AJ578" s="385"/>
      <c r="AK578" s="54" t="b">
        <v>0</v>
      </c>
      <c r="AL578" s="54" t="b">
        <v>0</v>
      </c>
      <c r="AM578" s="54"/>
      <c r="AN578" s="7" t="str">
        <v>570</v>
      </c>
      <c r="AO578" s="7"/>
      <c r="AP578" s="62"/>
      <c r="AQ578" s="75" t="str">
        <v/>
      </c>
      <c r="AR578" s="75" t="str">
        <v>-</v>
      </c>
      <c r="AS578" s="11"/>
      <c r="AT578" s="77" t="str">
        <v>-</v>
      </c>
      <c r="AU578" s="11" t="str">
        <v>-</v>
      </c>
      <c r="AV578" s="100"/>
      <c r="AW578" s="80" t="str">
        <f ca="1"/>
        <v>-</v>
      </c>
      <c r="AX578" s="80" t="b">
        <v>0</v>
      </c>
      <c r="AY578" s="68" t="str">
        <f t="shared" si="8"/>
        <v/>
      </c>
      <c r="AZ578" s="69" t="str">
        <f t="shared" si="9"/>
        <v/>
      </c>
      <c r="BA578" s="70" t="str">
        <f t="shared" si="10"/>
        <v/>
      </c>
      <c r="BB578" s="68" t="str">
        <f t="shared" si="11"/>
        <v/>
      </c>
      <c r="BC578" s="69" t="str">
        <f>IFERROR(VLOOKUP($AQ578,'(勿動)組件目錄表'!$D$15:$R$1094,7,FALSE),"")</f>
        <v/>
      </c>
      <c r="BD578" s="69" t="str">
        <f>IFERROR(VLOOKUP($AQ578,'(勿動)組件目錄表'!$D$15:$R$1094,8,FALSE),"")</f>
        <v/>
      </c>
      <c r="BE578" s="69" t="str">
        <f>IFERROR(VLOOKUP($AQ578,'(勿動)組件目錄表'!$D$15:$R$1094,9,FALSE),"")</f>
        <v/>
      </c>
      <c r="BF578" s="69" t="str">
        <f>IFERROR(VLOOKUP($AQ578,'(勿動)組件目錄表'!$D$15:$R$1094,10,FALSE),"")</f>
        <v/>
      </c>
      <c r="BG578" s="69" t="str">
        <f>IFERROR(VLOOKUP($AQ578,'(勿動)組件目錄表'!$D$15:$R$1094,11,FALSE),"")</f>
        <v/>
      </c>
      <c r="BH578" s="69" t="str">
        <f>IFERROR(VLOOKUP($AQ578,'(勿動)組件目錄表'!$D$15:$R$1094,12,FALSE),"")</f>
        <v/>
      </c>
      <c r="BI578" s="69" t="str">
        <f>IFERROR(VLOOKUP($AQ578,'(勿動)組件目錄表'!$D$15:$R$1094,13,FALSE),"")</f>
        <v/>
      </c>
      <c r="BJ578" s="69" t="str">
        <f>IFERROR(VLOOKUP($AQ578,'(勿動)組件目錄表'!$D$15:$R$1094,14,FALSE),"")</f>
        <v/>
      </c>
      <c r="BK578" s="69" t="str">
        <f>IFERROR(VLOOKUP($AQ578,'(勿動)組件目錄表'!$D$15:$R$1094,15,FALSE),"")</f>
        <v/>
      </c>
      <c r="BL578" s="81">
        <f ca="1">IFERROR(__xludf.DUMMYFUNCTION("IFERROR(
  LET(
    rowData, FILTER('(勿動)組件目錄表'!J:Q, '(勿動)組件目錄表'!D:D=AQ578),
    IF(ROWS(rowData)=0, 0, 
      (
        IF(AND(BC578&lt;&gt;"""", INDEX(rowData,1,1)=BC578),1,0) +
        IF(AND(BD578&lt;&gt;"""", INDEX(rowData,1,2)=BD578),1,0) +
        IF(AND(BE578"&amp;"&lt;&gt;"""", INDEX(rowData,1,3)=BE578),1,0) +
        IF(AND(BF578&lt;&gt;"""", INDEX(rowData,1,4)=BF578),1,0) +
        IF(AND(BG578&lt;&gt;"""", INDEX(rowData,1,5)=BG578),1,0) +
        IF(AND(BH578&lt;&gt;"""", INDEX(rowData,1,6)=BH578),1,0) +
        IF(AND(BI578&lt;&gt;"""", IND"&amp;"EX(rowData,1,7)=BI578),1,0) +
        IF(AND(BJ578&lt;&gt;"""", INDEX(rowData,1,8)=BJ578),1,0)
      ) - COUNTIF(BC578:BJ578, ""-"")
        - COUNTIF(BC578:BJ578, ""固定格式，不需提供資訊"")
        - COUNTIF(BC578:BJ578, ""由MKT更新，此欄位固定格式，不需提供資訊
(Voucher CID：12917705872)"&amp;""")
        - COUNTIF(BC578:BJ578, ""text固定為以下：
※直播間僅支援手機版"")
        - COUNTIF(BC578:BJ578, ""text固定為以下：
※短影音僅支援手機版"")
    )
  ), 
  0
)
"),0)</f>
        <v>0</v>
      </c>
      <c r="BM578" s="77" t="b">
        <v>0</v>
      </c>
      <c r="BN578" s="85"/>
      <c r="BO578" s="85"/>
    </row>
    <row r="579" spans="1:67" ht="30" customHeight="1">
      <c r="A579" s="73" t="str">
        <f t="array" aca="1" ref="A579" ca="1">IFERROR(TRANSPOSE(INDIRECT('MS section版配(Old)'!$AO579)),"")</f>
        <v/>
      </c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8"/>
      <c r="P579" s="88"/>
      <c r="Q579" s="88"/>
      <c r="R579" s="88"/>
      <c r="S579" s="88"/>
      <c r="T579" s="88"/>
      <c r="U579" s="88"/>
      <c r="V579" s="88"/>
      <c r="W579" s="88"/>
      <c r="X579" s="88"/>
      <c r="Y579" s="88"/>
      <c r="Z579" s="88"/>
      <c r="AA579" s="88"/>
      <c r="AB579" s="88"/>
      <c r="AC579" s="88"/>
      <c r="AD579" s="88"/>
      <c r="AE579" s="397" t="str">
        <f>IFERROR(VLOOKUP($AQ579,'(勿動)組件目錄表'!$D$15:$R$1094,4,FALSE),"")</f>
        <v/>
      </c>
      <c r="AF579" s="384"/>
      <c r="AG579" s="384"/>
      <c r="AH579" s="384"/>
      <c r="AI579" s="384"/>
      <c r="AJ579" s="385"/>
      <c r="AK579" s="54" t="b">
        <v>0</v>
      </c>
      <c r="AL579" s="54" t="b">
        <v>0</v>
      </c>
      <c r="AM579" s="54"/>
      <c r="AN579" s="7" t="str">
        <v>571</v>
      </c>
      <c r="AO579" s="7"/>
      <c r="AP579" s="62"/>
      <c r="AQ579" s="75" t="str">
        <v/>
      </c>
      <c r="AR579" s="75" t="str">
        <v>-</v>
      </c>
      <c r="AS579" s="11"/>
      <c r="AT579" s="77" t="str">
        <v>-</v>
      </c>
      <c r="AU579" s="11" t="str">
        <v>-</v>
      </c>
      <c r="AV579" s="100"/>
      <c r="AW579" s="80" t="str">
        <f ca="1"/>
        <v>-</v>
      </c>
      <c r="AX579" s="80" t="b">
        <v>0</v>
      </c>
      <c r="AY579" s="68" t="str">
        <f t="shared" si="8"/>
        <v/>
      </c>
      <c r="AZ579" s="69" t="str">
        <f t="shared" si="9"/>
        <v/>
      </c>
      <c r="BA579" s="70" t="str">
        <f t="shared" si="10"/>
        <v/>
      </c>
      <c r="BB579" s="68" t="str">
        <f t="shared" si="11"/>
        <v/>
      </c>
      <c r="BC579" s="69" t="str">
        <f>IFERROR(VLOOKUP($AQ579,'(勿動)組件目錄表'!$D$15:$R$1094,7,FALSE),"")</f>
        <v/>
      </c>
      <c r="BD579" s="69" t="str">
        <f>IFERROR(VLOOKUP($AQ579,'(勿動)組件目錄表'!$D$15:$R$1094,8,FALSE),"")</f>
        <v/>
      </c>
      <c r="BE579" s="69" t="str">
        <f>IFERROR(VLOOKUP($AQ579,'(勿動)組件目錄表'!$D$15:$R$1094,9,FALSE),"")</f>
        <v/>
      </c>
      <c r="BF579" s="69" t="str">
        <f>IFERROR(VLOOKUP($AQ579,'(勿動)組件目錄表'!$D$15:$R$1094,10,FALSE),"")</f>
        <v/>
      </c>
      <c r="BG579" s="69" t="str">
        <f>IFERROR(VLOOKUP($AQ579,'(勿動)組件目錄表'!$D$15:$R$1094,11,FALSE),"")</f>
        <v/>
      </c>
      <c r="BH579" s="69" t="str">
        <f>IFERROR(VLOOKUP($AQ579,'(勿動)組件目錄表'!$D$15:$R$1094,12,FALSE),"")</f>
        <v/>
      </c>
      <c r="BI579" s="69" t="str">
        <f>IFERROR(VLOOKUP($AQ579,'(勿動)組件目錄表'!$D$15:$R$1094,13,FALSE),"")</f>
        <v/>
      </c>
      <c r="BJ579" s="69" t="str">
        <f>IFERROR(VLOOKUP($AQ579,'(勿動)組件目錄表'!$D$15:$R$1094,14,FALSE),"")</f>
        <v/>
      </c>
      <c r="BK579" s="69" t="str">
        <f>IFERROR(VLOOKUP($AQ579,'(勿動)組件目錄表'!$D$15:$R$1094,15,FALSE),"")</f>
        <v/>
      </c>
      <c r="BL579" s="81">
        <f ca="1">IFERROR(__xludf.DUMMYFUNCTION("IFERROR(
  LET(
    rowData, FILTER('(勿動)組件目錄表'!J:Q, '(勿動)組件目錄表'!D:D=AQ579),
    IF(ROWS(rowData)=0, 0, 
      (
        IF(AND(BC579&lt;&gt;"""", INDEX(rowData,1,1)=BC579),1,0) +
        IF(AND(BD579&lt;&gt;"""", INDEX(rowData,1,2)=BD579),1,0) +
        IF(AND(BE579"&amp;"&lt;&gt;"""", INDEX(rowData,1,3)=BE579),1,0) +
        IF(AND(BF579&lt;&gt;"""", INDEX(rowData,1,4)=BF579),1,0) +
        IF(AND(BG579&lt;&gt;"""", INDEX(rowData,1,5)=BG579),1,0) +
        IF(AND(BH579&lt;&gt;"""", INDEX(rowData,1,6)=BH579),1,0) +
        IF(AND(BI579&lt;&gt;"""", IND"&amp;"EX(rowData,1,7)=BI579),1,0) +
        IF(AND(BJ579&lt;&gt;"""", INDEX(rowData,1,8)=BJ579),1,0)
      ) - COUNTIF(BC579:BJ579, ""-"")
        - COUNTIF(BC579:BJ579, ""固定格式，不需提供資訊"")
        - COUNTIF(BC579:BJ579, ""由MKT更新，此欄位固定格式，不需提供資訊
(Voucher CID：12917705872)"&amp;""")
        - COUNTIF(BC579:BJ579, ""text固定為以下：
※直播間僅支援手機版"")
        - COUNTIF(BC579:BJ579, ""text固定為以下：
※短影音僅支援手機版"")
    )
  ), 
  0
)
"),0)</f>
        <v>0</v>
      </c>
      <c r="BM579" s="77" t="b">
        <v>0</v>
      </c>
      <c r="BN579" s="85"/>
      <c r="BO579" s="85"/>
    </row>
    <row r="580" spans="1:67" ht="30" customHeight="1">
      <c r="A580" s="73" t="str">
        <f t="array" aca="1" ref="A580" ca="1">IFERROR(TRANSPOSE(INDIRECT('MS section版配(Old)'!$AO580)),"")</f>
        <v/>
      </c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8"/>
      <c r="P580" s="88"/>
      <c r="Q580" s="88"/>
      <c r="R580" s="88"/>
      <c r="S580" s="88"/>
      <c r="T580" s="88"/>
      <c r="U580" s="88"/>
      <c r="V580" s="88"/>
      <c r="W580" s="88"/>
      <c r="X580" s="88"/>
      <c r="Y580" s="88"/>
      <c r="Z580" s="88"/>
      <c r="AA580" s="88"/>
      <c r="AB580" s="88"/>
      <c r="AC580" s="88"/>
      <c r="AD580" s="88"/>
      <c r="AE580" s="397" t="str">
        <f>IFERROR(VLOOKUP($AQ580,'(勿動)組件目錄表'!$D$15:$R$1094,4,FALSE),"")</f>
        <v/>
      </c>
      <c r="AF580" s="384"/>
      <c r="AG580" s="384"/>
      <c r="AH580" s="384"/>
      <c r="AI580" s="384"/>
      <c r="AJ580" s="385"/>
      <c r="AK580" s="54" t="b">
        <v>0</v>
      </c>
      <c r="AL580" s="54" t="b">
        <v>0</v>
      </c>
      <c r="AM580" s="54"/>
      <c r="AN580" s="7" t="str">
        <v>572</v>
      </c>
      <c r="AO580" s="7"/>
      <c r="AP580" s="62"/>
      <c r="AQ580" s="75" t="str">
        <v/>
      </c>
      <c r="AR580" s="75" t="str">
        <v>-</v>
      </c>
      <c r="AS580" s="11"/>
      <c r="AT580" s="77" t="str">
        <v>-</v>
      </c>
      <c r="AU580" s="11" t="str">
        <v>-</v>
      </c>
      <c r="AV580" s="100"/>
      <c r="AW580" s="80" t="str">
        <f ca="1"/>
        <v>-</v>
      </c>
      <c r="AX580" s="80" t="b">
        <v>0</v>
      </c>
      <c r="AY580" s="68" t="str">
        <f t="shared" si="8"/>
        <v/>
      </c>
      <c r="AZ580" s="69" t="str">
        <f t="shared" si="9"/>
        <v/>
      </c>
      <c r="BA580" s="70" t="str">
        <f t="shared" si="10"/>
        <v/>
      </c>
      <c r="BB580" s="68" t="str">
        <f t="shared" si="11"/>
        <v/>
      </c>
      <c r="BC580" s="69" t="str">
        <f>IFERROR(VLOOKUP($AQ580,'(勿動)組件目錄表'!$D$15:$R$1094,7,FALSE),"")</f>
        <v/>
      </c>
      <c r="BD580" s="69" t="str">
        <f>IFERROR(VLOOKUP($AQ580,'(勿動)組件目錄表'!$D$15:$R$1094,8,FALSE),"")</f>
        <v/>
      </c>
      <c r="BE580" s="69" t="str">
        <f>IFERROR(VLOOKUP($AQ580,'(勿動)組件目錄表'!$D$15:$R$1094,9,FALSE),"")</f>
        <v/>
      </c>
      <c r="BF580" s="69" t="str">
        <f>IFERROR(VLOOKUP($AQ580,'(勿動)組件目錄表'!$D$15:$R$1094,10,FALSE),"")</f>
        <v/>
      </c>
      <c r="BG580" s="69" t="str">
        <f>IFERROR(VLOOKUP($AQ580,'(勿動)組件目錄表'!$D$15:$R$1094,11,FALSE),"")</f>
        <v/>
      </c>
      <c r="BH580" s="69" t="str">
        <f>IFERROR(VLOOKUP($AQ580,'(勿動)組件目錄表'!$D$15:$R$1094,12,FALSE),"")</f>
        <v/>
      </c>
      <c r="BI580" s="69" t="str">
        <f>IFERROR(VLOOKUP($AQ580,'(勿動)組件目錄表'!$D$15:$R$1094,13,FALSE),"")</f>
        <v/>
      </c>
      <c r="BJ580" s="69" t="str">
        <f>IFERROR(VLOOKUP($AQ580,'(勿動)組件目錄表'!$D$15:$R$1094,14,FALSE),"")</f>
        <v/>
      </c>
      <c r="BK580" s="69" t="str">
        <f>IFERROR(VLOOKUP($AQ580,'(勿動)組件目錄表'!$D$15:$R$1094,15,FALSE),"")</f>
        <v/>
      </c>
      <c r="BL580" s="81">
        <f ca="1">IFERROR(__xludf.DUMMYFUNCTION("IFERROR(
  LET(
    rowData, FILTER('(勿動)組件目錄表'!J:Q, '(勿動)組件目錄表'!D:D=AQ580),
    IF(ROWS(rowData)=0, 0, 
      (
        IF(AND(BC580&lt;&gt;"""", INDEX(rowData,1,1)=BC580),1,0) +
        IF(AND(BD580&lt;&gt;"""", INDEX(rowData,1,2)=BD580),1,0) +
        IF(AND(BE580"&amp;"&lt;&gt;"""", INDEX(rowData,1,3)=BE580),1,0) +
        IF(AND(BF580&lt;&gt;"""", INDEX(rowData,1,4)=BF580),1,0) +
        IF(AND(BG580&lt;&gt;"""", INDEX(rowData,1,5)=BG580),1,0) +
        IF(AND(BH580&lt;&gt;"""", INDEX(rowData,1,6)=BH580),1,0) +
        IF(AND(BI580&lt;&gt;"""", IND"&amp;"EX(rowData,1,7)=BI580),1,0) +
        IF(AND(BJ580&lt;&gt;"""", INDEX(rowData,1,8)=BJ580),1,0)
      ) - COUNTIF(BC580:BJ580, ""-"")
        - COUNTIF(BC580:BJ580, ""固定格式，不需提供資訊"")
        - COUNTIF(BC580:BJ580, ""由MKT更新，此欄位固定格式，不需提供資訊
(Voucher CID：12917705872)"&amp;""")
        - COUNTIF(BC580:BJ580, ""text固定為以下：
※直播間僅支援手機版"")
        - COUNTIF(BC580:BJ580, ""text固定為以下：
※短影音僅支援手機版"")
    )
  ), 
  0
)
"),0)</f>
        <v>0</v>
      </c>
      <c r="BM580" s="77" t="b">
        <v>0</v>
      </c>
      <c r="BN580" s="85"/>
      <c r="BO580" s="85"/>
    </row>
    <row r="581" spans="1:67" ht="30" customHeight="1">
      <c r="A581" s="73" t="str">
        <f t="array" aca="1" ref="A581" ca="1">IFERROR(TRANSPOSE(INDIRECT('MS section版配(Old)'!$AO581)),"")</f>
        <v/>
      </c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8"/>
      <c r="P581" s="88"/>
      <c r="Q581" s="88"/>
      <c r="R581" s="88"/>
      <c r="S581" s="88"/>
      <c r="T581" s="88"/>
      <c r="U581" s="88"/>
      <c r="V581" s="88"/>
      <c r="W581" s="88"/>
      <c r="X581" s="88"/>
      <c r="Y581" s="88"/>
      <c r="Z581" s="88"/>
      <c r="AA581" s="88"/>
      <c r="AB581" s="88"/>
      <c r="AC581" s="88"/>
      <c r="AD581" s="88"/>
      <c r="AE581" s="397" t="str">
        <f>IFERROR(VLOOKUP($AQ581,'(勿動)組件目錄表'!$D$15:$R$1094,4,FALSE),"")</f>
        <v/>
      </c>
      <c r="AF581" s="384"/>
      <c r="AG581" s="384"/>
      <c r="AH581" s="384"/>
      <c r="AI581" s="384"/>
      <c r="AJ581" s="385"/>
      <c r="AK581" s="54" t="b">
        <v>0</v>
      </c>
      <c r="AL581" s="54" t="b">
        <v>0</v>
      </c>
      <c r="AM581" s="54"/>
      <c r="AN581" s="7" t="str">
        <v>573</v>
      </c>
      <c r="AO581" s="7"/>
      <c r="AP581" s="62"/>
      <c r="AQ581" s="75" t="str">
        <v/>
      </c>
      <c r="AR581" s="75" t="str">
        <v>-</v>
      </c>
      <c r="AS581" s="11"/>
      <c r="AT581" s="77" t="str">
        <v>-</v>
      </c>
      <c r="AU581" s="11" t="str">
        <v>-</v>
      </c>
      <c r="AV581" s="100"/>
      <c r="AW581" s="80" t="str">
        <f ca="1"/>
        <v>-</v>
      </c>
      <c r="AX581" s="80" t="b">
        <v>0</v>
      </c>
      <c r="AY581" s="68" t="str">
        <f t="shared" si="8"/>
        <v/>
      </c>
      <c r="AZ581" s="69" t="str">
        <f t="shared" si="9"/>
        <v/>
      </c>
      <c r="BA581" s="70" t="str">
        <f t="shared" si="10"/>
        <v/>
      </c>
      <c r="BB581" s="68" t="str">
        <f t="shared" si="11"/>
        <v/>
      </c>
      <c r="BC581" s="69" t="str">
        <f>IFERROR(VLOOKUP($AQ581,'(勿動)組件目錄表'!$D$15:$R$1094,7,FALSE),"")</f>
        <v/>
      </c>
      <c r="BD581" s="69" t="str">
        <f>IFERROR(VLOOKUP($AQ581,'(勿動)組件目錄表'!$D$15:$R$1094,8,FALSE),"")</f>
        <v/>
      </c>
      <c r="BE581" s="69" t="str">
        <f>IFERROR(VLOOKUP($AQ581,'(勿動)組件目錄表'!$D$15:$R$1094,9,FALSE),"")</f>
        <v/>
      </c>
      <c r="BF581" s="69" t="str">
        <f>IFERROR(VLOOKUP($AQ581,'(勿動)組件目錄表'!$D$15:$R$1094,10,FALSE),"")</f>
        <v/>
      </c>
      <c r="BG581" s="69" t="str">
        <f>IFERROR(VLOOKUP($AQ581,'(勿動)組件目錄表'!$D$15:$R$1094,11,FALSE),"")</f>
        <v/>
      </c>
      <c r="BH581" s="69" t="str">
        <f>IFERROR(VLOOKUP($AQ581,'(勿動)組件目錄表'!$D$15:$R$1094,12,FALSE),"")</f>
        <v/>
      </c>
      <c r="BI581" s="69" t="str">
        <f>IFERROR(VLOOKUP($AQ581,'(勿動)組件目錄表'!$D$15:$R$1094,13,FALSE),"")</f>
        <v/>
      </c>
      <c r="BJ581" s="69" t="str">
        <f>IFERROR(VLOOKUP($AQ581,'(勿動)組件目錄表'!$D$15:$R$1094,14,FALSE),"")</f>
        <v/>
      </c>
      <c r="BK581" s="69" t="str">
        <f>IFERROR(VLOOKUP($AQ581,'(勿動)組件目錄表'!$D$15:$R$1094,15,FALSE),"")</f>
        <v/>
      </c>
      <c r="BL581" s="81">
        <f ca="1">IFERROR(__xludf.DUMMYFUNCTION("IFERROR(
  LET(
    rowData, FILTER('(勿動)組件目錄表'!J:Q, '(勿動)組件目錄表'!D:D=AQ581),
    IF(ROWS(rowData)=0, 0, 
      (
        IF(AND(BC581&lt;&gt;"""", INDEX(rowData,1,1)=BC581),1,0) +
        IF(AND(BD581&lt;&gt;"""", INDEX(rowData,1,2)=BD581),1,0) +
        IF(AND(BE581"&amp;"&lt;&gt;"""", INDEX(rowData,1,3)=BE581),1,0) +
        IF(AND(BF581&lt;&gt;"""", INDEX(rowData,1,4)=BF581),1,0) +
        IF(AND(BG581&lt;&gt;"""", INDEX(rowData,1,5)=BG581),1,0) +
        IF(AND(BH581&lt;&gt;"""", INDEX(rowData,1,6)=BH581),1,0) +
        IF(AND(BI581&lt;&gt;"""", IND"&amp;"EX(rowData,1,7)=BI581),1,0) +
        IF(AND(BJ581&lt;&gt;"""", INDEX(rowData,1,8)=BJ581),1,0)
      ) - COUNTIF(BC581:BJ581, ""-"")
        - COUNTIF(BC581:BJ581, ""固定格式，不需提供資訊"")
        - COUNTIF(BC581:BJ581, ""由MKT更新，此欄位固定格式，不需提供資訊
(Voucher CID：12917705872)"&amp;""")
        - COUNTIF(BC581:BJ581, ""text固定為以下：
※直播間僅支援手機版"")
        - COUNTIF(BC581:BJ581, ""text固定為以下：
※短影音僅支援手機版"")
    )
  ), 
  0
)
"),0)</f>
        <v>0</v>
      </c>
      <c r="BM581" s="77" t="b">
        <v>0</v>
      </c>
      <c r="BN581" s="85"/>
      <c r="BO581" s="85"/>
    </row>
    <row r="582" spans="1:67" ht="30" customHeight="1">
      <c r="A582" s="73" t="str">
        <f t="array" aca="1" ref="A582" ca="1">IFERROR(TRANSPOSE(INDIRECT('MS section版配(Old)'!$AO582)),"")</f>
        <v/>
      </c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8"/>
      <c r="P582" s="88"/>
      <c r="Q582" s="88"/>
      <c r="R582" s="88"/>
      <c r="S582" s="88"/>
      <c r="T582" s="88"/>
      <c r="U582" s="88"/>
      <c r="V582" s="88"/>
      <c r="W582" s="88"/>
      <c r="X582" s="88"/>
      <c r="Y582" s="88"/>
      <c r="Z582" s="88"/>
      <c r="AA582" s="88"/>
      <c r="AB582" s="88"/>
      <c r="AC582" s="88"/>
      <c r="AD582" s="88"/>
      <c r="AE582" s="397" t="str">
        <f>IFERROR(VLOOKUP($AQ582,'(勿動)組件目錄表'!$D$15:$R$1094,4,FALSE),"")</f>
        <v/>
      </c>
      <c r="AF582" s="384"/>
      <c r="AG582" s="384"/>
      <c r="AH582" s="384"/>
      <c r="AI582" s="384"/>
      <c r="AJ582" s="385"/>
      <c r="AK582" s="54" t="b">
        <v>0</v>
      </c>
      <c r="AL582" s="54" t="b">
        <v>0</v>
      </c>
      <c r="AM582" s="54"/>
      <c r="AN582" s="7" t="str">
        <v>574</v>
      </c>
      <c r="AO582" s="7"/>
      <c r="AP582" s="62"/>
      <c r="AQ582" s="75" t="str">
        <v/>
      </c>
      <c r="AR582" s="75" t="str">
        <v>-</v>
      </c>
      <c r="AS582" s="11"/>
      <c r="AT582" s="77" t="str">
        <v>-</v>
      </c>
      <c r="AU582" s="11" t="str">
        <v>-</v>
      </c>
      <c r="AV582" s="100"/>
      <c r="AW582" s="80" t="str">
        <f ca="1"/>
        <v>-</v>
      </c>
      <c r="AX582" s="80" t="b">
        <v>0</v>
      </c>
      <c r="AY582" s="68" t="str">
        <f t="shared" si="8"/>
        <v/>
      </c>
      <c r="AZ582" s="69" t="str">
        <f t="shared" si="9"/>
        <v/>
      </c>
      <c r="BA582" s="70" t="str">
        <f t="shared" si="10"/>
        <v/>
      </c>
      <c r="BB582" s="68" t="str">
        <f t="shared" si="11"/>
        <v/>
      </c>
      <c r="BC582" s="69" t="str">
        <f>IFERROR(VLOOKUP($AQ582,'(勿動)組件目錄表'!$D$15:$R$1094,7,FALSE),"")</f>
        <v/>
      </c>
      <c r="BD582" s="69" t="str">
        <f>IFERROR(VLOOKUP($AQ582,'(勿動)組件目錄表'!$D$15:$R$1094,8,FALSE),"")</f>
        <v/>
      </c>
      <c r="BE582" s="69" t="str">
        <f>IFERROR(VLOOKUP($AQ582,'(勿動)組件目錄表'!$D$15:$R$1094,9,FALSE),"")</f>
        <v/>
      </c>
      <c r="BF582" s="69" t="str">
        <f>IFERROR(VLOOKUP($AQ582,'(勿動)組件目錄表'!$D$15:$R$1094,10,FALSE),"")</f>
        <v/>
      </c>
      <c r="BG582" s="69" t="str">
        <f>IFERROR(VLOOKUP($AQ582,'(勿動)組件目錄表'!$D$15:$R$1094,11,FALSE),"")</f>
        <v/>
      </c>
      <c r="BH582" s="69" t="str">
        <f>IFERROR(VLOOKUP($AQ582,'(勿動)組件目錄表'!$D$15:$R$1094,12,FALSE),"")</f>
        <v/>
      </c>
      <c r="BI582" s="69" t="str">
        <f>IFERROR(VLOOKUP($AQ582,'(勿動)組件目錄表'!$D$15:$R$1094,13,FALSE),"")</f>
        <v/>
      </c>
      <c r="BJ582" s="69" t="str">
        <f>IFERROR(VLOOKUP($AQ582,'(勿動)組件目錄表'!$D$15:$R$1094,14,FALSE),"")</f>
        <v/>
      </c>
      <c r="BK582" s="69" t="str">
        <f>IFERROR(VLOOKUP($AQ582,'(勿動)組件目錄表'!$D$15:$R$1094,15,FALSE),"")</f>
        <v/>
      </c>
      <c r="BL582" s="81">
        <f ca="1">IFERROR(__xludf.DUMMYFUNCTION("IFERROR(
  LET(
    rowData, FILTER('(勿動)組件目錄表'!J:Q, '(勿動)組件目錄表'!D:D=AQ582),
    IF(ROWS(rowData)=0, 0, 
      (
        IF(AND(BC582&lt;&gt;"""", INDEX(rowData,1,1)=BC582),1,0) +
        IF(AND(BD582&lt;&gt;"""", INDEX(rowData,1,2)=BD582),1,0) +
        IF(AND(BE582"&amp;"&lt;&gt;"""", INDEX(rowData,1,3)=BE582),1,0) +
        IF(AND(BF582&lt;&gt;"""", INDEX(rowData,1,4)=BF582),1,0) +
        IF(AND(BG582&lt;&gt;"""", INDEX(rowData,1,5)=BG582),1,0) +
        IF(AND(BH582&lt;&gt;"""", INDEX(rowData,1,6)=BH582),1,0) +
        IF(AND(BI582&lt;&gt;"""", IND"&amp;"EX(rowData,1,7)=BI582),1,0) +
        IF(AND(BJ582&lt;&gt;"""", INDEX(rowData,1,8)=BJ582),1,0)
      ) - COUNTIF(BC582:BJ582, ""-"")
        - COUNTIF(BC582:BJ582, ""固定格式，不需提供資訊"")
        - COUNTIF(BC582:BJ582, ""由MKT更新，此欄位固定格式，不需提供資訊
(Voucher CID：12917705872)"&amp;""")
        - COUNTIF(BC582:BJ582, ""text固定為以下：
※直播間僅支援手機版"")
        - COUNTIF(BC582:BJ582, ""text固定為以下：
※短影音僅支援手機版"")
    )
  ), 
  0
)
"),0)</f>
        <v>0</v>
      </c>
      <c r="BM582" s="77" t="b">
        <v>0</v>
      </c>
      <c r="BN582" s="85"/>
      <c r="BO582" s="85"/>
    </row>
    <row r="583" spans="1:67" ht="30" customHeight="1">
      <c r="A583" s="73" t="str">
        <f t="array" aca="1" ref="A583" ca="1">IFERROR(TRANSPOSE(INDIRECT('MS section版配(Old)'!$AO583)),"")</f>
        <v/>
      </c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8"/>
      <c r="P583" s="88"/>
      <c r="Q583" s="88"/>
      <c r="R583" s="88"/>
      <c r="S583" s="88"/>
      <c r="T583" s="88"/>
      <c r="U583" s="88"/>
      <c r="V583" s="88"/>
      <c r="W583" s="88"/>
      <c r="X583" s="88"/>
      <c r="Y583" s="88"/>
      <c r="Z583" s="88"/>
      <c r="AA583" s="88"/>
      <c r="AB583" s="88"/>
      <c r="AC583" s="88"/>
      <c r="AD583" s="88"/>
      <c r="AE583" s="397" t="str">
        <f>IFERROR(VLOOKUP($AQ583,'(勿動)組件目錄表'!$D$15:$R$1094,4,FALSE),"")</f>
        <v/>
      </c>
      <c r="AF583" s="384"/>
      <c r="AG583" s="384"/>
      <c r="AH583" s="384"/>
      <c r="AI583" s="384"/>
      <c r="AJ583" s="385"/>
      <c r="AK583" s="54" t="b">
        <v>0</v>
      </c>
      <c r="AL583" s="54" t="b">
        <v>0</v>
      </c>
      <c r="AM583" s="54"/>
      <c r="AN583" s="7" t="str">
        <v>575</v>
      </c>
      <c r="AO583" s="7"/>
      <c r="AP583" s="62"/>
      <c r="AQ583" s="75" t="str">
        <v/>
      </c>
      <c r="AR583" s="75" t="str">
        <v>-</v>
      </c>
      <c r="AS583" s="11"/>
      <c r="AT583" s="77" t="str">
        <v>-</v>
      </c>
      <c r="AU583" s="11" t="str">
        <v>-</v>
      </c>
      <c r="AV583" s="100"/>
      <c r="AW583" s="80" t="str">
        <f ca="1"/>
        <v>-</v>
      </c>
      <c r="AX583" s="80" t="b">
        <v>0</v>
      </c>
      <c r="AY583" s="68" t="str">
        <f t="shared" si="8"/>
        <v/>
      </c>
      <c r="AZ583" s="69" t="str">
        <f t="shared" si="9"/>
        <v/>
      </c>
      <c r="BA583" s="70" t="str">
        <f t="shared" si="10"/>
        <v/>
      </c>
      <c r="BB583" s="68" t="str">
        <f t="shared" si="11"/>
        <v/>
      </c>
      <c r="BC583" s="69" t="str">
        <f>IFERROR(VLOOKUP($AQ583,'(勿動)組件目錄表'!$D$15:$R$1094,7,FALSE),"")</f>
        <v/>
      </c>
      <c r="BD583" s="69" t="str">
        <f>IFERROR(VLOOKUP($AQ583,'(勿動)組件目錄表'!$D$15:$R$1094,8,FALSE),"")</f>
        <v/>
      </c>
      <c r="BE583" s="69" t="str">
        <f>IFERROR(VLOOKUP($AQ583,'(勿動)組件目錄表'!$D$15:$R$1094,9,FALSE),"")</f>
        <v/>
      </c>
      <c r="BF583" s="69" t="str">
        <f>IFERROR(VLOOKUP($AQ583,'(勿動)組件目錄表'!$D$15:$R$1094,10,FALSE),"")</f>
        <v/>
      </c>
      <c r="BG583" s="69" t="str">
        <f>IFERROR(VLOOKUP($AQ583,'(勿動)組件目錄表'!$D$15:$R$1094,11,FALSE),"")</f>
        <v/>
      </c>
      <c r="BH583" s="69" t="str">
        <f>IFERROR(VLOOKUP($AQ583,'(勿動)組件目錄表'!$D$15:$R$1094,12,FALSE),"")</f>
        <v/>
      </c>
      <c r="BI583" s="69" t="str">
        <f>IFERROR(VLOOKUP($AQ583,'(勿動)組件目錄表'!$D$15:$R$1094,13,FALSE),"")</f>
        <v/>
      </c>
      <c r="BJ583" s="69" t="str">
        <f>IFERROR(VLOOKUP($AQ583,'(勿動)組件目錄表'!$D$15:$R$1094,14,FALSE),"")</f>
        <v/>
      </c>
      <c r="BK583" s="69" t="str">
        <f>IFERROR(VLOOKUP($AQ583,'(勿動)組件目錄表'!$D$15:$R$1094,15,FALSE),"")</f>
        <v/>
      </c>
      <c r="BL583" s="81">
        <f ca="1">IFERROR(__xludf.DUMMYFUNCTION("IFERROR(
  LET(
    rowData, FILTER('(勿動)組件目錄表'!J:Q, '(勿動)組件目錄表'!D:D=AQ583),
    IF(ROWS(rowData)=0, 0, 
      (
        IF(AND(BC583&lt;&gt;"""", INDEX(rowData,1,1)=BC583),1,0) +
        IF(AND(BD583&lt;&gt;"""", INDEX(rowData,1,2)=BD583),1,0) +
        IF(AND(BE583"&amp;"&lt;&gt;"""", INDEX(rowData,1,3)=BE583),1,0) +
        IF(AND(BF583&lt;&gt;"""", INDEX(rowData,1,4)=BF583),1,0) +
        IF(AND(BG583&lt;&gt;"""", INDEX(rowData,1,5)=BG583),1,0) +
        IF(AND(BH583&lt;&gt;"""", INDEX(rowData,1,6)=BH583),1,0) +
        IF(AND(BI583&lt;&gt;"""", IND"&amp;"EX(rowData,1,7)=BI583),1,0) +
        IF(AND(BJ583&lt;&gt;"""", INDEX(rowData,1,8)=BJ583),1,0)
      ) - COUNTIF(BC583:BJ583, ""-"")
        - COUNTIF(BC583:BJ583, ""固定格式，不需提供資訊"")
        - COUNTIF(BC583:BJ583, ""由MKT更新，此欄位固定格式，不需提供資訊
(Voucher CID：12917705872)"&amp;""")
        - COUNTIF(BC583:BJ583, ""text固定為以下：
※直播間僅支援手機版"")
        - COUNTIF(BC583:BJ583, ""text固定為以下：
※短影音僅支援手機版"")
    )
  ), 
  0
)
"),0)</f>
        <v>0</v>
      </c>
      <c r="BM583" s="77" t="b">
        <v>0</v>
      </c>
      <c r="BN583" s="85"/>
      <c r="BO583" s="85"/>
    </row>
    <row r="584" spans="1:67" ht="30" customHeight="1">
      <c r="A584" s="73" t="str">
        <f t="array" aca="1" ref="A584" ca="1">IFERROR(TRANSPOSE(INDIRECT('MS section版配(Old)'!$AO584)),"")</f>
        <v/>
      </c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8"/>
      <c r="P584" s="88"/>
      <c r="Q584" s="88"/>
      <c r="R584" s="88"/>
      <c r="S584" s="88"/>
      <c r="T584" s="88"/>
      <c r="U584" s="88"/>
      <c r="V584" s="88"/>
      <c r="W584" s="88"/>
      <c r="X584" s="88"/>
      <c r="Y584" s="88"/>
      <c r="Z584" s="88"/>
      <c r="AA584" s="88"/>
      <c r="AB584" s="88"/>
      <c r="AC584" s="88"/>
      <c r="AD584" s="88"/>
      <c r="AE584" s="397" t="str">
        <f>IFERROR(VLOOKUP($AQ584,'(勿動)組件目錄表'!$D$15:$R$1094,4,FALSE),"")</f>
        <v/>
      </c>
      <c r="AF584" s="384"/>
      <c r="AG584" s="384"/>
      <c r="AH584" s="384"/>
      <c r="AI584" s="384"/>
      <c r="AJ584" s="385"/>
      <c r="AK584" s="54" t="b">
        <v>0</v>
      </c>
      <c r="AL584" s="54" t="b">
        <v>0</v>
      </c>
      <c r="AM584" s="54"/>
      <c r="AN584" s="7" t="str">
        <v>576</v>
      </c>
      <c r="AO584" s="7"/>
      <c r="AP584" s="62"/>
      <c r="AQ584" s="75" t="str">
        <v/>
      </c>
      <c r="AR584" s="75" t="str">
        <v>-</v>
      </c>
      <c r="AS584" s="11"/>
      <c r="AT584" s="77" t="str">
        <v>-</v>
      </c>
      <c r="AU584" s="11" t="str">
        <v>-</v>
      </c>
      <c r="AV584" s="100"/>
      <c r="AW584" s="80" t="str">
        <f ca="1"/>
        <v>-</v>
      </c>
      <c r="AX584" s="80" t="b">
        <v>0</v>
      </c>
      <c r="AY584" s="68" t="str">
        <f t="shared" si="8"/>
        <v/>
      </c>
      <c r="AZ584" s="69" t="str">
        <f t="shared" si="9"/>
        <v/>
      </c>
      <c r="BA584" s="70" t="str">
        <f t="shared" si="10"/>
        <v/>
      </c>
      <c r="BB584" s="68" t="str">
        <f t="shared" si="11"/>
        <v/>
      </c>
      <c r="BC584" s="69" t="str">
        <f>IFERROR(VLOOKUP($AQ584,'(勿動)組件目錄表'!$D$15:$R$1094,7,FALSE),"")</f>
        <v/>
      </c>
      <c r="BD584" s="69" t="str">
        <f>IFERROR(VLOOKUP($AQ584,'(勿動)組件目錄表'!$D$15:$R$1094,8,FALSE),"")</f>
        <v/>
      </c>
      <c r="BE584" s="69" t="str">
        <f>IFERROR(VLOOKUP($AQ584,'(勿動)組件目錄表'!$D$15:$R$1094,9,FALSE),"")</f>
        <v/>
      </c>
      <c r="BF584" s="69" t="str">
        <f>IFERROR(VLOOKUP($AQ584,'(勿動)組件目錄表'!$D$15:$R$1094,10,FALSE),"")</f>
        <v/>
      </c>
      <c r="BG584" s="69" t="str">
        <f>IFERROR(VLOOKUP($AQ584,'(勿動)組件目錄表'!$D$15:$R$1094,11,FALSE),"")</f>
        <v/>
      </c>
      <c r="BH584" s="69" t="str">
        <f>IFERROR(VLOOKUP($AQ584,'(勿動)組件目錄表'!$D$15:$R$1094,12,FALSE),"")</f>
        <v/>
      </c>
      <c r="BI584" s="69" t="str">
        <f>IFERROR(VLOOKUP($AQ584,'(勿動)組件目錄表'!$D$15:$R$1094,13,FALSE),"")</f>
        <v/>
      </c>
      <c r="BJ584" s="69" t="str">
        <f>IFERROR(VLOOKUP($AQ584,'(勿動)組件目錄表'!$D$15:$R$1094,14,FALSE),"")</f>
        <v/>
      </c>
      <c r="BK584" s="69" t="str">
        <f>IFERROR(VLOOKUP($AQ584,'(勿動)組件目錄表'!$D$15:$R$1094,15,FALSE),"")</f>
        <v/>
      </c>
      <c r="BL584" s="81">
        <f ca="1">IFERROR(__xludf.DUMMYFUNCTION("IFERROR(
  LET(
    rowData, FILTER('(勿動)組件目錄表'!J:Q, '(勿動)組件目錄表'!D:D=AQ584),
    IF(ROWS(rowData)=0, 0, 
      (
        IF(AND(BC584&lt;&gt;"""", INDEX(rowData,1,1)=BC584),1,0) +
        IF(AND(BD584&lt;&gt;"""", INDEX(rowData,1,2)=BD584),1,0) +
        IF(AND(BE584"&amp;"&lt;&gt;"""", INDEX(rowData,1,3)=BE584),1,0) +
        IF(AND(BF584&lt;&gt;"""", INDEX(rowData,1,4)=BF584),1,0) +
        IF(AND(BG584&lt;&gt;"""", INDEX(rowData,1,5)=BG584),1,0) +
        IF(AND(BH584&lt;&gt;"""", INDEX(rowData,1,6)=BH584),1,0) +
        IF(AND(BI584&lt;&gt;"""", IND"&amp;"EX(rowData,1,7)=BI584),1,0) +
        IF(AND(BJ584&lt;&gt;"""", INDEX(rowData,1,8)=BJ584),1,0)
      ) - COUNTIF(BC584:BJ584, ""-"")
        - COUNTIF(BC584:BJ584, ""固定格式，不需提供資訊"")
        - COUNTIF(BC584:BJ584, ""由MKT更新，此欄位固定格式，不需提供資訊
(Voucher CID：12917705872)"&amp;""")
        - COUNTIF(BC584:BJ584, ""text固定為以下：
※直播間僅支援手機版"")
        - COUNTIF(BC584:BJ584, ""text固定為以下：
※短影音僅支援手機版"")
    )
  ), 
  0
)
"),0)</f>
        <v>0</v>
      </c>
      <c r="BM584" s="77" t="b">
        <v>0</v>
      </c>
      <c r="BN584" s="85"/>
      <c r="BO584" s="85"/>
    </row>
    <row r="585" spans="1:67" ht="30" customHeight="1">
      <c r="A585" s="73" t="str">
        <f t="array" aca="1" ref="A585" ca="1">IFERROR(TRANSPOSE(INDIRECT('MS section版配(Old)'!$AO585)),"")</f>
        <v/>
      </c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8"/>
      <c r="P585" s="88"/>
      <c r="Q585" s="88"/>
      <c r="R585" s="88"/>
      <c r="S585" s="88"/>
      <c r="T585" s="88"/>
      <c r="U585" s="88"/>
      <c r="V585" s="88"/>
      <c r="W585" s="88"/>
      <c r="X585" s="88"/>
      <c r="Y585" s="88"/>
      <c r="Z585" s="88"/>
      <c r="AA585" s="88"/>
      <c r="AB585" s="88"/>
      <c r="AC585" s="88"/>
      <c r="AD585" s="88"/>
      <c r="AE585" s="397" t="str">
        <f>IFERROR(VLOOKUP($AQ585,'(勿動)組件目錄表'!$D$15:$R$1094,4,FALSE),"")</f>
        <v/>
      </c>
      <c r="AF585" s="384"/>
      <c r="AG585" s="384"/>
      <c r="AH585" s="384"/>
      <c r="AI585" s="384"/>
      <c r="AJ585" s="385"/>
      <c r="AK585" s="54" t="b">
        <v>0</v>
      </c>
      <c r="AL585" s="54" t="b">
        <v>0</v>
      </c>
      <c r="AM585" s="54"/>
      <c r="AN585" s="7" t="str">
        <v>577</v>
      </c>
      <c r="AO585" s="7"/>
      <c r="AP585" s="62"/>
      <c r="AQ585" s="75" t="str">
        <v/>
      </c>
      <c r="AR585" s="75" t="str">
        <v>-</v>
      </c>
      <c r="AS585" s="11"/>
      <c r="AT585" s="77" t="str">
        <v>-</v>
      </c>
      <c r="AU585" s="11" t="str">
        <v>-</v>
      </c>
      <c r="AV585" s="100"/>
      <c r="AW585" s="80" t="str">
        <f ca="1"/>
        <v>-</v>
      </c>
      <c r="AX585" s="80" t="b">
        <v>0</v>
      </c>
      <c r="AY585" s="68" t="str">
        <f t="shared" si="8"/>
        <v/>
      </c>
      <c r="AZ585" s="69" t="str">
        <f t="shared" si="9"/>
        <v/>
      </c>
      <c r="BA585" s="70" t="str">
        <f t="shared" si="10"/>
        <v/>
      </c>
      <c r="BB585" s="68" t="str">
        <f t="shared" si="11"/>
        <v/>
      </c>
      <c r="BC585" s="69" t="str">
        <f>IFERROR(VLOOKUP($AQ585,'(勿動)組件目錄表'!$D$15:$R$1094,7,FALSE),"")</f>
        <v/>
      </c>
      <c r="BD585" s="69" t="str">
        <f>IFERROR(VLOOKUP($AQ585,'(勿動)組件目錄表'!$D$15:$R$1094,8,FALSE),"")</f>
        <v/>
      </c>
      <c r="BE585" s="69" t="str">
        <f>IFERROR(VLOOKUP($AQ585,'(勿動)組件目錄表'!$D$15:$R$1094,9,FALSE),"")</f>
        <v/>
      </c>
      <c r="BF585" s="69" t="str">
        <f>IFERROR(VLOOKUP($AQ585,'(勿動)組件目錄表'!$D$15:$R$1094,10,FALSE),"")</f>
        <v/>
      </c>
      <c r="BG585" s="69" t="str">
        <f>IFERROR(VLOOKUP($AQ585,'(勿動)組件目錄表'!$D$15:$R$1094,11,FALSE),"")</f>
        <v/>
      </c>
      <c r="BH585" s="69" t="str">
        <f>IFERROR(VLOOKUP($AQ585,'(勿動)組件目錄表'!$D$15:$R$1094,12,FALSE),"")</f>
        <v/>
      </c>
      <c r="BI585" s="69" t="str">
        <f>IFERROR(VLOOKUP($AQ585,'(勿動)組件目錄表'!$D$15:$R$1094,13,FALSE),"")</f>
        <v/>
      </c>
      <c r="BJ585" s="69" t="str">
        <f>IFERROR(VLOOKUP($AQ585,'(勿動)組件目錄表'!$D$15:$R$1094,14,FALSE),"")</f>
        <v/>
      </c>
      <c r="BK585" s="69" t="str">
        <f>IFERROR(VLOOKUP($AQ585,'(勿動)組件目錄表'!$D$15:$R$1094,15,FALSE),"")</f>
        <v/>
      </c>
      <c r="BL585" s="81">
        <f ca="1">IFERROR(__xludf.DUMMYFUNCTION("IFERROR(
  LET(
    rowData, FILTER('(勿動)組件目錄表'!J:Q, '(勿動)組件目錄表'!D:D=AQ585),
    IF(ROWS(rowData)=0, 0, 
      (
        IF(AND(BC585&lt;&gt;"""", INDEX(rowData,1,1)=BC585),1,0) +
        IF(AND(BD585&lt;&gt;"""", INDEX(rowData,1,2)=BD585),1,0) +
        IF(AND(BE585"&amp;"&lt;&gt;"""", INDEX(rowData,1,3)=BE585),1,0) +
        IF(AND(BF585&lt;&gt;"""", INDEX(rowData,1,4)=BF585),1,0) +
        IF(AND(BG585&lt;&gt;"""", INDEX(rowData,1,5)=BG585),1,0) +
        IF(AND(BH585&lt;&gt;"""", INDEX(rowData,1,6)=BH585),1,0) +
        IF(AND(BI585&lt;&gt;"""", IND"&amp;"EX(rowData,1,7)=BI585),1,0) +
        IF(AND(BJ585&lt;&gt;"""", INDEX(rowData,1,8)=BJ585),1,0)
      ) - COUNTIF(BC585:BJ585, ""-"")
        - COUNTIF(BC585:BJ585, ""固定格式，不需提供資訊"")
        - COUNTIF(BC585:BJ585, ""由MKT更新，此欄位固定格式，不需提供資訊
(Voucher CID：12917705872)"&amp;""")
        - COUNTIF(BC585:BJ585, ""text固定為以下：
※直播間僅支援手機版"")
        - COUNTIF(BC585:BJ585, ""text固定為以下：
※短影音僅支援手機版"")
    )
  ), 
  0
)
"),0)</f>
        <v>0</v>
      </c>
      <c r="BM585" s="77" t="b">
        <v>0</v>
      </c>
      <c r="BN585" s="85"/>
      <c r="BO585" s="85"/>
    </row>
    <row r="586" spans="1:67" ht="30" customHeight="1">
      <c r="A586" s="73" t="str">
        <f t="array" aca="1" ref="A586" ca="1">IFERROR(TRANSPOSE(INDIRECT('MS section版配(Old)'!$AO586)),"")</f>
        <v/>
      </c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8"/>
      <c r="P586" s="88"/>
      <c r="Q586" s="88"/>
      <c r="R586" s="88"/>
      <c r="S586" s="88"/>
      <c r="T586" s="88"/>
      <c r="U586" s="88"/>
      <c r="V586" s="88"/>
      <c r="W586" s="88"/>
      <c r="X586" s="88"/>
      <c r="Y586" s="88"/>
      <c r="Z586" s="88"/>
      <c r="AA586" s="88"/>
      <c r="AB586" s="88"/>
      <c r="AC586" s="88"/>
      <c r="AD586" s="88"/>
      <c r="AE586" s="397" t="str">
        <f>IFERROR(VLOOKUP($AQ586,'(勿動)組件目錄表'!$D$15:$R$1094,4,FALSE),"")</f>
        <v/>
      </c>
      <c r="AF586" s="384"/>
      <c r="AG586" s="384"/>
      <c r="AH586" s="384"/>
      <c r="AI586" s="384"/>
      <c r="AJ586" s="385"/>
      <c r="AK586" s="54" t="b">
        <v>0</v>
      </c>
      <c r="AL586" s="54" t="b">
        <v>0</v>
      </c>
      <c r="AM586" s="54"/>
      <c r="AN586" s="7" t="str">
        <v>578</v>
      </c>
      <c r="AO586" s="7"/>
      <c r="AP586" s="62"/>
      <c r="AQ586" s="75" t="str">
        <v/>
      </c>
      <c r="AR586" s="75" t="str">
        <v>-</v>
      </c>
      <c r="AS586" s="11"/>
      <c r="AT586" s="77" t="str">
        <v>-</v>
      </c>
      <c r="AU586" s="11" t="str">
        <v>-</v>
      </c>
      <c r="AV586" s="100"/>
      <c r="AW586" s="80" t="str">
        <f ca="1"/>
        <v>-</v>
      </c>
      <c r="AX586" s="80" t="b">
        <v>0</v>
      </c>
      <c r="AY586" s="68" t="str">
        <f t="shared" si="8"/>
        <v/>
      </c>
      <c r="AZ586" s="69" t="str">
        <f t="shared" si="9"/>
        <v/>
      </c>
      <c r="BA586" s="70" t="str">
        <f t="shared" si="10"/>
        <v/>
      </c>
      <c r="BB586" s="68" t="str">
        <f t="shared" si="11"/>
        <v/>
      </c>
      <c r="BC586" s="69" t="str">
        <f>IFERROR(VLOOKUP($AQ586,'(勿動)組件目錄表'!$D$15:$R$1094,7,FALSE),"")</f>
        <v/>
      </c>
      <c r="BD586" s="69" t="str">
        <f>IFERROR(VLOOKUP($AQ586,'(勿動)組件目錄表'!$D$15:$R$1094,8,FALSE),"")</f>
        <v/>
      </c>
      <c r="BE586" s="69" t="str">
        <f>IFERROR(VLOOKUP($AQ586,'(勿動)組件目錄表'!$D$15:$R$1094,9,FALSE),"")</f>
        <v/>
      </c>
      <c r="BF586" s="69" t="str">
        <f>IFERROR(VLOOKUP($AQ586,'(勿動)組件目錄表'!$D$15:$R$1094,10,FALSE),"")</f>
        <v/>
      </c>
      <c r="BG586" s="69" t="str">
        <f>IFERROR(VLOOKUP($AQ586,'(勿動)組件目錄表'!$D$15:$R$1094,11,FALSE),"")</f>
        <v/>
      </c>
      <c r="BH586" s="69" t="str">
        <f>IFERROR(VLOOKUP($AQ586,'(勿動)組件目錄表'!$D$15:$R$1094,12,FALSE),"")</f>
        <v/>
      </c>
      <c r="BI586" s="69" t="str">
        <f>IFERROR(VLOOKUP($AQ586,'(勿動)組件目錄表'!$D$15:$R$1094,13,FALSE),"")</f>
        <v/>
      </c>
      <c r="BJ586" s="69" t="str">
        <f>IFERROR(VLOOKUP($AQ586,'(勿動)組件目錄表'!$D$15:$R$1094,14,FALSE),"")</f>
        <v/>
      </c>
      <c r="BK586" s="69" t="str">
        <f>IFERROR(VLOOKUP($AQ586,'(勿動)組件目錄表'!$D$15:$R$1094,15,FALSE),"")</f>
        <v/>
      </c>
      <c r="BL586" s="81">
        <f ca="1">IFERROR(__xludf.DUMMYFUNCTION("IFERROR(
  LET(
    rowData, FILTER('(勿動)組件目錄表'!J:Q, '(勿動)組件目錄表'!D:D=AQ586),
    IF(ROWS(rowData)=0, 0, 
      (
        IF(AND(BC586&lt;&gt;"""", INDEX(rowData,1,1)=BC586),1,0) +
        IF(AND(BD586&lt;&gt;"""", INDEX(rowData,1,2)=BD586),1,0) +
        IF(AND(BE586"&amp;"&lt;&gt;"""", INDEX(rowData,1,3)=BE586),1,0) +
        IF(AND(BF586&lt;&gt;"""", INDEX(rowData,1,4)=BF586),1,0) +
        IF(AND(BG586&lt;&gt;"""", INDEX(rowData,1,5)=BG586),1,0) +
        IF(AND(BH586&lt;&gt;"""", INDEX(rowData,1,6)=BH586),1,0) +
        IF(AND(BI586&lt;&gt;"""", IND"&amp;"EX(rowData,1,7)=BI586),1,0) +
        IF(AND(BJ586&lt;&gt;"""", INDEX(rowData,1,8)=BJ586),1,0)
      ) - COUNTIF(BC586:BJ586, ""-"")
        - COUNTIF(BC586:BJ586, ""固定格式，不需提供資訊"")
        - COUNTIF(BC586:BJ586, ""由MKT更新，此欄位固定格式，不需提供資訊
(Voucher CID：12917705872)"&amp;""")
        - COUNTIF(BC586:BJ586, ""text固定為以下：
※直播間僅支援手機版"")
        - COUNTIF(BC586:BJ586, ""text固定為以下：
※短影音僅支援手機版"")
    )
  ), 
  0
)
"),0)</f>
        <v>0</v>
      </c>
      <c r="BM586" s="77" t="b">
        <v>0</v>
      </c>
      <c r="BN586" s="85"/>
      <c r="BO586" s="85"/>
    </row>
    <row r="587" spans="1:67" ht="30" customHeight="1">
      <c r="A587" s="73" t="str">
        <f t="array" aca="1" ref="A587" ca="1">IFERROR(TRANSPOSE(INDIRECT('MS section版配(Old)'!$AO587)),"")</f>
        <v/>
      </c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8"/>
      <c r="P587" s="88"/>
      <c r="Q587" s="88"/>
      <c r="R587" s="88"/>
      <c r="S587" s="88"/>
      <c r="T587" s="88"/>
      <c r="U587" s="88"/>
      <c r="V587" s="88"/>
      <c r="W587" s="88"/>
      <c r="X587" s="88"/>
      <c r="Y587" s="88"/>
      <c r="Z587" s="88"/>
      <c r="AA587" s="88"/>
      <c r="AB587" s="88"/>
      <c r="AC587" s="88"/>
      <c r="AD587" s="88"/>
      <c r="AE587" s="397" t="str">
        <f>IFERROR(VLOOKUP($AQ587,'(勿動)組件目錄表'!$D$15:$R$1094,4,FALSE),"")</f>
        <v/>
      </c>
      <c r="AF587" s="384"/>
      <c r="AG587" s="384"/>
      <c r="AH587" s="384"/>
      <c r="AI587" s="384"/>
      <c r="AJ587" s="385"/>
      <c r="AK587" s="54" t="b">
        <v>0</v>
      </c>
      <c r="AL587" s="54" t="b">
        <v>0</v>
      </c>
      <c r="AM587" s="54"/>
      <c r="AN587" s="7" t="str">
        <v>579</v>
      </c>
      <c r="AO587" s="7"/>
      <c r="AP587" s="62"/>
      <c r="AQ587" s="75" t="str">
        <v/>
      </c>
      <c r="AR587" s="75" t="str">
        <v>-</v>
      </c>
      <c r="AS587" s="11"/>
      <c r="AT587" s="77" t="str">
        <v>-</v>
      </c>
      <c r="AU587" s="11" t="str">
        <v>-</v>
      </c>
      <c r="AV587" s="100"/>
      <c r="AW587" s="80" t="str">
        <f ca="1"/>
        <v>-</v>
      </c>
      <c r="AX587" s="80" t="b">
        <v>0</v>
      </c>
      <c r="AY587" s="68" t="str">
        <f t="shared" si="8"/>
        <v/>
      </c>
      <c r="AZ587" s="69" t="str">
        <f t="shared" si="9"/>
        <v/>
      </c>
      <c r="BA587" s="70" t="str">
        <f t="shared" si="10"/>
        <v/>
      </c>
      <c r="BB587" s="68" t="str">
        <f t="shared" si="11"/>
        <v/>
      </c>
      <c r="BC587" s="69" t="str">
        <f>IFERROR(VLOOKUP($AQ587,'(勿動)組件目錄表'!$D$15:$R$1094,7,FALSE),"")</f>
        <v/>
      </c>
      <c r="BD587" s="69" t="str">
        <f>IFERROR(VLOOKUP($AQ587,'(勿動)組件目錄表'!$D$15:$R$1094,8,FALSE),"")</f>
        <v/>
      </c>
      <c r="BE587" s="69" t="str">
        <f>IFERROR(VLOOKUP($AQ587,'(勿動)組件目錄表'!$D$15:$R$1094,9,FALSE),"")</f>
        <v/>
      </c>
      <c r="BF587" s="69" t="str">
        <f>IFERROR(VLOOKUP($AQ587,'(勿動)組件目錄表'!$D$15:$R$1094,10,FALSE),"")</f>
        <v/>
      </c>
      <c r="BG587" s="69" t="str">
        <f>IFERROR(VLOOKUP($AQ587,'(勿動)組件目錄表'!$D$15:$R$1094,11,FALSE),"")</f>
        <v/>
      </c>
      <c r="BH587" s="69" t="str">
        <f>IFERROR(VLOOKUP($AQ587,'(勿動)組件目錄表'!$D$15:$R$1094,12,FALSE),"")</f>
        <v/>
      </c>
      <c r="BI587" s="69" t="str">
        <f>IFERROR(VLOOKUP($AQ587,'(勿動)組件目錄表'!$D$15:$R$1094,13,FALSE),"")</f>
        <v/>
      </c>
      <c r="BJ587" s="69" t="str">
        <f>IFERROR(VLOOKUP($AQ587,'(勿動)組件目錄表'!$D$15:$R$1094,14,FALSE),"")</f>
        <v/>
      </c>
      <c r="BK587" s="69" t="str">
        <f>IFERROR(VLOOKUP($AQ587,'(勿動)組件目錄表'!$D$15:$R$1094,15,FALSE),"")</f>
        <v/>
      </c>
      <c r="BL587" s="81">
        <f ca="1">IFERROR(__xludf.DUMMYFUNCTION("IFERROR(
  LET(
    rowData, FILTER('(勿動)組件目錄表'!J:Q, '(勿動)組件目錄表'!D:D=AQ587),
    IF(ROWS(rowData)=0, 0, 
      (
        IF(AND(BC587&lt;&gt;"""", INDEX(rowData,1,1)=BC587),1,0) +
        IF(AND(BD587&lt;&gt;"""", INDEX(rowData,1,2)=BD587),1,0) +
        IF(AND(BE587"&amp;"&lt;&gt;"""", INDEX(rowData,1,3)=BE587),1,0) +
        IF(AND(BF587&lt;&gt;"""", INDEX(rowData,1,4)=BF587),1,0) +
        IF(AND(BG587&lt;&gt;"""", INDEX(rowData,1,5)=BG587),1,0) +
        IF(AND(BH587&lt;&gt;"""", INDEX(rowData,1,6)=BH587),1,0) +
        IF(AND(BI587&lt;&gt;"""", IND"&amp;"EX(rowData,1,7)=BI587),1,0) +
        IF(AND(BJ587&lt;&gt;"""", INDEX(rowData,1,8)=BJ587),1,0)
      ) - COUNTIF(BC587:BJ587, ""-"")
        - COUNTIF(BC587:BJ587, ""固定格式，不需提供資訊"")
        - COUNTIF(BC587:BJ587, ""由MKT更新，此欄位固定格式，不需提供資訊
(Voucher CID：12917705872)"&amp;""")
        - COUNTIF(BC587:BJ587, ""text固定為以下：
※直播間僅支援手機版"")
        - COUNTIF(BC587:BJ587, ""text固定為以下：
※短影音僅支援手機版"")
    )
  ), 
  0
)
"),0)</f>
        <v>0</v>
      </c>
      <c r="BM587" s="77" t="b">
        <v>0</v>
      </c>
      <c r="BN587" s="85"/>
      <c r="BO587" s="85"/>
    </row>
    <row r="588" spans="1:67" ht="30" customHeight="1">
      <c r="A588" s="73" t="str">
        <f t="array" aca="1" ref="A588" ca="1">IFERROR(TRANSPOSE(INDIRECT('MS section版配(Old)'!$AO588)),"")</f>
        <v/>
      </c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8"/>
      <c r="P588" s="88"/>
      <c r="Q588" s="88"/>
      <c r="R588" s="88"/>
      <c r="S588" s="88"/>
      <c r="T588" s="88"/>
      <c r="U588" s="88"/>
      <c r="V588" s="88"/>
      <c r="W588" s="88"/>
      <c r="X588" s="88"/>
      <c r="Y588" s="88"/>
      <c r="Z588" s="88"/>
      <c r="AA588" s="88"/>
      <c r="AB588" s="88"/>
      <c r="AC588" s="88"/>
      <c r="AD588" s="88"/>
      <c r="AE588" s="397" t="str">
        <f>IFERROR(VLOOKUP($AQ588,'(勿動)組件目錄表'!$D$15:$R$1094,4,FALSE),"")</f>
        <v/>
      </c>
      <c r="AF588" s="384"/>
      <c r="AG588" s="384"/>
      <c r="AH588" s="384"/>
      <c r="AI588" s="384"/>
      <c r="AJ588" s="385"/>
      <c r="AK588" s="54" t="b">
        <v>0</v>
      </c>
      <c r="AL588" s="54" t="b">
        <v>0</v>
      </c>
      <c r="AM588" s="54"/>
      <c r="AN588" s="7" t="str">
        <v>580</v>
      </c>
      <c r="AO588" s="7"/>
      <c r="AP588" s="62"/>
      <c r="AQ588" s="75" t="str">
        <v/>
      </c>
      <c r="AR588" s="75" t="str">
        <v>-</v>
      </c>
      <c r="AS588" s="11"/>
      <c r="AT588" s="77" t="str">
        <v>-</v>
      </c>
      <c r="AU588" s="11" t="str">
        <v>-</v>
      </c>
      <c r="AV588" s="100"/>
      <c r="AW588" s="80" t="str">
        <f ca="1"/>
        <v>-</v>
      </c>
      <c r="AX588" s="80" t="b">
        <v>0</v>
      </c>
      <c r="AY588" s="68" t="str">
        <f t="shared" si="8"/>
        <v/>
      </c>
      <c r="AZ588" s="69" t="str">
        <f t="shared" si="9"/>
        <v/>
      </c>
      <c r="BA588" s="70" t="str">
        <f t="shared" si="10"/>
        <v/>
      </c>
      <c r="BB588" s="68" t="str">
        <f t="shared" si="11"/>
        <v/>
      </c>
      <c r="BC588" s="69" t="str">
        <f>IFERROR(VLOOKUP($AQ588,'(勿動)組件目錄表'!$D$15:$R$1094,7,FALSE),"")</f>
        <v/>
      </c>
      <c r="BD588" s="69" t="str">
        <f>IFERROR(VLOOKUP($AQ588,'(勿動)組件目錄表'!$D$15:$R$1094,8,FALSE),"")</f>
        <v/>
      </c>
      <c r="BE588" s="69" t="str">
        <f>IFERROR(VLOOKUP($AQ588,'(勿動)組件目錄表'!$D$15:$R$1094,9,FALSE),"")</f>
        <v/>
      </c>
      <c r="BF588" s="69" t="str">
        <f>IFERROR(VLOOKUP($AQ588,'(勿動)組件目錄表'!$D$15:$R$1094,10,FALSE),"")</f>
        <v/>
      </c>
      <c r="BG588" s="69" t="str">
        <f>IFERROR(VLOOKUP($AQ588,'(勿動)組件目錄表'!$D$15:$R$1094,11,FALSE),"")</f>
        <v/>
      </c>
      <c r="BH588" s="69" t="str">
        <f>IFERROR(VLOOKUP($AQ588,'(勿動)組件目錄表'!$D$15:$R$1094,12,FALSE),"")</f>
        <v/>
      </c>
      <c r="BI588" s="69" t="str">
        <f>IFERROR(VLOOKUP($AQ588,'(勿動)組件目錄表'!$D$15:$R$1094,13,FALSE),"")</f>
        <v/>
      </c>
      <c r="BJ588" s="69" t="str">
        <f>IFERROR(VLOOKUP($AQ588,'(勿動)組件目錄表'!$D$15:$R$1094,14,FALSE),"")</f>
        <v/>
      </c>
      <c r="BK588" s="69" t="str">
        <f>IFERROR(VLOOKUP($AQ588,'(勿動)組件目錄表'!$D$15:$R$1094,15,FALSE),"")</f>
        <v/>
      </c>
      <c r="BL588" s="81">
        <f ca="1">IFERROR(__xludf.DUMMYFUNCTION("IFERROR(
  LET(
    rowData, FILTER('(勿動)組件目錄表'!J:Q, '(勿動)組件目錄表'!D:D=AQ588),
    IF(ROWS(rowData)=0, 0, 
      (
        IF(AND(BC588&lt;&gt;"""", INDEX(rowData,1,1)=BC588),1,0) +
        IF(AND(BD588&lt;&gt;"""", INDEX(rowData,1,2)=BD588),1,0) +
        IF(AND(BE588"&amp;"&lt;&gt;"""", INDEX(rowData,1,3)=BE588),1,0) +
        IF(AND(BF588&lt;&gt;"""", INDEX(rowData,1,4)=BF588),1,0) +
        IF(AND(BG588&lt;&gt;"""", INDEX(rowData,1,5)=BG588),1,0) +
        IF(AND(BH588&lt;&gt;"""", INDEX(rowData,1,6)=BH588),1,0) +
        IF(AND(BI588&lt;&gt;"""", IND"&amp;"EX(rowData,1,7)=BI588),1,0) +
        IF(AND(BJ588&lt;&gt;"""", INDEX(rowData,1,8)=BJ588),1,0)
      ) - COUNTIF(BC588:BJ588, ""-"")
        - COUNTIF(BC588:BJ588, ""固定格式，不需提供資訊"")
        - COUNTIF(BC588:BJ588, ""由MKT更新，此欄位固定格式，不需提供資訊
(Voucher CID：12917705872)"&amp;""")
        - COUNTIF(BC588:BJ588, ""text固定為以下：
※直播間僅支援手機版"")
        - COUNTIF(BC588:BJ588, ""text固定為以下：
※短影音僅支援手機版"")
    )
  ), 
  0
)
"),0)</f>
        <v>0</v>
      </c>
      <c r="BM588" s="77" t="b">
        <v>0</v>
      </c>
      <c r="BN588" s="85"/>
      <c r="BO588" s="85"/>
    </row>
    <row r="589" spans="1:67" ht="30" customHeight="1">
      <c r="A589" s="73" t="str">
        <f t="array" aca="1" ref="A589" ca="1">IFERROR(TRANSPOSE(INDIRECT('MS section版配(Old)'!$AO589)),"")</f>
        <v/>
      </c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8"/>
      <c r="P589" s="88"/>
      <c r="Q589" s="88"/>
      <c r="R589" s="88"/>
      <c r="S589" s="88"/>
      <c r="T589" s="88"/>
      <c r="U589" s="88"/>
      <c r="V589" s="88"/>
      <c r="W589" s="88"/>
      <c r="X589" s="88"/>
      <c r="Y589" s="88"/>
      <c r="Z589" s="88"/>
      <c r="AA589" s="88"/>
      <c r="AB589" s="88"/>
      <c r="AC589" s="88"/>
      <c r="AD589" s="88"/>
      <c r="AE589" s="397" t="str">
        <f>IFERROR(VLOOKUP($AQ589,'(勿動)組件目錄表'!$D$15:$R$1094,4,FALSE),"")</f>
        <v/>
      </c>
      <c r="AF589" s="384"/>
      <c r="AG589" s="384"/>
      <c r="AH589" s="384"/>
      <c r="AI589" s="384"/>
      <c r="AJ589" s="385"/>
      <c r="AK589" s="54" t="b">
        <v>0</v>
      </c>
      <c r="AL589" s="54" t="b">
        <v>0</v>
      </c>
      <c r="AM589" s="54"/>
      <c r="AN589" s="7" t="str">
        <v>581</v>
      </c>
      <c r="AO589" s="7"/>
      <c r="AP589" s="62"/>
      <c r="AQ589" s="75" t="str">
        <v/>
      </c>
      <c r="AR589" s="75" t="str">
        <v>-</v>
      </c>
      <c r="AS589" s="11"/>
      <c r="AT589" s="77" t="str">
        <v>-</v>
      </c>
      <c r="AU589" s="11" t="str">
        <v>-</v>
      </c>
      <c r="AV589" s="100"/>
      <c r="AW589" s="80" t="str">
        <f ca="1"/>
        <v>-</v>
      </c>
      <c r="AX589" s="80" t="b">
        <v>0</v>
      </c>
      <c r="AY589" s="68" t="str">
        <f t="shared" si="8"/>
        <v/>
      </c>
      <c r="AZ589" s="69" t="str">
        <f t="shared" si="9"/>
        <v/>
      </c>
      <c r="BA589" s="70" t="str">
        <f t="shared" si="10"/>
        <v/>
      </c>
      <c r="BB589" s="68" t="str">
        <f t="shared" si="11"/>
        <v/>
      </c>
      <c r="BC589" s="69" t="str">
        <f>IFERROR(VLOOKUP($AQ589,'(勿動)組件目錄表'!$D$15:$R$1094,7,FALSE),"")</f>
        <v/>
      </c>
      <c r="BD589" s="69" t="str">
        <f>IFERROR(VLOOKUP($AQ589,'(勿動)組件目錄表'!$D$15:$R$1094,8,FALSE),"")</f>
        <v/>
      </c>
      <c r="BE589" s="69" t="str">
        <f>IFERROR(VLOOKUP($AQ589,'(勿動)組件目錄表'!$D$15:$R$1094,9,FALSE),"")</f>
        <v/>
      </c>
      <c r="BF589" s="69" t="str">
        <f>IFERROR(VLOOKUP($AQ589,'(勿動)組件目錄表'!$D$15:$R$1094,10,FALSE),"")</f>
        <v/>
      </c>
      <c r="BG589" s="69" t="str">
        <f>IFERROR(VLOOKUP($AQ589,'(勿動)組件目錄表'!$D$15:$R$1094,11,FALSE),"")</f>
        <v/>
      </c>
      <c r="BH589" s="69" t="str">
        <f>IFERROR(VLOOKUP($AQ589,'(勿動)組件目錄表'!$D$15:$R$1094,12,FALSE),"")</f>
        <v/>
      </c>
      <c r="BI589" s="69" t="str">
        <f>IFERROR(VLOOKUP($AQ589,'(勿動)組件目錄表'!$D$15:$R$1094,13,FALSE),"")</f>
        <v/>
      </c>
      <c r="BJ589" s="69" t="str">
        <f>IFERROR(VLOOKUP($AQ589,'(勿動)組件目錄表'!$D$15:$R$1094,14,FALSE),"")</f>
        <v/>
      </c>
      <c r="BK589" s="69" t="str">
        <f>IFERROR(VLOOKUP($AQ589,'(勿動)組件目錄表'!$D$15:$R$1094,15,FALSE),"")</f>
        <v/>
      </c>
      <c r="BL589" s="81">
        <f ca="1">IFERROR(__xludf.DUMMYFUNCTION("IFERROR(
  LET(
    rowData, FILTER('(勿動)組件目錄表'!J:Q, '(勿動)組件目錄表'!D:D=AQ589),
    IF(ROWS(rowData)=0, 0, 
      (
        IF(AND(BC589&lt;&gt;"""", INDEX(rowData,1,1)=BC589),1,0) +
        IF(AND(BD589&lt;&gt;"""", INDEX(rowData,1,2)=BD589),1,0) +
        IF(AND(BE589"&amp;"&lt;&gt;"""", INDEX(rowData,1,3)=BE589),1,0) +
        IF(AND(BF589&lt;&gt;"""", INDEX(rowData,1,4)=BF589),1,0) +
        IF(AND(BG589&lt;&gt;"""", INDEX(rowData,1,5)=BG589),1,0) +
        IF(AND(BH589&lt;&gt;"""", INDEX(rowData,1,6)=BH589),1,0) +
        IF(AND(BI589&lt;&gt;"""", IND"&amp;"EX(rowData,1,7)=BI589),1,0) +
        IF(AND(BJ589&lt;&gt;"""", INDEX(rowData,1,8)=BJ589),1,0)
      ) - COUNTIF(BC589:BJ589, ""-"")
        - COUNTIF(BC589:BJ589, ""固定格式，不需提供資訊"")
        - COUNTIF(BC589:BJ589, ""由MKT更新，此欄位固定格式，不需提供資訊
(Voucher CID：12917705872)"&amp;""")
        - COUNTIF(BC589:BJ589, ""text固定為以下：
※直播間僅支援手機版"")
        - COUNTIF(BC589:BJ589, ""text固定為以下：
※短影音僅支援手機版"")
    )
  ), 
  0
)
"),0)</f>
        <v>0</v>
      </c>
      <c r="BM589" s="77" t="b">
        <v>0</v>
      </c>
      <c r="BN589" s="85"/>
      <c r="BO589" s="85"/>
    </row>
    <row r="590" spans="1:67" ht="30" customHeight="1">
      <c r="A590" s="73" t="str">
        <f t="array" aca="1" ref="A590" ca="1">IFERROR(TRANSPOSE(INDIRECT('MS section版配(Old)'!$AO590)),"")</f>
        <v/>
      </c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8"/>
      <c r="P590" s="88"/>
      <c r="Q590" s="88"/>
      <c r="R590" s="88"/>
      <c r="S590" s="88"/>
      <c r="T590" s="88"/>
      <c r="U590" s="88"/>
      <c r="V590" s="88"/>
      <c r="W590" s="88"/>
      <c r="X590" s="88"/>
      <c r="Y590" s="88"/>
      <c r="Z590" s="88"/>
      <c r="AA590" s="88"/>
      <c r="AB590" s="88"/>
      <c r="AC590" s="88"/>
      <c r="AD590" s="88"/>
      <c r="AE590" s="397" t="str">
        <f>IFERROR(VLOOKUP($AQ590,'(勿動)組件目錄表'!$D$15:$R$1094,4,FALSE),"")</f>
        <v/>
      </c>
      <c r="AF590" s="384"/>
      <c r="AG590" s="384"/>
      <c r="AH590" s="384"/>
      <c r="AI590" s="384"/>
      <c r="AJ590" s="385"/>
      <c r="AK590" s="54" t="b">
        <v>0</v>
      </c>
      <c r="AL590" s="54" t="b">
        <v>0</v>
      </c>
      <c r="AM590" s="54"/>
      <c r="AN590" s="7" t="str">
        <v>582</v>
      </c>
      <c r="AO590" s="7"/>
      <c r="AP590" s="62"/>
      <c r="AQ590" s="75" t="str">
        <v/>
      </c>
      <c r="AR590" s="75" t="str">
        <v>-</v>
      </c>
      <c r="AS590" s="11"/>
      <c r="AT590" s="77" t="str">
        <v>-</v>
      </c>
      <c r="AU590" s="11" t="str">
        <v>-</v>
      </c>
      <c r="AV590" s="100"/>
      <c r="AW590" s="80" t="str">
        <f ca="1"/>
        <v>-</v>
      </c>
      <c r="AX590" s="80" t="b">
        <v>0</v>
      </c>
      <c r="AY590" s="68" t="str">
        <f t="shared" si="8"/>
        <v/>
      </c>
      <c r="AZ590" s="69" t="str">
        <f t="shared" si="9"/>
        <v/>
      </c>
      <c r="BA590" s="70" t="str">
        <f t="shared" si="10"/>
        <v/>
      </c>
      <c r="BB590" s="68" t="str">
        <f t="shared" si="11"/>
        <v/>
      </c>
      <c r="BC590" s="69" t="str">
        <f>IFERROR(VLOOKUP($AQ590,'(勿動)組件目錄表'!$D$15:$R$1094,7,FALSE),"")</f>
        <v/>
      </c>
      <c r="BD590" s="69" t="str">
        <f>IFERROR(VLOOKUP($AQ590,'(勿動)組件目錄表'!$D$15:$R$1094,8,FALSE),"")</f>
        <v/>
      </c>
      <c r="BE590" s="69" t="str">
        <f>IFERROR(VLOOKUP($AQ590,'(勿動)組件目錄表'!$D$15:$R$1094,9,FALSE),"")</f>
        <v/>
      </c>
      <c r="BF590" s="69" t="str">
        <f>IFERROR(VLOOKUP($AQ590,'(勿動)組件目錄表'!$D$15:$R$1094,10,FALSE),"")</f>
        <v/>
      </c>
      <c r="BG590" s="69" t="str">
        <f>IFERROR(VLOOKUP($AQ590,'(勿動)組件目錄表'!$D$15:$R$1094,11,FALSE),"")</f>
        <v/>
      </c>
      <c r="BH590" s="69" t="str">
        <f>IFERROR(VLOOKUP($AQ590,'(勿動)組件目錄表'!$D$15:$R$1094,12,FALSE),"")</f>
        <v/>
      </c>
      <c r="BI590" s="69" t="str">
        <f>IFERROR(VLOOKUP($AQ590,'(勿動)組件目錄表'!$D$15:$R$1094,13,FALSE),"")</f>
        <v/>
      </c>
      <c r="BJ590" s="69" t="str">
        <f>IFERROR(VLOOKUP($AQ590,'(勿動)組件目錄表'!$D$15:$R$1094,14,FALSE),"")</f>
        <v/>
      </c>
      <c r="BK590" s="69" t="str">
        <f>IFERROR(VLOOKUP($AQ590,'(勿動)組件目錄表'!$D$15:$R$1094,15,FALSE),"")</f>
        <v/>
      </c>
      <c r="BL590" s="81">
        <f ca="1">IFERROR(__xludf.DUMMYFUNCTION("IFERROR(
  LET(
    rowData, FILTER('(勿動)組件目錄表'!J:Q, '(勿動)組件目錄表'!D:D=AQ590),
    IF(ROWS(rowData)=0, 0, 
      (
        IF(AND(BC590&lt;&gt;"""", INDEX(rowData,1,1)=BC590),1,0) +
        IF(AND(BD590&lt;&gt;"""", INDEX(rowData,1,2)=BD590),1,0) +
        IF(AND(BE590"&amp;"&lt;&gt;"""", INDEX(rowData,1,3)=BE590),1,0) +
        IF(AND(BF590&lt;&gt;"""", INDEX(rowData,1,4)=BF590),1,0) +
        IF(AND(BG590&lt;&gt;"""", INDEX(rowData,1,5)=BG590),1,0) +
        IF(AND(BH590&lt;&gt;"""", INDEX(rowData,1,6)=BH590),1,0) +
        IF(AND(BI590&lt;&gt;"""", IND"&amp;"EX(rowData,1,7)=BI590),1,0) +
        IF(AND(BJ590&lt;&gt;"""", INDEX(rowData,1,8)=BJ590),1,0)
      ) - COUNTIF(BC590:BJ590, ""-"")
        - COUNTIF(BC590:BJ590, ""固定格式，不需提供資訊"")
        - COUNTIF(BC590:BJ590, ""由MKT更新，此欄位固定格式，不需提供資訊
(Voucher CID：12917705872)"&amp;""")
        - COUNTIF(BC590:BJ590, ""text固定為以下：
※直播間僅支援手機版"")
        - COUNTIF(BC590:BJ590, ""text固定為以下：
※短影音僅支援手機版"")
    )
  ), 
  0
)
"),0)</f>
        <v>0</v>
      </c>
      <c r="BM590" s="77" t="b">
        <v>0</v>
      </c>
      <c r="BN590" s="85"/>
      <c r="BO590" s="85"/>
    </row>
    <row r="591" spans="1:67" ht="30" customHeight="1">
      <c r="A591" s="73" t="str">
        <f t="array" aca="1" ref="A591" ca="1">IFERROR(TRANSPOSE(INDIRECT('MS section版配(Old)'!$AO591)),"")</f>
        <v/>
      </c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8"/>
      <c r="P591" s="88"/>
      <c r="Q591" s="88"/>
      <c r="R591" s="88"/>
      <c r="S591" s="88"/>
      <c r="T591" s="88"/>
      <c r="U591" s="88"/>
      <c r="V591" s="88"/>
      <c r="W591" s="88"/>
      <c r="X591" s="88"/>
      <c r="Y591" s="88"/>
      <c r="Z591" s="88"/>
      <c r="AA591" s="88"/>
      <c r="AB591" s="88"/>
      <c r="AC591" s="88"/>
      <c r="AD591" s="88"/>
      <c r="AE591" s="397" t="str">
        <f>IFERROR(VLOOKUP($AQ591,'(勿動)組件目錄表'!$D$15:$R$1094,4,FALSE),"")</f>
        <v/>
      </c>
      <c r="AF591" s="384"/>
      <c r="AG591" s="384"/>
      <c r="AH591" s="384"/>
      <c r="AI591" s="384"/>
      <c r="AJ591" s="385"/>
      <c r="AK591" s="54" t="b">
        <v>0</v>
      </c>
      <c r="AL591" s="54" t="b">
        <v>0</v>
      </c>
      <c r="AM591" s="54"/>
      <c r="AN591" s="7" t="str">
        <v>583</v>
      </c>
      <c r="AO591" s="7"/>
      <c r="AP591" s="62"/>
      <c r="AQ591" s="75" t="str">
        <v/>
      </c>
      <c r="AR591" s="75" t="str">
        <v>-</v>
      </c>
      <c r="AS591" s="11"/>
      <c r="AT591" s="77" t="str">
        <v>-</v>
      </c>
      <c r="AU591" s="11" t="str">
        <v>-</v>
      </c>
      <c r="AV591" s="100"/>
      <c r="AW591" s="80" t="str">
        <f ca="1"/>
        <v>-</v>
      </c>
      <c r="AX591" s="80" t="b">
        <v>0</v>
      </c>
      <c r="AY591" s="68" t="str">
        <f t="shared" si="8"/>
        <v/>
      </c>
      <c r="AZ591" s="69" t="str">
        <f t="shared" si="9"/>
        <v/>
      </c>
      <c r="BA591" s="70" t="str">
        <f t="shared" si="10"/>
        <v/>
      </c>
      <c r="BB591" s="68" t="str">
        <f t="shared" si="11"/>
        <v/>
      </c>
      <c r="BC591" s="69" t="str">
        <f>IFERROR(VLOOKUP($AQ591,'(勿動)組件目錄表'!$D$15:$R$1094,7,FALSE),"")</f>
        <v/>
      </c>
      <c r="BD591" s="69" t="str">
        <f>IFERROR(VLOOKUP($AQ591,'(勿動)組件目錄表'!$D$15:$R$1094,8,FALSE),"")</f>
        <v/>
      </c>
      <c r="BE591" s="69" t="str">
        <f>IFERROR(VLOOKUP($AQ591,'(勿動)組件目錄表'!$D$15:$R$1094,9,FALSE),"")</f>
        <v/>
      </c>
      <c r="BF591" s="69" t="str">
        <f>IFERROR(VLOOKUP($AQ591,'(勿動)組件目錄表'!$D$15:$R$1094,10,FALSE),"")</f>
        <v/>
      </c>
      <c r="BG591" s="69" t="str">
        <f>IFERROR(VLOOKUP($AQ591,'(勿動)組件目錄表'!$D$15:$R$1094,11,FALSE),"")</f>
        <v/>
      </c>
      <c r="BH591" s="69" t="str">
        <f>IFERROR(VLOOKUP($AQ591,'(勿動)組件目錄表'!$D$15:$R$1094,12,FALSE),"")</f>
        <v/>
      </c>
      <c r="BI591" s="69" t="str">
        <f>IFERROR(VLOOKUP($AQ591,'(勿動)組件目錄表'!$D$15:$R$1094,13,FALSE),"")</f>
        <v/>
      </c>
      <c r="BJ591" s="69" t="str">
        <f>IFERROR(VLOOKUP($AQ591,'(勿動)組件目錄表'!$D$15:$R$1094,14,FALSE),"")</f>
        <v/>
      </c>
      <c r="BK591" s="69" t="str">
        <f>IFERROR(VLOOKUP($AQ591,'(勿動)組件目錄表'!$D$15:$R$1094,15,FALSE),"")</f>
        <v/>
      </c>
      <c r="BL591" s="81">
        <f ca="1">IFERROR(__xludf.DUMMYFUNCTION("IFERROR(
  LET(
    rowData, FILTER('(勿動)組件目錄表'!J:Q, '(勿動)組件目錄表'!D:D=AQ591),
    IF(ROWS(rowData)=0, 0, 
      (
        IF(AND(BC591&lt;&gt;"""", INDEX(rowData,1,1)=BC591),1,0) +
        IF(AND(BD591&lt;&gt;"""", INDEX(rowData,1,2)=BD591),1,0) +
        IF(AND(BE591"&amp;"&lt;&gt;"""", INDEX(rowData,1,3)=BE591),1,0) +
        IF(AND(BF591&lt;&gt;"""", INDEX(rowData,1,4)=BF591),1,0) +
        IF(AND(BG591&lt;&gt;"""", INDEX(rowData,1,5)=BG591),1,0) +
        IF(AND(BH591&lt;&gt;"""", INDEX(rowData,1,6)=BH591),1,0) +
        IF(AND(BI591&lt;&gt;"""", IND"&amp;"EX(rowData,1,7)=BI591),1,0) +
        IF(AND(BJ591&lt;&gt;"""", INDEX(rowData,1,8)=BJ591),1,0)
      ) - COUNTIF(BC591:BJ591, ""-"")
        - COUNTIF(BC591:BJ591, ""固定格式，不需提供資訊"")
        - COUNTIF(BC591:BJ591, ""由MKT更新，此欄位固定格式，不需提供資訊
(Voucher CID：12917705872)"&amp;""")
        - COUNTIF(BC591:BJ591, ""text固定為以下：
※直播間僅支援手機版"")
        - COUNTIF(BC591:BJ591, ""text固定為以下：
※短影音僅支援手機版"")
    )
  ), 
  0
)
"),0)</f>
        <v>0</v>
      </c>
      <c r="BM591" s="77" t="b">
        <v>0</v>
      </c>
      <c r="BN591" s="85"/>
      <c r="BO591" s="85"/>
    </row>
    <row r="592" spans="1:67" ht="30" customHeight="1">
      <c r="A592" s="73" t="str">
        <f t="array" aca="1" ref="A592" ca="1">IFERROR(TRANSPOSE(INDIRECT('MS section版配(Old)'!$AO592)),"")</f>
        <v/>
      </c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8"/>
      <c r="P592" s="88"/>
      <c r="Q592" s="88"/>
      <c r="R592" s="88"/>
      <c r="S592" s="88"/>
      <c r="T592" s="88"/>
      <c r="U592" s="88"/>
      <c r="V592" s="88"/>
      <c r="W592" s="88"/>
      <c r="X592" s="88"/>
      <c r="Y592" s="88"/>
      <c r="Z592" s="88"/>
      <c r="AA592" s="88"/>
      <c r="AB592" s="88"/>
      <c r="AC592" s="88"/>
      <c r="AD592" s="88"/>
      <c r="AE592" s="397" t="str">
        <f>IFERROR(VLOOKUP($AQ592,'(勿動)組件目錄表'!$D$15:$R$1094,4,FALSE),"")</f>
        <v/>
      </c>
      <c r="AF592" s="384"/>
      <c r="AG592" s="384"/>
      <c r="AH592" s="384"/>
      <c r="AI592" s="384"/>
      <c r="AJ592" s="385"/>
      <c r="AK592" s="54" t="b">
        <v>0</v>
      </c>
      <c r="AL592" s="54" t="b">
        <v>0</v>
      </c>
      <c r="AM592" s="54"/>
      <c r="AN592" s="7" t="str">
        <v>584</v>
      </c>
      <c r="AO592" s="7"/>
      <c r="AP592" s="62"/>
      <c r="AQ592" s="75" t="str">
        <v/>
      </c>
      <c r="AR592" s="75" t="str">
        <v>-</v>
      </c>
      <c r="AS592" s="11"/>
      <c r="AT592" s="77" t="str">
        <v>-</v>
      </c>
      <c r="AU592" s="11" t="str">
        <v>-</v>
      </c>
      <c r="AV592" s="100"/>
      <c r="AW592" s="80" t="str">
        <f ca="1"/>
        <v>-</v>
      </c>
      <c r="AX592" s="80" t="b">
        <v>0</v>
      </c>
      <c r="AY592" s="68" t="str">
        <f t="shared" si="8"/>
        <v/>
      </c>
      <c r="AZ592" s="69" t="str">
        <f t="shared" si="9"/>
        <v/>
      </c>
      <c r="BA592" s="70" t="str">
        <f t="shared" si="10"/>
        <v/>
      </c>
      <c r="BB592" s="68" t="str">
        <f t="shared" si="11"/>
        <v/>
      </c>
      <c r="BC592" s="69" t="str">
        <f>IFERROR(VLOOKUP($AQ592,'(勿動)組件目錄表'!$D$15:$R$1094,7,FALSE),"")</f>
        <v/>
      </c>
      <c r="BD592" s="69" t="str">
        <f>IFERROR(VLOOKUP($AQ592,'(勿動)組件目錄表'!$D$15:$R$1094,8,FALSE),"")</f>
        <v/>
      </c>
      <c r="BE592" s="69" t="str">
        <f>IFERROR(VLOOKUP($AQ592,'(勿動)組件目錄表'!$D$15:$R$1094,9,FALSE),"")</f>
        <v/>
      </c>
      <c r="BF592" s="69" t="str">
        <f>IFERROR(VLOOKUP($AQ592,'(勿動)組件目錄表'!$D$15:$R$1094,10,FALSE),"")</f>
        <v/>
      </c>
      <c r="BG592" s="69" t="str">
        <f>IFERROR(VLOOKUP($AQ592,'(勿動)組件目錄表'!$D$15:$R$1094,11,FALSE),"")</f>
        <v/>
      </c>
      <c r="BH592" s="69" t="str">
        <f>IFERROR(VLOOKUP($AQ592,'(勿動)組件目錄表'!$D$15:$R$1094,12,FALSE),"")</f>
        <v/>
      </c>
      <c r="BI592" s="69" t="str">
        <f>IFERROR(VLOOKUP($AQ592,'(勿動)組件目錄表'!$D$15:$R$1094,13,FALSE),"")</f>
        <v/>
      </c>
      <c r="BJ592" s="69" t="str">
        <f>IFERROR(VLOOKUP($AQ592,'(勿動)組件目錄表'!$D$15:$R$1094,14,FALSE),"")</f>
        <v/>
      </c>
      <c r="BK592" s="69" t="str">
        <f>IFERROR(VLOOKUP($AQ592,'(勿動)組件目錄表'!$D$15:$R$1094,15,FALSE),"")</f>
        <v/>
      </c>
      <c r="BL592" s="81">
        <f ca="1">IFERROR(__xludf.DUMMYFUNCTION("IFERROR(
  LET(
    rowData, FILTER('(勿動)組件目錄表'!J:Q, '(勿動)組件目錄表'!D:D=AQ592),
    IF(ROWS(rowData)=0, 0, 
      (
        IF(AND(BC592&lt;&gt;"""", INDEX(rowData,1,1)=BC592),1,0) +
        IF(AND(BD592&lt;&gt;"""", INDEX(rowData,1,2)=BD592),1,0) +
        IF(AND(BE592"&amp;"&lt;&gt;"""", INDEX(rowData,1,3)=BE592),1,0) +
        IF(AND(BF592&lt;&gt;"""", INDEX(rowData,1,4)=BF592),1,0) +
        IF(AND(BG592&lt;&gt;"""", INDEX(rowData,1,5)=BG592),1,0) +
        IF(AND(BH592&lt;&gt;"""", INDEX(rowData,1,6)=BH592),1,0) +
        IF(AND(BI592&lt;&gt;"""", IND"&amp;"EX(rowData,1,7)=BI592),1,0) +
        IF(AND(BJ592&lt;&gt;"""", INDEX(rowData,1,8)=BJ592),1,0)
      ) - COUNTIF(BC592:BJ592, ""-"")
        - COUNTIF(BC592:BJ592, ""固定格式，不需提供資訊"")
        - COUNTIF(BC592:BJ592, ""由MKT更新，此欄位固定格式，不需提供資訊
(Voucher CID：12917705872)"&amp;""")
        - COUNTIF(BC592:BJ592, ""text固定為以下：
※直播間僅支援手機版"")
        - COUNTIF(BC592:BJ592, ""text固定為以下：
※短影音僅支援手機版"")
    )
  ), 
  0
)
"),0)</f>
        <v>0</v>
      </c>
      <c r="BM592" s="77" t="b">
        <v>0</v>
      </c>
      <c r="BN592" s="85"/>
      <c r="BO592" s="85"/>
    </row>
    <row r="593" spans="1:67" ht="30" customHeight="1">
      <c r="A593" s="73" t="str">
        <f t="array" aca="1" ref="A593" ca="1">IFERROR(TRANSPOSE(INDIRECT('MS section版配(Old)'!$AO593)),"")</f>
        <v/>
      </c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8"/>
      <c r="P593" s="88"/>
      <c r="Q593" s="88"/>
      <c r="R593" s="88"/>
      <c r="S593" s="88"/>
      <c r="T593" s="88"/>
      <c r="U593" s="88"/>
      <c r="V593" s="88"/>
      <c r="W593" s="88"/>
      <c r="X593" s="88"/>
      <c r="Y593" s="88"/>
      <c r="Z593" s="88"/>
      <c r="AA593" s="88"/>
      <c r="AB593" s="88"/>
      <c r="AC593" s="88"/>
      <c r="AD593" s="88"/>
      <c r="AE593" s="397" t="str">
        <f>IFERROR(VLOOKUP($AQ593,'(勿動)組件目錄表'!$D$15:$R$1094,4,FALSE),"")</f>
        <v/>
      </c>
      <c r="AF593" s="384"/>
      <c r="AG593" s="384"/>
      <c r="AH593" s="384"/>
      <c r="AI593" s="384"/>
      <c r="AJ593" s="385"/>
      <c r="AK593" s="54" t="b">
        <v>0</v>
      </c>
      <c r="AL593" s="54" t="b">
        <v>0</v>
      </c>
      <c r="AM593" s="54"/>
      <c r="AN593" s="7" t="str">
        <v>585</v>
      </c>
      <c r="AO593" s="7"/>
      <c r="AP593" s="62"/>
      <c r="AQ593" s="75" t="str">
        <v/>
      </c>
      <c r="AR593" s="75" t="str">
        <v>-</v>
      </c>
      <c r="AS593" s="11"/>
      <c r="AT593" s="77" t="str">
        <v>-</v>
      </c>
      <c r="AU593" s="11" t="str">
        <v>-</v>
      </c>
      <c r="AV593" s="100"/>
      <c r="AW593" s="80" t="str">
        <f ca="1"/>
        <v>-</v>
      </c>
      <c r="AX593" s="80" t="b">
        <v>0</v>
      </c>
      <c r="AY593" s="68" t="str">
        <f t="shared" si="8"/>
        <v/>
      </c>
      <c r="AZ593" s="69" t="str">
        <f t="shared" si="9"/>
        <v/>
      </c>
      <c r="BA593" s="70" t="str">
        <f t="shared" si="10"/>
        <v/>
      </c>
      <c r="BB593" s="68" t="str">
        <f t="shared" si="11"/>
        <v/>
      </c>
      <c r="BC593" s="69" t="str">
        <f>IFERROR(VLOOKUP($AQ593,'(勿動)組件目錄表'!$D$15:$R$1094,7,FALSE),"")</f>
        <v/>
      </c>
      <c r="BD593" s="69" t="str">
        <f>IFERROR(VLOOKUP($AQ593,'(勿動)組件目錄表'!$D$15:$R$1094,8,FALSE),"")</f>
        <v/>
      </c>
      <c r="BE593" s="69" t="str">
        <f>IFERROR(VLOOKUP($AQ593,'(勿動)組件目錄表'!$D$15:$R$1094,9,FALSE),"")</f>
        <v/>
      </c>
      <c r="BF593" s="69" t="str">
        <f>IFERROR(VLOOKUP($AQ593,'(勿動)組件目錄表'!$D$15:$R$1094,10,FALSE),"")</f>
        <v/>
      </c>
      <c r="BG593" s="69" t="str">
        <f>IFERROR(VLOOKUP($AQ593,'(勿動)組件目錄表'!$D$15:$R$1094,11,FALSE),"")</f>
        <v/>
      </c>
      <c r="BH593" s="69" t="str">
        <f>IFERROR(VLOOKUP($AQ593,'(勿動)組件目錄表'!$D$15:$R$1094,12,FALSE),"")</f>
        <v/>
      </c>
      <c r="BI593" s="69" t="str">
        <f>IFERROR(VLOOKUP($AQ593,'(勿動)組件目錄表'!$D$15:$R$1094,13,FALSE),"")</f>
        <v/>
      </c>
      <c r="BJ593" s="69" t="str">
        <f>IFERROR(VLOOKUP($AQ593,'(勿動)組件目錄表'!$D$15:$R$1094,14,FALSE),"")</f>
        <v/>
      </c>
      <c r="BK593" s="69" t="str">
        <f>IFERROR(VLOOKUP($AQ593,'(勿動)組件目錄表'!$D$15:$R$1094,15,FALSE),"")</f>
        <v/>
      </c>
      <c r="BL593" s="81">
        <f ca="1">IFERROR(__xludf.DUMMYFUNCTION("IFERROR(
  LET(
    rowData, FILTER('(勿動)組件目錄表'!J:Q, '(勿動)組件目錄表'!D:D=AQ593),
    IF(ROWS(rowData)=0, 0, 
      (
        IF(AND(BC593&lt;&gt;"""", INDEX(rowData,1,1)=BC593),1,0) +
        IF(AND(BD593&lt;&gt;"""", INDEX(rowData,1,2)=BD593),1,0) +
        IF(AND(BE593"&amp;"&lt;&gt;"""", INDEX(rowData,1,3)=BE593),1,0) +
        IF(AND(BF593&lt;&gt;"""", INDEX(rowData,1,4)=BF593),1,0) +
        IF(AND(BG593&lt;&gt;"""", INDEX(rowData,1,5)=BG593),1,0) +
        IF(AND(BH593&lt;&gt;"""", INDEX(rowData,1,6)=BH593),1,0) +
        IF(AND(BI593&lt;&gt;"""", IND"&amp;"EX(rowData,1,7)=BI593),1,0) +
        IF(AND(BJ593&lt;&gt;"""", INDEX(rowData,1,8)=BJ593),1,0)
      ) - COUNTIF(BC593:BJ593, ""-"")
        - COUNTIF(BC593:BJ593, ""固定格式，不需提供資訊"")
        - COUNTIF(BC593:BJ593, ""由MKT更新，此欄位固定格式，不需提供資訊
(Voucher CID：12917705872)"&amp;""")
        - COUNTIF(BC593:BJ593, ""text固定為以下：
※直播間僅支援手機版"")
        - COUNTIF(BC593:BJ593, ""text固定為以下：
※短影音僅支援手機版"")
    )
  ), 
  0
)
"),0)</f>
        <v>0</v>
      </c>
      <c r="BM593" s="77" t="b">
        <v>0</v>
      </c>
      <c r="BN593" s="85"/>
      <c r="BO593" s="85"/>
    </row>
    <row r="594" spans="1:67" ht="30" customHeight="1">
      <c r="A594" s="73" t="str">
        <f t="array" aca="1" ref="A594" ca="1">IFERROR(TRANSPOSE(INDIRECT('MS section版配(Old)'!$AO594)),"")</f>
        <v/>
      </c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8"/>
      <c r="P594" s="88"/>
      <c r="Q594" s="88"/>
      <c r="R594" s="88"/>
      <c r="S594" s="88"/>
      <c r="T594" s="88"/>
      <c r="U594" s="88"/>
      <c r="V594" s="88"/>
      <c r="W594" s="88"/>
      <c r="X594" s="88"/>
      <c r="Y594" s="88"/>
      <c r="Z594" s="88"/>
      <c r="AA594" s="88"/>
      <c r="AB594" s="88"/>
      <c r="AC594" s="88"/>
      <c r="AD594" s="88"/>
      <c r="AE594" s="397" t="str">
        <f>IFERROR(VLOOKUP($AQ594,'(勿動)組件目錄表'!$D$15:$R$1094,4,FALSE),"")</f>
        <v/>
      </c>
      <c r="AF594" s="384"/>
      <c r="AG594" s="384"/>
      <c r="AH594" s="384"/>
      <c r="AI594" s="384"/>
      <c r="AJ594" s="385"/>
      <c r="AK594" s="54" t="b">
        <v>0</v>
      </c>
      <c r="AL594" s="54" t="b">
        <v>0</v>
      </c>
      <c r="AM594" s="54"/>
      <c r="AN594" s="7" t="str">
        <v>586</v>
      </c>
      <c r="AO594" s="7"/>
      <c r="AP594" s="62"/>
      <c r="AQ594" s="75" t="str">
        <v/>
      </c>
      <c r="AR594" s="75" t="str">
        <v>-</v>
      </c>
      <c r="AS594" s="11"/>
      <c r="AT594" s="77" t="str">
        <v>-</v>
      </c>
      <c r="AU594" s="11" t="str">
        <v>-</v>
      </c>
      <c r="AV594" s="100"/>
      <c r="AW594" s="80" t="str">
        <f ca="1"/>
        <v>-</v>
      </c>
      <c r="AX594" s="80" t="b">
        <v>0</v>
      </c>
      <c r="AY594" s="68" t="str">
        <f t="shared" si="8"/>
        <v/>
      </c>
      <c r="AZ594" s="69" t="str">
        <f t="shared" si="9"/>
        <v/>
      </c>
      <c r="BA594" s="70" t="str">
        <f t="shared" si="10"/>
        <v/>
      </c>
      <c r="BB594" s="68" t="str">
        <f t="shared" si="11"/>
        <v/>
      </c>
      <c r="BC594" s="69" t="str">
        <f>IFERROR(VLOOKUP($AQ594,'(勿動)組件目錄表'!$D$15:$R$1094,7,FALSE),"")</f>
        <v/>
      </c>
      <c r="BD594" s="69" t="str">
        <f>IFERROR(VLOOKUP($AQ594,'(勿動)組件目錄表'!$D$15:$R$1094,8,FALSE),"")</f>
        <v/>
      </c>
      <c r="BE594" s="69" t="str">
        <f>IFERROR(VLOOKUP($AQ594,'(勿動)組件目錄表'!$D$15:$R$1094,9,FALSE),"")</f>
        <v/>
      </c>
      <c r="BF594" s="69" t="str">
        <f>IFERROR(VLOOKUP($AQ594,'(勿動)組件目錄表'!$D$15:$R$1094,10,FALSE),"")</f>
        <v/>
      </c>
      <c r="BG594" s="69" t="str">
        <f>IFERROR(VLOOKUP($AQ594,'(勿動)組件目錄表'!$D$15:$R$1094,11,FALSE),"")</f>
        <v/>
      </c>
      <c r="BH594" s="69" t="str">
        <f>IFERROR(VLOOKUP($AQ594,'(勿動)組件目錄表'!$D$15:$R$1094,12,FALSE),"")</f>
        <v/>
      </c>
      <c r="BI594" s="69" t="str">
        <f>IFERROR(VLOOKUP($AQ594,'(勿動)組件目錄表'!$D$15:$R$1094,13,FALSE),"")</f>
        <v/>
      </c>
      <c r="BJ594" s="69" t="str">
        <f>IFERROR(VLOOKUP($AQ594,'(勿動)組件目錄表'!$D$15:$R$1094,14,FALSE),"")</f>
        <v/>
      </c>
      <c r="BK594" s="69" t="str">
        <f>IFERROR(VLOOKUP($AQ594,'(勿動)組件目錄表'!$D$15:$R$1094,15,FALSE),"")</f>
        <v/>
      </c>
      <c r="BL594" s="81">
        <f ca="1">IFERROR(__xludf.DUMMYFUNCTION("IFERROR(
  LET(
    rowData, FILTER('(勿動)組件目錄表'!J:Q, '(勿動)組件目錄表'!D:D=AQ594),
    IF(ROWS(rowData)=0, 0, 
      (
        IF(AND(BC594&lt;&gt;"""", INDEX(rowData,1,1)=BC594),1,0) +
        IF(AND(BD594&lt;&gt;"""", INDEX(rowData,1,2)=BD594),1,0) +
        IF(AND(BE594"&amp;"&lt;&gt;"""", INDEX(rowData,1,3)=BE594),1,0) +
        IF(AND(BF594&lt;&gt;"""", INDEX(rowData,1,4)=BF594),1,0) +
        IF(AND(BG594&lt;&gt;"""", INDEX(rowData,1,5)=BG594),1,0) +
        IF(AND(BH594&lt;&gt;"""", INDEX(rowData,1,6)=BH594),1,0) +
        IF(AND(BI594&lt;&gt;"""", IND"&amp;"EX(rowData,1,7)=BI594),1,0) +
        IF(AND(BJ594&lt;&gt;"""", INDEX(rowData,1,8)=BJ594),1,0)
      ) - COUNTIF(BC594:BJ594, ""-"")
        - COUNTIF(BC594:BJ594, ""固定格式，不需提供資訊"")
        - COUNTIF(BC594:BJ594, ""由MKT更新，此欄位固定格式，不需提供資訊
(Voucher CID：12917705872)"&amp;""")
        - COUNTIF(BC594:BJ594, ""text固定為以下：
※直播間僅支援手機版"")
        - COUNTIF(BC594:BJ594, ""text固定為以下：
※短影音僅支援手機版"")
    )
  ), 
  0
)
"),0)</f>
        <v>0</v>
      </c>
      <c r="BM594" s="77" t="b">
        <v>0</v>
      </c>
      <c r="BN594" s="85"/>
      <c r="BO594" s="85"/>
    </row>
    <row r="595" spans="1:67" ht="30" customHeight="1">
      <c r="A595" s="73" t="str">
        <f t="array" aca="1" ref="A595" ca="1">IFERROR(TRANSPOSE(INDIRECT('MS section版配(Old)'!$AO595)),"")</f>
        <v/>
      </c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8"/>
      <c r="P595" s="88"/>
      <c r="Q595" s="88"/>
      <c r="R595" s="88"/>
      <c r="S595" s="88"/>
      <c r="T595" s="88"/>
      <c r="U595" s="88"/>
      <c r="V595" s="88"/>
      <c r="W595" s="88"/>
      <c r="X595" s="88"/>
      <c r="Y595" s="88"/>
      <c r="Z595" s="88"/>
      <c r="AA595" s="88"/>
      <c r="AB595" s="88"/>
      <c r="AC595" s="88"/>
      <c r="AD595" s="88"/>
      <c r="AE595" s="397" t="str">
        <f>IFERROR(VLOOKUP($AQ595,'(勿動)組件目錄表'!$D$15:$R$1094,4,FALSE),"")</f>
        <v/>
      </c>
      <c r="AF595" s="384"/>
      <c r="AG595" s="384"/>
      <c r="AH595" s="384"/>
      <c r="AI595" s="384"/>
      <c r="AJ595" s="385"/>
      <c r="AK595" s="54" t="b">
        <v>0</v>
      </c>
      <c r="AL595" s="54" t="b">
        <v>0</v>
      </c>
      <c r="AM595" s="54"/>
      <c r="AN595" s="7" t="str">
        <v>587</v>
      </c>
      <c r="AO595" s="7"/>
      <c r="AP595" s="62"/>
      <c r="AQ595" s="75" t="str">
        <v/>
      </c>
      <c r="AR595" s="75" t="str">
        <v>-</v>
      </c>
      <c r="AS595" s="11"/>
      <c r="AT595" s="77" t="str">
        <v>-</v>
      </c>
      <c r="AU595" s="11" t="str">
        <v>-</v>
      </c>
      <c r="AV595" s="100"/>
      <c r="AW595" s="80" t="str">
        <f ca="1"/>
        <v>-</v>
      </c>
      <c r="AX595" s="80" t="b">
        <v>0</v>
      </c>
      <c r="AY595" s="68" t="str">
        <f t="shared" si="8"/>
        <v/>
      </c>
      <c r="AZ595" s="69" t="str">
        <f t="shared" si="9"/>
        <v/>
      </c>
      <c r="BA595" s="70" t="str">
        <f t="shared" si="10"/>
        <v/>
      </c>
      <c r="BB595" s="68" t="str">
        <f t="shared" si="11"/>
        <v/>
      </c>
      <c r="BC595" s="69" t="str">
        <f>IFERROR(VLOOKUP($AQ595,'(勿動)組件目錄表'!$D$15:$R$1094,7,FALSE),"")</f>
        <v/>
      </c>
      <c r="BD595" s="69" t="str">
        <f>IFERROR(VLOOKUP($AQ595,'(勿動)組件目錄表'!$D$15:$R$1094,8,FALSE),"")</f>
        <v/>
      </c>
      <c r="BE595" s="69" t="str">
        <f>IFERROR(VLOOKUP($AQ595,'(勿動)組件目錄表'!$D$15:$R$1094,9,FALSE),"")</f>
        <v/>
      </c>
      <c r="BF595" s="69" t="str">
        <f>IFERROR(VLOOKUP($AQ595,'(勿動)組件目錄表'!$D$15:$R$1094,10,FALSE),"")</f>
        <v/>
      </c>
      <c r="BG595" s="69" t="str">
        <f>IFERROR(VLOOKUP($AQ595,'(勿動)組件目錄表'!$D$15:$R$1094,11,FALSE),"")</f>
        <v/>
      </c>
      <c r="BH595" s="69" t="str">
        <f>IFERROR(VLOOKUP($AQ595,'(勿動)組件目錄表'!$D$15:$R$1094,12,FALSE),"")</f>
        <v/>
      </c>
      <c r="BI595" s="69" t="str">
        <f>IFERROR(VLOOKUP($AQ595,'(勿動)組件目錄表'!$D$15:$R$1094,13,FALSE),"")</f>
        <v/>
      </c>
      <c r="BJ595" s="69" t="str">
        <f>IFERROR(VLOOKUP($AQ595,'(勿動)組件目錄表'!$D$15:$R$1094,14,FALSE),"")</f>
        <v/>
      </c>
      <c r="BK595" s="69" t="str">
        <f>IFERROR(VLOOKUP($AQ595,'(勿動)組件目錄表'!$D$15:$R$1094,15,FALSE),"")</f>
        <v/>
      </c>
      <c r="BL595" s="81">
        <f ca="1">IFERROR(__xludf.DUMMYFUNCTION("IFERROR(
  LET(
    rowData, FILTER('(勿動)組件目錄表'!J:Q, '(勿動)組件目錄表'!D:D=AQ595),
    IF(ROWS(rowData)=0, 0, 
      (
        IF(AND(BC595&lt;&gt;"""", INDEX(rowData,1,1)=BC595),1,0) +
        IF(AND(BD595&lt;&gt;"""", INDEX(rowData,1,2)=BD595),1,0) +
        IF(AND(BE595"&amp;"&lt;&gt;"""", INDEX(rowData,1,3)=BE595),1,0) +
        IF(AND(BF595&lt;&gt;"""", INDEX(rowData,1,4)=BF595),1,0) +
        IF(AND(BG595&lt;&gt;"""", INDEX(rowData,1,5)=BG595),1,0) +
        IF(AND(BH595&lt;&gt;"""", INDEX(rowData,1,6)=BH595),1,0) +
        IF(AND(BI595&lt;&gt;"""", IND"&amp;"EX(rowData,1,7)=BI595),1,0) +
        IF(AND(BJ595&lt;&gt;"""", INDEX(rowData,1,8)=BJ595),1,0)
      ) - COUNTIF(BC595:BJ595, ""-"")
        - COUNTIF(BC595:BJ595, ""固定格式，不需提供資訊"")
        - COUNTIF(BC595:BJ595, ""由MKT更新，此欄位固定格式，不需提供資訊
(Voucher CID：12917705872)"&amp;""")
        - COUNTIF(BC595:BJ595, ""text固定為以下：
※直播間僅支援手機版"")
        - COUNTIF(BC595:BJ595, ""text固定為以下：
※短影音僅支援手機版"")
    )
  ), 
  0
)
"),0)</f>
        <v>0</v>
      </c>
      <c r="BM595" s="77" t="b">
        <v>0</v>
      </c>
      <c r="BN595" s="85"/>
      <c r="BO595" s="85"/>
    </row>
    <row r="596" spans="1:67" ht="30" customHeight="1">
      <c r="A596" s="73" t="str">
        <f t="array" aca="1" ref="A596" ca="1">IFERROR(TRANSPOSE(INDIRECT('MS section版配(Old)'!$AO596)),"")</f>
        <v/>
      </c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8"/>
      <c r="P596" s="88"/>
      <c r="Q596" s="88"/>
      <c r="R596" s="88"/>
      <c r="S596" s="88"/>
      <c r="T596" s="88"/>
      <c r="U596" s="88"/>
      <c r="V596" s="88"/>
      <c r="W596" s="88"/>
      <c r="X596" s="88"/>
      <c r="Y596" s="88"/>
      <c r="Z596" s="88"/>
      <c r="AA596" s="88"/>
      <c r="AB596" s="88"/>
      <c r="AC596" s="88"/>
      <c r="AD596" s="88"/>
      <c r="AE596" s="397" t="str">
        <f>IFERROR(VLOOKUP($AQ596,'(勿動)組件目錄表'!$D$15:$R$1094,4,FALSE),"")</f>
        <v/>
      </c>
      <c r="AF596" s="384"/>
      <c r="AG596" s="384"/>
      <c r="AH596" s="384"/>
      <c r="AI596" s="384"/>
      <c r="AJ596" s="385"/>
      <c r="AK596" s="54" t="b">
        <v>0</v>
      </c>
      <c r="AL596" s="54" t="b">
        <v>0</v>
      </c>
      <c r="AM596" s="54"/>
      <c r="AN596" s="7" t="str">
        <v>588</v>
      </c>
      <c r="AO596" s="7"/>
      <c r="AP596" s="62"/>
      <c r="AQ596" s="75" t="str">
        <v/>
      </c>
      <c r="AR596" s="75" t="str">
        <v>-</v>
      </c>
      <c r="AS596" s="11"/>
      <c r="AT596" s="77" t="str">
        <v>-</v>
      </c>
      <c r="AU596" s="11" t="str">
        <v>-</v>
      </c>
      <c r="AV596" s="100"/>
      <c r="AW596" s="80" t="str">
        <f ca="1"/>
        <v>-</v>
      </c>
      <c r="AX596" s="80" t="b">
        <v>0</v>
      </c>
      <c r="AY596" s="68" t="str">
        <f t="shared" si="8"/>
        <v/>
      </c>
      <c r="AZ596" s="69" t="str">
        <f t="shared" si="9"/>
        <v/>
      </c>
      <c r="BA596" s="70" t="str">
        <f t="shared" si="10"/>
        <v/>
      </c>
      <c r="BB596" s="68" t="str">
        <f t="shared" si="11"/>
        <v/>
      </c>
      <c r="BC596" s="69" t="str">
        <f>IFERROR(VLOOKUP($AQ596,'(勿動)組件目錄表'!$D$15:$R$1094,7,FALSE),"")</f>
        <v/>
      </c>
      <c r="BD596" s="69" t="str">
        <f>IFERROR(VLOOKUP($AQ596,'(勿動)組件目錄表'!$D$15:$R$1094,8,FALSE),"")</f>
        <v/>
      </c>
      <c r="BE596" s="69" t="str">
        <f>IFERROR(VLOOKUP($AQ596,'(勿動)組件目錄表'!$D$15:$R$1094,9,FALSE),"")</f>
        <v/>
      </c>
      <c r="BF596" s="69" t="str">
        <f>IFERROR(VLOOKUP($AQ596,'(勿動)組件目錄表'!$D$15:$R$1094,10,FALSE),"")</f>
        <v/>
      </c>
      <c r="BG596" s="69" t="str">
        <f>IFERROR(VLOOKUP($AQ596,'(勿動)組件目錄表'!$D$15:$R$1094,11,FALSE),"")</f>
        <v/>
      </c>
      <c r="BH596" s="69" t="str">
        <f>IFERROR(VLOOKUP($AQ596,'(勿動)組件目錄表'!$D$15:$R$1094,12,FALSE),"")</f>
        <v/>
      </c>
      <c r="BI596" s="69" t="str">
        <f>IFERROR(VLOOKUP($AQ596,'(勿動)組件目錄表'!$D$15:$R$1094,13,FALSE),"")</f>
        <v/>
      </c>
      <c r="BJ596" s="69" t="str">
        <f>IFERROR(VLOOKUP($AQ596,'(勿動)組件目錄表'!$D$15:$R$1094,14,FALSE),"")</f>
        <v/>
      </c>
      <c r="BK596" s="69" t="str">
        <f>IFERROR(VLOOKUP($AQ596,'(勿動)組件目錄表'!$D$15:$R$1094,15,FALSE),"")</f>
        <v/>
      </c>
      <c r="BL596" s="81">
        <f ca="1">IFERROR(__xludf.DUMMYFUNCTION("IFERROR(
  LET(
    rowData, FILTER('(勿動)組件目錄表'!J:Q, '(勿動)組件目錄表'!D:D=AQ596),
    IF(ROWS(rowData)=0, 0, 
      (
        IF(AND(BC596&lt;&gt;"""", INDEX(rowData,1,1)=BC596),1,0) +
        IF(AND(BD596&lt;&gt;"""", INDEX(rowData,1,2)=BD596),1,0) +
        IF(AND(BE596"&amp;"&lt;&gt;"""", INDEX(rowData,1,3)=BE596),1,0) +
        IF(AND(BF596&lt;&gt;"""", INDEX(rowData,1,4)=BF596),1,0) +
        IF(AND(BG596&lt;&gt;"""", INDEX(rowData,1,5)=BG596),1,0) +
        IF(AND(BH596&lt;&gt;"""", INDEX(rowData,1,6)=BH596),1,0) +
        IF(AND(BI596&lt;&gt;"""", IND"&amp;"EX(rowData,1,7)=BI596),1,0) +
        IF(AND(BJ596&lt;&gt;"""", INDEX(rowData,1,8)=BJ596),1,0)
      ) - COUNTIF(BC596:BJ596, ""-"")
        - COUNTIF(BC596:BJ596, ""固定格式，不需提供資訊"")
        - COUNTIF(BC596:BJ596, ""由MKT更新，此欄位固定格式，不需提供資訊
(Voucher CID：12917705872)"&amp;""")
        - COUNTIF(BC596:BJ596, ""text固定為以下：
※直播間僅支援手機版"")
        - COUNTIF(BC596:BJ596, ""text固定為以下：
※短影音僅支援手機版"")
    )
  ), 
  0
)
"),0)</f>
        <v>0</v>
      </c>
      <c r="BM596" s="77" t="b">
        <v>0</v>
      </c>
      <c r="BN596" s="85"/>
      <c r="BO596" s="85"/>
    </row>
    <row r="597" spans="1:67" ht="30" customHeight="1">
      <c r="A597" s="73" t="str">
        <f t="array" aca="1" ref="A597" ca="1">IFERROR(TRANSPOSE(INDIRECT('MS section版配(Old)'!$AO597)),"")</f>
        <v/>
      </c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8"/>
      <c r="P597" s="88"/>
      <c r="Q597" s="88"/>
      <c r="R597" s="88"/>
      <c r="S597" s="88"/>
      <c r="T597" s="88"/>
      <c r="U597" s="88"/>
      <c r="V597" s="88"/>
      <c r="W597" s="88"/>
      <c r="X597" s="88"/>
      <c r="Y597" s="88"/>
      <c r="Z597" s="88"/>
      <c r="AA597" s="88"/>
      <c r="AB597" s="88"/>
      <c r="AC597" s="88"/>
      <c r="AD597" s="88"/>
      <c r="AE597" s="397" t="str">
        <f>IFERROR(VLOOKUP($AQ597,'(勿動)組件目錄表'!$D$15:$R$1094,4,FALSE),"")</f>
        <v/>
      </c>
      <c r="AF597" s="384"/>
      <c r="AG597" s="384"/>
      <c r="AH597" s="384"/>
      <c r="AI597" s="384"/>
      <c r="AJ597" s="385"/>
      <c r="AK597" s="54" t="b">
        <v>0</v>
      </c>
      <c r="AL597" s="54" t="b">
        <v>0</v>
      </c>
      <c r="AM597" s="54"/>
      <c r="AN597" s="7" t="str">
        <v>589</v>
      </c>
      <c r="AO597" s="7"/>
      <c r="AP597" s="62"/>
      <c r="AQ597" s="75" t="str">
        <v/>
      </c>
      <c r="AR597" s="75" t="str">
        <v>-</v>
      </c>
      <c r="AS597" s="11"/>
      <c r="AT597" s="77" t="str">
        <v>-</v>
      </c>
      <c r="AU597" s="11" t="str">
        <v>-</v>
      </c>
      <c r="AV597" s="100"/>
      <c r="AW597" s="80" t="str">
        <f ca="1"/>
        <v>-</v>
      </c>
      <c r="AX597" s="80" t="b">
        <v>0</v>
      </c>
      <c r="AY597" s="68" t="str">
        <f t="shared" si="8"/>
        <v/>
      </c>
      <c r="AZ597" s="69" t="str">
        <f t="shared" si="9"/>
        <v/>
      </c>
      <c r="BA597" s="70" t="str">
        <f t="shared" si="10"/>
        <v/>
      </c>
      <c r="BB597" s="68" t="str">
        <f t="shared" si="11"/>
        <v/>
      </c>
      <c r="BC597" s="69" t="str">
        <f>IFERROR(VLOOKUP($AQ597,'(勿動)組件目錄表'!$D$15:$R$1094,7,FALSE),"")</f>
        <v/>
      </c>
      <c r="BD597" s="69" t="str">
        <f>IFERROR(VLOOKUP($AQ597,'(勿動)組件目錄表'!$D$15:$R$1094,8,FALSE),"")</f>
        <v/>
      </c>
      <c r="BE597" s="69" t="str">
        <f>IFERROR(VLOOKUP($AQ597,'(勿動)組件目錄表'!$D$15:$R$1094,9,FALSE),"")</f>
        <v/>
      </c>
      <c r="BF597" s="69" t="str">
        <f>IFERROR(VLOOKUP($AQ597,'(勿動)組件目錄表'!$D$15:$R$1094,10,FALSE),"")</f>
        <v/>
      </c>
      <c r="BG597" s="69" t="str">
        <f>IFERROR(VLOOKUP($AQ597,'(勿動)組件目錄表'!$D$15:$R$1094,11,FALSE),"")</f>
        <v/>
      </c>
      <c r="BH597" s="69" t="str">
        <f>IFERROR(VLOOKUP($AQ597,'(勿動)組件目錄表'!$D$15:$R$1094,12,FALSE),"")</f>
        <v/>
      </c>
      <c r="BI597" s="69" t="str">
        <f>IFERROR(VLOOKUP($AQ597,'(勿動)組件目錄表'!$D$15:$R$1094,13,FALSE),"")</f>
        <v/>
      </c>
      <c r="BJ597" s="69" t="str">
        <f>IFERROR(VLOOKUP($AQ597,'(勿動)組件目錄表'!$D$15:$R$1094,14,FALSE),"")</f>
        <v/>
      </c>
      <c r="BK597" s="69" t="str">
        <f>IFERROR(VLOOKUP($AQ597,'(勿動)組件目錄表'!$D$15:$R$1094,15,FALSE),"")</f>
        <v/>
      </c>
      <c r="BL597" s="81">
        <f ca="1">IFERROR(__xludf.DUMMYFUNCTION("IFERROR(
  LET(
    rowData, FILTER('(勿動)組件目錄表'!J:Q, '(勿動)組件目錄表'!D:D=AQ597),
    IF(ROWS(rowData)=0, 0, 
      (
        IF(AND(BC597&lt;&gt;"""", INDEX(rowData,1,1)=BC597),1,0) +
        IF(AND(BD597&lt;&gt;"""", INDEX(rowData,1,2)=BD597),1,0) +
        IF(AND(BE597"&amp;"&lt;&gt;"""", INDEX(rowData,1,3)=BE597),1,0) +
        IF(AND(BF597&lt;&gt;"""", INDEX(rowData,1,4)=BF597),1,0) +
        IF(AND(BG597&lt;&gt;"""", INDEX(rowData,1,5)=BG597),1,0) +
        IF(AND(BH597&lt;&gt;"""", INDEX(rowData,1,6)=BH597),1,0) +
        IF(AND(BI597&lt;&gt;"""", IND"&amp;"EX(rowData,1,7)=BI597),1,0) +
        IF(AND(BJ597&lt;&gt;"""", INDEX(rowData,1,8)=BJ597),1,0)
      ) - COUNTIF(BC597:BJ597, ""-"")
        - COUNTIF(BC597:BJ597, ""固定格式，不需提供資訊"")
        - COUNTIF(BC597:BJ597, ""由MKT更新，此欄位固定格式，不需提供資訊
(Voucher CID：12917705872)"&amp;""")
        - COUNTIF(BC597:BJ597, ""text固定為以下：
※直播間僅支援手機版"")
        - COUNTIF(BC597:BJ597, ""text固定為以下：
※短影音僅支援手機版"")
    )
  ), 
  0
)
"),0)</f>
        <v>0</v>
      </c>
      <c r="BM597" s="77" t="b">
        <v>0</v>
      </c>
      <c r="BN597" s="85"/>
      <c r="BO597" s="85"/>
    </row>
    <row r="598" spans="1:67" ht="30" customHeight="1">
      <c r="A598" s="73" t="str">
        <f t="array" aca="1" ref="A598" ca="1">IFERROR(TRANSPOSE(INDIRECT('MS section版配(Old)'!$AO598)),"")</f>
        <v/>
      </c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8"/>
      <c r="P598" s="88"/>
      <c r="Q598" s="88"/>
      <c r="R598" s="88"/>
      <c r="S598" s="88"/>
      <c r="T598" s="88"/>
      <c r="U598" s="88"/>
      <c r="V598" s="88"/>
      <c r="W598" s="88"/>
      <c r="X598" s="88"/>
      <c r="Y598" s="88"/>
      <c r="Z598" s="88"/>
      <c r="AA598" s="88"/>
      <c r="AB598" s="88"/>
      <c r="AC598" s="88"/>
      <c r="AD598" s="88"/>
      <c r="AE598" s="397" t="str">
        <f>IFERROR(VLOOKUP($AQ598,'(勿動)組件目錄表'!$D$15:$R$1094,4,FALSE),"")</f>
        <v/>
      </c>
      <c r="AF598" s="384"/>
      <c r="AG598" s="384"/>
      <c r="AH598" s="384"/>
      <c r="AI598" s="384"/>
      <c r="AJ598" s="385"/>
      <c r="AK598" s="54" t="b">
        <v>0</v>
      </c>
      <c r="AL598" s="54" t="b">
        <v>0</v>
      </c>
      <c r="AM598" s="54"/>
      <c r="AN598" s="7" t="str">
        <v>590</v>
      </c>
      <c r="AO598" s="7"/>
      <c r="AP598" s="62"/>
      <c r="AQ598" s="75" t="str">
        <v/>
      </c>
      <c r="AR598" s="75" t="str">
        <v>-</v>
      </c>
      <c r="AS598" s="11"/>
      <c r="AT598" s="77" t="str">
        <v>-</v>
      </c>
      <c r="AU598" s="11" t="str">
        <v>-</v>
      </c>
      <c r="AV598" s="100"/>
      <c r="AW598" s="80" t="str">
        <f ca="1"/>
        <v>-</v>
      </c>
      <c r="AX598" s="80" t="b">
        <v>0</v>
      </c>
      <c r="AY598" s="68" t="str">
        <f t="shared" si="8"/>
        <v/>
      </c>
      <c r="AZ598" s="69" t="str">
        <f t="shared" si="9"/>
        <v/>
      </c>
      <c r="BA598" s="70" t="str">
        <f t="shared" si="10"/>
        <v/>
      </c>
      <c r="BB598" s="68" t="str">
        <f t="shared" si="11"/>
        <v/>
      </c>
      <c r="BC598" s="69" t="str">
        <f>IFERROR(VLOOKUP($AQ598,'(勿動)組件目錄表'!$D$15:$R$1094,7,FALSE),"")</f>
        <v/>
      </c>
      <c r="BD598" s="69" t="str">
        <f>IFERROR(VLOOKUP($AQ598,'(勿動)組件目錄表'!$D$15:$R$1094,8,FALSE),"")</f>
        <v/>
      </c>
      <c r="BE598" s="69" t="str">
        <f>IFERROR(VLOOKUP($AQ598,'(勿動)組件目錄表'!$D$15:$R$1094,9,FALSE),"")</f>
        <v/>
      </c>
      <c r="BF598" s="69" t="str">
        <f>IFERROR(VLOOKUP($AQ598,'(勿動)組件目錄表'!$D$15:$R$1094,10,FALSE),"")</f>
        <v/>
      </c>
      <c r="BG598" s="69" t="str">
        <f>IFERROR(VLOOKUP($AQ598,'(勿動)組件目錄表'!$D$15:$R$1094,11,FALSE),"")</f>
        <v/>
      </c>
      <c r="BH598" s="69" t="str">
        <f>IFERROR(VLOOKUP($AQ598,'(勿動)組件目錄表'!$D$15:$R$1094,12,FALSE),"")</f>
        <v/>
      </c>
      <c r="BI598" s="69" t="str">
        <f>IFERROR(VLOOKUP($AQ598,'(勿動)組件目錄表'!$D$15:$R$1094,13,FALSE),"")</f>
        <v/>
      </c>
      <c r="BJ598" s="69" t="str">
        <f>IFERROR(VLOOKUP($AQ598,'(勿動)組件目錄表'!$D$15:$R$1094,14,FALSE),"")</f>
        <v/>
      </c>
      <c r="BK598" s="69" t="str">
        <f>IFERROR(VLOOKUP($AQ598,'(勿動)組件目錄表'!$D$15:$R$1094,15,FALSE),"")</f>
        <v/>
      </c>
      <c r="BL598" s="81">
        <f ca="1">IFERROR(__xludf.DUMMYFUNCTION("IFERROR(
  LET(
    rowData, FILTER('(勿動)組件目錄表'!J:Q, '(勿動)組件目錄表'!D:D=AQ598),
    IF(ROWS(rowData)=0, 0, 
      (
        IF(AND(BC598&lt;&gt;"""", INDEX(rowData,1,1)=BC598),1,0) +
        IF(AND(BD598&lt;&gt;"""", INDEX(rowData,1,2)=BD598),1,0) +
        IF(AND(BE598"&amp;"&lt;&gt;"""", INDEX(rowData,1,3)=BE598),1,0) +
        IF(AND(BF598&lt;&gt;"""", INDEX(rowData,1,4)=BF598),1,0) +
        IF(AND(BG598&lt;&gt;"""", INDEX(rowData,1,5)=BG598),1,0) +
        IF(AND(BH598&lt;&gt;"""", INDEX(rowData,1,6)=BH598),1,0) +
        IF(AND(BI598&lt;&gt;"""", IND"&amp;"EX(rowData,1,7)=BI598),1,0) +
        IF(AND(BJ598&lt;&gt;"""", INDEX(rowData,1,8)=BJ598),1,0)
      ) - COUNTIF(BC598:BJ598, ""-"")
        - COUNTIF(BC598:BJ598, ""固定格式，不需提供資訊"")
        - COUNTIF(BC598:BJ598, ""由MKT更新，此欄位固定格式，不需提供資訊
(Voucher CID：12917705872)"&amp;""")
        - COUNTIF(BC598:BJ598, ""text固定為以下：
※直播間僅支援手機版"")
        - COUNTIF(BC598:BJ598, ""text固定為以下：
※短影音僅支援手機版"")
    )
  ), 
  0
)
"),0)</f>
        <v>0</v>
      </c>
      <c r="BM598" s="77" t="b">
        <v>0</v>
      </c>
      <c r="BN598" s="85"/>
      <c r="BO598" s="85"/>
    </row>
    <row r="599" spans="1:67" ht="30" customHeight="1">
      <c r="A599" s="73" t="str">
        <f t="array" aca="1" ref="A599" ca="1">IFERROR(TRANSPOSE(INDIRECT('MS section版配(Old)'!$AO599)),"")</f>
        <v/>
      </c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8"/>
      <c r="P599" s="88"/>
      <c r="Q599" s="88"/>
      <c r="R599" s="88"/>
      <c r="S599" s="88"/>
      <c r="T599" s="88"/>
      <c r="U599" s="88"/>
      <c r="V599" s="88"/>
      <c r="W599" s="88"/>
      <c r="X599" s="88"/>
      <c r="Y599" s="88"/>
      <c r="Z599" s="88"/>
      <c r="AA599" s="88"/>
      <c r="AB599" s="88"/>
      <c r="AC599" s="88"/>
      <c r="AD599" s="88"/>
      <c r="AE599" s="397" t="str">
        <f>IFERROR(VLOOKUP($AQ599,'(勿動)組件目錄表'!$D$15:$R$1094,4,FALSE),"")</f>
        <v/>
      </c>
      <c r="AF599" s="384"/>
      <c r="AG599" s="384"/>
      <c r="AH599" s="384"/>
      <c r="AI599" s="384"/>
      <c r="AJ599" s="385"/>
      <c r="AK599" s="54" t="b">
        <v>0</v>
      </c>
      <c r="AL599" s="54" t="b">
        <v>0</v>
      </c>
      <c r="AM599" s="54"/>
      <c r="AN599" s="7" t="str">
        <v>591</v>
      </c>
      <c r="AO599" s="7"/>
      <c r="AP599" s="62"/>
      <c r="AQ599" s="75" t="str">
        <v/>
      </c>
      <c r="AR599" s="75" t="str">
        <v>-</v>
      </c>
      <c r="AS599" s="11"/>
      <c r="AT599" s="77" t="str">
        <v>-</v>
      </c>
      <c r="AU599" s="11" t="str">
        <v>-</v>
      </c>
      <c r="AV599" s="100"/>
      <c r="AW599" s="80" t="str">
        <f ca="1"/>
        <v>-</v>
      </c>
      <c r="AX599" s="80" t="b">
        <v>0</v>
      </c>
      <c r="AY599" s="68" t="str">
        <f t="shared" si="8"/>
        <v/>
      </c>
      <c r="AZ599" s="69" t="str">
        <f t="shared" si="9"/>
        <v/>
      </c>
      <c r="BA599" s="70" t="str">
        <f t="shared" si="10"/>
        <v/>
      </c>
      <c r="BB599" s="68" t="str">
        <f t="shared" si="11"/>
        <v/>
      </c>
      <c r="BC599" s="69" t="str">
        <f>IFERROR(VLOOKUP($AQ599,'(勿動)組件目錄表'!$D$15:$R$1094,7,FALSE),"")</f>
        <v/>
      </c>
      <c r="BD599" s="69" t="str">
        <f>IFERROR(VLOOKUP($AQ599,'(勿動)組件目錄表'!$D$15:$R$1094,8,FALSE),"")</f>
        <v/>
      </c>
      <c r="BE599" s="69" t="str">
        <f>IFERROR(VLOOKUP($AQ599,'(勿動)組件目錄表'!$D$15:$R$1094,9,FALSE),"")</f>
        <v/>
      </c>
      <c r="BF599" s="69" t="str">
        <f>IFERROR(VLOOKUP($AQ599,'(勿動)組件目錄表'!$D$15:$R$1094,10,FALSE),"")</f>
        <v/>
      </c>
      <c r="BG599" s="69" t="str">
        <f>IFERROR(VLOOKUP($AQ599,'(勿動)組件目錄表'!$D$15:$R$1094,11,FALSE),"")</f>
        <v/>
      </c>
      <c r="BH599" s="69" t="str">
        <f>IFERROR(VLOOKUP($AQ599,'(勿動)組件目錄表'!$D$15:$R$1094,12,FALSE),"")</f>
        <v/>
      </c>
      <c r="BI599" s="69" t="str">
        <f>IFERROR(VLOOKUP($AQ599,'(勿動)組件目錄表'!$D$15:$R$1094,13,FALSE),"")</f>
        <v/>
      </c>
      <c r="BJ599" s="69" t="str">
        <f>IFERROR(VLOOKUP($AQ599,'(勿動)組件目錄表'!$D$15:$R$1094,14,FALSE),"")</f>
        <v/>
      </c>
      <c r="BK599" s="69" t="str">
        <f>IFERROR(VLOOKUP($AQ599,'(勿動)組件目錄表'!$D$15:$R$1094,15,FALSE),"")</f>
        <v/>
      </c>
      <c r="BL599" s="81">
        <f ca="1">IFERROR(__xludf.DUMMYFUNCTION("IFERROR(
  LET(
    rowData, FILTER('(勿動)組件目錄表'!J:Q, '(勿動)組件目錄表'!D:D=AQ599),
    IF(ROWS(rowData)=0, 0, 
      (
        IF(AND(BC599&lt;&gt;"""", INDEX(rowData,1,1)=BC599),1,0) +
        IF(AND(BD599&lt;&gt;"""", INDEX(rowData,1,2)=BD599),1,0) +
        IF(AND(BE599"&amp;"&lt;&gt;"""", INDEX(rowData,1,3)=BE599),1,0) +
        IF(AND(BF599&lt;&gt;"""", INDEX(rowData,1,4)=BF599),1,0) +
        IF(AND(BG599&lt;&gt;"""", INDEX(rowData,1,5)=BG599),1,0) +
        IF(AND(BH599&lt;&gt;"""", INDEX(rowData,1,6)=BH599),1,0) +
        IF(AND(BI599&lt;&gt;"""", IND"&amp;"EX(rowData,1,7)=BI599),1,0) +
        IF(AND(BJ599&lt;&gt;"""", INDEX(rowData,1,8)=BJ599),1,0)
      ) - COUNTIF(BC599:BJ599, ""-"")
        - COUNTIF(BC599:BJ599, ""固定格式，不需提供資訊"")
        - COUNTIF(BC599:BJ599, ""由MKT更新，此欄位固定格式，不需提供資訊
(Voucher CID：12917705872)"&amp;""")
        - COUNTIF(BC599:BJ599, ""text固定為以下：
※直播間僅支援手機版"")
        - COUNTIF(BC599:BJ599, ""text固定為以下：
※短影音僅支援手機版"")
    )
  ), 
  0
)
"),0)</f>
        <v>0</v>
      </c>
      <c r="BM599" s="77" t="b">
        <v>0</v>
      </c>
      <c r="BN599" s="85"/>
      <c r="BO599" s="85"/>
    </row>
    <row r="600" spans="1:67" ht="30" customHeight="1">
      <c r="A600" s="73" t="str">
        <f t="array" aca="1" ref="A600" ca="1">IFERROR(TRANSPOSE(INDIRECT('MS section版配(Old)'!$AO600)),"")</f>
        <v/>
      </c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8"/>
      <c r="P600" s="88"/>
      <c r="Q600" s="88"/>
      <c r="R600" s="88"/>
      <c r="S600" s="88"/>
      <c r="T600" s="88"/>
      <c r="U600" s="88"/>
      <c r="V600" s="88"/>
      <c r="W600" s="88"/>
      <c r="X600" s="88"/>
      <c r="Y600" s="88"/>
      <c r="Z600" s="88"/>
      <c r="AA600" s="88"/>
      <c r="AB600" s="88"/>
      <c r="AC600" s="88"/>
      <c r="AD600" s="88"/>
      <c r="AE600" s="397" t="str">
        <f>IFERROR(VLOOKUP($AQ600,'(勿動)組件目錄表'!$D$15:$R$1094,4,FALSE),"")</f>
        <v/>
      </c>
      <c r="AF600" s="384"/>
      <c r="AG600" s="384"/>
      <c r="AH600" s="384"/>
      <c r="AI600" s="384"/>
      <c r="AJ600" s="385"/>
      <c r="AK600" s="54" t="b">
        <v>0</v>
      </c>
      <c r="AL600" s="54" t="b">
        <v>0</v>
      </c>
      <c r="AM600" s="54"/>
      <c r="AN600" s="7" t="str">
        <v>592</v>
      </c>
      <c r="AO600" s="7"/>
      <c r="AP600" s="62"/>
      <c r="AQ600" s="75" t="str">
        <v/>
      </c>
      <c r="AR600" s="75" t="str">
        <v>-</v>
      </c>
      <c r="AS600" s="11"/>
      <c r="AT600" s="77" t="str">
        <v>-</v>
      </c>
      <c r="AU600" s="11" t="str">
        <v>-</v>
      </c>
      <c r="AV600" s="100"/>
      <c r="AW600" s="80" t="str">
        <f ca="1"/>
        <v>-</v>
      </c>
      <c r="AX600" s="80" t="b">
        <v>0</v>
      </c>
      <c r="AY600" s="68" t="str">
        <f t="shared" si="8"/>
        <v/>
      </c>
      <c r="AZ600" s="69" t="str">
        <f t="shared" si="9"/>
        <v/>
      </c>
      <c r="BA600" s="70" t="str">
        <f t="shared" si="10"/>
        <v/>
      </c>
      <c r="BB600" s="68" t="str">
        <f t="shared" si="11"/>
        <v/>
      </c>
      <c r="BC600" s="69" t="str">
        <f>IFERROR(VLOOKUP($AQ600,'(勿動)組件目錄表'!$D$15:$R$1094,7,FALSE),"")</f>
        <v/>
      </c>
      <c r="BD600" s="69" t="str">
        <f>IFERROR(VLOOKUP($AQ600,'(勿動)組件目錄表'!$D$15:$R$1094,8,FALSE),"")</f>
        <v/>
      </c>
      <c r="BE600" s="69" t="str">
        <f>IFERROR(VLOOKUP($AQ600,'(勿動)組件目錄表'!$D$15:$R$1094,9,FALSE),"")</f>
        <v/>
      </c>
      <c r="BF600" s="69" t="str">
        <f>IFERROR(VLOOKUP($AQ600,'(勿動)組件目錄表'!$D$15:$R$1094,10,FALSE),"")</f>
        <v/>
      </c>
      <c r="BG600" s="69" t="str">
        <f>IFERROR(VLOOKUP($AQ600,'(勿動)組件目錄表'!$D$15:$R$1094,11,FALSE),"")</f>
        <v/>
      </c>
      <c r="BH600" s="69" t="str">
        <f>IFERROR(VLOOKUP($AQ600,'(勿動)組件目錄表'!$D$15:$R$1094,12,FALSE),"")</f>
        <v/>
      </c>
      <c r="BI600" s="69" t="str">
        <f>IFERROR(VLOOKUP($AQ600,'(勿動)組件目錄表'!$D$15:$R$1094,13,FALSE),"")</f>
        <v/>
      </c>
      <c r="BJ600" s="69" t="str">
        <f>IFERROR(VLOOKUP($AQ600,'(勿動)組件目錄表'!$D$15:$R$1094,14,FALSE),"")</f>
        <v/>
      </c>
      <c r="BK600" s="69" t="str">
        <f>IFERROR(VLOOKUP($AQ600,'(勿動)組件目錄表'!$D$15:$R$1094,15,FALSE),"")</f>
        <v/>
      </c>
      <c r="BL600" s="81">
        <f ca="1">IFERROR(__xludf.DUMMYFUNCTION("IFERROR(
  LET(
    rowData, FILTER('(勿動)組件目錄表'!J:Q, '(勿動)組件目錄表'!D:D=AQ600),
    IF(ROWS(rowData)=0, 0, 
      (
        IF(AND(BC600&lt;&gt;"""", INDEX(rowData,1,1)=BC600),1,0) +
        IF(AND(BD600&lt;&gt;"""", INDEX(rowData,1,2)=BD600),1,0) +
        IF(AND(BE600"&amp;"&lt;&gt;"""", INDEX(rowData,1,3)=BE600),1,0) +
        IF(AND(BF600&lt;&gt;"""", INDEX(rowData,1,4)=BF600),1,0) +
        IF(AND(BG600&lt;&gt;"""", INDEX(rowData,1,5)=BG600),1,0) +
        IF(AND(BH600&lt;&gt;"""", INDEX(rowData,1,6)=BH600),1,0) +
        IF(AND(BI600&lt;&gt;"""", IND"&amp;"EX(rowData,1,7)=BI600),1,0) +
        IF(AND(BJ600&lt;&gt;"""", INDEX(rowData,1,8)=BJ600),1,0)
      ) - COUNTIF(BC600:BJ600, ""-"")
        - COUNTIF(BC600:BJ600, ""固定格式，不需提供資訊"")
        - COUNTIF(BC600:BJ600, ""由MKT更新，此欄位固定格式，不需提供資訊
(Voucher CID：12917705872)"&amp;""")
        - COUNTIF(BC600:BJ600, ""text固定為以下：
※直播間僅支援手機版"")
        - COUNTIF(BC600:BJ600, ""text固定為以下：
※短影音僅支援手機版"")
    )
  ), 
  0
)
"),0)</f>
        <v>0</v>
      </c>
      <c r="BM600" s="77" t="b">
        <v>0</v>
      </c>
      <c r="BN600" s="85"/>
      <c r="BO600" s="85"/>
    </row>
    <row r="601" spans="1:67" ht="30" customHeight="1">
      <c r="A601" s="73" t="str">
        <f t="array" aca="1" ref="A601" ca="1">IFERROR(TRANSPOSE(INDIRECT('MS section版配(Old)'!$AO601)),"")</f>
        <v/>
      </c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8"/>
      <c r="P601" s="88"/>
      <c r="Q601" s="88"/>
      <c r="R601" s="88"/>
      <c r="S601" s="88"/>
      <c r="T601" s="88"/>
      <c r="U601" s="88"/>
      <c r="V601" s="88"/>
      <c r="W601" s="88"/>
      <c r="X601" s="88"/>
      <c r="Y601" s="88"/>
      <c r="Z601" s="88"/>
      <c r="AA601" s="88"/>
      <c r="AB601" s="88"/>
      <c r="AC601" s="88"/>
      <c r="AD601" s="88"/>
      <c r="AE601" s="397" t="str">
        <f>IFERROR(VLOOKUP($AQ601,'(勿動)組件目錄表'!$D$15:$R$1094,4,FALSE),"")</f>
        <v/>
      </c>
      <c r="AF601" s="384"/>
      <c r="AG601" s="384"/>
      <c r="AH601" s="384"/>
      <c r="AI601" s="384"/>
      <c r="AJ601" s="385"/>
      <c r="AK601" s="54" t="b">
        <v>0</v>
      </c>
      <c r="AL601" s="54" t="b">
        <v>0</v>
      </c>
      <c r="AM601" s="54"/>
      <c r="AN601" s="7" t="str">
        <v>593</v>
      </c>
      <c r="AO601" s="7"/>
      <c r="AP601" s="62"/>
      <c r="AQ601" s="75" t="str">
        <v/>
      </c>
      <c r="AR601" s="75" t="str">
        <v>-</v>
      </c>
      <c r="AS601" s="11"/>
      <c r="AT601" s="77" t="str">
        <v>-</v>
      </c>
      <c r="AU601" s="11" t="str">
        <v>-</v>
      </c>
      <c r="AV601" s="100"/>
      <c r="AW601" s="80" t="str">
        <f ca="1"/>
        <v>-</v>
      </c>
      <c r="AX601" s="80" t="b">
        <v>0</v>
      </c>
      <c r="AY601" s="68" t="str">
        <f t="shared" si="8"/>
        <v/>
      </c>
      <c r="AZ601" s="69" t="str">
        <f t="shared" si="9"/>
        <v/>
      </c>
      <c r="BA601" s="70" t="str">
        <f t="shared" si="10"/>
        <v/>
      </c>
      <c r="BB601" s="68" t="str">
        <f t="shared" si="11"/>
        <v/>
      </c>
      <c r="BC601" s="69" t="str">
        <f>IFERROR(VLOOKUP($AQ601,'(勿動)組件目錄表'!$D$15:$R$1094,7,FALSE),"")</f>
        <v/>
      </c>
      <c r="BD601" s="69" t="str">
        <f>IFERROR(VLOOKUP($AQ601,'(勿動)組件目錄表'!$D$15:$R$1094,8,FALSE),"")</f>
        <v/>
      </c>
      <c r="BE601" s="69" t="str">
        <f>IFERROR(VLOOKUP($AQ601,'(勿動)組件目錄表'!$D$15:$R$1094,9,FALSE),"")</f>
        <v/>
      </c>
      <c r="BF601" s="69" t="str">
        <f>IFERROR(VLOOKUP($AQ601,'(勿動)組件目錄表'!$D$15:$R$1094,10,FALSE),"")</f>
        <v/>
      </c>
      <c r="BG601" s="69" t="str">
        <f>IFERROR(VLOOKUP($AQ601,'(勿動)組件目錄表'!$D$15:$R$1094,11,FALSE),"")</f>
        <v/>
      </c>
      <c r="BH601" s="69" t="str">
        <f>IFERROR(VLOOKUP($AQ601,'(勿動)組件目錄表'!$D$15:$R$1094,12,FALSE),"")</f>
        <v/>
      </c>
      <c r="BI601" s="69" t="str">
        <f>IFERROR(VLOOKUP($AQ601,'(勿動)組件目錄表'!$D$15:$R$1094,13,FALSE),"")</f>
        <v/>
      </c>
      <c r="BJ601" s="69" t="str">
        <f>IFERROR(VLOOKUP($AQ601,'(勿動)組件目錄表'!$D$15:$R$1094,14,FALSE),"")</f>
        <v/>
      </c>
      <c r="BK601" s="69" t="str">
        <f>IFERROR(VLOOKUP($AQ601,'(勿動)組件目錄表'!$D$15:$R$1094,15,FALSE),"")</f>
        <v/>
      </c>
      <c r="BL601" s="81">
        <f ca="1">IFERROR(__xludf.DUMMYFUNCTION("IFERROR(
  LET(
    rowData, FILTER('(勿動)組件目錄表'!J:Q, '(勿動)組件目錄表'!D:D=AQ601),
    IF(ROWS(rowData)=0, 0, 
      (
        IF(AND(BC601&lt;&gt;"""", INDEX(rowData,1,1)=BC601),1,0) +
        IF(AND(BD601&lt;&gt;"""", INDEX(rowData,1,2)=BD601),1,0) +
        IF(AND(BE601"&amp;"&lt;&gt;"""", INDEX(rowData,1,3)=BE601),1,0) +
        IF(AND(BF601&lt;&gt;"""", INDEX(rowData,1,4)=BF601),1,0) +
        IF(AND(BG601&lt;&gt;"""", INDEX(rowData,1,5)=BG601),1,0) +
        IF(AND(BH601&lt;&gt;"""", INDEX(rowData,1,6)=BH601),1,0) +
        IF(AND(BI601&lt;&gt;"""", IND"&amp;"EX(rowData,1,7)=BI601),1,0) +
        IF(AND(BJ601&lt;&gt;"""", INDEX(rowData,1,8)=BJ601),1,0)
      ) - COUNTIF(BC601:BJ601, ""-"")
        - COUNTIF(BC601:BJ601, ""固定格式，不需提供資訊"")
        - COUNTIF(BC601:BJ601, ""由MKT更新，此欄位固定格式，不需提供資訊
(Voucher CID：12917705872)"&amp;""")
        - COUNTIF(BC601:BJ601, ""text固定為以下：
※直播間僅支援手機版"")
        - COUNTIF(BC601:BJ601, ""text固定為以下：
※短影音僅支援手機版"")
    )
  ), 
  0
)
"),0)</f>
        <v>0</v>
      </c>
      <c r="BM601" s="77" t="b">
        <v>0</v>
      </c>
      <c r="BN601" s="85"/>
      <c r="BO601" s="85"/>
    </row>
  </sheetData>
  <mergeCells count="613">
    <mergeCell ref="AE325:AJ325"/>
    <mergeCell ref="AE326:AJ326"/>
    <mergeCell ref="AE327:AJ327"/>
    <mergeCell ref="AE328:AJ328"/>
    <mergeCell ref="AE329:AJ329"/>
    <mergeCell ref="AE330:AJ330"/>
    <mergeCell ref="AE316:AJ316"/>
    <mergeCell ref="AE317:AJ317"/>
    <mergeCell ref="AE318:AJ318"/>
    <mergeCell ref="AE319:AJ319"/>
    <mergeCell ref="AE320:AJ320"/>
    <mergeCell ref="AE321:AJ321"/>
    <mergeCell ref="AE322:AJ322"/>
    <mergeCell ref="AE323:AJ323"/>
    <mergeCell ref="AE324:AJ324"/>
    <mergeCell ref="AE307:AJ307"/>
    <mergeCell ref="AE308:AJ308"/>
    <mergeCell ref="AE309:AJ309"/>
    <mergeCell ref="AE310:AJ310"/>
    <mergeCell ref="AE311:AJ311"/>
    <mergeCell ref="AE312:AJ312"/>
    <mergeCell ref="AE313:AJ313"/>
    <mergeCell ref="AE314:AJ314"/>
    <mergeCell ref="AE315:AJ315"/>
    <mergeCell ref="AE298:AJ298"/>
    <mergeCell ref="AE299:AJ299"/>
    <mergeCell ref="AE300:AJ300"/>
    <mergeCell ref="AE301:AJ301"/>
    <mergeCell ref="AE302:AJ302"/>
    <mergeCell ref="AE303:AJ303"/>
    <mergeCell ref="AE304:AJ304"/>
    <mergeCell ref="AE305:AJ305"/>
    <mergeCell ref="AE306:AJ306"/>
    <mergeCell ref="AE289:AJ289"/>
    <mergeCell ref="AE290:AJ290"/>
    <mergeCell ref="AE291:AJ291"/>
    <mergeCell ref="AE292:AJ292"/>
    <mergeCell ref="AE293:AJ293"/>
    <mergeCell ref="AE294:AJ294"/>
    <mergeCell ref="AE295:AJ295"/>
    <mergeCell ref="AE296:AJ296"/>
    <mergeCell ref="AE297:AJ297"/>
    <mergeCell ref="AE280:AJ280"/>
    <mergeCell ref="AE281:AJ281"/>
    <mergeCell ref="AE282:AJ282"/>
    <mergeCell ref="AE283:AJ283"/>
    <mergeCell ref="AE284:AJ284"/>
    <mergeCell ref="AE285:AJ285"/>
    <mergeCell ref="AE286:AJ286"/>
    <mergeCell ref="AE287:AJ287"/>
    <mergeCell ref="AE288:AJ288"/>
    <mergeCell ref="AE271:AJ271"/>
    <mergeCell ref="AE272:AJ272"/>
    <mergeCell ref="AE273:AJ273"/>
    <mergeCell ref="AE274:AJ274"/>
    <mergeCell ref="AE275:AJ275"/>
    <mergeCell ref="AE276:AJ276"/>
    <mergeCell ref="AE277:AJ277"/>
    <mergeCell ref="AE278:AJ278"/>
    <mergeCell ref="AE279:AJ279"/>
    <mergeCell ref="AE262:AJ262"/>
    <mergeCell ref="AE263:AJ263"/>
    <mergeCell ref="AE264:AJ264"/>
    <mergeCell ref="AE265:AJ265"/>
    <mergeCell ref="AE266:AJ266"/>
    <mergeCell ref="AE267:AJ267"/>
    <mergeCell ref="AE268:AJ268"/>
    <mergeCell ref="AE269:AJ269"/>
    <mergeCell ref="AE270:AJ270"/>
    <mergeCell ref="AE253:AJ253"/>
    <mergeCell ref="AE254:AJ254"/>
    <mergeCell ref="AE255:AJ255"/>
    <mergeCell ref="AE256:AJ256"/>
    <mergeCell ref="AE257:AJ257"/>
    <mergeCell ref="AE258:AJ258"/>
    <mergeCell ref="AE259:AJ259"/>
    <mergeCell ref="AE260:AJ260"/>
    <mergeCell ref="AE261:AJ261"/>
    <mergeCell ref="AE244:AJ244"/>
    <mergeCell ref="AE245:AJ245"/>
    <mergeCell ref="AE246:AJ246"/>
    <mergeCell ref="AE247:AJ247"/>
    <mergeCell ref="AE248:AJ248"/>
    <mergeCell ref="AE249:AJ249"/>
    <mergeCell ref="AE250:AJ250"/>
    <mergeCell ref="AE251:AJ251"/>
    <mergeCell ref="AE252:AJ252"/>
    <mergeCell ref="AE235:AJ235"/>
    <mergeCell ref="AE236:AJ236"/>
    <mergeCell ref="AE237:AJ237"/>
    <mergeCell ref="AE238:AJ238"/>
    <mergeCell ref="AE239:AJ239"/>
    <mergeCell ref="AE240:AJ240"/>
    <mergeCell ref="AE241:AJ241"/>
    <mergeCell ref="AE242:AJ242"/>
    <mergeCell ref="AE243:AJ243"/>
    <mergeCell ref="AE226:AJ226"/>
    <mergeCell ref="AE227:AJ227"/>
    <mergeCell ref="AE228:AJ228"/>
    <mergeCell ref="AE229:AJ229"/>
    <mergeCell ref="AE230:AJ230"/>
    <mergeCell ref="AE231:AJ231"/>
    <mergeCell ref="AE232:AJ232"/>
    <mergeCell ref="AE233:AJ233"/>
    <mergeCell ref="AE234:AJ234"/>
    <mergeCell ref="AE217:AJ217"/>
    <mergeCell ref="AE218:AJ218"/>
    <mergeCell ref="AE219:AJ219"/>
    <mergeCell ref="AE220:AJ220"/>
    <mergeCell ref="AE221:AJ221"/>
    <mergeCell ref="AE222:AJ222"/>
    <mergeCell ref="AE223:AJ223"/>
    <mergeCell ref="AE224:AJ224"/>
    <mergeCell ref="AE225:AJ225"/>
    <mergeCell ref="AE208:AJ208"/>
    <mergeCell ref="AE209:AJ209"/>
    <mergeCell ref="AE210:AJ210"/>
    <mergeCell ref="AE211:AJ211"/>
    <mergeCell ref="AE212:AJ212"/>
    <mergeCell ref="AE213:AJ213"/>
    <mergeCell ref="AE214:AJ214"/>
    <mergeCell ref="AE215:AJ215"/>
    <mergeCell ref="AE216:AJ216"/>
    <mergeCell ref="AE199:AJ199"/>
    <mergeCell ref="AE200:AJ200"/>
    <mergeCell ref="AE201:AJ201"/>
    <mergeCell ref="AE202:AJ202"/>
    <mergeCell ref="AE203:AJ203"/>
    <mergeCell ref="AE204:AJ204"/>
    <mergeCell ref="AE205:AJ205"/>
    <mergeCell ref="AE206:AJ206"/>
    <mergeCell ref="AE207:AJ207"/>
    <mergeCell ref="AE190:AJ190"/>
    <mergeCell ref="AE191:AJ191"/>
    <mergeCell ref="AE192:AJ192"/>
    <mergeCell ref="AE193:AJ193"/>
    <mergeCell ref="AE194:AJ194"/>
    <mergeCell ref="AE195:AJ195"/>
    <mergeCell ref="AE196:AJ196"/>
    <mergeCell ref="AE197:AJ197"/>
    <mergeCell ref="AE198:AJ198"/>
    <mergeCell ref="AE181:AJ181"/>
    <mergeCell ref="AE182:AJ182"/>
    <mergeCell ref="AE183:AJ183"/>
    <mergeCell ref="AE184:AJ184"/>
    <mergeCell ref="AE185:AJ185"/>
    <mergeCell ref="AE186:AJ186"/>
    <mergeCell ref="AE187:AJ187"/>
    <mergeCell ref="AE188:AJ188"/>
    <mergeCell ref="AE189:AJ189"/>
    <mergeCell ref="AE172:AJ172"/>
    <mergeCell ref="AE173:AJ173"/>
    <mergeCell ref="AE174:AJ174"/>
    <mergeCell ref="AE175:AJ175"/>
    <mergeCell ref="AE176:AJ176"/>
    <mergeCell ref="AE177:AJ177"/>
    <mergeCell ref="AE178:AJ178"/>
    <mergeCell ref="AE179:AJ179"/>
    <mergeCell ref="AE180:AJ180"/>
    <mergeCell ref="AE163:AJ163"/>
    <mergeCell ref="AE164:AJ164"/>
    <mergeCell ref="AE165:AJ165"/>
    <mergeCell ref="AE166:AJ166"/>
    <mergeCell ref="AE167:AJ167"/>
    <mergeCell ref="AE168:AJ168"/>
    <mergeCell ref="AE169:AJ169"/>
    <mergeCell ref="AE170:AJ170"/>
    <mergeCell ref="AE171:AJ171"/>
    <mergeCell ref="AE154:AJ154"/>
    <mergeCell ref="AE155:AJ155"/>
    <mergeCell ref="AE156:AJ156"/>
    <mergeCell ref="AE157:AJ157"/>
    <mergeCell ref="AE158:AJ158"/>
    <mergeCell ref="AE159:AJ159"/>
    <mergeCell ref="AE160:AJ160"/>
    <mergeCell ref="AE161:AJ161"/>
    <mergeCell ref="AE162:AJ162"/>
    <mergeCell ref="AE145:AJ145"/>
    <mergeCell ref="AE146:AJ146"/>
    <mergeCell ref="AE147:AJ147"/>
    <mergeCell ref="AE148:AJ148"/>
    <mergeCell ref="AE149:AJ149"/>
    <mergeCell ref="AE150:AJ150"/>
    <mergeCell ref="AE151:AJ151"/>
    <mergeCell ref="AE152:AJ152"/>
    <mergeCell ref="AE153:AJ153"/>
    <mergeCell ref="AE136:AJ136"/>
    <mergeCell ref="AE137:AJ137"/>
    <mergeCell ref="AE138:AJ138"/>
    <mergeCell ref="AE139:AJ139"/>
    <mergeCell ref="AE140:AJ140"/>
    <mergeCell ref="AE141:AJ141"/>
    <mergeCell ref="AE142:AJ142"/>
    <mergeCell ref="AE143:AJ143"/>
    <mergeCell ref="AE144:AJ144"/>
    <mergeCell ref="AE127:AJ127"/>
    <mergeCell ref="AE128:AJ128"/>
    <mergeCell ref="AE129:AJ129"/>
    <mergeCell ref="AE130:AJ130"/>
    <mergeCell ref="AE131:AJ131"/>
    <mergeCell ref="AE132:AJ132"/>
    <mergeCell ref="AE133:AJ133"/>
    <mergeCell ref="AE134:AJ134"/>
    <mergeCell ref="AE135:AJ135"/>
    <mergeCell ref="AE118:AJ118"/>
    <mergeCell ref="AE119:AJ119"/>
    <mergeCell ref="AE120:AJ120"/>
    <mergeCell ref="AE121:AJ121"/>
    <mergeCell ref="AE122:AJ122"/>
    <mergeCell ref="AE123:AJ123"/>
    <mergeCell ref="AE124:AJ124"/>
    <mergeCell ref="AE125:AJ125"/>
    <mergeCell ref="AE126:AJ126"/>
    <mergeCell ref="AE109:AJ109"/>
    <mergeCell ref="AE110:AJ110"/>
    <mergeCell ref="AE111:AJ111"/>
    <mergeCell ref="AE112:AJ112"/>
    <mergeCell ref="AE113:AJ113"/>
    <mergeCell ref="AE114:AJ114"/>
    <mergeCell ref="AE115:AJ115"/>
    <mergeCell ref="AE116:AJ116"/>
    <mergeCell ref="AE117:AJ117"/>
    <mergeCell ref="AE100:AJ100"/>
    <mergeCell ref="AE101:AJ101"/>
    <mergeCell ref="AE102:AJ102"/>
    <mergeCell ref="AE103:AJ103"/>
    <mergeCell ref="AE104:AJ104"/>
    <mergeCell ref="AE105:AJ105"/>
    <mergeCell ref="AE106:AJ106"/>
    <mergeCell ref="AE107:AJ107"/>
    <mergeCell ref="AE108:AJ108"/>
    <mergeCell ref="AE91:AJ91"/>
    <mergeCell ref="AE92:AJ92"/>
    <mergeCell ref="AE93:AJ93"/>
    <mergeCell ref="AE94:AJ94"/>
    <mergeCell ref="AE95:AJ95"/>
    <mergeCell ref="AE96:AJ96"/>
    <mergeCell ref="AE97:AJ97"/>
    <mergeCell ref="AE98:AJ98"/>
    <mergeCell ref="AE99:AJ99"/>
    <mergeCell ref="AE82:AJ82"/>
    <mergeCell ref="AE83:AJ83"/>
    <mergeCell ref="AE84:AJ84"/>
    <mergeCell ref="AE85:AJ85"/>
    <mergeCell ref="AE86:AJ86"/>
    <mergeCell ref="AE87:AJ87"/>
    <mergeCell ref="AE88:AJ88"/>
    <mergeCell ref="AE89:AJ89"/>
    <mergeCell ref="AE90:AJ90"/>
    <mergeCell ref="AE73:AJ73"/>
    <mergeCell ref="AE74:AJ74"/>
    <mergeCell ref="AE75:AJ75"/>
    <mergeCell ref="AE76:AJ76"/>
    <mergeCell ref="AE77:AJ77"/>
    <mergeCell ref="AE78:AJ78"/>
    <mergeCell ref="AE79:AJ79"/>
    <mergeCell ref="AE80:AJ80"/>
    <mergeCell ref="AE81:AJ81"/>
    <mergeCell ref="AE64:AJ64"/>
    <mergeCell ref="AE65:AJ65"/>
    <mergeCell ref="AE66:AJ66"/>
    <mergeCell ref="AE67:AJ67"/>
    <mergeCell ref="AE68:AJ68"/>
    <mergeCell ref="AE69:AJ69"/>
    <mergeCell ref="AE70:AJ70"/>
    <mergeCell ref="AE71:AJ71"/>
    <mergeCell ref="AE72:AJ72"/>
    <mergeCell ref="AE55:AJ55"/>
    <mergeCell ref="AE56:AJ56"/>
    <mergeCell ref="AE57:AJ57"/>
    <mergeCell ref="AE58:AJ58"/>
    <mergeCell ref="AE59:AJ59"/>
    <mergeCell ref="AE60:AJ60"/>
    <mergeCell ref="AE61:AJ61"/>
    <mergeCell ref="AE62:AJ62"/>
    <mergeCell ref="AE63:AJ63"/>
    <mergeCell ref="AE46:AJ46"/>
    <mergeCell ref="AE47:AJ47"/>
    <mergeCell ref="AE48:AJ48"/>
    <mergeCell ref="AE49:AJ49"/>
    <mergeCell ref="AE50:AJ50"/>
    <mergeCell ref="AE51:AJ51"/>
    <mergeCell ref="AE52:AJ52"/>
    <mergeCell ref="AE53:AJ53"/>
    <mergeCell ref="AE54:AJ54"/>
    <mergeCell ref="AE37:AJ37"/>
    <mergeCell ref="AE38:AJ38"/>
    <mergeCell ref="AE39:AJ39"/>
    <mergeCell ref="AE40:AJ40"/>
    <mergeCell ref="AE41:AJ41"/>
    <mergeCell ref="AE42:AJ42"/>
    <mergeCell ref="AE43:AJ43"/>
    <mergeCell ref="AE44:AJ44"/>
    <mergeCell ref="AE45:AJ45"/>
    <mergeCell ref="AE28:AJ28"/>
    <mergeCell ref="AE29:AJ29"/>
    <mergeCell ref="AE30:AJ30"/>
    <mergeCell ref="AE31:AJ31"/>
    <mergeCell ref="AE32:AJ32"/>
    <mergeCell ref="AE33:AJ33"/>
    <mergeCell ref="AE34:AJ34"/>
    <mergeCell ref="AE35:AJ35"/>
    <mergeCell ref="AE36:AJ36"/>
    <mergeCell ref="A5:T7"/>
    <mergeCell ref="AE5:AJ7"/>
    <mergeCell ref="AK5:AM5"/>
    <mergeCell ref="AO5:AP5"/>
    <mergeCell ref="AE8:AJ8"/>
    <mergeCell ref="AE9:AJ9"/>
    <mergeCell ref="AE10:AJ10"/>
    <mergeCell ref="AE11:AJ11"/>
    <mergeCell ref="AE12:AJ12"/>
    <mergeCell ref="AV2:AV3"/>
    <mergeCell ref="AQ5:AU5"/>
    <mergeCell ref="AV5:BK5"/>
    <mergeCell ref="BN5:BO5"/>
    <mergeCell ref="AE1:AE3"/>
    <mergeCell ref="AK1:AL3"/>
    <mergeCell ref="AM1:AO1"/>
    <mergeCell ref="AQ1:AQ3"/>
    <mergeCell ref="AR1:AS1"/>
    <mergeCell ref="AM2:AO2"/>
    <mergeCell ref="AM3:AO3"/>
    <mergeCell ref="AF1:AJ3"/>
    <mergeCell ref="AE4:AG4"/>
    <mergeCell ref="AE569:AJ569"/>
    <mergeCell ref="AE570:AJ570"/>
    <mergeCell ref="AE571:AJ571"/>
    <mergeCell ref="AE572:AJ572"/>
    <mergeCell ref="AE573:AJ573"/>
    <mergeCell ref="AE574:AJ574"/>
    <mergeCell ref="AE575:AJ575"/>
    <mergeCell ref="AR2:AS3"/>
    <mergeCell ref="AT2:AT3"/>
    <mergeCell ref="AE13:AJ13"/>
    <mergeCell ref="AE14:AJ14"/>
    <mergeCell ref="AE15:AJ15"/>
    <mergeCell ref="AE16:AJ16"/>
    <mergeCell ref="AE17:AJ17"/>
    <mergeCell ref="AE18:AJ18"/>
    <mergeCell ref="AE19:AJ19"/>
    <mergeCell ref="AE20:AJ20"/>
    <mergeCell ref="AE21:AJ21"/>
    <mergeCell ref="AE22:AJ22"/>
    <mergeCell ref="AE23:AJ23"/>
    <mergeCell ref="AE24:AJ24"/>
    <mergeCell ref="AE25:AJ25"/>
    <mergeCell ref="AE26:AJ26"/>
    <mergeCell ref="AE27:AJ27"/>
    <mergeCell ref="AE560:AJ560"/>
    <mergeCell ref="AE561:AJ561"/>
    <mergeCell ref="AE562:AJ562"/>
    <mergeCell ref="AE563:AJ563"/>
    <mergeCell ref="AE564:AJ564"/>
    <mergeCell ref="AE565:AJ565"/>
    <mergeCell ref="AE566:AJ566"/>
    <mergeCell ref="AE567:AJ567"/>
    <mergeCell ref="AE568:AJ568"/>
    <mergeCell ref="AE551:AJ551"/>
    <mergeCell ref="AE552:AJ552"/>
    <mergeCell ref="AE553:AJ553"/>
    <mergeCell ref="AE554:AJ554"/>
    <mergeCell ref="AE555:AJ555"/>
    <mergeCell ref="AE556:AJ556"/>
    <mergeCell ref="AE557:AJ557"/>
    <mergeCell ref="AE558:AJ558"/>
    <mergeCell ref="AE559:AJ559"/>
    <mergeCell ref="AE542:AJ542"/>
    <mergeCell ref="AE543:AJ543"/>
    <mergeCell ref="AE544:AJ544"/>
    <mergeCell ref="AE545:AJ545"/>
    <mergeCell ref="AE546:AJ546"/>
    <mergeCell ref="AE547:AJ547"/>
    <mergeCell ref="AE548:AJ548"/>
    <mergeCell ref="AE549:AJ549"/>
    <mergeCell ref="AE550:AJ550"/>
    <mergeCell ref="AE587:AJ587"/>
    <mergeCell ref="AE588:AJ588"/>
    <mergeCell ref="AE589:AJ589"/>
    <mergeCell ref="AE597:AJ597"/>
    <mergeCell ref="AE598:AJ598"/>
    <mergeCell ref="AE599:AJ599"/>
    <mergeCell ref="AE600:AJ600"/>
    <mergeCell ref="AE601:AJ601"/>
    <mergeCell ref="AE590:AJ590"/>
    <mergeCell ref="AE591:AJ591"/>
    <mergeCell ref="AE592:AJ592"/>
    <mergeCell ref="AE593:AJ593"/>
    <mergeCell ref="AE594:AJ594"/>
    <mergeCell ref="AE595:AJ595"/>
    <mergeCell ref="AE596:AJ596"/>
    <mergeCell ref="AE578:AJ578"/>
    <mergeCell ref="AE579:AJ579"/>
    <mergeCell ref="AE580:AJ580"/>
    <mergeCell ref="AE581:AJ581"/>
    <mergeCell ref="AE582:AJ582"/>
    <mergeCell ref="AE583:AJ583"/>
    <mergeCell ref="AE584:AJ584"/>
    <mergeCell ref="AE585:AJ585"/>
    <mergeCell ref="AE586:AJ586"/>
    <mergeCell ref="AE520:AJ520"/>
    <mergeCell ref="AE521:AJ521"/>
    <mergeCell ref="AE522:AJ522"/>
    <mergeCell ref="AE523:AJ523"/>
    <mergeCell ref="AE524:AJ524"/>
    <mergeCell ref="AE525:AJ525"/>
    <mergeCell ref="AE526:AJ526"/>
    <mergeCell ref="AE576:AJ576"/>
    <mergeCell ref="AE577:AJ577"/>
    <mergeCell ref="AE527:AJ527"/>
    <mergeCell ref="AE528:AJ528"/>
    <mergeCell ref="AE529:AJ529"/>
    <mergeCell ref="AE530:AJ530"/>
    <mergeCell ref="AE531:AJ531"/>
    <mergeCell ref="AE532:AJ532"/>
    <mergeCell ref="AE533:AJ533"/>
    <mergeCell ref="AE534:AJ534"/>
    <mergeCell ref="AE535:AJ535"/>
    <mergeCell ref="AE536:AJ536"/>
    <mergeCell ref="AE537:AJ537"/>
    <mergeCell ref="AE538:AJ538"/>
    <mergeCell ref="AE539:AJ539"/>
    <mergeCell ref="AE540:AJ540"/>
    <mergeCell ref="AE541:AJ541"/>
    <mergeCell ref="AE511:AJ511"/>
    <mergeCell ref="AE512:AJ512"/>
    <mergeCell ref="AE513:AJ513"/>
    <mergeCell ref="AE514:AJ514"/>
    <mergeCell ref="AE515:AJ515"/>
    <mergeCell ref="AE516:AJ516"/>
    <mergeCell ref="AE517:AJ517"/>
    <mergeCell ref="AE518:AJ518"/>
    <mergeCell ref="AE519:AJ519"/>
    <mergeCell ref="AE502:AJ502"/>
    <mergeCell ref="AE503:AJ503"/>
    <mergeCell ref="AE504:AJ504"/>
    <mergeCell ref="AE505:AJ505"/>
    <mergeCell ref="AE506:AJ506"/>
    <mergeCell ref="AE507:AJ507"/>
    <mergeCell ref="AE508:AJ508"/>
    <mergeCell ref="AE509:AJ509"/>
    <mergeCell ref="AE510:AJ510"/>
    <mergeCell ref="AE493:AJ493"/>
    <mergeCell ref="AE494:AJ494"/>
    <mergeCell ref="AE495:AJ495"/>
    <mergeCell ref="AE496:AJ496"/>
    <mergeCell ref="AE497:AJ497"/>
    <mergeCell ref="AE498:AJ498"/>
    <mergeCell ref="AE499:AJ499"/>
    <mergeCell ref="AE500:AJ500"/>
    <mergeCell ref="AE501:AJ501"/>
    <mergeCell ref="AE484:AJ484"/>
    <mergeCell ref="AE485:AJ485"/>
    <mergeCell ref="AE486:AJ486"/>
    <mergeCell ref="AE487:AJ487"/>
    <mergeCell ref="AE488:AJ488"/>
    <mergeCell ref="AE489:AJ489"/>
    <mergeCell ref="AE490:AJ490"/>
    <mergeCell ref="AE491:AJ491"/>
    <mergeCell ref="AE492:AJ492"/>
    <mergeCell ref="AE475:AJ475"/>
    <mergeCell ref="AE476:AJ476"/>
    <mergeCell ref="AE477:AJ477"/>
    <mergeCell ref="AE478:AJ478"/>
    <mergeCell ref="AE479:AJ479"/>
    <mergeCell ref="AE480:AJ480"/>
    <mergeCell ref="AE481:AJ481"/>
    <mergeCell ref="AE482:AJ482"/>
    <mergeCell ref="AE483:AJ483"/>
    <mergeCell ref="AE466:AJ466"/>
    <mergeCell ref="AE467:AJ467"/>
    <mergeCell ref="AE468:AJ468"/>
    <mergeCell ref="AE469:AJ469"/>
    <mergeCell ref="AE470:AJ470"/>
    <mergeCell ref="AE471:AJ471"/>
    <mergeCell ref="AE472:AJ472"/>
    <mergeCell ref="AE473:AJ473"/>
    <mergeCell ref="AE474:AJ474"/>
    <mergeCell ref="AE457:AJ457"/>
    <mergeCell ref="AE458:AJ458"/>
    <mergeCell ref="AE459:AJ459"/>
    <mergeCell ref="AE460:AJ460"/>
    <mergeCell ref="AE461:AJ461"/>
    <mergeCell ref="AE462:AJ462"/>
    <mergeCell ref="AE463:AJ463"/>
    <mergeCell ref="AE464:AJ464"/>
    <mergeCell ref="AE465:AJ465"/>
    <mergeCell ref="AE448:AJ448"/>
    <mergeCell ref="AE449:AJ449"/>
    <mergeCell ref="AE450:AJ450"/>
    <mergeCell ref="AE451:AJ451"/>
    <mergeCell ref="AE452:AJ452"/>
    <mergeCell ref="AE453:AJ453"/>
    <mergeCell ref="AE454:AJ454"/>
    <mergeCell ref="AE455:AJ455"/>
    <mergeCell ref="AE456:AJ456"/>
    <mergeCell ref="AE439:AJ439"/>
    <mergeCell ref="AE440:AJ440"/>
    <mergeCell ref="AE441:AJ441"/>
    <mergeCell ref="AE442:AJ442"/>
    <mergeCell ref="AE443:AJ443"/>
    <mergeCell ref="AE444:AJ444"/>
    <mergeCell ref="AE445:AJ445"/>
    <mergeCell ref="AE446:AJ446"/>
    <mergeCell ref="AE447:AJ447"/>
    <mergeCell ref="AE430:AJ430"/>
    <mergeCell ref="AE431:AJ431"/>
    <mergeCell ref="AE432:AJ432"/>
    <mergeCell ref="AE433:AJ433"/>
    <mergeCell ref="AE434:AJ434"/>
    <mergeCell ref="AE435:AJ435"/>
    <mergeCell ref="AE436:AJ436"/>
    <mergeCell ref="AE437:AJ437"/>
    <mergeCell ref="AE438:AJ438"/>
    <mergeCell ref="AE421:AJ421"/>
    <mergeCell ref="AE422:AJ422"/>
    <mergeCell ref="AE423:AJ423"/>
    <mergeCell ref="AE424:AJ424"/>
    <mergeCell ref="AE425:AJ425"/>
    <mergeCell ref="AE426:AJ426"/>
    <mergeCell ref="AE427:AJ427"/>
    <mergeCell ref="AE428:AJ428"/>
    <mergeCell ref="AE429:AJ429"/>
    <mergeCell ref="AE412:AJ412"/>
    <mergeCell ref="AE413:AJ413"/>
    <mergeCell ref="AE414:AJ414"/>
    <mergeCell ref="AE415:AJ415"/>
    <mergeCell ref="AE416:AJ416"/>
    <mergeCell ref="AE417:AJ417"/>
    <mergeCell ref="AE418:AJ418"/>
    <mergeCell ref="AE419:AJ419"/>
    <mergeCell ref="AE420:AJ420"/>
    <mergeCell ref="AE403:AJ403"/>
    <mergeCell ref="AE404:AJ404"/>
    <mergeCell ref="AE405:AJ405"/>
    <mergeCell ref="AE406:AJ406"/>
    <mergeCell ref="AE407:AJ407"/>
    <mergeCell ref="AE408:AJ408"/>
    <mergeCell ref="AE409:AJ409"/>
    <mergeCell ref="AE410:AJ410"/>
    <mergeCell ref="AE411:AJ411"/>
    <mergeCell ref="AE394:AJ394"/>
    <mergeCell ref="AE395:AJ395"/>
    <mergeCell ref="AE396:AJ396"/>
    <mergeCell ref="AE397:AJ397"/>
    <mergeCell ref="AE398:AJ398"/>
    <mergeCell ref="AE399:AJ399"/>
    <mergeCell ref="AE400:AJ400"/>
    <mergeCell ref="AE401:AJ401"/>
    <mergeCell ref="AE402:AJ402"/>
    <mergeCell ref="AE385:AJ385"/>
    <mergeCell ref="AE386:AJ386"/>
    <mergeCell ref="AE387:AJ387"/>
    <mergeCell ref="AE388:AJ388"/>
    <mergeCell ref="AE389:AJ389"/>
    <mergeCell ref="AE390:AJ390"/>
    <mergeCell ref="AE391:AJ391"/>
    <mergeCell ref="AE392:AJ392"/>
    <mergeCell ref="AE393:AJ393"/>
    <mergeCell ref="AE376:AJ376"/>
    <mergeCell ref="AE377:AJ377"/>
    <mergeCell ref="AE378:AJ378"/>
    <mergeCell ref="AE379:AJ379"/>
    <mergeCell ref="AE380:AJ380"/>
    <mergeCell ref="AE381:AJ381"/>
    <mergeCell ref="AE382:AJ382"/>
    <mergeCell ref="AE383:AJ383"/>
    <mergeCell ref="AE384:AJ384"/>
    <mergeCell ref="AE367:AJ367"/>
    <mergeCell ref="AE368:AJ368"/>
    <mergeCell ref="AE369:AJ369"/>
    <mergeCell ref="AE370:AJ370"/>
    <mergeCell ref="AE371:AJ371"/>
    <mergeCell ref="AE372:AJ372"/>
    <mergeCell ref="AE373:AJ373"/>
    <mergeCell ref="AE374:AJ374"/>
    <mergeCell ref="AE375:AJ375"/>
    <mergeCell ref="AE358:AJ358"/>
    <mergeCell ref="AE359:AJ359"/>
    <mergeCell ref="AE360:AJ360"/>
    <mergeCell ref="AE361:AJ361"/>
    <mergeCell ref="AE362:AJ362"/>
    <mergeCell ref="AE363:AJ363"/>
    <mergeCell ref="AE364:AJ364"/>
    <mergeCell ref="AE365:AJ365"/>
    <mergeCell ref="AE366:AJ366"/>
    <mergeCell ref="AE349:AJ349"/>
    <mergeCell ref="AE350:AJ350"/>
    <mergeCell ref="AE351:AJ351"/>
    <mergeCell ref="AE352:AJ352"/>
    <mergeCell ref="AE353:AJ353"/>
    <mergeCell ref="AE354:AJ354"/>
    <mergeCell ref="AE355:AJ355"/>
    <mergeCell ref="AE356:AJ356"/>
    <mergeCell ref="AE357:AJ357"/>
    <mergeCell ref="AE340:AJ340"/>
    <mergeCell ref="AE341:AJ341"/>
    <mergeCell ref="AE342:AJ342"/>
    <mergeCell ref="AE343:AJ343"/>
    <mergeCell ref="AE344:AJ344"/>
    <mergeCell ref="AE345:AJ345"/>
    <mergeCell ref="AE346:AJ346"/>
    <mergeCell ref="AE347:AJ347"/>
    <mergeCell ref="AE348:AJ348"/>
    <mergeCell ref="AE331:AJ331"/>
    <mergeCell ref="AE332:AJ332"/>
    <mergeCell ref="AE333:AJ333"/>
    <mergeCell ref="AE334:AJ334"/>
    <mergeCell ref="AE335:AJ335"/>
    <mergeCell ref="AE336:AJ336"/>
    <mergeCell ref="AE337:AJ337"/>
    <mergeCell ref="AE338:AJ338"/>
    <mergeCell ref="AE339:AJ339"/>
  </mergeCells>
  <phoneticPr fontId="91" type="noConversion"/>
  <conditionalFormatting sqref="A9:A601">
    <cfRule type="expression" dxfId="31" priority="1">
      <formula>$AO9="標題"</formula>
    </cfRule>
    <cfRule type="expression" dxfId="30" priority="2">
      <formula>$AO9="標題"</formula>
    </cfRule>
  </conditionalFormatting>
  <conditionalFormatting sqref="AE9:AJ601">
    <cfRule type="containsText" dxfId="29" priority="3" operator="containsText" text="需自行畫版配">
      <formula>NOT(ISERROR(SEARCH(("需自行畫版配"),(AE9))))</formula>
    </cfRule>
    <cfRule type="expression" dxfId="28" priority="4">
      <formula>$AO:$AO="標題"</formula>
    </cfRule>
  </conditionalFormatting>
  <conditionalFormatting sqref="AM10">
    <cfRule type="notContainsBlanks" dxfId="27" priority="5">
      <formula>LEN(TRIM(AM10))&gt;0</formula>
    </cfRule>
  </conditionalFormatting>
  <conditionalFormatting sqref="AO9:AO601">
    <cfRule type="notContainsBlanks" dxfId="26" priority="6">
      <formula>LEN(TRIM(AO9))&gt;0</formula>
    </cfRule>
  </conditionalFormatting>
  <conditionalFormatting sqref="AO8:BK601">
    <cfRule type="containsBlanks" dxfId="25" priority="7">
      <formula>LEN(TRIM(AO8))=0</formula>
    </cfRule>
    <cfRule type="cellIs" dxfId="24" priority="8" operator="equal">
      <formula>"-"</formula>
    </cfRule>
  </conditionalFormatting>
  <conditionalFormatting sqref="AP1">
    <cfRule type="cellIs" dxfId="23" priority="9" operator="greaterThan">
      <formula>1350</formula>
    </cfRule>
  </conditionalFormatting>
  <conditionalFormatting sqref="AP3">
    <cfRule type="cellIs" dxfId="22" priority="10" operator="lessThan">
      <formula>"90%"</formula>
    </cfRule>
  </conditionalFormatting>
  <conditionalFormatting sqref="AT8:BK601">
    <cfRule type="endsWith" dxfId="21" priority="11" operator="endsWith" text="提供">
      <formula>RIGHT((AT8),LEN("提供"))=("提供")</formula>
    </cfRule>
    <cfRule type="containsText" dxfId="20" priority="12" operator="containsText" text="TBC">
      <formula>NOT(ISERROR(SEARCH(("TBC"),(AT8))))</formula>
    </cfRule>
  </conditionalFormatting>
  <conditionalFormatting sqref="AZ9:AZ601">
    <cfRule type="expression" dxfId="19" priority="13">
      <formula>COUNTIF($AZ:$AZ,$AZ9)&gt;1</formula>
    </cfRule>
  </conditionalFormatting>
  <conditionalFormatting sqref="BF7:BK601">
    <cfRule type="containsText" dxfId="18" priority="14" operator="containsText" text="請入稿">
      <formula>NOT(ISERROR(SEARCH(("請入稿"),(BF7))))</formula>
    </cfRule>
  </conditionalFormatting>
  <conditionalFormatting sqref="BL7:BL601">
    <cfRule type="cellIs" dxfId="17" priority="15" operator="greaterThan">
      <formula>0</formula>
    </cfRule>
  </conditionalFormatting>
  <conditionalFormatting sqref="BM8:BM601">
    <cfRule type="expression" dxfId="16" priority="16">
      <formula>$BM8=TRUE</formula>
    </cfRule>
  </conditionalFormatting>
  <dataValidations count="1">
    <dataValidation type="list" allowBlank="1" showErrorMessage="1" sqref="AP8:AP601" xr:uid="{00000000-0002-0000-0300-000000000000}">
      <formula1>$A8:$AD8</formula1>
    </dataValidation>
  </dataValidations>
  <pageMargins left="0.7" right="0.7" top="0.75" bottom="0.75" header="0" footer="0"/>
  <pageSetup orientation="landscape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300-000001000000}">
          <x14:formula1>
            <xm:f>'(勿動)Component Label公版'!$D$2:$D$92</xm:f>
          </x14:formula1>
          <xm:sqref>AV8:AV601</xm:sqref>
        </x14:dataValidation>
        <x14:dataValidation type="list" allowBlank="1" showErrorMessage="1" xr:uid="{00000000-0002-0000-0300-000002000000}">
          <x14:formula1>
            <xm:f>'(勿動)組件目錄表'!$U$15:$U601</xm:f>
          </x14:formula1>
          <xm:sqref>AO8:AO601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BJ451"/>
  <sheetViews>
    <sheetView workbookViewId="0">
      <pane ySplit="3" topLeftCell="A4" activePane="bottomLeft" state="frozen"/>
      <selection pane="bottomLeft" activeCell="B5" sqref="B5"/>
    </sheetView>
  </sheetViews>
  <sheetFormatPr defaultColWidth="12.5703125" defaultRowHeight="15" customHeight="1" outlineLevelCol="1"/>
  <cols>
    <col min="1" max="30" width="9.5703125" hidden="1" customWidth="1" outlineLevel="1"/>
    <col min="31" max="31" width="9.42578125" customWidth="1"/>
    <col min="32" max="32" width="16.5703125" customWidth="1"/>
    <col min="33" max="33" width="9.42578125" customWidth="1"/>
    <col min="34" max="36" width="9.5703125" customWidth="1"/>
    <col min="37" max="38" width="7.5703125" customWidth="1"/>
    <col min="39" max="40" width="13" hidden="1" customWidth="1" outlineLevel="1"/>
    <col min="41" max="46" width="13.85546875" customWidth="1"/>
    <col min="47" max="48" width="7.85546875" customWidth="1" outlineLevel="1"/>
    <col min="49" max="53" width="9.5703125" customWidth="1" outlineLevel="1"/>
    <col min="54" max="54" width="14.140625" customWidth="1"/>
    <col min="55" max="55" width="23.28515625" customWidth="1"/>
    <col min="56" max="58" width="9.5703125" customWidth="1" outlineLevel="1"/>
    <col min="59" max="60" width="18.140625" customWidth="1"/>
    <col min="61" max="62" width="9.5703125" customWidth="1"/>
  </cols>
  <sheetData>
    <row r="1" spans="1:62" ht="15.75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01"/>
      <c r="AJ1" s="18"/>
      <c r="AO1" s="437" t="s">
        <v>184</v>
      </c>
      <c r="AP1" s="385"/>
      <c r="AQ1" s="102" t="s">
        <v>185</v>
      </c>
      <c r="AR1" s="103" t="s">
        <v>186</v>
      </c>
      <c r="AS1" s="104" t="s">
        <v>166</v>
      </c>
      <c r="AT1" s="105" t="s">
        <v>167</v>
      </c>
      <c r="AU1" s="485" t="s">
        <v>187</v>
      </c>
      <c r="AV1" s="439"/>
      <c r="AW1" s="439"/>
      <c r="AX1" s="439"/>
      <c r="AY1" s="439"/>
      <c r="AZ1" s="439"/>
      <c r="BA1" s="440"/>
      <c r="BB1" s="487"/>
      <c r="BC1" s="439"/>
      <c r="BD1" s="439"/>
      <c r="BE1" s="439"/>
      <c r="BF1" s="439"/>
      <c r="BG1" s="439"/>
      <c r="BH1" s="439"/>
      <c r="BI1" s="488" t="s">
        <v>93</v>
      </c>
      <c r="BJ1" s="423"/>
    </row>
    <row r="2" spans="1:62" ht="15.75" customHeight="1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J2" s="18"/>
      <c r="AO2" s="489" t="s">
        <v>188</v>
      </c>
      <c r="AP2" s="447"/>
      <c r="AQ2" s="490"/>
      <c r="AR2" s="491" t="s">
        <v>189</v>
      </c>
      <c r="AS2" s="399"/>
      <c r="AT2" s="422"/>
      <c r="AU2" s="486"/>
      <c r="AV2" s="442"/>
      <c r="AW2" s="442"/>
      <c r="AX2" s="442"/>
      <c r="AY2" s="442"/>
      <c r="AZ2" s="442"/>
      <c r="BA2" s="443"/>
      <c r="BB2" s="442"/>
      <c r="BC2" s="442"/>
      <c r="BD2" s="442"/>
      <c r="BE2" s="442"/>
      <c r="BF2" s="442"/>
      <c r="BG2" s="442"/>
      <c r="BH2" s="442"/>
      <c r="BI2" s="400"/>
      <c r="BJ2" s="424"/>
    </row>
    <row r="3" spans="1:62" ht="15.75" customHeight="1">
      <c r="A3" s="492" t="s">
        <v>90</v>
      </c>
      <c r="B3" s="384"/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  <c r="R3" s="384"/>
      <c r="S3" s="384"/>
      <c r="T3" s="384"/>
      <c r="U3" s="384"/>
      <c r="V3" s="384"/>
      <c r="W3" s="384"/>
      <c r="X3" s="384"/>
      <c r="Y3" s="384"/>
      <c r="Z3" s="384"/>
      <c r="AA3" s="384"/>
      <c r="AB3" s="384"/>
      <c r="AC3" s="384"/>
      <c r="AD3" s="405"/>
      <c r="AE3" s="106" t="s">
        <v>96</v>
      </c>
      <c r="AF3" s="106" t="s">
        <v>97</v>
      </c>
      <c r="AG3" s="106" t="s">
        <v>190</v>
      </c>
      <c r="AH3" s="480" t="s">
        <v>191</v>
      </c>
      <c r="AI3" s="405"/>
      <c r="AJ3" s="107" t="s">
        <v>192</v>
      </c>
      <c r="AK3" s="107" t="s">
        <v>193</v>
      </c>
      <c r="AL3" s="107" t="s">
        <v>194</v>
      </c>
      <c r="AM3" s="481" t="s">
        <v>195</v>
      </c>
      <c r="AN3" s="405"/>
      <c r="AO3" s="498" t="s">
        <v>196</v>
      </c>
      <c r="AP3" s="384"/>
      <c r="AQ3" s="384"/>
      <c r="AR3" s="384"/>
      <c r="AS3" s="384"/>
      <c r="AT3" s="385"/>
      <c r="AU3" s="108" t="s">
        <v>197</v>
      </c>
      <c r="AV3" s="109" t="s">
        <v>198</v>
      </c>
      <c r="AW3" s="480" t="s">
        <v>199</v>
      </c>
      <c r="AX3" s="384"/>
      <c r="AY3" s="384"/>
      <c r="AZ3" s="384"/>
      <c r="BA3" s="385"/>
      <c r="BB3" s="480" t="s">
        <v>200</v>
      </c>
      <c r="BC3" s="405"/>
      <c r="BD3" s="481" t="s">
        <v>195</v>
      </c>
      <c r="BE3" s="384"/>
      <c r="BF3" s="405"/>
      <c r="BG3" s="480" t="s">
        <v>201</v>
      </c>
      <c r="BH3" s="493"/>
      <c r="BI3" s="108" t="s">
        <v>104</v>
      </c>
      <c r="BJ3" s="110" t="s">
        <v>105</v>
      </c>
    </row>
    <row r="4" spans="1:62" ht="15.75" customHeight="1">
      <c r="A4" s="18" t="str">
        <f t="array" aca="1" ref="A4" ca="1">IFERROR(TRANSPOSE(INDIRECT('「(動工中勿使用!!)新版+舊版_Teaser」的副本'!$BB4)),"")</f>
        <v>固定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79" t="b">
        <v>0</v>
      </c>
      <c r="AF4" s="111" t="str">
        <f t="shared" ref="AF4:AF9" si="0">IF(AE4=TRUE,"若有勾選則必填，隱藏錨點請填寫&lt;設隱形錨點&gt;","")</f>
        <v/>
      </c>
      <c r="AG4" s="112" t="str">
        <f t="shared" ref="AG4:AG258" si="1">IF(AF4="設隱形錨點","",IF(AE4=FALSE,"",IF(AE4=TRUE, SUBSTITUTE($AI4, "_", ""))))</f>
        <v/>
      </c>
      <c r="AH4" s="113" t="s">
        <v>202</v>
      </c>
      <c r="AI4" s="114" t="str">
        <f ca="1">IFERROR(VLOOKUP($AH4, '(勿動)Component Label公版'!$D$1:$E$1000, 2, FALSE), "-")</f>
        <v>-</v>
      </c>
      <c r="AJ4" s="115"/>
      <c r="AK4" s="112"/>
      <c r="AL4" s="112"/>
      <c r="AM4" s="116" t="str">
        <f t="shared" ref="AM4:AM258" si="2">IFERROR(
  IF(TRIM(AK4)="", "",
    TEXT(
      DATEVALUE("2025/" &amp; LEFT(TRIM(AK4), FIND(" ", TRIM(AK4)) - 1)) +
      TIMEVALUE(MID(TRIM(AK4), FIND(" ", TRIM(AK4)) + 1, LEN(TRIM(AK4)))),
      "yyyy-mm-dd hh:mm:ss"
    )
  ),
"")</f>
        <v/>
      </c>
      <c r="AN4" s="117" t="str">
        <f t="shared" ref="AN4:AN258" si="3">IFERROR(
  IF(TRIM(AL4)="", "",
    TEXT(
      DATEVALUE("2025/" &amp; LEFT(TRIM(AL4), FIND(" ", TRIM(AL4)) - 1)) +
      TIMEVALUE(MID(TRIM(AL4), FIND(" ", TRIM(AL4)) + 1, 5)) +
      TIME(0,0,59),
      "yyyy-mm-dd hh:mm:ss"
    )
  ),
"")</f>
        <v/>
      </c>
      <c r="AO4" s="62" t="s">
        <v>203</v>
      </c>
      <c r="AP4" s="62" t="s">
        <v>204</v>
      </c>
      <c r="AQ4" s="62" t="s">
        <v>205</v>
      </c>
      <c r="AR4" s="62"/>
      <c r="AS4" s="62"/>
      <c r="AT4" s="62"/>
      <c r="AU4" s="54" t="b">
        <v>0</v>
      </c>
      <c r="AV4" s="54" t="b">
        <v>0</v>
      </c>
      <c r="AW4" s="118"/>
      <c r="AX4" s="119"/>
      <c r="AY4" s="119"/>
      <c r="AZ4" s="119"/>
      <c r="BA4" s="120"/>
      <c r="BB4" s="494" t="s">
        <v>206</v>
      </c>
      <c r="BC4" s="403" t="s">
        <v>113</v>
      </c>
      <c r="BD4" s="495" t="str">
        <f>$BB4&amp;"_"&amp;$BC4</f>
        <v>錨點_固定</v>
      </c>
      <c r="BE4" s="496" t="str">
        <f>IFERROR(VLOOKUP($BD4,'(勿動)組件目錄表'!$D$15:$R$1094,2,FALSE),"")</f>
        <v>A-2</v>
      </c>
      <c r="BF4" s="497">
        <f>IFERROR(VLOOKUP($BD4, '(勿動)組件目錄表'!$D$15:$R$1094, 5, FALSE),"")</f>
        <v>0.5</v>
      </c>
      <c r="BG4" s="121" t="s">
        <v>207</v>
      </c>
      <c r="BH4" s="122"/>
      <c r="BI4" s="118"/>
      <c r="BJ4" s="120"/>
    </row>
    <row r="5" spans="1:62" ht="15.75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79" t="b">
        <v>0</v>
      </c>
      <c r="AF5" s="111" t="str">
        <f t="shared" si="0"/>
        <v/>
      </c>
      <c r="AG5" s="112" t="str">
        <f t="shared" si="1"/>
        <v/>
      </c>
      <c r="AH5" s="113" t="s">
        <v>202</v>
      </c>
      <c r="AI5" s="114" t="str">
        <f ca="1">IFERROR(VLOOKUP($AH5, '(勿動)Component Label公版'!$D$1:$E$1000, 2, FALSE), "-")</f>
        <v>-</v>
      </c>
      <c r="AJ5" s="115"/>
      <c r="AK5" s="112"/>
      <c r="AL5" s="112"/>
      <c r="AM5" s="116" t="str">
        <f t="shared" si="2"/>
        <v/>
      </c>
      <c r="AN5" s="117" t="str">
        <f t="shared" si="3"/>
        <v/>
      </c>
      <c r="AO5" s="62"/>
      <c r="AP5" s="62"/>
      <c r="AQ5" s="62"/>
      <c r="AR5" s="62"/>
      <c r="AS5" s="62"/>
      <c r="AT5" s="62"/>
      <c r="AU5" s="54" t="b">
        <v>0</v>
      </c>
      <c r="AV5" s="54" t="b">
        <v>0</v>
      </c>
      <c r="AW5" s="123"/>
      <c r="AX5" s="124"/>
      <c r="AY5" s="124"/>
      <c r="AZ5" s="124"/>
      <c r="BA5" s="125"/>
      <c r="BB5" s="483"/>
      <c r="BC5" s="483"/>
      <c r="BD5" s="483"/>
      <c r="BE5" s="483"/>
      <c r="BF5" s="483"/>
      <c r="BG5" s="121"/>
      <c r="BH5" s="122"/>
      <c r="BI5" s="118"/>
      <c r="BJ5" s="120"/>
    </row>
    <row r="6" spans="1:62" ht="15.75" customHeight="1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79" t="b">
        <v>0</v>
      </c>
      <c r="AF6" s="111" t="str">
        <f t="shared" si="0"/>
        <v/>
      </c>
      <c r="AG6" s="112" t="str">
        <f t="shared" si="1"/>
        <v/>
      </c>
      <c r="AH6" s="113" t="s">
        <v>202</v>
      </c>
      <c r="AI6" s="114" t="str">
        <f ca="1">IFERROR(VLOOKUP($AH6, '(勿動)Component Label公版'!$D$1:$E$1000, 2, FALSE), "-")</f>
        <v>-</v>
      </c>
      <c r="AJ6" s="115"/>
      <c r="AK6" s="112"/>
      <c r="AL6" s="112"/>
      <c r="AM6" s="116" t="str">
        <f t="shared" si="2"/>
        <v/>
      </c>
      <c r="AN6" s="117" t="str">
        <f t="shared" si="3"/>
        <v/>
      </c>
      <c r="AO6" s="62"/>
      <c r="AP6" s="62"/>
      <c r="AQ6" s="62"/>
      <c r="AR6" s="62"/>
      <c r="AS6" s="62"/>
      <c r="AT6" s="62"/>
      <c r="AU6" s="54" t="b">
        <v>0</v>
      </c>
      <c r="AV6" s="54" t="b">
        <v>0</v>
      </c>
      <c r="AW6" s="123"/>
      <c r="AX6" s="124"/>
      <c r="AY6" s="124"/>
      <c r="AZ6" s="124"/>
      <c r="BA6" s="125"/>
      <c r="BB6" s="379"/>
      <c r="BC6" s="379"/>
      <c r="BD6" s="379"/>
      <c r="BE6" s="379"/>
      <c r="BF6" s="379"/>
      <c r="BG6" s="121"/>
      <c r="BH6" s="122"/>
      <c r="BI6" s="118"/>
      <c r="BJ6" s="120"/>
    </row>
    <row r="7" spans="1:62" ht="15.75" customHeight="1">
      <c r="A7" s="18" t="str">
        <f t="array" aca="1" ref="A7" ca="1">IFERROR(TRANSPOSE(INDIRECT('「(動工中勿使用!!)新版+舊版_Teaser」的副本'!$BB7)),"")</f>
        <v>固定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79" t="b">
        <v>0</v>
      </c>
      <c r="AF7" s="111" t="str">
        <f t="shared" si="0"/>
        <v/>
      </c>
      <c r="AG7" s="112" t="str">
        <f t="shared" si="1"/>
        <v/>
      </c>
      <c r="AH7" s="126"/>
      <c r="AI7" s="114" t="str">
        <f ca="1">IFERROR(VLOOKUP($AH7, '(勿動)Component Label公版'!$D$1:$E$1000, 2, FALSE), "-")</f>
        <v>-</v>
      </c>
      <c r="AJ7" s="127"/>
      <c r="AK7" s="128"/>
      <c r="AL7" s="128"/>
      <c r="AM7" s="116" t="str">
        <f t="shared" si="2"/>
        <v/>
      </c>
      <c r="AN7" s="117" t="str">
        <f t="shared" si="3"/>
        <v/>
      </c>
      <c r="AO7" s="499" t="s">
        <v>208</v>
      </c>
      <c r="AP7" s="384"/>
      <c r="AQ7" s="384"/>
      <c r="AR7" s="384"/>
      <c r="AS7" s="384"/>
      <c r="AT7" s="385"/>
      <c r="AU7" s="54" t="b">
        <v>0</v>
      </c>
      <c r="AV7" s="54" t="b">
        <v>0</v>
      </c>
      <c r="AW7" s="123"/>
      <c r="AX7" s="124"/>
      <c r="AY7" s="124"/>
      <c r="AZ7" s="124"/>
      <c r="BA7" s="125"/>
      <c r="BB7" s="68" t="s">
        <v>209</v>
      </c>
      <c r="BC7" s="62" t="s">
        <v>113</v>
      </c>
      <c r="BD7" s="129" t="str">
        <f t="shared" ref="BD7:BD261" si="4">$BB7&amp;"_"&amp;$BC7</f>
        <v>mission計時器_固定</v>
      </c>
      <c r="BE7" s="130" t="str">
        <f>IFERROR(VLOOKUP($BD7,'(勿動)組件目錄表'!$D$15:$R$1094,2,FALSE),"")</f>
        <v>A-4</v>
      </c>
      <c r="BF7" s="131">
        <f>IFERROR(VLOOKUP($BD7, '(勿動)組件目錄表'!$D$15:$R$1094, 5, FALSE),"")</f>
        <v>0.5</v>
      </c>
      <c r="BG7" s="118"/>
      <c r="BH7" s="120"/>
      <c r="BI7" s="118"/>
      <c r="BJ7" s="120"/>
    </row>
    <row r="8" spans="1:62" ht="15.75" customHeight="1">
      <c r="A8" s="18" t="str">
        <f t="array" aca="1" ref="A8:B8" ca="1">IFERROR(TRANSPOSE(INDIRECT('「(動工中勿使用!!)新版+舊版_Teaser」的副本'!$BB8)),"")</f>
        <v>無CTA</v>
      </c>
      <c r="B8" s="18" t="str">
        <f ca="1"/>
        <v>Image Collection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80" t="b">
        <v>1</v>
      </c>
      <c r="AF8" s="111" t="str">
        <f t="shared" si="0"/>
        <v>若有勾選則必填，隱藏錨點請填寫&lt;設隱形錨點&gt;</v>
      </c>
      <c r="AG8" s="112" t="str">
        <f t="shared" ca="1" si="1"/>
        <v>-</v>
      </c>
      <c r="AH8" s="126" t="s">
        <v>153</v>
      </c>
      <c r="AI8" s="114" t="str">
        <f ca="1">IFERROR(VLOOKUP($AH8, '(勿動)Component Label公版'!$D$1:$E$1000, 2, FALSE), "-")</f>
        <v>-</v>
      </c>
      <c r="AJ8" s="127"/>
      <c r="AK8" s="128"/>
      <c r="AL8" s="128"/>
      <c r="AM8" s="116" t="str">
        <f t="shared" si="2"/>
        <v/>
      </c>
      <c r="AN8" s="117" t="str">
        <f t="shared" si="3"/>
        <v/>
      </c>
      <c r="AO8" s="500" t="s">
        <v>210</v>
      </c>
      <c r="AP8" s="384"/>
      <c r="AQ8" s="384"/>
      <c r="AR8" s="384"/>
      <c r="AS8" s="384"/>
      <c r="AT8" s="385"/>
      <c r="AU8" s="54" t="b">
        <v>1</v>
      </c>
      <c r="AV8" s="54" t="b">
        <v>0</v>
      </c>
      <c r="AW8" s="123"/>
      <c r="AX8" s="124"/>
      <c r="AY8" s="124"/>
      <c r="AZ8" s="124"/>
      <c r="BA8" s="125"/>
      <c r="BB8" s="494" t="s">
        <v>153</v>
      </c>
      <c r="BC8" s="403" t="s">
        <v>154</v>
      </c>
      <c r="BD8" s="129" t="str">
        <f t="shared" si="4"/>
        <v>KV_無CTA</v>
      </c>
      <c r="BE8" s="130" t="str">
        <f>IFERROR(VLOOKUP($BD8,'(勿動)組件目錄表'!$D$15:$R$1094,2,FALSE),"")</f>
        <v>A-5</v>
      </c>
      <c r="BF8" s="131">
        <f>IFERROR(VLOOKUP($BD8, '(勿動)組件目錄表'!$D$15:$R$1094, 5, FALSE),"")</f>
        <v>0.5</v>
      </c>
      <c r="BG8" s="118" t="s">
        <v>211</v>
      </c>
      <c r="BH8" s="120"/>
      <c r="BI8" s="118"/>
      <c r="BJ8" s="120"/>
    </row>
    <row r="9" spans="1:62" ht="158.25" customHeight="1">
      <c r="A9" s="18" t="str">
        <f t="array" aca="1" ref="A9" ca="1">IFERROR(TRANSPOSE(INDIRECT('「(動工中勿使用!!)新版+舊版_Teaser」的副本'!$BB9)),"")</f>
        <v/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80" t="b">
        <v>0</v>
      </c>
      <c r="AF9" s="111" t="str">
        <f t="shared" si="0"/>
        <v/>
      </c>
      <c r="AG9" s="112" t="str">
        <f t="shared" si="1"/>
        <v/>
      </c>
      <c r="AH9" s="126" t="s">
        <v>153</v>
      </c>
      <c r="AI9" s="114" t="str">
        <f ca="1">IFERROR(VLOOKUP($AH9, '(勿動)Component Label公版'!$D$1:$E$1000, 2, FALSE), "-")</f>
        <v>-</v>
      </c>
      <c r="AJ9" s="127"/>
      <c r="AK9" s="112"/>
      <c r="AL9" s="112"/>
      <c r="AM9" s="116" t="str">
        <f t="shared" si="2"/>
        <v/>
      </c>
      <c r="AN9" s="117" t="str">
        <f t="shared" si="3"/>
        <v/>
      </c>
      <c r="AO9" s="501" t="s">
        <v>212</v>
      </c>
      <c r="AP9" s="384"/>
      <c r="AQ9" s="384"/>
      <c r="AR9" s="384"/>
      <c r="AS9" s="384"/>
      <c r="AT9" s="385"/>
      <c r="AU9" s="54" t="b">
        <v>1</v>
      </c>
      <c r="AV9" s="54" t="b">
        <v>0</v>
      </c>
      <c r="AW9" s="123"/>
      <c r="AX9" s="124"/>
      <c r="AY9" s="124"/>
      <c r="AZ9" s="124"/>
      <c r="BA9" s="125"/>
      <c r="BB9" s="379"/>
      <c r="BC9" s="379"/>
      <c r="BD9" s="129" t="str">
        <f t="shared" si="4"/>
        <v>_</v>
      </c>
      <c r="BE9" s="130" t="str">
        <f>IFERROR(VLOOKUP($BD9,'(勿動)組件目錄表'!$D$15:$R$1094,2,FALSE),"")</f>
        <v/>
      </c>
      <c r="BF9" s="131" t="str">
        <f>IFERROR(VLOOKUP($BD9, '(勿動)組件目錄表'!$D$15:$R$1094, 5, FALSE),"")</f>
        <v/>
      </c>
      <c r="BG9" s="118" t="s">
        <v>213</v>
      </c>
      <c r="BH9" s="120"/>
      <c r="BI9" s="118"/>
      <c r="BJ9" s="120"/>
    </row>
    <row r="10" spans="1:62" ht="33.75" customHeight="1">
      <c r="A10" s="18" t="str">
        <f t="array" aca="1" ref="A10:D10" ca="1">IFERROR(TRANSPOSE(INDIRECT('「(動工中勿使用!!)新版+舊版_Teaser」的副本'!$BB10)),"")</f>
        <v>置中</v>
      </c>
      <c r="B10" s="18" t="str">
        <f ca="1"/>
        <v>置中 + Display See All</v>
      </c>
      <c r="C10" s="18" t="str">
        <f ca="1"/>
        <v>置左</v>
      </c>
      <c r="D10" s="18" t="str">
        <f ca="1"/>
        <v>置左 + Display See All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80" t="b">
        <v>1</v>
      </c>
      <c r="AF10" s="111" t="s">
        <v>203</v>
      </c>
      <c r="AG10" s="112" t="str">
        <f t="shared" ca="1" si="1"/>
        <v>-</v>
      </c>
      <c r="AH10" s="126" t="s">
        <v>214</v>
      </c>
      <c r="AI10" s="114" t="str">
        <f ca="1">IFERROR(VLOOKUP($AH10, '(勿動)Component Label公版'!$D$1:$E$1000, 2, FALSE), "-")</f>
        <v>-</v>
      </c>
      <c r="AJ10" s="482" t="s">
        <v>215</v>
      </c>
      <c r="AK10" s="128"/>
      <c r="AL10" s="128"/>
      <c r="AM10" s="116" t="str">
        <f t="shared" si="2"/>
        <v/>
      </c>
      <c r="AN10" s="117" t="str">
        <f t="shared" si="3"/>
        <v/>
      </c>
      <c r="AO10" s="502" t="s">
        <v>214</v>
      </c>
      <c r="AP10" s="384"/>
      <c r="AQ10" s="384"/>
      <c r="AR10" s="384"/>
      <c r="AS10" s="384"/>
      <c r="AT10" s="385"/>
      <c r="AU10" s="54" t="b">
        <v>0</v>
      </c>
      <c r="AV10" s="54" t="b">
        <v>0</v>
      </c>
      <c r="AW10" s="452"/>
      <c r="AX10" s="503"/>
      <c r="AY10" s="503"/>
      <c r="AZ10" s="503"/>
      <c r="BA10" s="504"/>
      <c r="BB10" s="68" t="s">
        <v>159</v>
      </c>
      <c r="BC10" s="62" t="s">
        <v>157</v>
      </c>
      <c r="BD10" s="129" t="str">
        <f t="shared" si="4"/>
        <v>標題_置左</v>
      </c>
      <c r="BE10" s="130" t="str">
        <f>IFERROR(VLOOKUP($BD10,'(勿動)組件目錄表'!$D$15:$R$1094,2,FALSE),"")</f>
        <v>D-3</v>
      </c>
      <c r="BF10" s="131">
        <f>IFERROR(VLOOKUP($BD10, '(勿動)組件目錄表'!$D$15:$R$1094, 5, FALSE),"")</f>
        <v>0.5</v>
      </c>
      <c r="BG10" s="118"/>
      <c r="BH10" s="120"/>
      <c r="BI10" s="118"/>
      <c r="BJ10" s="120"/>
    </row>
    <row r="11" spans="1:62" ht="15.75" customHeight="1">
      <c r="A11" s="18" t="str">
        <f t="array" aca="1" ref="A11:D11" ca="1">IFERROR(TRANSPOSE(INDIRECT('「(動工中勿使用!!)新版+舊版_Teaser」的副本'!$BB11)),"")</f>
        <v>說明文字-固定</v>
      </c>
      <c r="B11" s="18" t="str">
        <f ca="1"/>
        <v>活動辦法-固定</v>
      </c>
      <c r="C11" s="18" t="str">
        <f ca="1"/>
        <v>中標</v>
      </c>
      <c r="D11" s="18" t="str">
        <f ca="1"/>
        <v>小標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80" t="b">
        <v>0</v>
      </c>
      <c r="AF11" s="111" t="str">
        <f t="shared" ref="AF11:AF17" si="5">IF(AE11=TRUE,"若有勾選則必填，隱藏錨點請填寫&lt;設隱形錨點&gt;","")</f>
        <v/>
      </c>
      <c r="AG11" s="112" t="str">
        <f t="shared" si="1"/>
        <v/>
      </c>
      <c r="AH11" s="126" t="s">
        <v>214</v>
      </c>
      <c r="AI11" s="114" t="str">
        <f ca="1">IFERROR(VLOOKUP($AH11, '(勿動)Component Label公版'!$D$1:$E$1000, 2, FALSE), "-")</f>
        <v>-</v>
      </c>
      <c r="AJ11" s="483"/>
      <c r="AK11" s="128"/>
      <c r="AL11" s="128"/>
      <c r="AM11" s="116" t="str">
        <f t="shared" si="2"/>
        <v/>
      </c>
      <c r="AN11" s="117" t="str">
        <f t="shared" si="3"/>
        <v/>
      </c>
      <c r="AO11" s="505" t="s">
        <v>216</v>
      </c>
      <c r="AP11" s="384"/>
      <c r="AQ11" s="384"/>
      <c r="AR11" s="384"/>
      <c r="AS11" s="384"/>
      <c r="AT11" s="385"/>
      <c r="AU11" s="54" t="b">
        <v>0</v>
      </c>
      <c r="AV11" s="54" t="b">
        <v>0</v>
      </c>
      <c r="AW11" s="123"/>
      <c r="AX11" s="124"/>
      <c r="AY11" s="124"/>
      <c r="AZ11" s="124"/>
      <c r="BA11" s="125"/>
      <c r="BB11" s="68" t="s">
        <v>168</v>
      </c>
      <c r="BC11" s="62" t="s">
        <v>166</v>
      </c>
      <c r="BD11" s="129" t="str">
        <f t="shared" si="4"/>
        <v>文字_中標</v>
      </c>
      <c r="BE11" s="130" t="str">
        <f>IFERROR(VLOOKUP($BD11,'(勿動)組件目錄表'!$D$15:$R$1094,2,FALSE),"")</f>
        <v>E-3</v>
      </c>
      <c r="BF11" s="131">
        <f>IFERROR(VLOOKUP($BD11, '(勿動)組件目錄表'!$D$15:$R$1094, 5, FALSE),"")</f>
        <v>0.5</v>
      </c>
      <c r="BG11" s="118"/>
      <c r="BH11" s="120"/>
      <c r="BI11" s="118"/>
      <c r="BJ11" s="120"/>
    </row>
    <row r="12" spans="1:62" ht="15.75" customHeight="1">
      <c r="A12" s="18" t="str">
        <f t="array" aca="1" ref="A12:D12" ca="1">IFERROR(TRANSPOSE(INDIRECT('「(動工中勿使用!!)新版+舊版_Teaser」的副本'!$BB12)),"")</f>
        <v>說明文字-固定</v>
      </c>
      <c r="B12" s="18" t="str">
        <f ca="1"/>
        <v>活動辦法-固定</v>
      </c>
      <c r="C12" s="18" t="str">
        <f ca="1"/>
        <v>中標</v>
      </c>
      <c r="D12" s="18" t="str">
        <f ca="1"/>
        <v>小標</v>
      </c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86" t="b">
        <v>0</v>
      </c>
      <c r="AF12" s="111" t="str">
        <f t="shared" si="5"/>
        <v/>
      </c>
      <c r="AG12" s="112" t="str">
        <f t="shared" si="1"/>
        <v/>
      </c>
      <c r="AH12" s="126" t="s">
        <v>214</v>
      </c>
      <c r="AI12" s="114" t="str">
        <f ca="1">IFERROR(VLOOKUP($AH12, '(勿動)Component Label公版'!$D$1:$E$1000, 2, FALSE), "-")</f>
        <v>-</v>
      </c>
      <c r="AJ12" s="483"/>
      <c r="AK12" s="484" t="s">
        <v>217</v>
      </c>
      <c r="AL12" s="424"/>
      <c r="AM12" s="116" t="str">
        <f t="shared" si="2"/>
        <v/>
      </c>
      <c r="AN12" s="117" t="str">
        <f t="shared" si="3"/>
        <v/>
      </c>
      <c r="AO12" s="445" t="s">
        <v>218</v>
      </c>
      <c r="AP12" s="384"/>
      <c r="AQ12" s="384"/>
      <c r="AR12" s="384"/>
      <c r="AS12" s="384"/>
      <c r="AT12" s="385"/>
      <c r="AU12" s="54" t="b">
        <v>0</v>
      </c>
      <c r="AV12" s="54" t="b">
        <v>0</v>
      </c>
      <c r="AW12" s="123"/>
      <c r="AX12" s="124"/>
      <c r="AY12" s="124"/>
      <c r="AZ12" s="124"/>
      <c r="BA12" s="125"/>
      <c r="BB12" s="68" t="s">
        <v>168</v>
      </c>
      <c r="BC12" s="62" t="s">
        <v>167</v>
      </c>
      <c r="BD12" s="129" t="str">
        <f t="shared" si="4"/>
        <v>文字_小標</v>
      </c>
      <c r="BE12" s="130" t="str">
        <f>IFERROR(VLOOKUP($BD12,'(勿動)組件目錄表'!$D$15:$R$1094,2,FALSE),"")</f>
        <v>E-4</v>
      </c>
      <c r="BF12" s="131">
        <f>IFERROR(VLOOKUP($BD12, '(勿動)組件目錄表'!$D$15:$R$1094, 5, FALSE),"")</f>
        <v>0.5</v>
      </c>
      <c r="BG12" s="118"/>
      <c r="BH12" s="120"/>
      <c r="BI12" s="118"/>
      <c r="BJ12" s="120"/>
    </row>
    <row r="13" spans="1:62" ht="15.75" customHeight="1">
      <c r="A13" s="18" t="str">
        <f t="array" aca="1" ref="A13:D13" ca="1">IFERROR(TRANSPOSE(INDIRECT('「(動工中勿使用!!)新版+舊版_Teaser」的副本'!$BB13)),"")</f>
        <v>說明文字-固定</v>
      </c>
      <c r="B13" s="18" t="str">
        <f ca="1"/>
        <v>活動辦法-固定</v>
      </c>
      <c r="C13" s="18" t="str">
        <f ca="1"/>
        <v>中標</v>
      </c>
      <c r="D13" s="18" t="str">
        <f ca="1"/>
        <v>小標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86" t="b">
        <v>0</v>
      </c>
      <c r="AF13" s="111" t="str">
        <f t="shared" si="5"/>
        <v/>
      </c>
      <c r="AG13" s="112" t="str">
        <f t="shared" si="1"/>
        <v/>
      </c>
      <c r="AH13" s="126" t="s">
        <v>214</v>
      </c>
      <c r="AI13" s="114" t="str">
        <f ca="1">IFERROR(VLOOKUP($AH13, '(勿動)Component Label公版'!$D$1:$E$1000, 2, FALSE), "-")</f>
        <v>-</v>
      </c>
      <c r="AJ13" s="483"/>
      <c r="AK13" s="484" t="s">
        <v>219</v>
      </c>
      <c r="AL13" s="424"/>
      <c r="AM13" s="116" t="str">
        <f t="shared" si="2"/>
        <v/>
      </c>
      <c r="AN13" s="117" t="str">
        <f t="shared" si="3"/>
        <v/>
      </c>
      <c r="AO13" s="445" t="s">
        <v>220</v>
      </c>
      <c r="AP13" s="384"/>
      <c r="AQ13" s="384"/>
      <c r="AR13" s="384"/>
      <c r="AS13" s="384"/>
      <c r="AT13" s="385"/>
      <c r="AU13" s="54" t="b">
        <v>0</v>
      </c>
      <c r="AV13" s="54" t="b">
        <v>0</v>
      </c>
      <c r="AW13" s="123"/>
      <c r="AX13" s="124"/>
      <c r="AY13" s="124"/>
      <c r="AZ13" s="124"/>
      <c r="BA13" s="125"/>
      <c r="BB13" s="68" t="s">
        <v>168</v>
      </c>
      <c r="BC13" s="62" t="s">
        <v>167</v>
      </c>
      <c r="BD13" s="129" t="str">
        <f t="shared" si="4"/>
        <v>文字_小標</v>
      </c>
      <c r="BE13" s="130" t="str">
        <f>IFERROR(VLOOKUP($BD13,'(勿動)組件目錄表'!$D$15:$R$1094,2,FALSE),"")</f>
        <v>E-4</v>
      </c>
      <c r="BF13" s="131">
        <f>IFERROR(VLOOKUP($BD13, '(勿動)組件目錄表'!$D$15:$R$1094, 5, FALSE),"")</f>
        <v>0.5</v>
      </c>
      <c r="BG13" s="118"/>
      <c r="BH13" s="120"/>
      <c r="BI13" s="118"/>
      <c r="BJ13" s="120"/>
    </row>
    <row r="14" spans="1:62" ht="15.75" customHeight="1">
      <c r="A14" s="18" t="str">
        <f t="array" aca="1" ref="A14:I14" ca="1">IFERROR(TRANSPOSE(INDIRECT('「(動工中勿使用!!)新版+舊版_Teaser」的副本'!$BB14)),"")</f>
        <v>一排1張(單張/多張)(無一鍵領取)</v>
      </c>
      <c r="B14" s="18" t="str">
        <f ca="1"/>
        <v>一排1張 + Reminder(單張/多張)(無一鍵領取)</v>
      </c>
      <c r="C14" s="18" t="str">
        <f ca="1"/>
        <v>一排1張 + 一鍵領取(多張)</v>
      </c>
      <c r="D14" s="18" t="str">
        <f ca="1"/>
        <v>【僅供MKT Campaign使用】PC：一排兩張；APP：一排1張 + 一鍵領取(多張)</v>
      </c>
      <c r="E14" s="18" t="str">
        <f ca="1"/>
        <v>【僅供MKT Campaign使用】PC：一排兩張；APP：一排1張 + 一鍵領取(多張) + Reminder</v>
      </c>
      <c r="F14" s="18" t="str">
        <f ca="1"/>
        <v>【僅供MKT Campaign使用】PC：一排兩張；APP：一排1張 + 一鍵領取(多張) + Reminder + 查看全部(系統預設加上「優惠券」文案)</v>
      </c>
      <c r="G14" s="18" t="str">
        <f ca="1"/>
        <v>一排2張(單張/多張)(無一鍵領取)</v>
      </c>
      <c r="H14" s="18" t="str">
        <f ca="1"/>
        <v>一排2張 + Reminder(單張/多張)(無一鍵領取)</v>
      </c>
      <c r="I14" s="18" t="str">
        <f ca="1"/>
        <v>一排2張 + 一鍵領取(多張)</v>
      </c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86" t="b">
        <v>0</v>
      </c>
      <c r="AF14" s="111" t="str">
        <f t="shared" si="5"/>
        <v/>
      </c>
      <c r="AG14" s="112" t="str">
        <f t="shared" si="1"/>
        <v/>
      </c>
      <c r="AH14" s="126" t="s">
        <v>214</v>
      </c>
      <c r="AI14" s="114" t="str">
        <f ca="1">IFERROR(VLOOKUP($AH14, '(勿動)Component Label公版'!$D$1:$E$1000, 2, FALSE), "-")</f>
        <v>-</v>
      </c>
      <c r="AJ14" s="483"/>
      <c r="AK14" s="112"/>
      <c r="AL14" s="112"/>
      <c r="AM14" s="116" t="str">
        <f t="shared" si="2"/>
        <v/>
      </c>
      <c r="AN14" s="117" t="str">
        <f t="shared" si="3"/>
        <v/>
      </c>
      <c r="AO14" s="506" t="s">
        <v>221</v>
      </c>
      <c r="AP14" s="384"/>
      <c r="AQ14" s="384"/>
      <c r="AR14" s="384"/>
      <c r="AS14" s="384"/>
      <c r="AT14" s="385"/>
      <c r="AU14" s="54" t="b">
        <v>0</v>
      </c>
      <c r="AV14" s="54" t="b">
        <v>0</v>
      </c>
      <c r="AW14" s="123"/>
      <c r="AX14" s="124"/>
      <c r="AY14" s="124"/>
      <c r="AZ14" s="124"/>
      <c r="BA14" s="125"/>
      <c r="BB14" s="68" t="s">
        <v>182</v>
      </c>
      <c r="BC14" s="62" t="s">
        <v>222</v>
      </c>
      <c r="BD14" s="129" t="str">
        <f t="shared" si="4"/>
        <v>優惠券_真券_一排1張(單張/多張)(無一鍵領取)</v>
      </c>
      <c r="BE14" s="130" t="str">
        <f>IFERROR(VLOOKUP($BD14,'(勿動)組件目錄表'!$D$15:$R$1094,2,FALSE),"")</f>
        <v>F-1</v>
      </c>
      <c r="BF14" s="131">
        <f>IFERROR(VLOOKUP($BD14, '(勿動)組件目錄表'!$D$15:$R$1094, 5, FALSE),"")</f>
        <v>0.5</v>
      </c>
      <c r="BG14" s="118"/>
      <c r="BH14" s="120"/>
      <c r="BI14" s="118"/>
      <c r="BJ14" s="120"/>
    </row>
    <row r="15" spans="1:62" ht="15.75" customHeight="1">
      <c r="A15" s="18" t="str">
        <f t="array" aca="1" ref="A15:I15" ca="1">IFERROR(TRANSPOSE(INDIRECT('「(動工中勿使用!!)新版+舊版_Teaser」的副本'!$BB15)),"")</f>
        <v>一排1張(單張/多張)(無一鍵領取)</v>
      </c>
      <c r="B15" s="18" t="str">
        <f ca="1"/>
        <v>一排1張 + Reminder(單張/多張)(無一鍵領取)</v>
      </c>
      <c r="C15" s="18" t="str">
        <f ca="1"/>
        <v>一排1張 + 一鍵領取(多張)</v>
      </c>
      <c r="D15" s="18" t="str">
        <f ca="1"/>
        <v>【僅供MKT Campaign使用】PC：一排兩張；APP：一排1張 + 一鍵領取(多張)</v>
      </c>
      <c r="E15" s="18" t="str">
        <f ca="1"/>
        <v>【僅供MKT Campaign使用】PC：一排兩張；APP：一排1張 + 一鍵領取(多張) + Reminder</v>
      </c>
      <c r="F15" s="18" t="str">
        <f ca="1"/>
        <v>【僅供MKT Campaign使用】PC：一排兩張；APP：一排1張 + 一鍵領取(多張) + Reminder + 查看全部(系統預設加上「優惠券」文案)</v>
      </c>
      <c r="G15" s="18" t="str">
        <f ca="1"/>
        <v>一排2張(單張/多張)(無一鍵領取)</v>
      </c>
      <c r="H15" s="18" t="str">
        <f ca="1"/>
        <v>一排2張 + Reminder(單張/多張)(無一鍵領取)</v>
      </c>
      <c r="I15" s="18" t="str">
        <f ca="1"/>
        <v>一排2張 + 一鍵領取(多張)</v>
      </c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86" t="b">
        <v>0</v>
      </c>
      <c r="AF15" s="111" t="str">
        <f t="shared" si="5"/>
        <v/>
      </c>
      <c r="AG15" s="112" t="str">
        <f t="shared" si="1"/>
        <v/>
      </c>
      <c r="AH15" s="126" t="s">
        <v>214</v>
      </c>
      <c r="AI15" s="114" t="str">
        <f ca="1">IFERROR(VLOOKUP($AH15, '(勿動)Component Label公版'!$D$1:$E$1000, 2, FALSE), "-")</f>
        <v>-</v>
      </c>
      <c r="AJ15" s="483"/>
      <c r="AK15" s="128"/>
      <c r="AL15" s="128"/>
      <c r="AM15" s="116" t="str">
        <f t="shared" si="2"/>
        <v/>
      </c>
      <c r="AN15" s="117" t="str">
        <f t="shared" si="3"/>
        <v/>
      </c>
      <c r="AO15" s="506" t="s">
        <v>223</v>
      </c>
      <c r="AP15" s="384"/>
      <c r="AQ15" s="384"/>
      <c r="AR15" s="384"/>
      <c r="AS15" s="384"/>
      <c r="AT15" s="385"/>
      <c r="AU15" s="54" t="b">
        <v>0</v>
      </c>
      <c r="AV15" s="54" t="b">
        <v>0</v>
      </c>
      <c r="AW15" s="123"/>
      <c r="AX15" s="124"/>
      <c r="AY15" s="124"/>
      <c r="AZ15" s="124"/>
      <c r="BA15" s="125"/>
      <c r="BB15" s="68" t="s">
        <v>182</v>
      </c>
      <c r="BC15" s="62" t="s">
        <v>222</v>
      </c>
      <c r="BD15" s="129" t="str">
        <f t="shared" si="4"/>
        <v>優惠券_真券_一排1張(單張/多張)(無一鍵領取)</v>
      </c>
      <c r="BE15" s="130" t="str">
        <f>IFERROR(VLOOKUP($BD15,'(勿動)組件目錄表'!$D$15:$R$1094,2,FALSE),"")</f>
        <v>F-1</v>
      </c>
      <c r="BF15" s="131">
        <f>IFERROR(VLOOKUP($BD15, '(勿動)組件目錄表'!$D$15:$R$1094, 5, FALSE),"")</f>
        <v>0.5</v>
      </c>
      <c r="BG15" s="118" t="s">
        <v>224</v>
      </c>
      <c r="BH15" s="120"/>
      <c r="BI15" s="118"/>
      <c r="BJ15" s="120"/>
    </row>
    <row r="16" spans="1:62" ht="15.75" customHeight="1">
      <c r="A16" s="18" t="str">
        <f t="array" aca="1" ref="A16:I16" ca="1">IFERROR(TRANSPOSE(INDIRECT('「(動工中勿使用!!)新版+舊版_Teaser」的副本'!$BB16)),"")</f>
        <v>一排1張(單張/多張)(無一鍵領取)</v>
      </c>
      <c r="B16" s="18" t="str">
        <f ca="1"/>
        <v>一排1張 + Reminder(單張/多張)(無一鍵領取)</v>
      </c>
      <c r="C16" s="18" t="str">
        <f ca="1"/>
        <v>一排1張 + 一鍵領取(多張)</v>
      </c>
      <c r="D16" s="18" t="str">
        <f ca="1"/>
        <v>【僅供MKT Campaign使用】PC：一排兩張；APP：一排1張 + 一鍵領取(多張)</v>
      </c>
      <c r="E16" s="18" t="str">
        <f ca="1"/>
        <v>【僅供MKT Campaign使用】PC：一排兩張；APP：一排1張 + 一鍵領取(多張) + Reminder</v>
      </c>
      <c r="F16" s="18" t="str">
        <f ca="1"/>
        <v>【僅供MKT Campaign使用】PC：一排兩張；APP：一排1張 + 一鍵領取(多張) + Reminder + 查看全部(系統預設加上「優惠券」文案)</v>
      </c>
      <c r="G16" s="18" t="str">
        <f ca="1"/>
        <v>一排2張(單張/多張)(無一鍵領取)</v>
      </c>
      <c r="H16" s="18" t="str">
        <f ca="1"/>
        <v>一排2張 + Reminder(單張/多張)(無一鍵領取)</v>
      </c>
      <c r="I16" s="18" t="str">
        <f ca="1"/>
        <v>一排2張 + 一鍵領取(多張)</v>
      </c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86" t="b">
        <v>0</v>
      </c>
      <c r="AF16" s="111" t="str">
        <f t="shared" si="5"/>
        <v/>
      </c>
      <c r="AG16" s="112" t="str">
        <f t="shared" si="1"/>
        <v/>
      </c>
      <c r="AH16" s="126" t="s">
        <v>214</v>
      </c>
      <c r="AI16" s="114" t="str">
        <f ca="1">IFERROR(VLOOKUP($AH16, '(勿動)Component Label公版'!$D$1:$E$1000, 2, FALSE), "-")</f>
        <v>-</v>
      </c>
      <c r="AJ16" s="379"/>
      <c r="AK16" s="112"/>
      <c r="AL16" s="112"/>
      <c r="AM16" s="116" t="str">
        <f t="shared" si="2"/>
        <v/>
      </c>
      <c r="AN16" s="117" t="str">
        <f t="shared" si="3"/>
        <v/>
      </c>
      <c r="AO16" s="506" t="s">
        <v>225</v>
      </c>
      <c r="AP16" s="384"/>
      <c r="AQ16" s="384"/>
      <c r="AR16" s="384"/>
      <c r="AS16" s="384"/>
      <c r="AT16" s="385"/>
      <c r="AU16" s="54" t="b">
        <v>0</v>
      </c>
      <c r="AV16" s="54" t="b">
        <v>0</v>
      </c>
      <c r="AW16" s="123"/>
      <c r="AX16" s="124"/>
      <c r="AY16" s="124"/>
      <c r="AZ16" s="124"/>
      <c r="BA16" s="125"/>
      <c r="BB16" s="68" t="s">
        <v>182</v>
      </c>
      <c r="BC16" s="62" t="s">
        <v>222</v>
      </c>
      <c r="BD16" s="129" t="str">
        <f t="shared" si="4"/>
        <v>優惠券_真券_一排1張(單張/多張)(無一鍵領取)</v>
      </c>
      <c r="BE16" s="130" t="str">
        <f>IFERROR(VLOOKUP($BD16,'(勿動)組件目錄表'!$D$15:$R$1094,2,FALSE),"")</f>
        <v>F-1</v>
      </c>
      <c r="BF16" s="131">
        <f>IFERROR(VLOOKUP($BD16, '(勿動)組件目錄表'!$D$15:$R$1094, 5, FALSE),"")</f>
        <v>0.5</v>
      </c>
      <c r="BG16" s="118"/>
      <c r="BH16" s="120"/>
      <c r="BI16" s="118"/>
      <c r="BJ16" s="120"/>
    </row>
    <row r="17" spans="1:62" ht="15.75" customHeight="1">
      <c r="A17" s="18" t="str">
        <f t="array" aca="1" ref="A17:B17" ca="1">IFERROR(TRANSPOSE(INDIRECT('「(動工中勿使用!!)新版+舊版_Teaser」的副本'!$BB17)),"")</f>
        <v>固定灰bar</v>
      </c>
      <c r="B17" s="18" t="str">
        <f ca="1"/>
        <v>空白格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86" t="b">
        <v>0</v>
      </c>
      <c r="AF17" s="111" t="str">
        <f t="shared" si="5"/>
        <v/>
      </c>
      <c r="AG17" s="112" t="str">
        <f t="shared" si="1"/>
        <v/>
      </c>
      <c r="AH17" s="126"/>
      <c r="AI17" s="114" t="str">
        <f ca="1">IFERROR(VLOOKUP($AH17, '(勿動)Component Label公版'!$D$1:$E$1000, 2, FALSE), "-")</f>
        <v>-</v>
      </c>
      <c r="AJ17" s="132"/>
      <c r="AK17" s="112"/>
      <c r="AL17" s="112"/>
      <c r="AM17" s="116" t="str">
        <f t="shared" si="2"/>
        <v/>
      </c>
      <c r="AN17" s="117" t="str">
        <f t="shared" si="3"/>
        <v/>
      </c>
      <c r="AO17" s="449" t="s">
        <v>188</v>
      </c>
      <c r="AP17" s="384"/>
      <c r="AQ17" s="384"/>
      <c r="AR17" s="384"/>
      <c r="AS17" s="384"/>
      <c r="AT17" s="385"/>
      <c r="AU17" s="54" t="b">
        <v>0</v>
      </c>
      <c r="AV17" s="54" t="b">
        <v>0</v>
      </c>
      <c r="AW17" s="123"/>
      <c r="AX17" s="124"/>
      <c r="AY17" s="124"/>
      <c r="AZ17" s="124"/>
      <c r="BA17" s="125"/>
      <c r="BB17" s="68" t="s">
        <v>24</v>
      </c>
      <c r="BC17" s="62" t="s">
        <v>227</v>
      </c>
      <c r="BD17" s="129" t="str">
        <f t="shared" si="4"/>
        <v>Gap_固定灰bar</v>
      </c>
      <c r="BE17" s="130" t="str">
        <f>IFERROR(VLOOKUP($BD17,'(勿動)組件目錄表'!$D$15:$R$1094,2,FALSE),"")</f>
        <v>R-1</v>
      </c>
      <c r="BF17" s="131">
        <f>IFERROR(VLOOKUP($BD17, '(勿動)組件目錄表'!$D$15:$R$1094, 5, FALSE),"")</f>
        <v>0.2</v>
      </c>
      <c r="BG17" s="118"/>
      <c r="BH17" s="120"/>
      <c r="BI17" s="118"/>
      <c r="BJ17" s="120"/>
    </row>
    <row r="18" spans="1:62" ht="33.75" customHeight="1">
      <c r="A18" s="18" t="str">
        <f t="array" aca="1" ref="A18:D18" ca="1">IFERROR(TRANSPOSE(INDIRECT('「(動工中勿使用!!)新版+舊版_Teaser」的副本'!$BB18)),"")</f>
        <v>置中</v>
      </c>
      <c r="B18" s="18" t="str">
        <f ca="1"/>
        <v>置中 + Display See All</v>
      </c>
      <c r="C18" s="18" t="str">
        <f ca="1"/>
        <v>置左</v>
      </c>
      <c r="D18" s="18" t="str">
        <f ca="1"/>
        <v>置左 + Display See All</v>
      </c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86" t="b">
        <v>1</v>
      </c>
      <c r="AF18" s="111" t="s">
        <v>204</v>
      </c>
      <c r="AG18" s="112" t="str">
        <f t="shared" ca="1" si="1"/>
        <v>-</v>
      </c>
      <c r="AH18" s="126" t="s">
        <v>204</v>
      </c>
      <c r="AI18" s="114" t="str">
        <f ca="1">IFERROR(VLOOKUP($AH18, '(勿動)Component Label公版'!$D$1:$E$1000, 2, FALSE), "-")</f>
        <v>-</v>
      </c>
      <c r="AJ18" s="115"/>
      <c r="AK18" s="112"/>
      <c r="AL18" s="112"/>
      <c r="AM18" s="116" t="str">
        <f t="shared" si="2"/>
        <v/>
      </c>
      <c r="AN18" s="117" t="str">
        <f t="shared" si="3"/>
        <v/>
      </c>
      <c r="AO18" s="450" t="s">
        <v>228</v>
      </c>
      <c r="AP18" s="384"/>
      <c r="AQ18" s="384"/>
      <c r="AR18" s="384"/>
      <c r="AS18" s="384"/>
      <c r="AT18" s="385"/>
      <c r="AU18" s="54" t="b">
        <v>0</v>
      </c>
      <c r="AV18" s="54" t="b">
        <v>0</v>
      </c>
      <c r="AW18" s="123"/>
      <c r="AX18" s="124"/>
      <c r="AY18" s="124"/>
      <c r="AZ18" s="124"/>
      <c r="BA18" s="125"/>
      <c r="BB18" s="68" t="s">
        <v>159</v>
      </c>
      <c r="BC18" s="62" t="s">
        <v>157</v>
      </c>
      <c r="BD18" s="129" t="str">
        <f t="shared" si="4"/>
        <v>標題_置左</v>
      </c>
      <c r="BE18" s="130" t="str">
        <f>IFERROR(VLOOKUP($BD18,'(勿動)組件目錄表'!$D$15:$R$1094,2,FALSE),"")</f>
        <v>D-3</v>
      </c>
      <c r="BF18" s="131">
        <f>IFERROR(VLOOKUP($BD18, '(勿動)組件目錄表'!$D$15:$R$1094, 5, FALSE),"")</f>
        <v>0.5</v>
      </c>
      <c r="BG18" s="118"/>
      <c r="BH18" s="120"/>
      <c r="BI18" s="118"/>
      <c r="BJ18" s="120"/>
    </row>
    <row r="19" spans="1:62" ht="38.25" customHeight="1">
      <c r="A19" s="18" t="str">
        <f t="array" aca="1" ref="A19:I19" ca="1">IFERROR(TRANSPOSE(INDIRECT('「(動工中勿使用!!)新版+舊版_Teaser」的副本'!$BB19)),"")</f>
        <v>一排1張(單張/多張)(無一鍵領取)</v>
      </c>
      <c r="B19" s="18" t="str">
        <f ca="1"/>
        <v>一排1張 + Reminder(單張/多張)(無一鍵領取)</v>
      </c>
      <c r="C19" s="18" t="str">
        <f ca="1"/>
        <v>一排1張 + 一鍵領取(多張)</v>
      </c>
      <c r="D19" s="18" t="str">
        <f ca="1"/>
        <v>【僅供MKT Campaign使用】PC：一排兩張；APP：一排1張 + 一鍵領取(多張)</v>
      </c>
      <c r="E19" s="18" t="str">
        <f ca="1"/>
        <v>【僅供MKT Campaign使用】PC：一排兩張；APP：一排1張 + 一鍵領取(多張) + Reminder</v>
      </c>
      <c r="F19" s="18" t="str">
        <f ca="1"/>
        <v>【僅供MKT Campaign使用】PC：一排兩張；APP：一排1張 + 一鍵領取(多張) + Reminder + 查看全部(系統預設加上「優惠券」文案)</v>
      </c>
      <c r="G19" s="18" t="str">
        <f ca="1"/>
        <v>一排2張(單張/多張)(無一鍵領取)</v>
      </c>
      <c r="H19" s="18" t="str">
        <f ca="1"/>
        <v>一排2張 + Reminder(單張/多張)(無一鍵領取)</v>
      </c>
      <c r="I19" s="18" t="str">
        <f ca="1"/>
        <v>一排2張 + 一鍵領取(多張)</v>
      </c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86" t="b">
        <v>0</v>
      </c>
      <c r="AF19" s="111" t="str">
        <f t="shared" ref="AF19:AF22" si="6">IF(AE19=TRUE,"若有勾選則必填，隱藏錨點請填寫&lt;設隱形錨點&gt;","")</f>
        <v/>
      </c>
      <c r="AG19" s="112" t="str">
        <f t="shared" si="1"/>
        <v/>
      </c>
      <c r="AH19" s="126" t="s">
        <v>204</v>
      </c>
      <c r="AI19" s="114" t="str">
        <f ca="1">IFERROR(VLOOKUP($AH19, '(勿動)Component Label公版'!$D$1:$E$1000, 2, FALSE), "-")</f>
        <v>-</v>
      </c>
      <c r="AJ19" s="115"/>
      <c r="AK19" s="112" t="s">
        <v>229</v>
      </c>
      <c r="AL19" s="112" t="s">
        <v>230</v>
      </c>
      <c r="AM19" s="116" t="str">
        <f t="shared" si="2"/>
        <v>2025-03-05 00:00:00</v>
      </c>
      <c r="AN19" s="117" t="str">
        <f t="shared" si="3"/>
        <v>2025-04-04 23:59:59</v>
      </c>
      <c r="AO19" s="476" t="s">
        <v>231</v>
      </c>
      <c r="AP19" s="384"/>
      <c r="AQ19" s="384"/>
      <c r="AR19" s="384"/>
      <c r="AS19" s="384"/>
      <c r="AT19" s="385"/>
      <c r="AU19" s="54" t="b">
        <v>0</v>
      </c>
      <c r="AV19" s="54" t="b">
        <v>0</v>
      </c>
      <c r="AW19" s="123"/>
      <c r="AX19" s="124"/>
      <c r="AY19" s="124"/>
      <c r="AZ19" s="124"/>
      <c r="BA19" s="125"/>
      <c r="BB19" s="68" t="s">
        <v>182</v>
      </c>
      <c r="BC19" s="62" t="s">
        <v>176</v>
      </c>
      <c r="BD19" s="129" t="str">
        <f t="shared" si="4"/>
        <v>優惠券_真券_【僅供MKT Campaign使用】PC：一排兩張；APP：一排1張 + 一鍵領取(多張)</v>
      </c>
      <c r="BE19" s="130" t="str">
        <f>IFERROR(VLOOKUP($BD19,'(勿動)組件目錄表'!$D$15:$R$1094,2,FALSE),"")</f>
        <v>F-6</v>
      </c>
      <c r="BF19" s="131">
        <f>IFERROR(VLOOKUP($BD19, '(勿動)組件目錄表'!$D$15:$R$1094, 5, FALSE),"")</f>
        <v>0.5</v>
      </c>
      <c r="BG19" s="118"/>
      <c r="BH19" s="120"/>
      <c r="BI19" s="118"/>
      <c r="BJ19" s="120"/>
    </row>
    <row r="20" spans="1:62" ht="38.25" customHeight="1">
      <c r="A20" s="18" t="str">
        <f t="array" aca="1" ref="A20:I20" ca="1">IFERROR(TRANSPOSE(INDIRECT('「(動工中勿使用!!)新版+舊版_Teaser」的副本'!$BB20)),"")</f>
        <v>一排1張(單張/多張)(無一鍵領取)</v>
      </c>
      <c r="B20" s="18" t="str">
        <f ca="1"/>
        <v>一排1張 + Reminder(單張/多張)(無一鍵領取)</v>
      </c>
      <c r="C20" s="18" t="str">
        <f ca="1"/>
        <v>一排1張 + 一鍵領取(多張)</v>
      </c>
      <c r="D20" s="18" t="str">
        <f ca="1"/>
        <v>【僅供MKT Campaign使用】PC：一排兩張；APP：一排1張 + 一鍵領取(多張)</v>
      </c>
      <c r="E20" s="18" t="str">
        <f ca="1"/>
        <v>【僅供MKT Campaign使用】PC：一排兩張；APP：一排1張 + 一鍵領取(多張) + Reminder</v>
      </c>
      <c r="F20" s="18" t="str">
        <f ca="1"/>
        <v>【僅供MKT Campaign使用】PC：一排兩張；APP：一排1張 + 一鍵領取(多張) + Reminder + 查看全部(系統預設加上「優惠券」文案)</v>
      </c>
      <c r="G20" s="18" t="str">
        <f ca="1"/>
        <v>一排2張(單張/多張)(無一鍵領取)</v>
      </c>
      <c r="H20" s="18" t="str">
        <f ca="1"/>
        <v>一排2張 + Reminder(單張/多張)(無一鍵領取)</v>
      </c>
      <c r="I20" s="18" t="str">
        <f ca="1"/>
        <v>一排2張 + 一鍵領取(多張)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86" t="b">
        <v>0</v>
      </c>
      <c r="AF20" s="111" t="str">
        <f t="shared" si="6"/>
        <v/>
      </c>
      <c r="AG20" s="112" t="str">
        <f t="shared" si="1"/>
        <v/>
      </c>
      <c r="AH20" s="126" t="s">
        <v>204</v>
      </c>
      <c r="AI20" s="114" t="str">
        <f ca="1">IFERROR(VLOOKUP($AH20, '(勿動)Component Label公版'!$D$1:$E$1000, 2, FALSE), "-")</f>
        <v>-</v>
      </c>
      <c r="AJ20" s="115"/>
      <c r="AK20" s="112" t="s">
        <v>229</v>
      </c>
      <c r="AL20" s="112" t="s">
        <v>230</v>
      </c>
      <c r="AM20" s="116" t="str">
        <f t="shared" si="2"/>
        <v>2025-03-05 00:00:00</v>
      </c>
      <c r="AN20" s="117" t="str">
        <f t="shared" si="3"/>
        <v>2025-04-04 23:59:59</v>
      </c>
      <c r="AO20" s="476" t="s">
        <v>232</v>
      </c>
      <c r="AP20" s="384"/>
      <c r="AQ20" s="384"/>
      <c r="AR20" s="384"/>
      <c r="AS20" s="384"/>
      <c r="AT20" s="385"/>
      <c r="AU20" s="54" t="b">
        <v>0</v>
      </c>
      <c r="AV20" s="54" t="b">
        <v>0</v>
      </c>
      <c r="AW20" s="123"/>
      <c r="AX20" s="124"/>
      <c r="AY20" s="124"/>
      <c r="AZ20" s="124"/>
      <c r="BA20" s="125"/>
      <c r="BB20" s="68" t="s">
        <v>182</v>
      </c>
      <c r="BC20" s="62" t="s">
        <v>176</v>
      </c>
      <c r="BD20" s="129" t="str">
        <f t="shared" si="4"/>
        <v>優惠券_真券_【僅供MKT Campaign使用】PC：一排兩張；APP：一排1張 + 一鍵領取(多張)</v>
      </c>
      <c r="BE20" s="130" t="str">
        <f>IFERROR(VLOOKUP($BD20,'(勿動)組件目錄表'!$D$15:$R$1094,2,FALSE),"")</f>
        <v>F-6</v>
      </c>
      <c r="BF20" s="131">
        <f>IFERROR(VLOOKUP($BD20, '(勿動)組件目錄表'!$D$15:$R$1094, 5, FALSE),"")</f>
        <v>0.5</v>
      </c>
      <c r="BG20" s="118"/>
      <c r="BH20" s="120"/>
      <c r="BI20" s="118"/>
      <c r="BJ20" s="120"/>
    </row>
    <row r="21" spans="1:62" ht="38.25" customHeight="1">
      <c r="A21" s="18" t="str">
        <f t="array" aca="1" ref="A21:I21" ca="1">IFERROR(TRANSPOSE(INDIRECT('「(動工中勿使用!!)新版+舊版_Teaser」的副本'!$BB21)),"")</f>
        <v>一排1張(單張/多張)(無一鍵領取)</v>
      </c>
      <c r="B21" s="18" t="str">
        <f ca="1"/>
        <v>一排1張 + Reminder(單張/多張)(無一鍵領取)</v>
      </c>
      <c r="C21" s="18" t="str">
        <f ca="1"/>
        <v>一排1張 + 一鍵領取(多張)</v>
      </c>
      <c r="D21" s="18" t="str">
        <f ca="1"/>
        <v>【僅供MKT Campaign使用】PC：一排兩張；APP：一排1張 + 一鍵領取(多張)</v>
      </c>
      <c r="E21" s="18" t="str">
        <f ca="1"/>
        <v>【僅供MKT Campaign使用】PC：一排兩張；APP：一排1張 + 一鍵領取(多張) + Reminder</v>
      </c>
      <c r="F21" s="18" t="str">
        <f ca="1"/>
        <v>【僅供MKT Campaign使用】PC：一排兩張；APP：一排1張 + 一鍵領取(多張) + Reminder + 查看全部(系統預設加上「優惠券」文案)</v>
      </c>
      <c r="G21" s="18" t="str">
        <f ca="1"/>
        <v>一排2張(單張/多張)(無一鍵領取)</v>
      </c>
      <c r="H21" s="18" t="str">
        <f ca="1"/>
        <v>一排2張 + Reminder(單張/多張)(無一鍵領取)</v>
      </c>
      <c r="I21" s="18" t="str">
        <f ca="1"/>
        <v>一排2張 + 一鍵領取(多張)</v>
      </c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86" t="b">
        <v>0</v>
      </c>
      <c r="AF21" s="111" t="str">
        <f t="shared" si="6"/>
        <v/>
      </c>
      <c r="AG21" s="112" t="str">
        <f t="shared" si="1"/>
        <v/>
      </c>
      <c r="AH21" s="126" t="s">
        <v>204</v>
      </c>
      <c r="AI21" s="114" t="str">
        <f ca="1">IFERROR(VLOOKUP($AH21, '(勿動)Component Label公版'!$D$1:$E$1000, 2, FALSE), "-")</f>
        <v>-</v>
      </c>
      <c r="AJ21" s="115"/>
      <c r="AK21" s="112" t="s">
        <v>229</v>
      </c>
      <c r="AL21" s="112" t="s">
        <v>230</v>
      </c>
      <c r="AM21" s="116" t="str">
        <f t="shared" si="2"/>
        <v>2025-03-05 00:00:00</v>
      </c>
      <c r="AN21" s="117" t="str">
        <f t="shared" si="3"/>
        <v>2025-04-04 23:59:59</v>
      </c>
      <c r="AO21" s="476" t="s">
        <v>233</v>
      </c>
      <c r="AP21" s="384"/>
      <c r="AQ21" s="384"/>
      <c r="AR21" s="384"/>
      <c r="AS21" s="384"/>
      <c r="AT21" s="385"/>
      <c r="AU21" s="54" t="b">
        <v>0</v>
      </c>
      <c r="AV21" s="54" t="b">
        <v>0</v>
      </c>
      <c r="AW21" s="123"/>
      <c r="AX21" s="124"/>
      <c r="AY21" s="124"/>
      <c r="AZ21" s="124"/>
      <c r="BA21" s="125"/>
      <c r="BB21" s="68" t="s">
        <v>182</v>
      </c>
      <c r="BC21" s="62" t="s">
        <v>176</v>
      </c>
      <c r="BD21" s="129" t="str">
        <f t="shared" si="4"/>
        <v>優惠券_真券_【僅供MKT Campaign使用】PC：一排兩張；APP：一排1張 + 一鍵領取(多張)</v>
      </c>
      <c r="BE21" s="130" t="str">
        <f>IFERROR(VLOOKUP($BD21,'(勿動)組件目錄表'!$D$15:$R$1094,2,FALSE),"")</f>
        <v>F-6</v>
      </c>
      <c r="BF21" s="131">
        <f>IFERROR(VLOOKUP($BD21, '(勿動)組件目錄表'!$D$15:$R$1094, 5, FALSE),"")</f>
        <v>0.5</v>
      </c>
      <c r="BG21" s="118"/>
      <c r="BH21" s="120"/>
      <c r="BI21" s="118"/>
      <c r="BJ21" s="120"/>
    </row>
    <row r="22" spans="1:62" ht="15.75" customHeight="1">
      <c r="A22" s="18" t="str">
        <f t="array" aca="1" ref="A22:B22" ca="1">IFERROR(TRANSPOSE(INDIRECT('「(動工中勿使用!!)新版+舊版_Teaser」的副本'!$BB22)),"")</f>
        <v>固定灰bar</v>
      </c>
      <c r="B22" s="18" t="str">
        <f ca="1"/>
        <v>空白格</v>
      </c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86" t="b">
        <v>0</v>
      </c>
      <c r="AF22" s="111" t="str">
        <f t="shared" si="6"/>
        <v/>
      </c>
      <c r="AG22" s="112" t="str">
        <f t="shared" si="1"/>
        <v/>
      </c>
      <c r="AH22" s="126"/>
      <c r="AI22" s="114" t="str">
        <f ca="1">IFERROR(VLOOKUP($AH22, '(勿動)Component Label公版'!$D$1:$E$1000, 2, FALSE), "-")</f>
        <v>-</v>
      </c>
      <c r="AJ22" s="115"/>
      <c r="AK22" s="112"/>
      <c r="AL22" s="112"/>
      <c r="AM22" s="116" t="str">
        <f t="shared" si="2"/>
        <v/>
      </c>
      <c r="AN22" s="117" t="str">
        <f t="shared" si="3"/>
        <v/>
      </c>
      <c r="AO22" s="449" t="s">
        <v>188</v>
      </c>
      <c r="AP22" s="384"/>
      <c r="AQ22" s="384"/>
      <c r="AR22" s="384"/>
      <c r="AS22" s="384"/>
      <c r="AT22" s="385"/>
      <c r="AU22" s="54" t="b">
        <v>0</v>
      </c>
      <c r="AV22" s="54" t="b">
        <v>0</v>
      </c>
      <c r="AW22" s="123"/>
      <c r="AX22" s="124"/>
      <c r="AY22" s="124"/>
      <c r="AZ22" s="124"/>
      <c r="BA22" s="125"/>
      <c r="BB22" s="68" t="s">
        <v>24</v>
      </c>
      <c r="BC22" s="62" t="s">
        <v>227</v>
      </c>
      <c r="BD22" s="129" t="str">
        <f t="shared" si="4"/>
        <v>Gap_固定灰bar</v>
      </c>
      <c r="BE22" s="130" t="str">
        <f>IFERROR(VLOOKUP($BD22,'(勿動)組件目錄表'!$D$15:$R$1094,2,FALSE),"")</f>
        <v>R-1</v>
      </c>
      <c r="BF22" s="131">
        <f>IFERROR(VLOOKUP($BD22, '(勿動)組件目錄表'!$D$15:$R$1094, 5, FALSE),"")</f>
        <v>0.2</v>
      </c>
      <c r="BG22" s="118"/>
      <c r="BH22" s="120"/>
      <c r="BI22" s="118"/>
      <c r="BJ22" s="120"/>
    </row>
    <row r="23" spans="1:62" ht="33.75" customHeight="1">
      <c r="A23" s="18" t="str">
        <f t="array" aca="1" ref="A23:D23" ca="1">IFERROR(TRANSPOSE(INDIRECT('「(動工中勿使用!!)新版+舊版_Teaser」的副本'!$BB23)),"")</f>
        <v>置中</v>
      </c>
      <c r="B23" s="18" t="str">
        <f ca="1"/>
        <v>置中 + Display See All</v>
      </c>
      <c r="C23" s="18" t="str">
        <f ca="1"/>
        <v>置左</v>
      </c>
      <c r="D23" s="18" t="str">
        <f ca="1"/>
        <v>置左 + Display See All</v>
      </c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86" t="b">
        <v>1</v>
      </c>
      <c r="AF23" s="111" t="s">
        <v>234</v>
      </c>
      <c r="AG23" s="112" t="str">
        <f t="shared" si="1"/>
        <v/>
      </c>
      <c r="AH23" s="126" t="s">
        <v>204</v>
      </c>
      <c r="AI23" s="114" t="str">
        <f ca="1">IFERROR(VLOOKUP($AH23, '(勿動)Component Label公版'!$D$1:$E$1000, 2, FALSE), "-")</f>
        <v>-</v>
      </c>
      <c r="AJ23" s="115"/>
      <c r="AK23" s="112"/>
      <c r="AL23" s="112"/>
      <c r="AM23" s="116" t="str">
        <f t="shared" si="2"/>
        <v/>
      </c>
      <c r="AN23" s="117" t="str">
        <f t="shared" si="3"/>
        <v/>
      </c>
      <c r="AO23" s="450" t="s">
        <v>235</v>
      </c>
      <c r="AP23" s="384"/>
      <c r="AQ23" s="384"/>
      <c r="AR23" s="384"/>
      <c r="AS23" s="384"/>
      <c r="AT23" s="385"/>
      <c r="AU23" s="54" t="b">
        <v>0</v>
      </c>
      <c r="AV23" s="54" t="b">
        <v>0</v>
      </c>
      <c r="AW23" s="123"/>
      <c r="AX23" s="124"/>
      <c r="AY23" s="124"/>
      <c r="AZ23" s="124"/>
      <c r="BA23" s="125"/>
      <c r="BB23" s="68" t="s">
        <v>159</v>
      </c>
      <c r="BC23" s="62" t="s">
        <v>157</v>
      </c>
      <c r="BD23" s="129" t="str">
        <f t="shared" si="4"/>
        <v>標題_置左</v>
      </c>
      <c r="BE23" s="130" t="str">
        <f>IFERROR(VLOOKUP($BD23,'(勿動)組件目錄表'!$D$15:$R$1094,2,FALSE),"")</f>
        <v>D-3</v>
      </c>
      <c r="BF23" s="131">
        <f>IFERROR(VLOOKUP($BD23, '(勿動)組件目錄表'!$D$15:$R$1094, 5, FALSE),"")</f>
        <v>0.5</v>
      </c>
      <c r="BG23" s="121" t="s">
        <v>236</v>
      </c>
      <c r="BH23" s="120"/>
      <c r="BI23" s="118"/>
      <c r="BJ23" s="120"/>
    </row>
    <row r="24" spans="1:62" ht="83.25" customHeight="1">
      <c r="A24" s="18" t="str">
        <f t="array" aca="1" ref="A24:AD24" ca="1">IFERROR(TRANSPOSE(INDIRECT('「(動工中勿使用!!)新版+舊版_Teaser」的副本'!$BB24)),"")</f>
        <v>無CTA</v>
      </c>
      <c r="B24" s="18" t="str">
        <f ca="1"/>
        <v>LINK*1</v>
      </c>
      <c r="C24" s="18" t="str">
        <f ca="1"/>
        <v>LINK*2</v>
      </c>
      <c r="D24" s="18" t="str">
        <f ca="1"/>
        <v>LINK*3</v>
      </c>
      <c r="E24" s="18" t="str">
        <f ca="1"/>
        <v>LINK&gt;3</v>
      </c>
      <c r="F24" s="18" t="str">
        <f ca="1"/>
        <v>Reminder*1</v>
      </c>
      <c r="G24" s="18" t="str">
        <f ca="1"/>
        <v>Reminder*2</v>
      </c>
      <c r="H24" s="18" t="str">
        <f ca="1"/>
        <v>Reminder*3</v>
      </c>
      <c r="I24" s="18" t="str">
        <f ca="1"/>
        <v>Reminder*4</v>
      </c>
      <c r="J24" s="18" t="str">
        <f ca="1"/>
        <v>Reminder*5</v>
      </c>
      <c r="K24" s="18" t="str">
        <f ca="1"/>
        <v>Reminder&gt;5</v>
      </c>
      <c r="L24" s="18" t="str">
        <f ca="1"/>
        <v>LINK*1 + Reminder*1</v>
      </c>
      <c r="M24" s="18" t="str">
        <f ca="1"/>
        <v>LINK*1 + Reminder*2</v>
      </c>
      <c r="N24" s="18" t="str">
        <f ca="1"/>
        <v>LINK*2 + Reminder*1</v>
      </c>
      <c r="O24" s="18" t="str">
        <f ca="1"/>
        <v>Add to Cart*1</v>
      </c>
      <c r="P24" s="18" t="str">
        <f ca="1"/>
        <v>Add to Cart*2</v>
      </c>
      <c r="Q24" s="18" t="str">
        <f ca="1"/>
        <v>Add to Cart*3</v>
      </c>
      <c r="R24" s="18" t="str">
        <f ca="1"/>
        <v>(Reminder+ATC) *1</v>
      </c>
      <c r="S24" s="18" t="str">
        <f ca="1"/>
        <v>(Reminder+ATC) *2</v>
      </c>
      <c r="T24" s="18" t="str">
        <f ca="1"/>
        <v>(Reminder+ATC) *3</v>
      </c>
      <c r="U24" s="18" t="str">
        <f ca="1"/>
        <v>Popup*1</v>
      </c>
      <c r="V24" s="18" t="str">
        <f ca="1"/>
        <v>Popup*2</v>
      </c>
      <c r="W24" s="18" t="str">
        <f ca="1"/>
        <v>Popup*3</v>
      </c>
      <c r="X24" s="18" t="str">
        <f ca="1"/>
        <v>Copy*1</v>
      </c>
      <c r="Y24" s="18" t="str">
        <f ca="1"/>
        <v>Copy*2</v>
      </c>
      <c r="Z24" s="18" t="str">
        <f ca="1"/>
        <v>Copy*3</v>
      </c>
      <c r="AA24" s="18" t="str">
        <f ca="1"/>
        <v>Share*1</v>
      </c>
      <c r="AB24" s="18" t="str">
        <f ca="1"/>
        <v>Share*2</v>
      </c>
      <c r="AC24" s="18" t="str">
        <f ca="1"/>
        <v>Share*3</v>
      </c>
      <c r="AD24" s="18" t="str">
        <f ca="1"/>
        <v>Placeholders</v>
      </c>
      <c r="AE24" s="133" t="b">
        <v>0</v>
      </c>
      <c r="AF24" s="111" t="str">
        <f t="shared" ref="AF24:AF31" si="7">IF(AE24=TRUE,"若有勾選則必填，隱藏錨點請填寫&lt;設隱形錨點&gt;","")</f>
        <v/>
      </c>
      <c r="AG24" s="112" t="str">
        <f t="shared" si="1"/>
        <v/>
      </c>
      <c r="AH24" s="126" t="s">
        <v>204</v>
      </c>
      <c r="AI24" s="114" t="str">
        <f ca="1">IFERROR(VLOOKUP($AH24, '(勿動)Component Label公版'!$D$1:$E$1000, 2, FALSE), "-")</f>
        <v>-</v>
      </c>
      <c r="AJ24" s="115"/>
      <c r="AK24" s="112"/>
      <c r="AL24" s="112"/>
      <c r="AM24" s="116" t="str">
        <f t="shared" si="2"/>
        <v/>
      </c>
      <c r="AN24" s="117" t="str">
        <f t="shared" si="3"/>
        <v/>
      </c>
      <c r="AO24" s="474" t="s">
        <v>237</v>
      </c>
      <c r="AP24" s="384"/>
      <c r="AQ24" s="384"/>
      <c r="AR24" s="384"/>
      <c r="AS24" s="384"/>
      <c r="AT24" s="385"/>
      <c r="AU24" s="54" t="b">
        <v>1</v>
      </c>
      <c r="AV24" s="54" t="b">
        <v>0</v>
      </c>
      <c r="AW24" s="123"/>
      <c r="AX24" s="124"/>
      <c r="AY24" s="124"/>
      <c r="AZ24" s="124"/>
      <c r="BA24" s="125"/>
      <c r="BB24" s="68" t="s">
        <v>147</v>
      </c>
      <c r="BC24" s="62" t="s">
        <v>154</v>
      </c>
      <c r="BD24" s="129" t="str">
        <f t="shared" si="4"/>
        <v>圖_MSBN_無CTA</v>
      </c>
      <c r="BE24" s="130" t="str">
        <f>IFERROR(VLOOKUP($BD24,'(勿動)組件目錄表'!$D$15:$R$1094,2,FALSE),"")</f>
        <v>I-1</v>
      </c>
      <c r="BF24" s="131">
        <f>IFERROR(VLOOKUP($BD24, '(勿動)組件目錄表'!$D$15:$R$1094, 5, FALSE),"")</f>
        <v>0.5</v>
      </c>
      <c r="BG24" s="118"/>
      <c r="BH24" s="120"/>
      <c r="BI24" s="118"/>
      <c r="BJ24" s="120"/>
    </row>
    <row r="25" spans="1:62" ht="15.75" customHeight="1">
      <c r="A25" s="18" t="str">
        <f t="array" aca="1" ref="A25:D25" ca="1">IFERROR(TRANSPOSE(INDIRECT('「(動工中勿使用!!)新版+舊版_Teaser」的副本'!$BB25)),"")</f>
        <v>說明文字-固定</v>
      </c>
      <c r="B25" s="18" t="str">
        <f ca="1"/>
        <v>活動辦法-固定</v>
      </c>
      <c r="C25" s="18" t="str">
        <f ca="1"/>
        <v>中標</v>
      </c>
      <c r="D25" s="18" t="str">
        <f ca="1"/>
        <v>小標</v>
      </c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33" t="b">
        <v>0</v>
      </c>
      <c r="AF25" s="111" t="str">
        <f t="shared" si="7"/>
        <v/>
      </c>
      <c r="AG25" s="112" t="str">
        <f t="shared" si="1"/>
        <v/>
      </c>
      <c r="AH25" s="126" t="s">
        <v>204</v>
      </c>
      <c r="AI25" s="114" t="str">
        <f ca="1">IFERROR(VLOOKUP($AH25, '(勿動)Component Label公版'!$D$1:$E$1000, 2, FALSE), "-")</f>
        <v>-</v>
      </c>
      <c r="AJ25" s="115"/>
      <c r="AK25" s="112"/>
      <c r="AL25" s="112"/>
      <c r="AM25" s="116" t="str">
        <f t="shared" si="2"/>
        <v/>
      </c>
      <c r="AN25" s="117" t="str">
        <f t="shared" si="3"/>
        <v/>
      </c>
      <c r="AO25" s="472" t="s">
        <v>238</v>
      </c>
      <c r="AP25" s="384"/>
      <c r="AQ25" s="384"/>
      <c r="AR25" s="384"/>
      <c r="AS25" s="384"/>
      <c r="AT25" s="385"/>
      <c r="AU25" s="54" t="b">
        <v>0</v>
      </c>
      <c r="AV25" s="54" t="b">
        <v>0</v>
      </c>
      <c r="AW25" s="438"/>
      <c r="AX25" s="439"/>
      <c r="AY25" s="439"/>
      <c r="AZ25" s="439"/>
      <c r="BA25" s="440"/>
      <c r="BB25" s="68" t="s">
        <v>168</v>
      </c>
      <c r="BC25" s="62" t="s">
        <v>166</v>
      </c>
      <c r="BD25" s="129" t="str">
        <f t="shared" si="4"/>
        <v>文字_中標</v>
      </c>
      <c r="BE25" s="130" t="str">
        <f>IFERROR(VLOOKUP($BD25,'(勿動)組件目錄表'!$D$15:$R$1094,2,FALSE),"")</f>
        <v>E-3</v>
      </c>
      <c r="BF25" s="131">
        <f>IFERROR(VLOOKUP($BD25, '(勿動)組件目錄表'!$D$15:$R$1094, 5, FALSE),"")</f>
        <v>0.5</v>
      </c>
      <c r="BG25" s="118"/>
      <c r="BH25" s="120"/>
      <c r="BI25" s="118"/>
      <c r="BJ25" s="120"/>
    </row>
    <row r="26" spans="1:62" ht="15.75" customHeight="1">
      <c r="A26" s="18" t="str">
        <f t="array" aca="1" ref="A26:D26" ca="1">IFERROR(TRANSPOSE(INDIRECT('「(動工中勿使用!!)新版+舊版_Teaser」的副本'!$BB26)),"")</f>
        <v>說明文字-固定</v>
      </c>
      <c r="B26" s="18" t="str">
        <f ca="1"/>
        <v>活動辦法-固定</v>
      </c>
      <c r="C26" s="18" t="str">
        <f ca="1"/>
        <v>中標</v>
      </c>
      <c r="D26" s="18" t="str">
        <f ca="1"/>
        <v>小標</v>
      </c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33" t="b">
        <v>0</v>
      </c>
      <c r="AF26" s="111" t="str">
        <f t="shared" si="7"/>
        <v/>
      </c>
      <c r="AG26" s="112" t="str">
        <f t="shared" si="1"/>
        <v/>
      </c>
      <c r="AH26" s="126" t="s">
        <v>204</v>
      </c>
      <c r="AI26" s="114" t="str">
        <f ca="1">IFERROR(VLOOKUP($AH26, '(勿動)Component Label公版'!$D$1:$E$1000, 2, FALSE), "-")</f>
        <v>-</v>
      </c>
      <c r="AJ26" s="115"/>
      <c r="AK26" s="112"/>
      <c r="AL26" s="112"/>
      <c r="AM26" s="116" t="str">
        <f t="shared" si="2"/>
        <v/>
      </c>
      <c r="AN26" s="117" t="str">
        <f t="shared" si="3"/>
        <v/>
      </c>
      <c r="AO26" s="445" t="s">
        <v>239</v>
      </c>
      <c r="AP26" s="384"/>
      <c r="AQ26" s="384"/>
      <c r="AR26" s="384"/>
      <c r="AS26" s="384"/>
      <c r="AT26" s="385"/>
      <c r="AU26" s="54" t="b">
        <v>0</v>
      </c>
      <c r="AV26" s="54" t="b">
        <v>0</v>
      </c>
      <c r="AW26" s="412"/>
      <c r="AX26" s="416"/>
      <c r="AY26" s="416"/>
      <c r="AZ26" s="416"/>
      <c r="BA26" s="423"/>
      <c r="BB26" s="68" t="s">
        <v>168</v>
      </c>
      <c r="BC26" s="62" t="s">
        <v>167</v>
      </c>
      <c r="BD26" s="129" t="str">
        <f t="shared" si="4"/>
        <v>文字_小標</v>
      </c>
      <c r="BE26" s="130" t="str">
        <f>IFERROR(VLOOKUP($BD26,'(勿動)組件目錄表'!$D$15:$R$1094,2,FALSE),"")</f>
        <v>E-4</v>
      </c>
      <c r="BF26" s="131">
        <f>IFERROR(VLOOKUP($BD26, '(勿動)組件目錄表'!$D$15:$R$1094, 5, FALSE),"")</f>
        <v>0.5</v>
      </c>
      <c r="BG26" s="118"/>
      <c r="BH26" s="120"/>
      <c r="BI26" s="118"/>
      <c r="BJ26" s="120"/>
    </row>
    <row r="27" spans="1:62" ht="15.75" customHeight="1">
      <c r="A27" s="18" t="str">
        <f t="array" aca="1" ref="A27:D27" ca="1">IFERROR(TRANSPOSE(INDIRECT('「(動工中勿使用!!)新版+舊版_Teaser」的副本'!$BB27)),"")</f>
        <v>說明文字-固定</v>
      </c>
      <c r="B27" s="18" t="str">
        <f ca="1"/>
        <v>活動辦法-固定</v>
      </c>
      <c r="C27" s="18" t="str">
        <f ca="1"/>
        <v>中標</v>
      </c>
      <c r="D27" s="18" t="str">
        <f ca="1"/>
        <v>小標</v>
      </c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33" t="b">
        <v>0</v>
      </c>
      <c r="AF27" s="111" t="str">
        <f t="shared" si="7"/>
        <v/>
      </c>
      <c r="AG27" s="112" t="str">
        <f t="shared" si="1"/>
        <v/>
      </c>
      <c r="AH27" s="126" t="s">
        <v>204</v>
      </c>
      <c r="AI27" s="114" t="str">
        <f ca="1">IFERROR(VLOOKUP($AH27, '(勿動)Component Label公版'!$D$1:$E$1000, 2, FALSE), "-")</f>
        <v>-</v>
      </c>
      <c r="AJ27" s="115"/>
      <c r="AK27" s="112"/>
      <c r="AL27" s="112"/>
      <c r="AM27" s="116" t="str">
        <f t="shared" si="2"/>
        <v/>
      </c>
      <c r="AN27" s="117" t="str">
        <f t="shared" si="3"/>
        <v/>
      </c>
      <c r="AO27" s="514" t="s">
        <v>240</v>
      </c>
      <c r="AP27" s="469"/>
      <c r="AQ27" s="469"/>
      <c r="AR27" s="469"/>
      <c r="AS27" s="469"/>
      <c r="AT27" s="470"/>
      <c r="AU27" s="54" t="b">
        <v>0</v>
      </c>
      <c r="AV27" s="54" t="b">
        <v>0</v>
      </c>
      <c r="AW27" s="441"/>
      <c r="AX27" s="442"/>
      <c r="AY27" s="442"/>
      <c r="AZ27" s="442"/>
      <c r="BA27" s="443"/>
      <c r="BB27" s="68" t="s">
        <v>168</v>
      </c>
      <c r="BC27" s="62" t="s">
        <v>167</v>
      </c>
      <c r="BD27" s="129" t="str">
        <f t="shared" si="4"/>
        <v>文字_小標</v>
      </c>
      <c r="BE27" s="130" t="str">
        <f>IFERROR(VLOOKUP($BD27,'(勿動)組件目錄表'!$D$15:$R$1094,2,FALSE),"")</f>
        <v>E-4</v>
      </c>
      <c r="BF27" s="131">
        <f>IFERROR(VLOOKUP($BD27, '(勿動)組件目錄表'!$D$15:$R$1094, 5, FALSE),"")</f>
        <v>0.5</v>
      </c>
      <c r="BG27" s="118"/>
      <c r="BH27" s="120"/>
      <c r="BI27" s="118"/>
      <c r="BJ27" s="120"/>
    </row>
    <row r="28" spans="1:62" ht="15.75" customHeight="1">
      <c r="A28" s="18" t="str">
        <f t="array" aca="1" ref="A28:I28" ca="1">IFERROR(TRANSPOSE(INDIRECT('「(動工中勿使用!!)新版+舊版_Teaser」的副本'!$BB28)),"")</f>
        <v>一排1張(單張/多張)(無一鍵領取)</v>
      </c>
      <c r="B28" s="18" t="str">
        <f ca="1"/>
        <v>一排1張 + Reminder(單張/多張)(無一鍵領取)</v>
      </c>
      <c r="C28" s="18" t="str">
        <f ca="1"/>
        <v>一排1張 + 一鍵領取(多張)</v>
      </c>
      <c r="D28" s="18" t="str">
        <f ca="1"/>
        <v>【僅供MKT Campaign使用】PC：一排兩張；APP：一排1張 + 一鍵領取(多張)</v>
      </c>
      <c r="E28" s="18" t="str">
        <f ca="1"/>
        <v>【僅供MKT Campaign使用】PC：一排兩張；APP：一排1張 + 一鍵領取(多張) + Reminder</v>
      </c>
      <c r="F28" s="18" t="str">
        <f ca="1"/>
        <v>【僅供MKT Campaign使用】PC：一排兩張；APP：一排1張 + 一鍵領取(多張) + Reminder + 查看全部(系統預設加上「優惠券」文案)</v>
      </c>
      <c r="G28" s="18" t="str">
        <f ca="1"/>
        <v>一排2張(單張/多張)(無一鍵領取)</v>
      </c>
      <c r="H28" s="18" t="str">
        <f ca="1"/>
        <v>一排2張 + Reminder(單張/多張)(無一鍵領取)</v>
      </c>
      <c r="I28" s="18" t="str">
        <f ca="1"/>
        <v>一排2張 + 一鍵領取(多張)</v>
      </c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33" t="b">
        <v>0</v>
      </c>
      <c r="AF28" s="111" t="str">
        <f t="shared" si="7"/>
        <v/>
      </c>
      <c r="AG28" s="112" t="str">
        <f t="shared" si="1"/>
        <v/>
      </c>
      <c r="AH28" s="126" t="s">
        <v>204</v>
      </c>
      <c r="AI28" s="114" t="str">
        <f ca="1">IFERROR(VLOOKUP($AH28, '(勿動)Component Label公版'!$D$1:$E$1000, 2, FALSE), "-")</f>
        <v>-</v>
      </c>
      <c r="AJ28" s="115"/>
      <c r="AK28" s="112"/>
      <c r="AL28" s="112"/>
      <c r="AM28" s="116" t="str">
        <f t="shared" si="2"/>
        <v/>
      </c>
      <c r="AN28" s="117" t="str">
        <f t="shared" si="3"/>
        <v/>
      </c>
      <c r="AO28" s="515" t="s">
        <v>241</v>
      </c>
      <c r="AP28" s="385"/>
      <c r="AQ28" s="516" t="s">
        <v>242</v>
      </c>
      <c r="AR28" s="399"/>
      <c r="AS28" s="422"/>
      <c r="AT28" s="491" t="s">
        <v>243</v>
      </c>
      <c r="AU28" s="54" t="b">
        <v>0</v>
      </c>
      <c r="AV28" s="54" t="b">
        <v>0</v>
      </c>
      <c r="AW28" s="123"/>
      <c r="AX28" s="124"/>
      <c r="AY28" s="124"/>
      <c r="AZ28" s="124"/>
      <c r="BA28" s="125"/>
      <c r="BB28" s="494" t="s">
        <v>182</v>
      </c>
      <c r="BC28" s="403" t="s">
        <v>177</v>
      </c>
      <c r="BD28" s="129" t="str">
        <f t="shared" si="4"/>
        <v>優惠券_真券_【僅供MKT Campaign使用】PC：一排兩張；APP：一排1張 + 一鍵領取(多張) + Reminder</v>
      </c>
      <c r="BE28" s="130" t="str">
        <f>IFERROR(VLOOKUP($BD28,'(勿動)組件目錄表'!$D$15:$R$1094,2,FALSE),"")</f>
        <v>F-7</v>
      </c>
      <c r="BF28" s="131">
        <f>IFERROR(VLOOKUP($BD28, '(勿動)組件目錄表'!$D$15:$R$1094, 5, FALSE),"")</f>
        <v>0.8</v>
      </c>
      <c r="BG28" s="118" t="s">
        <v>244</v>
      </c>
      <c r="BH28" s="120"/>
      <c r="BI28" s="118"/>
      <c r="BJ28" s="120"/>
    </row>
    <row r="29" spans="1:62" ht="57" customHeight="1">
      <c r="A29" s="18" t="str">
        <f t="array" aca="1" ref="A29" ca="1">IFERROR(TRANSPOSE(INDIRECT('「(動工中勿使用!!)新版+舊版_Teaser」的副本'!$BB29)),"")</f>
        <v/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33" t="b">
        <v>0</v>
      </c>
      <c r="AF29" s="111" t="str">
        <f t="shared" si="7"/>
        <v/>
      </c>
      <c r="AG29" s="112" t="str">
        <f t="shared" si="1"/>
        <v/>
      </c>
      <c r="AH29" s="126" t="s">
        <v>204</v>
      </c>
      <c r="AI29" s="114" t="str">
        <f ca="1">IFERROR(VLOOKUP($AH29, '(勿動)Component Label公版'!$D$1:$E$1000, 2, FALSE), "-")</f>
        <v>-</v>
      </c>
      <c r="AJ29" s="115"/>
      <c r="AK29" s="112"/>
      <c r="AL29" s="112"/>
      <c r="AM29" s="116" t="str">
        <f t="shared" si="2"/>
        <v/>
      </c>
      <c r="AN29" s="117" t="str">
        <f t="shared" si="3"/>
        <v/>
      </c>
      <c r="AO29" s="517" t="s">
        <v>245</v>
      </c>
      <c r="AP29" s="424"/>
      <c r="AQ29" s="400"/>
      <c r="AR29" s="401"/>
      <c r="AS29" s="424"/>
      <c r="AT29" s="400"/>
      <c r="AU29" s="54" t="b">
        <v>0</v>
      </c>
      <c r="AV29" s="54" t="b">
        <v>0</v>
      </c>
      <c r="AW29" s="123"/>
      <c r="AX29" s="124"/>
      <c r="AY29" s="124"/>
      <c r="AZ29" s="124"/>
      <c r="BA29" s="125"/>
      <c r="BB29" s="379"/>
      <c r="BC29" s="379"/>
      <c r="BD29" s="129" t="str">
        <f t="shared" si="4"/>
        <v>_</v>
      </c>
      <c r="BE29" s="130" t="str">
        <f>IFERROR(VLOOKUP($BD29,'(勿動)組件目錄表'!$D$15:$R$1094,2,FALSE),"")</f>
        <v/>
      </c>
      <c r="BF29" s="131" t="str">
        <f>IFERROR(VLOOKUP($BD29, '(勿動)組件目錄表'!$D$15:$R$1094, 5, FALSE),"")</f>
        <v/>
      </c>
      <c r="BG29" s="118" t="s">
        <v>246</v>
      </c>
      <c r="BH29" s="120"/>
      <c r="BI29" s="118"/>
      <c r="BJ29" s="120"/>
    </row>
    <row r="30" spans="1:62" ht="15.75" customHeight="1">
      <c r="A30" s="18" t="str">
        <f t="array" aca="1" ref="A30:I30" ca="1">IFERROR(TRANSPOSE(INDIRECT('「(動工中勿使用!!)新版+舊版_Teaser」的副本'!$BB30)),"")</f>
        <v>一排1張(單張/多張)(無一鍵領取)</v>
      </c>
      <c r="B30" s="18" t="str">
        <f ca="1"/>
        <v>一排1張 + Reminder(單張/多張)(無一鍵領取)</v>
      </c>
      <c r="C30" s="18" t="str">
        <f ca="1"/>
        <v>一排1張 + 一鍵領取(多張)</v>
      </c>
      <c r="D30" s="18" t="str">
        <f ca="1"/>
        <v>【僅供MKT Campaign使用】PC：一排兩張；APP：一排1張 + 一鍵領取(多張)</v>
      </c>
      <c r="E30" s="18" t="str">
        <f ca="1"/>
        <v>【僅供MKT Campaign使用】PC：一排兩張；APP：一排1張 + 一鍵領取(多張) + Reminder</v>
      </c>
      <c r="F30" s="18" t="str">
        <f ca="1"/>
        <v>【僅供MKT Campaign使用】PC：一排兩張；APP：一排1張 + 一鍵領取(多張) + Reminder + 查看全部(系統預設加上「優惠券」文案)</v>
      </c>
      <c r="G30" s="18" t="str">
        <f ca="1"/>
        <v>一排2張(單張/多張)(無一鍵領取)</v>
      </c>
      <c r="H30" s="18" t="str">
        <f ca="1"/>
        <v>一排2張 + Reminder(單張/多張)(無一鍵領取)</v>
      </c>
      <c r="I30" s="18" t="str">
        <f ca="1"/>
        <v>一排2張 + 一鍵領取(多張)</v>
      </c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33" t="b">
        <v>0</v>
      </c>
      <c r="AF30" s="111" t="str">
        <f t="shared" si="7"/>
        <v/>
      </c>
      <c r="AG30" s="112" t="str">
        <f t="shared" si="1"/>
        <v/>
      </c>
      <c r="AH30" s="126" t="s">
        <v>204</v>
      </c>
      <c r="AI30" s="114" t="str">
        <f ca="1">IFERROR(VLOOKUP($AH30, '(勿動)Component Label公版'!$D$1:$E$1000, 2, FALSE), "-")</f>
        <v>-</v>
      </c>
      <c r="AJ30" s="115"/>
      <c r="AK30" s="112"/>
      <c r="AL30" s="112"/>
      <c r="AM30" s="116" t="str">
        <f t="shared" si="2"/>
        <v/>
      </c>
      <c r="AN30" s="117" t="str">
        <f t="shared" si="3"/>
        <v/>
      </c>
      <c r="AO30" s="515" t="s">
        <v>241</v>
      </c>
      <c r="AP30" s="385"/>
      <c r="AQ30" s="516" t="s">
        <v>247</v>
      </c>
      <c r="AR30" s="399"/>
      <c r="AS30" s="422"/>
      <c r="AT30" s="491" t="s">
        <v>243</v>
      </c>
      <c r="AU30" s="54" t="b">
        <v>0</v>
      </c>
      <c r="AV30" s="54" t="b">
        <v>0</v>
      </c>
      <c r="AW30" s="123"/>
      <c r="AX30" s="124"/>
      <c r="AY30" s="124"/>
      <c r="AZ30" s="124"/>
      <c r="BA30" s="125"/>
      <c r="BB30" s="494" t="s">
        <v>182</v>
      </c>
      <c r="BC30" s="403" t="s">
        <v>177</v>
      </c>
      <c r="BD30" s="129" t="str">
        <f t="shared" si="4"/>
        <v>優惠券_真券_【僅供MKT Campaign使用】PC：一排兩張；APP：一排1張 + 一鍵領取(多張) + Reminder</v>
      </c>
      <c r="BE30" s="130" t="str">
        <f>IFERROR(VLOOKUP($BD30,'(勿動)組件目錄表'!$D$15:$R$1094,2,FALSE),"")</f>
        <v>F-7</v>
      </c>
      <c r="BF30" s="131">
        <f>IFERROR(VLOOKUP($BD30, '(勿動)組件目錄表'!$D$15:$R$1094, 5, FALSE),"")</f>
        <v>0.8</v>
      </c>
      <c r="BG30" s="118" t="s">
        <v>248</v>
      </c>
      <c r="BH30" s="120"/>
      <c r="BI30" s="118"/>
      <c r="BJ30" s="120"/>
    </row>
    <row r="31" spans="1:62" ht="57" customHeight="1">
      <c r="A31" s="18" t="str">
        <f t="array" aca="1" ref="A31" ca="1">IFERROR(TRANSPOSE(INDIRECT('「(動工中勿使用!!)新版+舊版_Teaser」的副本'!$BB31)),"")</f>
        <v/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33" t="b">
        <v>0</v>
      </c>
      <c r="AF31" s="111" t="str">
        <f t="shared" si="7"/>
        <v/>
      </c>
      <c r="AG31" s="112" t="str">
        <f t="shared" si="1"/>
        <v/>
      </c>
      <c r="AH31" s="126" t="s">
        <v>204</v>
      </c>
      <c r="AI31" s="114" t="str">
        <f ca="1">IFERROR(VLOOKUP($AH31, '(勿動)Component Label公版'!$D$1:$E$1000, 2, FALSE), "-")</f>
        <v>-</v>
      </c>
      <c r="AJ31" s="115"/>
      <c r="AK31" s="112"/>
      <c r="AL31" s="112"/>
      <c r="AM31" s="116" t="str">
        <f t="shared" si="2"/>
        <v/>
      </c>
      <c r="AN31" s="117" t="str">
        <f t="shared" si="3"/>
        <v/>
      </c>
      <c r="AO31" s="517" t="s">
        <v>245</v>
      </c>
      <c r="AP31" s="424"/>
      <c r="AQ31" s="518"/>
      <c r="AR31" s="420"/>
      <c r="AS31" s="519"/>
      <c r="AT31" s="412"/>
      <c r="AU31" s="54" t="b">
        <v>0</v>
      </c>
      <c r="AV31" s="54" t="b">
        <v>0</v>
      </c>
      <c r="AW31" s="123"/>
      <c r="AX31" s="124"/>
      <c r="AY31" s="124"/>
      <c r="AZ31" s="124"/>
      <c r="BA31" s="125"/>
      <c r="BB31" s="379"/>
      <c r="BC31" s="379"/>
      <c r="BD31" s="129" t="str">
        <f t="shared" si="4"/>
        <v>_</v>
      </c>
      <c r="BE31" s="130" t="str">
        <f>IFERROR(VLOOKUP($BD31,'(勿動)組件目錄表'!$D$15:$R$1094,2,FALSE),"")</f>
        <v/>
      </c>
      <c r="BF31" s="131" t="str">
        <f>IFERROR(VLOOKUP($BD31, '(勿動)組件目錄表'!$D$15:$R$1094, 5, FALSE),"")</f>
        <v/>
      </c>
      <c r="BG31" s="118" t="s">
        <v>249</v>
      </c>
      <c r="BH31" s="120"/>
      <c r="BI31" s="118"/>
      <c r="BJ31" s="120"/>
    </row>
    <row r="32" spans="1:62" ht="15.75" customHeight="1">
      <c r="A32" s="18" t="str">
        <f t="array" aca="1" ref="A32:AD32" ca="1">IFERROR(TRANSPOSE(INDIRECT('「(動工中勿使用!!)新版+舊版_Teaser」的副本'!$BB32)),"")</f>
        <v>無CTA</v>
      </c>
      <c r="B32" s="18" t="str">
        <f ca="1"/>
        <v>LINK*1</v>
      </c>
      <c r="C32" s="18" t="str">
        <f ca="1"/>
        <v>LINK*2</v>
      </c>
      <c r="D32" s="18" t="str">
        <f ca="1"/>
        <v>LINK*3</v>
      </c>
      <c r="E32" s="18" t="str">
        <f ca="1"/>
        <v>LINK&gt;3</v>
      </c>
      <c r="F32" s="18" t="str">
        <f ca="1"/>
        <v>Reminder*1</v>
      </c>
      <c r="G32" s="18" t="str">
        <f ca="1"/>
        <v>Reminder*2</v>
      </c>
      <c r="H32" s="18" t="str">
        <f ca="1"/>
        <v>Reminder*3</v>
      </c>
      <c r="I32" s="18" t="str">
        <f ca="1"/>
        <v>Reminder*4</v>
      </c>
      <c r="J32" s="18" t="str">
        <f ca="1"/>
        <v>Reminder*5</v>
      </c>
      <c r="K32" s="18" t="str">
        <f ca="1"/>
        <v>Reminder&gt;5</v>
      </c>
      <c r="L32" s="18" t="str">
        <f ca="1"/>
        <v>LINK*1 + Reminder*1</v>
      </c>
      <c r="M32" s="18" t="str">
        <f ca="1"/>
        <v>LINK*1 + Reminder*2</v>
      </c>
      <c r="N32" s="18" t="str">
        <f ca="1"/>
        <v>LINK*2 + Reminder*1</v>
      </c>
      <c r="O32" s="18" t="str">
        <f ca="1"/>
        <v>Add to Cart*1</v>
      </c>
      <c r="P32" s="18" t="str">
        <f ca="1"/>
        <v>Add to Cart*2</v>
      </c>
      <c r="Q32" s="18" t="str">
        <f ca="1"/>
        <v>Add to Cart*3</v>
      </c>
      <c r="R32" s="18" t="str">
        <f ca="1"/>
        <v>(Reminder+ATC) *1</v>
      </c>
      <c r="S32" s="18" t="str">
        <f ca="1"/>
        <v>(Reminder+ATC) *2</v>
      </c>
      <c r="T32" s="18" t="str">
        <f ca="1"/>
        <v>(Reminder+ATC) *3</v>
      </c>
      <c r="U32" s="18" t="str">
        <f ca="1"/>
        <v>Popup*1</v>
      </c>
      <c r="V32" s="18" t="str">
        <f ca="1"/>
        <v>Popup*2</v>
      </c>
      <c r="W32" s="18" t="str">
        <f ca="1"/>
        <v>Popup*3</v>
      </c>
      <c r="X32" s="18" t="str">
        <f ca="1"/>
        <v>Copy*1</v>
      </c>
      <c r="Y32" s="18" t="str">
        <f ca="1"/>
        <v>Copy*2</v>
      </c>
      <c r="Z32" s="18" t="str">
        <f ca="1"/>
        <v>Copy*3</v>
      </c>
      <c r="AA32" s="18" t="str">
        <f ca="1"/>
        <v>Share*1</v>
      </c>
      <c r="AB32" s="18" t="str">
        <f ca="1"/>
        <v>Share*2</v>
      </c>
      <c r="AC32" s="18" t="str">
        <f ca="1"/>
        <v>Share*3</v>
      </c>
      <c r="AD32" s="18" t="str">
        <f ca="1"/>
        <v>Placeholders</v>
      </c>
      <c r="AE32" s="86" t="b">
        <v>1</v>
      </c>
      <c r="AF32" s="111" t="s">
        <v>234</v>
      </c>
      <c r="AG32" s="112" t="str">
        <f t="shared" si="1"/>
        <v/>
      </c>
      <c r="AH32" s="126" t="s">
        <v>204</v>
      </c>
      <c r="AI32" s="114" t="str">
        <f ca="1">IFERROR(VLOOKUP($AH32, '(勿動)Component Label公版'!$D$1:$E$1000, 2, FALSE), "-")</f>
        <v>-</v>
      </c>
      <c r="AJ32" s="115"/>
      <c r="AK32" s="112"/>
      <c r="AL32" s="112"/>
      <c r="AM32" s="116" t="str">
        <f t="shared" si="2"/>
        <v/>
      </c>
      <c r="AN32" s="117" t="str">
        <f t="shared" si="3"/>
        <v/>
      </c>
      <c r="AO32" s="475" t="s">
        <v>250</v>
      </c>
      <c r="AP32" s="384"/>
      <c r="AQ32" s="384"/>
      <c r="AR32" s="384"/>
      <c r="AS32" s="384"/>
      <c r="AT32" s="385"/>
      <c r="AU32" s="54" t="b">
        <v>1</v>
      </c>
      <c r="AV32" s="54" t="b">
        <v>0</v>
      </c>
      <c r="AW32" s="123"/>
      <c r="AX32" s="124"/>
      <c r="AY32" s="124"/>
      <c r="AZ32" s="124"/>
      <c r="BA32" s="125"/>
      <c r="BB32" s="68" t="s">
        <v>147</v>
      </c>
      <c r="BC32" s="62" t="s">
        <v>154</v>
      </c>
      <c r="BD32" s="129" t="str">
        <f t="shared" si="4"/>
        <v>圖_MSBN_無CTA</v>
      </c>
      <c r="BE32" s="130" t="str">
        <f>IFERROR(VLOOKUP($BD32,'(勿動)組件目錄表'!$D$15:$R$1094,2,FALSE),"")</f>
        <v>I-1</v>
      </c>
      <c r="BF32" s="131">
        <f>IFERROR(VLOOKUP($BD32, '(勿動)組件目錄表'!$D$15:$R$1094, 5, FALSE),"")</f>
        <v>0.5</v>
      </c>
      <c r="BG32" s="118" t="s">
        <v>251</v>
      </c>
      <c r="BH32" s="120"/>
      <c r="BI32" s="118"/>
      <c r="BJ32" s="120"/>
    </row>
    <row r="33" spans="1:62" ht="72.75" customHeight="1">
      <c r="A33" s="18" t="str">
        <f t="array" aca="1" ref="A33:AD33" ca="1">IFERROR(TRANSPOSE(INDIRECT('「(動工中勿使用!!)新版+舊版_Teaser」的副本'!$BB33)),"")</f>
        <v>無CTA</v>
      </c>
      <c r="B33" s="18" t="str">
        <f ca="1"/>
        <v>LINK*1</v>
      </c>
      <c r="C33" s="18" t="str">
        <f ca="1"/>
        <v>LINK*2</v>
      </c>
      <c r="D33" s="18" t="str">
        <f ca="1"/>
        <v>LINK*3</v>
      </c>
      <c r="E33" s="18" t="str">
        <f ca="1"/>
        <v>LINK&gt;3</v>
      </c>
      <c r="F33" s="18" t="str">
        <f ca="1"/>
        <v>Reminder*1</v>
      </c>
      <c r="G33" s="18" t="str">
        <f ca="1"/>
        <v>Reminder*2</v>
      </c>
      <c r="H33" s="18" t="str">
        <f ca="1"/>
        <v>Reminder*3</v>
      </c>
      <c r="I33" s="18" t="str">
        <f ca="1"/>
        <v>Reminder*4</v>
      </c>
      <c r="J33" s="18" t="str">
        <f ca="1"/>
        <v>Reminder*5</v>
      </c>
      <c r="K33" s="18" t="str">
        <f ca="1"/>
        <v>Reminder&gt;5</v>
      </c>
      <c r="L33" s="18" t="str">
        <f ca="1"/>
        <v>LINK*1 + Reminder*1</v>
      </c>
      <c r="M33" s="18" t="str">
        <f ca="1"/>
        <v>LINK*1 + Reminder*2</v>
      </c>
      <c r="N33" s="18" t="str">
        <f ca="1"/>
        <v>LINK*2 + Reminder*1</v>
      </c>
      <c r="O33" s="18" t="str">
        <f ca="1"/>
        <v>Add to Cart*1</v>
      </c>
      <c r="P33" s="18" t="str">
        <f ca="1"/>
        <v>Add to Cart*2</v>
      </c>
      <c r="Q33" s="18" t="str">
        <f ca="1"/>
        <v>Add to Cart*3</v>
      </c>
      <c r="R33" s="18" t="str">
        <f ca="1"/>
        <v>(Reminder+ATC) *1</v>
      </c>
      <c r="S33" s="18" t="str">
        <f ca="1"/>
        <v>(Reminder+ATC) *2</v>
      </c>
      <c r="T33" s="18" t="str">
        <f ca="1"/>
        <v>(Reminder+ATC) *3</v>
      </c>
      <c r="U33" s="18" t="str">
        <f ca="1"/>
        <v>Popup*1</v>
      </c>
      <c r="V33" s="18" t="str">
        <f ca="1"/>
        <v>Popup*2</v>
      </c>
      <c r="W33" s="18" t="str">
        <f ca="1"/>
        <v>Popup*3</v>
      </c>
      <c r="X33" s="18" t="str">
        <f ca="1"/>
        <v>Copy*1</v>
      </c>
      <c r="Y33" s="18" t="str">
        <f ca="1"/>
        <v>Copy*2</v>
      </c>
      <c r="Z33" s="18" t="str">
        <f ca="1"/>
        <v>Copy*3</v>
      </c>
      <c r="AA33" s="18" t="str">
        <f ca="1"/>
        <v>Share*1</v>
      </c>
      <c r="AB33" s="18" t="str">
        <f ca="1"/>
        <v>Share*2</v>
      </c>
      <c r="AC33" s="18" t="str">
        <f ca="1"/>
        <v>Share*3</v>
      </c>
      <c r="AD33" s="18" t="str">
        <f ca="1"/>
        <v>Placeholders</v>
      </c>
      <c r="AE33" s="86" t="b">
        <v>0</v>
      </c>
      <c r="AF33" s="111" t="str">
        <f t="shared" ref="AF33:AF287" si="8">IF(AE33=TRUE,"若有勾選則必填，隱藏錨點請填寫&lt;設隱形錨點&gt;","")</f>
        <v/>
      </c>
      <c r="AG33" s="112" t="str">
        <f t="shared" si="1"/>
        <v/>
      </c>
      <c r="AH33" s="126" t="s">
        <v>204</v>
      </c>
      <c r="AI33" s="114" t="str">
        <f ca="1">IFERROR(VLOOKUP($AH33, '(勿動)Component Label公版'!$D$1:$E$1000, 2, FALSE), "-")</f>
        <v>-</v>
      </c>
      <c r="AJ33" s="115"/>
      <c r="AK33" s="112"/>
      <c r="AL33" s="112"/>
      <c r="AM33" s="116" t="str">
        <f t="shared" si="2"/>
        <v/>
      </c>
      <c r="AN33" s="117" t="str">
        <f t="shared" si="3"/>
        <v/>
      </c>
      <c r="AO33" s="474" t="s">
        <v>252</v>
      </c>
      <c r="AP33" s="405"/>
      <c r="AQ33" s="474" t="s">
        <v>253</v>
      </c>
      <c r="AR33" s="405"/>
      <c r="AS33" s="474" t="s">
        <v>254</v>
      </c>
      <c r="AT33" s="385"/>
      <c r="AU33" s="54" t="b">
        <v>1</v>
      </c>
      <c r="AV33" s="54" t="b">
        <v>0</v>
      </c>
      <c r="AW33" s="123"/>
      <c r="AX33" s="124"/>
      <c r="AY33" s="124"/>
      <c r="AZ33" s="124"/>
      <c r="BA33" s="125"/>
      <c r="BB33" s="68" t="s">
        <v>147</v>
      </c>
      <c r="BC33" s="62" t="s">
        <v>154</v>
      </c>
      <c r="BD33" s="129" t="str">
        <f t="shared" si="4"/>
        <v>圖_MSBN_無CTA</v>
      </c>
      <c r="BE33" s="130" t="str">
        <f>IFERROR(VLOOKUP($BD33,'(勿動)組件目錄表'!$D$15:$R$1094,2,FALSE),"")</f>
        <v>I-1</v>
      </c>
      <c r="BF33" s="131">
        <f>IFERROR(VLOOKUP($BD33, '(勿動)組件目錄表'!$D$15:$R$1094, 5, FALSE),"")</f>
        <v>0.5</v>
      </c>
      <c r="BG33" s="118"/>
      <c r="BH33" s="120"/>
      <c r="BI33" s="118"/>
      <c r="BJ33" s="120"/>
    </row>
    <row r="34" spans="1:62" ht="15.75" customHeight="1">
      <c r="A34" s="18" t="str">
        <f t="array" aca="1" ref="A34:G34" ca="1">IFERROR(TRANSPOSE(INDIRECT('「(動工中勿使用!!)新版+舊版_Teaser」的副本'!$BB34)),"")</f>
        <v>一排1品(垂直展示)</v>
      </c>
      <c r="B34" s="18" t="str">
        <f ca="1"/>
        <v>一排2品(垂直展示)</v>
      </c>
      <c r="C34" s="18" t="str">
        <f ca="1"/>
        <v>一排3品(垂直展示)</v>
      </c>
      <c r="D34" s="18" t="str">
        <f ca="1"/>
        <v>Collection 1條(水平展示)</v>
      </c>
      <c r="E34" s="18" t="str">
        <f ca="1"/>
        <v>Collection 1條(水平展示) + 查看全部(Footer)</v>
      </c>
      <c r="F34" s="18" t="str">
        <f ca="1"/>
        <v>Multi tabs</v>
      </c>
      <c r="G34" s="18" t="str">
        <f ca="1"/>
        <v>推薦品 Item Recommendation-固定</v>
      </c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34" t="b">
        <v>0</v>
      </c>
      <c r="AF34" s="111" t="str">
        <f t="shared" si="8"/>
        <v/>
      </c>
      <c r="AG34" s="112" t="str">
        <f t="shared" si="1"/>
        <v/>
      </c>
      <c r="AH34" s="126" t="s">
        <v>204</v>
      </c>
      <c r="AI34" s="114" t="str">
        <f ca="1">IFERROR(VLOOKUP($AH34, '(勿動)Component Label公版'!$D$1:$E$1000, 2, FALSE), "-")</f>
        <v>-</v>
      </c>
      <c r="AJ34" s="115"/>
      <c r="AK34" s="112"/>
      <c r="AL34" s="112"/>
      <c r="AM34" s="116" t="str">
        <f t="shared" si="2"/>
        <v/>
      </c>
      <c r="AN34" s="117" t="str">
        <f t="shared" si="3"/>
        <v/>
      </c>
      <c r="AO34" s="520" t="s">
        <v>261</v>
      </c>
      <c r="AP34" s="384"/>
      <c r="AQ34" s="520" t="s">
        <v>262</v>
      </c>
      <c r="AR34" s="385"/>
      <c r="AS34" s="520" t="s">
        <v>263</v>
      </c>
      <c r="AT34" s="385"/>
      <c r="AU34" s="54" t="b">
        <v>0</v>
      </c>
      <c r="AV34" s="54" t="b">
        <v>0</v>
      </c>
      <c r="AW34" s="123"/>
      <c r="AX34" s="124"/>
      <c r="AY34" s="124"/>
      <c r="AZ34" s="124"/>
      <c r="BA34" s="125"/>
      <c r="BB34" s="494" t="s">
        <v>264</v>
      </c>
      <c r="BC34" s="403" t="s">
        <v>259</v>
      </c>
      <c r="BD34" s="129" t="str">
        <f t="shared" si="4"/>
        <v>品_Multi tabs</v>
      </c>
      <c r="BE34" s="130" t="str">
        <f>IFERROR(VLOOKUP($BD34,'(勿動)組件目錄表'!$D$15:$R$1094,2,FALSE),"")</f>
        <v>G-7</v>
      </c>
      <c r="BF34" s="131">
        <f>IFERROR(VLOOKUP($BD34, '(勿動)組件目錄表'!$D$15:$R$1094, 5, FALSE),"")</f>
        <v>1</v>
      </c>
      <c r="BG34" s="118"/>
      <c r="BH34" s="120"/>
      <c r="BI34" s="118"/>
      <c r="BJ34" s="120"/>
    </row>
    <row r="35" spans="1:62" ht="15.75" customHeight="1">
      <c r="A35" s="18" t="str">
        <f t="array" aca="1" ref="A35" ca="1">IFERROR(TRANSPOSE(INDIRECT('「(動工中勿使用!!)新版+舊版_Teaser」的副本'!$BB35)),"")</f>
        <v/>
      </c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34" t="b">
        <v>0</v>
      </c>
      <c r="AF35" s="111" t="str">
        <f t="shared" si="8"/>
        <v/>
      </c>
      <c r="AG35" s="112" t="str">
        <f t="shared" si="1"/>
        <v/>
      </c>
      <c r="AH35" s="126" t="s">
        <v>204</v>
      </c>
      <c r="AI35" s="114" t="str">
        <f ca="1">IFERROR(VLOOKUP($AH35, '(勿動)Component Label公版'!$D$1:$E$1000, 2, FALSE), "-")</f>
        <v>-</v>
      </c>
      <c r="AJ35" s="115"/>
      <c r="AK35" s="112"/>
      <c r="AL35" s="112"/>
      <c r="AM35" s="116" t="str">
        <f t="shared" si="2"/>
        <v/>
      </c>
      <c r="AN35" s="117" t="str">
        <f t="shared" si="3"/>
        <v/>
      </c>
      <c r="AO35" s="521" t="s">
        <v>265</v>
      </c>
      <c r="AP35" s="385"/>
      <c r="AQ35" s="521" t="s">
        <v>266</v>
      </c>
      <c r="AR35" s="385"/>
      <c r="AS35" s="521" t="s">
        <v>267</v>
      </c>
      <c r="AT35" s="385"/>
      <c r="AU35" s="54" t="b">
        <v>0</v>
      </c>
      <c r="AV35" s="54" t="b">
        <v>0</v>
      </c>
      <c r="AW35" s="123"/>
      <c r="AX35" s="124"/>
      <c r="AY35" s="124"/>
      <c r="AZ35" s="124"/>
      <c r="BA35" s="125"/>
      <c r="BB35" s="379"/>
      <c r="BC35" s="379"/>
      <c r="BD35" s="129" t="str">
        <f t="shared" si="4"/>
        <v>_</v>
      </c>
      <c r="BE35" s="130" t="str">
        <f>IFERROR(VLOOKUP($BD35,'(勿動)組件目錄表'!$D$15:$R$1094,2,FALSE),"")</f>
        <v/>
      </c>
      <c r="BF35" s="131" t="str">
        <f>IFERROR(VLOOKUP($BD35, '(勿動)組件目錄表'!$D$15:$R$1094, 5, FALSE),"")</f>
        <v/>
      </c>
      <c r="BG35" s="118"/>
      <c r="BH35" s="120"/>
      <c r="BI35" s="118"/>
      <c r="BJ35" s="120"/>
    </row>
    <row r="36" spans="1:62" ht="15.75" customHeight="1">
      <c r="A36" s="18" t="str">
        <f t="array" aca="1" ref="A36:AD36" ca="1">IFERROR(TRANSPOSE(INDIRECT('「(動工中勿使用!!)新版+舊版_Teaser」的副本'!$BB36)),"")</f>
        <v>無CTA</v>
      </c>
      <c r="B36" s="18" t="str">
        <f ca="1"/>
        <v>LINK*1</v>
      </c>
      <c r="C36" s="18" t="str">
        <f ca="1"/>
        <v>LINK*2</v>
      </c>
      <c r="D36" s="18" t="str">
        <f ca="1"/>
        <v>LINK*3</v>
      </c>
      <c r="E36" s="18" t="str">
        <f ca="1"/>
        <v>LINK&gt;3</v>
      </c>
      <c r="F36" s="18" t="str">
        <f ca="1"/>
        <v>Reminder*1</v>
      </c>
      <c r="G36" s="18" t="str">
        <f ca="1"/>
        <v>Reminder*2</v>
      </c>
      <c r="H36" s="18" t="str">
        <f ca="1"/>
        <v>Reminder*3</v>
      </c>
      <c r="I36" s="18" t="str">
        <f ca="1"/>
        <v>Reminder*4</v>
      </c>
      <c r="J36" s="18" t="str">
        <f ca="1"/>
        <v>Reminder*5</v>
      </c>
      <c r="K36" s="18" t="str">
        <f ca="1"/>
        <v>Reminder&gt;5</v>
      </c>
      <c r="L36" s="18" t="str">
        <f ca="1"/>
        <v>LINK*1 + Reminder*1</v>
      </c>
      <c r="M36" s="18" t="str">
        <f ca="1"/>
        <v>LINK*1 + Reminder*2</v>
      </c>
      <c r="N36" s="18" t="str">
        <f ca="1"/>
        <v>LINK*2 + Reminder*1</v>
      </c>
      <c r="O36" s="18" t="str">
        <f ca="1"/>
        <v>Add to Cart*1</v>
      </c>
      <c r="P36" s="18" t="str">
        <f ca="1"/>
        <v>Add to Cart*2</v>
      </c>
      <c r="Q36" s="18" t="str">
        <f ca="1"/>
        <v>Add to Cart*3</v>
      </c>
      <c r="R36" s="18" t="str">
        <f ca="1"/>
        <v>(Reminder+ATC) *1</v>
      </c>
      <c r="S36" s="18" t="str">
        <f ca="1"/>
        <v>(Reminder+ATC) *2</v>
      </c>
      <c r="T36" s="18" t="str">
        <f ca="1"/>
        <v>(Reminder+ATC) *3</v>
      </c>
      <c r="U36" s="18" t="str">
        <f ca="1"/>
        <v>Popup*1</v>
      </c>
      <c r="V36" s="18" t="str">
        <f ca="1"/>
        <v>Popup*2</v>
      </c>
      <c r="W36" s="18" t="str">
        <f ca="1"/>
        <v>Popup*3</v>
      </c>
      <c r="X36" s="18" t="str">
        <f ca="1"/>
        <v>Copy*1</v>
      </c>
      <c r="Y36" s="18" t="str">
        <f ca="1"/>
        <v>Copy*2</v>
      </c>
      <c r="Z36" s="18" t="str">
        <f ca="1"/>
        <v>Copy*3</v>
      </c>
      <c r="AA36" s="18" t="str">
        <f ca="1"/>
        <v>Share*1</v>
      </c>
      <c r="AB36" s="18" t="str">
        <f ca="1"/>
        <v>Share*2</v>
      </c>
      <c r="AC36" s="18" t="str">
        <f ca="1"/>
        <v>Share*3</v>
      </c>
      <c r="AD36" s="18" t="str">
        <f ca="1"/>
        <v>Placeholders</v>
      </c>
      <c r="AE36" s="86" t="b">
        <v>0</v>
      </c>
      <c r="AF36" s="111" t="str">
        <f t="shared" si="8"/>
        <v/>
      </c>
      <c r="AG36" s="112" t="str">
        <f t="shared" si="1"/>
        <v/>
      </c>
      <c r="AH36" s="126" t="s">
        <v>204</v>
      </c>
      <c r="AI36" s="114" t="str">
        <f ca="1">IFERROR(VLOOKUP($AH36, '(勿動)Component Label公版'!$D$1:$E$1000, 2, FALSE), "-")</f>
        <v>-</v>
      </c>
      <c r="AJ36" s="115"/>
      <c r="AK36" s="112"/>
      <c r="AL36" s="112"/>
      <c r="AM36" s="116" t="str">
        <f t="shared" si="2"/>
        <v/>
      </c>
      <c r="AN36" s="117" t="str">
        <f t="shared" si="3"/>
        <v/>
      </c>
      <c r="AO36" s="437" t="s">
        <v>268</v>
      </c>
      <c r="AP36" s="384"/>
      <c r="AQ36" s="384"/>
      <c r="AR36" s="384"/>
      <c r="AS36" s="384"/>
      <c r="AT36" s="385"/>
      <c r="AU36" s="54" t="b">
        <v>1</v>
      </c>
      <c r="AV36" s="54" t="b">
        <v>0</v>
      </c>
      <c r="AW36" s="123"/>
      <c r="AX36" s="124"/>
      <c r="AY36" s="124"/>
      <c r="AZ36" s="124"/>
      <c r="BA36" s="125"/>
      <c r="BB36" s="68" t="s">
        <v>147</v>
      </c>
      <c r="BC36" s="62" t="s">
        <v>154</v>
      </c>
      <c r="BD36" s="129" t="str">
        <f t="shared" si="4"/>
        <v>圖_MSBN_無CTA</v>
      </c>
      <c r="BE36" s="130" t="str">
        <f>IFERROR(VLOOKUP($BD36,'(勿動)組件目錄表'!$D$15:$R$1094,2,FALSE),"")</f>
        <v>I-1</v>
      </c>
      <c r="BF36" s="131">
        <f>IFERROR(VLOOKUP($BD36, '(勿動)組件目錄表'!$D$15:$R$1094, 5, FALSE),"")</f>
        <v>0.5</v>
      </c>
      <c r="BG36" s="118" t="s">
        <v>269</v>
      </c>
      <c r="BH36" s="120"/>
      <c r="BI36" s="118"/>
      <c r="BJ36" s="120"/>
    </row>
    <row r="37" spans="1:62" ht="15.75" customHeight="1">
      <c r="A37" s="18" t="str">
        <f t="array" aca="1" ref="A37:B37" ca="1">IFERROR(TRANSPOSE(INDIRECT('「(動工中勿使用!!)新版+舊版_Teaser」的副本'!$BB37)),"")</f>
        <v>固定灰bar</v>
      </c>
      <c r="B37" s="18" t="str">
        <f ca="1"/>
        <v>空白格</v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86" t="b">
        <v>0</v>
      </c>
      <c r="AF37" s="111" t="str">
        <f t="shared" si="8"/>
        <v/>
      </c>
      <c r="AG37" s="112" t="str">
        <f t="shared" si="1"/>
        <v/>
      </c>
      <c r="AH37" s="126"/>
      <c r="AI37" s="114" t="str">
        <f ca="1">IFERROR(VLOOKUP($AH37, '(勿動)Component Label公版'!$D$1:$E$1000, 2, FALSE), "-")</f>
        <v>-</v>
      </c>
      <c r="AJ37" s="132"/>
      <c r="AK37" s="112"/>
      <c r="AL37" s="112"/>
      <c r="AM37" s="116" t="str">
        <f t="shared" si="2"/>
        <v/>
      </c>
      <c r="AN37" s="117" t="str">
        <f t="shared" si="3"/>
        <v/>
      </c>
      <c r="AO37" s="449" t="s">
        <v>188</v>
      </c>
      <c r="AP37" s="384"/>
      <c r="AQ37" s="384"/>
      <c r="AR37" s="384"/>
      <c r="AS37" s="384"/>
      <c r="AT37" s="385"/>
      <c r="AU37" s="54" t="b">
        <v>0</v>
      </c>
      <c r="AV37" s="54" t="b">
        <v>0</v>
      </c>
      <c r="AW37" s="123"/>
      <c r="AX37" s="124"/>
      <c r="AY37" s="124"/>
      <c r="AZ37" s="124"/>
      <c r="BA37" s="125"/>
      <c r="BB37" s="68" t="s">
        <v>24</v>
      </c>
      <c r="BC37" s="62" t="s">
        <v>227</v>
      </c>
      <c r="BD37" s="129" t="str">
        <f t="shared" si="4"/>
        <v>Gap_固定灰bar</v>
      </c>
      <c r="BE37" s="130" t="str">
        <f>IFERROR(VLOOKUP($BD37,'(勿動)組件目錄表'!$D$15:$R$1094,2,FALSE),"")</f>
        <v>R-1</v>
      </c>
      <c r="BF37" s="131">
        <f>IFERROR(VLOOKUP($BD37, '(勿動)組件目錄表'!$D$15:$R$1094, 5, FALSE),"")</f>
        <v>0.2</v>
      </c>
      <c r="BG37" s="118"/>
      <c r="BH37" s="120"/>
      <c r="BI37" s="118"/>
      <c r="BJ37" s="120"/>
    </row>
    <row r="38" spans="1:62" ht="33.75" customHeight="1">
      <c r="A38" s="18" t="str">
        <f t="array" aca="1" ref="A38:D38" ca="1">IFERROR(TRANSPOSE(INDIRECT('「(動工中勿使用!!)新版+舊版_Teaser」的副本'!$BB38)),"")</f>
        <v>置中</v>
      </c>
      <c r="B38" s="18" t="str">
        <f ca="1"/>
        <v>置中 + Display See All</v>
      </c>
      <c r="C38" s="18" t="str">
        <f ca="1"/>
        <v>置左</v>
      </c>
      <c r="D38" s="18" t="str">
        <f ca="1"/>
        <v>置左 + Display See All</v>
      </c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86" t="b">
        <v>1</v>
      </c>
      <c r="AF38" s="111" t="str">
        <f t="shared" si="8"/>
        <v>若有勾選則必填，隱藏錨點請填寫&lt;設隱形錨點&gt;</v>
      </c>
      <c r="AG38" s="112" t="str">
        <f t="shared" ca="1" si="1"/>
        <v>-</v>
      </c>
      <c r="AH38" s="126" t="s">
        <v>270</v>
      </c>
      <c r="AI38" s="114" t="str">
        <f ca="1">IFERROR(VLOOKUP($AH38, '(勿動)Component Label公版'!$D$1:$E$1000, 2, FALSE), "-")</f>
        <v>-</v>
      </c>
      <c r="AJ38" s="115"/>
      <c r="AK38" s="112"/>
      <c r="AL38" s="112"/>
      <c r="AM38" s="116" t="str">
        <f t="shared" si="2"/>
        <v/>
      </c>
      <c r="AN38" s="117" t="str">
        <f t="shared" si="3"/>
        <v/>
      </c>
      <c r="AO38" s="450" t="s">
        <v>271</v>
      </c>
      <c r="AP38" s="384"/>
      <c r="AQ38" s="384"/>
      <c r="AR38" s="384"/>
      <c r="AS38" s="384"/>
      <c r="AT38" s="385"/>
      <c r="AU38" s="54" t="b">
        <v>0</v>
      </c>
      <c r="AV38" s="54" t="b">
        <v>0</v>
      </c>
      <c r="AW38" s="123"/>
      <c r="AX38" s="124"/>
      <c r="AY38" s="124"/>
      <c r="AZ38" s="124"/>
      <c r="BA38" s="125"/>
      <c r="BB38" s="68" t="s">
        <v>159</v>
      </c>
      <c r="BC38" s="62" t="s">
        <v>157</v>
      </c>
      <c r="BD38" s="129" t="str">
        <f t="shared" si="4"/>
        <v>標題_置左</v>
      </c>
      <c r="BE38" s="130" t="str">
        <f>IFERROR(VLOOKUP($BD38,'(勿動)組件目錄表'!$D$15:$R$1094,2,FALSE),"")</f>
        <v>D-3</v>
      </c>
      <c r="BF38" s="131">
        <f>IFERROR(VLOOKUP($BD38, '(勿動)組件目錄表'!$D$15:$R$1094, 5, FALSE),"")</f>
        <v>0.5</v>
      </c>
      <c r="BG38" s="118"/>
      <c r="BH38" s="120"/>
      <c r="BI38" s="118"/>
      <c r="BJ38" s="120"/>
    </row>
    <row r="39" spans="1:62" ht="15.75" customHeight="1">
      <c r="A39" s="18" t="str">
        <f t="array" aca="1" ref="A39" ca="1">IFERROR(TRANSPOSE(INDIRECT('「(動工中勿使用!!)新版+舊版_Teaser」的副本'!$BB39)),"")</f>
        <v/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86" t="b">
        <v>0</v>
      </c>
      <c r="AF39" s="111" t="str">
        <f t="shared" si="8"/>
        <v/>
      </c>
      <c r="AG39" s="112" t="str">
        <f t="shared" si="1"/>
        <v/>
      </c>
      <c r="AH39" s="126" t="s">
        <v>270</v>
      </c>
      <c r="AI39" s="114" t="str">
        <f ca="1">IFERROR(VLOOKUP($AH39, '(勿動)Component Label公版'!$D$1:$E$1000, 2, FALSE), "-")</f>
        <v>-</v>
      </c>
      <c r="AJ39" s="115"/>
      <c r="AK39" s="112"/>
      <c r="AL39" s="112"/>
      <c r="AM39" s="116" t="str">
        <f t="shared" si="2"/>
        <v/>
      </c>
      <c r="AN39" s="117" t="str">
        <f t="shared" si="3"/>
        <v/>
      </c>
      <c r="AO39" s="522" t="s">
        <v>272</v>
      </c>
      <c r="AP39" s="384"/>
      <c r="AQ39" s="384"/>
      <c r="AR39" s="385"/>
      <c r="AS39" s="523" t="s">
        <v>273</v>
      </c>
      <c r="AT39" s="490"/>
      <c r="AU39" s="54" t="b">
        <v>1</v>
      </c>
      <c r="AV39" s="54" t="b">
        <v>0</v>
      </c>
      <c r="AW39" s="135" t="s">
        <v>274</v>
      </c>
      <c r="AX39" s="124"/>
      <c r="AY39" s="124"/>
      <c r="AZ39" s="124"/>
      <c r="BA39" s="125"/>
      <c r="BB39" s="68"/>
      <c r="BC39" s="62"/>
      <c r="BD39" s="129" t="str">
        <f t="shared" si="4"/>
        <v>_</v>
      </c>
      <c r="BE39" s="130" t="str">
        <f>IFERROR(VLOOKUP($BD39,'(勿動)組件目錄表'!$D$15:$R$1094,2,FALSE),"")</f>
        <v/>
      </c>
      <c r="BF39" s="131" t="str">
        <f>IFERROR(VLOOKUP($BD39, '(勿動)組件目錄表'!$D$15:$R$1094, 5, FALSE),"")</f>
        <v/>
      </c>
      <c r="BG39" s="118"/>
      <c r="BH39" s="120"/>
      <c r="BI39" s="118"/>
      <c r="BJ39" s="120"/>
    </row>
    <row r="40" spans="1:62" ht="15.75" customHeight="1">
      <c r="A40" s="18" t="str">
        <f t="array" aca="1" ref="A40" ca="1">IFERROR(TRANSPOSE(INDIRECT('「(動工中勿使用!!)新版+舊版_Teaser」的副本'!$BB40)),"")</f>
        <v/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34" t="b">
        <v>0</v>
      </c>
      <c r="AF40" s="111" t="str">
        <f t="shared" si="8"/>
        <v/>
      </c>
      <c r="AG40" s="112" t="str">
        <f t="shared" si="1"/>
        <v/>
      </c>
      <c r="AH40" s="126" t="s">
        <v>270</v>
      </c>
      <c r="AI40" s="114" t="str">
        <f ca="1">IFERROR(VLOOKUP($AH40, '(勿動)Component Label公版'!$D$1:$E$1000, 2, FALSE), "-")</f>
        <v>-</v>
      </c>
      <c r="AJ40" s="115"/>
      <c r="AK40" s="112"/>
      <c r="AL40" s="112"/>
      <c r="AM40" s="116" t="str">
        <f t="shared" si="2"/>
        <v/>
      </c>
      <c r="AN40" s="117" t="str">
        <f t="shared" si="3"/>
        <v/>
      </c>
      <c r="AO40" s="509" t="s">
        <v>275</v>
      </c>
      <c r="AP40" s="384"/>
      <c r="AQ40" s="384"/>
      <c r="AR40" s="384"/>
      <c r="AS40" s="384"/>
      <c r="AT40" s="385"/>
      <c r="AU40" s="54" t="b">
        <v>1</v>
      </c>
      <c r="AV40" s="54" t="b">
        <v>0</v>
      </c>
      <c r="AW40" s="438"/>
      <c r="AX40" s="439"/>
      <c r="AY40" s="439"/>
      <c r="AZ40" s="439"/>
      <c r="BA40" s="440"/>
      <c r="BB40" s="68"/>
      <c r="BC40" s="62"/>
      <c r="BD40" s="129" t="str">
        <f t="shared" si="4"/>
        <v>_</v>
      </c>
      <c r="BE40" s="130" t="str">
        <f>IFERROR(VLOOKUP($BD40,'(勿動)組件目錄表'!$D$15:$R$1094,2,FALSE),"")</f>
        <v/>
      </c>
      <c r="BF40" s="131" t="str">
        <f>IFERROR(VLOOKUP($BD40, '(勿動)組件目錄表'!$D$15:$R$1094, 5, FALSE),"")</f>
        <v/>
      </c>
      <c r="BG40" s="118"/>
      <c r="BH40" s="120"/>
      <c r="BI40" s="118"/>
      <c r="BJ40" s="120"/>
    </row>
    <row r="41" spans="1:62" ht="15.75" customHeight="1">
      <c r="A41" s="18" t="str">
        <f t="array" aca="1" ref="A41" ca="1">IFERROR(TRANSPOSE(INDIRECT('「(動工中勿使用!!)新版+舊版_Teaser」的副本'!$BB41)),"")</f>
        <v/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34" t="b">
        <v>0</v>
      </c>
      <c r="AF41" s="111" t="str">
        <f t="shared" si="8"/>
        <v/>
      </c>
      <c r="AG41" s="112" t="str">
        <f t="shared" si="1"/>
        <v/>
      </c>
      <c r="AH41" s="126" t="s">
        <v>270</v>
      </c>
      <c r="AI41" s="114" t="str">
        <f ca="1">IFERROR(VLOOKUP($AH41, '(勿動)Component Label公版'!$D$1:$E$1000, 2, FALSE), "-")</f>
        <v>-</v>
      </c>
      <c r="AJ41" s="115"/>
      <c r="AK41" s="112"/>
      <c r="AL41" s="112"/>
      <c r="AM41" s="116" t="str">
        <f t="shared" si="2"/>
        <v/>
      </c>
      <c r="AN41" s="117" t="str">
        <f t="shared" si="3"/>
        <v/>
      </c>
      <c r="AO41" s="507" t="s">
        <v>276</v>
      </c>
      <c r="AP41" s="385"/>
      <c r="AQ41" s="507" t="s">
        <v>277</v>
      </c>
      <c r="AR41" s="385"/>
      <c r="AS41" s="507" t="s">
        <v>278</v>
      </c>
      <c r="AT41" s="385"/>
      <c r="AU41" s="54" t="b">
        <v>1</v>
      </c>
      <c r="AV41" s="54" t="b">
        <v>0</v>
      </c>
      <c r="AW41" s="412"/>
      <c r="AX41" s="416"/>
      <c r="AY41" s="416"/>
      <c r="AZ41" s="416"/>
      <c r="BA41" s="423"/>
      <c r="BB41" s="68"/>
      <c r="BC41" s="62"/>
      <c r="BD41" s="129" t="str">
        <f t="shared" si="4"/>
        <v>_</v>
      </c>
      <c r="BE41" s="130" t="str">
        <f>IFERROR(VLOOKUP($BD41,'(勿動)組件目錄表'!$D$15:$R$1094,2,FALSE),"")</f>
        <v/>
      </c>
      <c r="BF41" s="131" t="str">
        <f>IFERROR(VLOOKUP($BD41, '(勿動)組件目錄表'!$D$15:$R$1094, 5, FALSE),"")</f>
        <v/>
      </c>
      <c r="BG41" s="118"/>
      <c r="BH41" s="120"/>
      <c r="BI41" s="118"/>
      <c r="BJ41" s="120"/>
    </row>
    <row r="42" spans="1:62" ht="15.75" customHeight="1">
      <c r="A42" s="18" t="str">
        <f t="array" aca="1" ref="A42" ca="1">IFERROR(TRANSPOSE(INDIRECT('「(動工中勿使用!!)新版+舊版_Teaser」的副本'!$BB42)),"")</f>
        <v/>
      </c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34" t="b">
        <v>0</v>
      </c>
      <c r="AF42" s="111" t="str">
        <f t="shared" si="8"/>
        <v/>
      </c>
      <c r="AG42" s="112" t="str">
        <f t="shared" si="1"/>
        <v/>
      </c>
      <c r="AH42" s="126" t="s">
        <v>270</v>
      </c>
      <c r="AI42" s="114" t="str">
        <f ca="1">IFERROR(VLOOKUP($AH42, '(勿動)Component Label公版'!$D$1:$E$1000, 2, FALSE), "-")</f>
        <v>-</v>
      </c>
      <c r="AJ42" s="115"/>
      <c r="AK42" s="112"/>
      <c r="AL42" s="112"/>
      <c r="AM42" s="116" t="str">
        <f t="shared" si="2"/>
        <v/>
      </c>
      <c r="AN42" s="117" t="str">
        <f t="shared" si="3"/>
        <v/>
      </c>
      <c r="AO42" s="509" t="s">
        <v>279</v>
      </c>
      <c r="AP42" s="384"/>
      <c r="AQ42" s="384"/>
      <c r="AR42" s="384"/>
      <c r="AS42" s="384"/>
      <c r="AT42" s="385"/>
      <c r="AU42" s="54" t="b">
        <v>1</v>
      </c>
      <c r="AV42" s="54" t="b">
        <v>0</v>
      </c>
      <c r="AW42" s="412"/>
      <c r="AX42" s="416"/>
      <c r="AY42" s="416"/>
      <c r="AZ42" s="416"/>
      <c r="BA42" s="423"/>
      <c r="BB42" s="68"/>
      <c r="BC42" s="62"/>
      <c r="BD42" s="129" t="str">
        <f t="shared" si="4"/>
        <v>_</v>
      </c>
      <c r="BE42" s="130" t="str">
        <f>IFERROR(VLOOKUP($BD42,'(勿動)組件目錄表'!$D$15:$R$1094,2,FALSE),"")</f>
        <v/>
      </c>
      <c r="BF42" s="131" t="str">
        <f>IFERROR(VLOOKUP($BD42, '(勿動)組件目錄表'!$D$15:$R$1094, 5, FALSE),"")</f>
        <v/>
      </c>
      <c r="BG42" s="118"/>
      <c r="BH42" s="120"/>
      <c r="BI42" s="118"/>
      <c r="BJ42" s="120"/>
    </row>
    <row r="43" spans="1:62" ht="15.75" customHeight="1">
      <c r="A43" s="18" t="str">
        <f t="array" aca="1" ref="A43" ca="1">IFERROR(TRANSPOSE(INDIRECT('「(動工中勿使用!!)新版+舊版_Teaser」的副本'!$BB43)),"")</f>
        <v/>
      </c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34" t="b">
        <v>0</v>
      </c>
      <c r="AF43" s="111" t="str">
        <f t="shared" si="8"/>
        <v/>
      </c>
      <c r="AG43" s="112" t="str">
        <f t="shared" si="1"/>
        <v/>
      </c>
      <c r="AH43" s="126" t="s">
        <v>270</v>
      </c>
      <c r="AI43" s="114" t="str">
        <f ca="1">IFERROR(VLOOKUP($AH43, '(勿動)Component Label公版'!$D$1:$E$1000, 2, FALSE), "-")</f>
        <v>-</v>
      </c>
      <c r="AJ43" s="115"/>
      <c r="AK43" s="112"/>
      <c r="AL43" s="112"/>
      <c r="AM43" s="116" t="str">
        <f t="shared" si="2"/>
        <v/>
      </c>
      <c r="AN43" s="117" t="str">
        <f t="shared" si="3"/>
        <v/>
      </c>
      <c r="AO43" s="507" t="s">
        <v>280</v>
      </c>
      <c r="AP43" s="385"/>
      <c r="AQ43" s="507" t="s">
        <v>281</v>
      </c>
      <c r="AR43" s="385"/>
      <c r="AS43" s="507" t="s">
        <v>282</v>
      </c>
      <c r="AT43" s="385"/>
      <c r="AU43" s="54" t="b">
        <v>1</v>
      </c>
      <c r="AV43" s="136" t="b">
        <v>0</v>
      </c>
      <c r="AW43" s="412"/>
      <c r="AX43" s="416"/>
      <c r="AY43" s="416"/>
      <c r="AZ43" s="416"/>
      <c r="BA43" s="423"/>
      <c r="BB43" s="68"/>
      <c r="BC43" s="62"/>
      <c r="BD43" s="129" t="str">
        <f t="shared" si="4"/>
        <v>_</v>
      </c>
      <c r="BE43" s="130" t="str">
        <f>IFERROR(VLOOKUP($BD43,'(勿動)組件目錄表'!$D$15:$R$1094,2,FALSE),"")</f>
        <v/>
      </c>
      <c r="BF43" s="131" t="str">
        <f>IFERROR(VLOOKUP($BD43, '(勿動)組件目錄表'!$D$15:$R$1094, 5, FALSE),"")</f>
        <v/>
      </c>
      <c r="BG43" s="118"/>
      <c r="BH43" s="120"/>
      <c r="BI43" s="118"/>
      <c r="BJ43" s="120"/>
    </row>
    <row r="44" spans="1:62" ht="15.75" customHeight="1">
      <c r="A44" s="18" t="str">
        <f t="array" aca="1" ref="A44" ca="1">IFERROR(TRANSPOSE(INDIRECT('「(動工中勿使用!!)新版+舊版_Teaser」的副本'!$BB44)),"")</f>
        <v/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34" t="b">
        <v>0</v>
      </c>
      <c r="AF44" s="111" t="str">
        <f t="shared" si="8"/>
        <v/>
      </c>
      <c r="AG44" s="112" t="str">
        <f t="shared" si="1"/>
        <v/>
      </c>
      <c r="AH44" s="126" t="s">
        <v>270</v>
      </c>
      <c r="AI44" s="114" t="str">
        <f ca="1">IFERROR(VLOOKUP($AH44, '(勿動)Component Label公版'!$D$1:$E$1000, 2, FALSE), "-")</f>
        <v>-</v>
      </c>
      <c r="AJ44" s="115"/>
      <c r="AK44" s="112"/>
      <c r="AL44" s="112"/>
      <c r="AM44" s="116" t="str">
        <f t="shared" si="2"/>
        <v/>
      </c>
      <c r="AN44" s="117" t="str">
        <f t="shared" si="3"/>
        <v/>
      </c>
      <c r="AO44" s="508" t="s">
        <v>283</v>
      </c>
      <c r="AP44" s="384"/>
      <c r="AQ44" s="384"/>
      <c r="AR44" s="384"/>
      <c r="AS44" s="384"/>
      <c r="AT44" s="385"/>
      <c r="AU44" s="54" t="b">
        <v>0</v>
      </c>
      <c r="AV44" s="54" t="b">
        <v>0</v>
      </c>
      <c r="AW44" s="412"/>
      <c r="AX44" s="416"/>
      <c r="AY44" s="416"/>
      <c r="AZ44" s="416"/>
      <c r="BA44" s="423"/>
      <c r="BB44" s="68"/>
      <c r="BC44" s="62"/>
      <c r="BD44" s="129" t="str">
        <f t="shared" si="4"/>
        <v>_</v>
      </c>
      <c r="BE44" s="130" t="str">
        <f>IFERROR(VLOOKUP($BD44,'(勿動)組件目錄表'!$D$15:$R$1094,2,FALSE),"")</f>
        <v/>
      </c>
      <c r="BF44" s="131" t="str">
        <f>IFERROR(VLOOKUP($BD44, '(勿動)組件目錄表'!$D$15:$R$1094, 5, FALSE),"")</f>
        <v/>
      </c>
      <c r="BG44" s="118"/>
      <c r="BH44" s="120"/>
      <c r="BI44" s="118"/>
      <c r="BJ44" s="120"/>
    </row>
    <row r="45" spans="1:62" ht="15.75" customHeight="1">
      <c r="A45" s="18" t="str">
        <f t="array" aca="1" ref="A45" ca="1">IFERROR(TRANSPOSE(INDIRECT('「(動工中勿使用!!)新版+舊版_Teaser」的副本'!$BB45)),"")</f>
        <v/>
      </c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34" t="b">
        <v>0</v>
      </c>
      <c r="AF45" s="111" t="str">
        <f t="shared" si="8"/>
        <v/>
      </c>
      <c r="AG45" s="112" t="str">
        <f t="shared" si="1"/>
        <v/>
      </c>
      <c r="AH45" s="126" t="s">
        <v>270</v>
      </c>
      <c r="AI45" s="114" t="str">
        <f ca="1">IFERROR(VLOOKUP($AH45, '(勿動)Component Label公版'!$D$1:$E$1000, 2, FALSE), "-")</f>
        <v>-</v>
      </c>
      <c r="AJ45" s="115"/>
      <c r="AK45" s="112"/>
      <c r="AL45" s="112"/>
      <c r="AM45" s="116" t="str">
        <f t="shared" si="2"/>
        <v/>
      </c>
      <c r="AN45" s="117" t="str">
        <f t="shared" si="3"/>
        <v/>
      </c>
      <c r="AO45" s="509" t="s">
        <v>284</v>
      </c>
      <c r="AP45" s="384"/>
      <c r="AQ45" s="384"/>
      <c r="AR45" s="384"/>
      <c r="AS45" s="384"/>
      <c r="AT45" s="385"/>
      <c r="AU45" s="54" t="b">
        <v>1</v>
      </c>
      <c r="AV45" s="54" t="b">
        <v>0</v>
      </c>
      <c r="AW45" s="412"/>
      <c r="AX45" s="416"/>
      <c r="AY45" s="416"/>
      <c r="AZ45" s="416"/>
      <c r="BA45" s="423"/>
      <c r="BB45" s="68"/>
      <c r="BC45" s="62"/>
      <c r="BD45" s="129" t="str">
        <f t="shared" si="4"/>
        <v>_</v>
      </c>
      <c r="BE45" s="130" t="str">
        <f>IFERROR(VLOOKUP($BD45,'(勿動)組件目錄表'!$D$15:$R$1094,2,FALSE),"")</f>
        <v/>
      </c>
      <c r="BF45" s="131" t="str">
        <f>IFERROR(VLOOKUP($BD45, '(勿動)組件目錄表'!$D$15:$R$1094, 5, FALSE),"")</f>
        <v/>
      </c>
      <c r="BG45" s="118"/>
      <c r="BH45" s="120"/>
      <c r="BI45" s="118"/>
      <c r="BJ45" s="120"/>
    </row>
    <row r="46" spans="1:62" ht="15.75" customHeight="1">
      <c r="A46" s="18" t="str">
        <f t="array" aca="1" ref="A46" ca="1">IFERROR(TRANSPOSE(INDIRECT('「(動工中勿使用!!)新版+舊版_Teaser」的副本'!$BB46)),"")</f>
        <v/>
      </c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34" t="b">
        <v>0</v>
      </c>
      <c r="AF46" s="111" t="str">
        <f t="shared" si="8"/>
        <v/>
      </c>
      <c r="AG46" s="112" t="str">
        <f t="shared" si="1"/>
        <v/>
      </c>
      <c r="AH46" s="126" t="s">
        <v>270</v>
      </c>
      <c r="AI46" s="114" t="str">
        <f ca="1">IFERROR(VLOOKUP($AH46, '(勿動)Component Label公版'!$D$1:$E$1000, 2, FALSE), "-")</f>
        <v>-</v>
      </c>
      <c r="AJ46" s="115"/>
      <c r="AK46" s="112"/>
      <c r="AL46" s="112"/>
      <c r="AM46" s="116" t="str">
        <f t="shared" si="2"/>
        <v/>
      </c>
      <c r="AN46" s="117" t="str">
        <f t="shared" si="3"/>
        <v/>
      </c>
      <c r="AO46" s="507" t="s">
        <v>285</v>
      </c>
      <c r="AP46" s="384"/>
      <c r="AQ46" s="385"/>
      <c r="AR46" s="507" t="s">
        <v>286</v>
      </c>
      <c r="AS46" s="384"/>
      <c r="AT46" s="385"/>
      <c r="AU46" s="54" t="b">
        <v>1</v>
      </c>
      <c r="AV46" s="54" t="b">
        <v>0</v>
      </c>
      <c r="AW46" s="412"/>
      <c r="AX46" s="416"/>
      <c r="AY46" s="416"/>
      <c r="AZ46" s="416"/>
      <c r="BA46" s="423"/>
      <c r="BB46" s="68"/>
      <c r="BC46" s="62"/>
      <c r="BD46" s="129" t="str">
        <f t="shared" si="4"/>
        <v>_</v>
      </c>
      <c r="BE46" s="130" t="str">
        <f>IFERROR(VLOOKUP($BD46,'(勿動)組件目錄表'!$D$15:$R$1094,2,FALSE),"")</f>
        <v/>
      </c>
      <c r="BF46" s="131" t="str">
        <f>IFERROR(VLOOKUP($BD46, '(勿動)組件目錄表'!$D$15:$R$1094, 5, FALSE),"")</f>
        <v/>
      </c>
      <c r="BG46" s="118"/>
      <c r="BH46" s="120"/>
      <c r="BI46" s="118"/>
      <c r="BJ46" s="120"/>
    </row>
    <row r="47" spans="1:62" ht="15.75" customHeight="1">
      <c r="A47" s="18" t="str">
        <f t="array" aca="1" ref="A47" ca="1">IFERROR(TRANSPOSE(INDIRECT('「(動工中勿使用!!)新版+舊版_Teaser」的副本'!$BB47)),"")</f>
        <v/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34" t="b">
        <v>0</v>
      </c>
      <c r="AF47" s="111" t="str">
        <f t="shared" si="8"/>
        <v/>
      </c>
      <c r="AG47" s="112" t="str">
        <f t="shared" si="1"/>
        <v/>
      </c>
      <c r="AH47" s="126" t="s">
        <v>270</v>
      </c>
      <c r="AI47" s="114" t="str">
        <f ca="1">IFERROR(VLOOKUP($AH47, '(勿動)Component Label公版'!$D$1:$E$1000, 2, FALSE), "-")</f>
        <v>-</v>
      </c>
      <c r="AJ47" s="115"/>
      <c r="AK47" s="112"/>
      <c r="AL47" s="112"/>
      <c r="AM47" s="116" t="str">
        <f t="shared" si="2"/>
        <v/>
      </c>
      <c r="AN47" s="117" t="str">
        <f t="shared" si="3"/>
        <v/>
      </c>
      <c r="AO47" s="509" t="s">
        <v>284</v>
      </c>
      <c r="AP47" s="384"/>
      <c r="AQ47" s="384"/>
      <c r="AR47" s="384"/>
      <c r="AS47" s="384"/>
      <c r="AT47" s="385"/>
      <c r="AU47" s="54" t="b">
        <v>1</v>
      </c>
      <c r="AV47" s="54" t="b">
        <v>0</v>
      </c>
      <c r="AW47" s="412"/>
      <c r="AX47" s="416"/>
      <c r="AY47" s="416"/>
      <c r="AZ47" s="416"/>
      <c r="BA47" s="423"/>
      <c r="BB47" s="68"/>
      <c r="BC47" s="62"/>
      <c r="BD47" s="129" t="str">
        <f t="shared" si="4"/>
        <v>_</v>
      </c>
      <c r="BE47" s="130" t="str">
        <f>IFERROR(VLOOKUP($BD47,'(勿動)組件目錄表'!$D$15:$R$1094,2,FALSE),"")</f>
        <v/>
      </c>
      <c r="BF47" s="131" t="str">
        <f>IFERROR(VLOOKUP($BD47, '(勿動)組件目錄表'!$D$15:$R$1094, 5, FALSE),"")</f>
        <v/>
      </c>
      <c r="BG47" s="118"/>
      <c r="BH47" s="120"/>
      <c r="BI47" s="118"/>
      <c r="BJ47" s="120"/>
    </row>
    <row r="48" spans="1:62" ht="15.75" customHeight="1">
      <c r="A48" s="18" t="str">
        <f t="array" aca="1" ref="A48" ca="1">IFERROR(TRANSPOSE(INDIRECT('「(動工中勿使用!!)新版+舊版_Teaser」的副本'!$BB48)),"")</f>
        <v/>
      </c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34" t="b">
        <v>0</v>
      </c>
      <c r="AF48" s="111" t="str">
        <f t="shared" si="8"/>
        <v/>
      </c>
      <c r="AG48" s="112" t="str">
        <f t="shared" si="1"/>
        <v/>
      </c>
      <c r="AH48" s="126" t="s">
        <v>270</v>
      </c>
      <c r="AI48" s="114" t="str">
        <f ca="1">IFERROR(VLOOKUP($AH48, '(勿動)Component Label公版'!$D$1:$E$1000, 2, FALSE), "-")</f>
        <v>-</v>
      </c>
      <c r="AJ48" s="115"/>
      <c r="AK48" s="112"/>
      <c r="AL48" s="112"/>
      <c r="AM48" s="116" t="str">
        <f t="shared" si="2"/>
        <v/>
      </c>
      <c r="AN48" s="117" t="str">
        <f t="shared" si="3"/>
        <v/>
      </c>
      <c r="AO48" s="507" t="s">
        <v>287</v>
      </c>
      <c r="AP48" s="384"/>
      <c r="AQ48" s="385"/>
      <c r="AR48" s="507" t="s">
        <v>288</v>
      </c>
      <c r="AS48" s="384"/>
      <c r="AT48" s="385"/>
      <c r="AU48" s="54" t="b">
        <v>1</v>
      </c>
      <c r="AV48" s="54" t="b">
        <v>0</v>
      </c>
      <c r="AW48" s="412"/>
      <c r="AX48" s="416"/>
      <c r="AY48" s="416"/>
      <c r="AZ48" s="416"/>
      <c r="BA48" s="423"/>
      <c r="BB48" s="68"/>
      <c r="BC48" s="62"/>
      <c r="BD48" s="129" t="str">
        <f t="shared" si="4"/>
        <v>_</v>
      </c>
      <c r="BE48" s="130" t="str">
        <f>IFERROR(VLOOKUP($BD48,'(勿動)組件目錄表'!$D$15:$R$1094,2,FALSE),"")</f>
        <v/>
      </c>
      <c r="BF48" s="131" t="str">
        <f>IFERROR(VLOOKUP($BD48, '(勿動)組件目錄表'!$D$15:$R$1094, 5, FALSE),"")</f>
        <v/>
      </c>
      <c r="BG48" s="118"/>
      <c r="BH48" s="120"/>
      <c r="BI48" s="118"/>
      <c r="BJ48" s="120"/>
    </row>
    <row r="49" spans="1:62" ht="15.75" customHeight="1">
      <c r="A49" s="18" t="str">
        <f t="array" aca="1" ref="A49" ca="1">IFERROR(TRANSPOSE(INDIRECT('「(動工中勿使用!!)新版+舊版_Teaser」的副本'!$BB49)),"")</f>
        <v/>
      </c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34" t="b">
        <v>0</v>
      </c>
      <c r="AF49" s="111" t="str">
        <f t="shared" si="8"/>
        <v/>
      </c>
      <c r="AG49" s="112" t="str">
        <f t="shared" si="1"/>
        <v/>
      </c>
      <c r="AH49" s="126" t="s">
        <v>270</v>
      </c>
      <c r="AI49" s="114" t="str">
        <f ca="1">IFERROR(VLOOKUP($AH49, '(勿動)Component Label公版'!$D$1:$E$1000, 2, FALSE), "-")</f>
        <v>-</v>
      </c>
      <c r="AJ49" s="115"/>
      <c r="AK49" s="112"/>
      <c r="AL49" s="112"/>
      <c r="AM49" s="116" t="str">
        <f t="shared" si="2"/>
        <v/>
      </c>
      <c r="AN49" s="117" t="str">
        <f t="shared" si="3"/>
        <v/>
      </c>
      <c r="AO49" s="509" t="s">
        <v>284</v>
      </c>
      <c r="AP49" s="384"/>
      <c r="AQ49" s="384"/>
      <c r="AR49" s="384"/>
      <c r="AS49" s="384"/>
      <c r="AT49" s="385"/>
      <c r="AU49" s="54" t="b">
        <v>1</v>
      </c>
      <c r="AV49" s="54" t="b">
        <v>0</v>
      </c>
      <c r="AW49" s="412"/>
      <c r="AX49" s="416"/>
      <c r="AY49" s="416"/>
      <c r="AZ49" s="416"/>
      <c r="BA49" s="423"/>
      <c r="BB49" s="68"/>
      <c r="BC49" s="62"/>
      <c r="BD49" s="129" t="str">
        <f t="shared" si="4"/>
        <v>_</v>
      </c>
      <c r="BE49" s="130" t="str">
        <f>IFERROR(VLOOKUP($BD49,'(勿動)組件目錄表'!$D$15:$R$1094,2,FALSE),"")</f>
        <v/>
      </c>
      <c r="BF49" s="131" t="str">
        <f>IFERROR(VLOOKUP($BD49, '(勿動)組件目錄表'!$D$15:$R$1094, 5, FALSE),"")</f>
        <v/>
      </c>
      <c r="BG49" s="118"/>
      <c r="BH49" s="120"/>
      <c r="BI49" s="118"/>
      <c r="BJ49" s="120"/>
    </row>
    <row r="50" spans="1:62" ht="15.75" customHeight="1">
      <c r="A50" s="18" t="str">
        <f t="array" aca="1" ref="A50" ca="1">IFERROR(TRANSPOSE(INDIRECT('「(動工中勿使用!!)新版+舊版_Teaser」的副本'!$BB50)),"")</f>
        <v/>
      </c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34" t="b">
        <v>0</v>
      </c>
      <c r="AF50" s="111" t="str">
        <f t="shared" si="8"/>
        <v/>
      </c>
      <c r="AG50" s="112" t="str">
        <f t="shared" si="1"/>
        <v/>
      </c>
      <c r="AH50" s="126" t="s">
        <v>270</v>
      </c>
      <c r="AI50" s="114" t="str">
        <f ca="1">IFERROR(VLOOKUP($AH50, '(勿動)Component Label公版'!$D$1:$E$1000, 2, FALSE), "-")</f>
        <v>-</v>
      </c>
      <c r="AJ50" s="115"/>
      <c r="AK50" s="112"/>
      <c r="AL50" s="112"/>
      <c r="AM50" s="116" t="str">
        <f t="shared" si="2"/>
        <v/>
      </c>
      <c r="AN50" s="117" t="str">
        <f t="shared" si="3"/>
        <v/>
      </c>
      <c r="AO50" s="507" t="s">
        <v>289</v>
      </c>
      <c r="AP50" s="384"/>
      <c r="AQ50" s="385"/>
      <c r="AR50" s="507" t="s">
        <v>290</v>
      </c>
      <c r="AS50" s="384"/>
      <c r="AT50" s="385"/>
      <c r="AU50" s="54" t="b">
        <v>1</v>
      </c>
      <c r="AV50" s="54" t="b">
        <v>0</v>
      </c>
      <c r="AW50" s="412"/>
      <c r="AX50" s="416"/>
      <c r="AY50" s="416"/>
      <c r="AZ50" s="416"/>
      <c r="BA50" s="423"/>
      <c r="BB50" s="68"/>
      <c r="BC50" s="62"/>
      <c r="BD50" s="129" t="str">
        <f t="shared" si="4"/>
        <v>_</v>
      </c>
      <c r="BE50" s="130" t="str">
        <f>IFERROR(VLOOKUP($BD50,'(勿動)組件目錄表'!$D$15:$R$1094,2,FALSE),"")</f>
        <v/>
      </c>
      <c r="BF50" s="131" t="str">
        <f>IFERROR(VLOOKUP($BD50, '(勿動)組件目錄表'!$D$15:$R$1094, 5, FALSE),"")</f>
        <v/>
      </c>
      <c r="BG50" s="118"/>
      <c r="BH50" s="120"/>
      <c r="BI50" s="118"/>
      <c r="BJ50" s="120"/>
    </row>
    <row r="51" spans="1:62" ht="15.75" customHeight="1">
      <c r="A51" s="18" t="str">
        <f t="array" aca="1" ref="A51" ca="1">IFERROR(TRANSPOSE(INDIRECT('「(動工中勿使用!!)新版+舊版_Teaser」的副本'!$BB51)),"")</f>
        <v/>
      </c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34" t="b">
        <v>0</v>
      </c>
      <c r="AF51" s="111" t="str">
        <f t="shared" si="8"/>
        <v/>
      </c>
      <c r="AG51" s="112" t="str">
        <f t="shared" si="1"/>
        <v/>
      </c>
      <c r="AH51" s="126" t="s">
        <v>270</v>
      </c>
      <c r="AI51" s="114" t="str">
        <f ca="1">IFERROR(VLOOKUP($AH51, '(勿動)Component Label公版'!$D$1:$E$1000, 2, FALSE), "-")</f>
        <v>-</v>
      </c>
      <c r="AJ51" s="115"/>
      <c r="AK51" s="112"/>
      <c r="AL51" s="112"/>
      <c r="AM51" s="116" t="str">
        <f t="shared" si="2"/>
        <v/>
      </c>
      <c r="AN51" s="117" t="str">
        <f t="shared" si="3"/>
        <v/>
      </c>
      <c r="AO51" s="508" t="s">
        <v>291</v>
      </c>
      <c r="AP51" s="384"/>
      <c r="AQ51" s="384"/>
      <c r="AR51" s="384"/>
      <c r="AS51" s="384"/>
      <c r="AT51" s="385"/>
      <c r="AU51" s="54" t="b">
        <v>0</v>
      </c>
      <c r="AV51" s="54" t="b">
        <v>0</v>
      </c>
      <c r="AW51" s="412"/>
      <c r="AX51" s="416"/>
      <c r="AY51" s="416"/>
      <c r="AZ51" s="416"/>
      <c r="BA51" s="423"/>
      <c r="BB51" s="68"/>
      <c r="BC51" s="62"/>
      <c r="BD51" s="129" t="str">
        <f t="shared" si="4"/>
        <v>_</v>
      </c>
      <c r="BE51" s="130" t="str">
        <f>IFERROR(VLOOKUP($BD51,'(勿動)組件目錄表'!$D$15:$R$1094,2,FALSE),"")</f>
        <v/>
      </c>
      <c r="BF51" s="131" t="str">
        <f>IFERROR(VLOOKUP($BD51, '(勿動)組件目錄表'!$D$15:$R$1094, 5, FALSE),"")</f>
        <v/>
      </c>
      <c r="BG51" s="118"/>
      <c r="BH51" s="120"/>
      <c r="BI51" s="118"/>
      <c r="BJ51" s="120"/>
    </row>
    <row r="52" spans="1:62" ht="15.75" customHeight="1">
      <c r="A52" s="18" t="str">
        <f t="array" aca="1" ref="A52" ca="1">IFERROR(TRANSPOSE(INDIRECT('「(動工中勿使用!!)新版+舊版_Teaser」的副本'!$BB52)),"")</f>
        <v/>
      </c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34" t="b">
        <v>0</v>
      </c>
      <c r="AF52" s="111" t="str">
        <f t="shared" si="8"/>
        <v/>
      </c>
      <c r="AG52" s="112" t="str">
        <f t="shared" si="1"/>
        <v/>
      </c>
      <c r="AH52" s="126" t="s">
        <v>270</v>
      </c>
      <c r="AI52" s="114" t="str">
        <f ca="1">IFERROR(VLOOKUP($AH52, '(勿動)Component Label公版'!$D$1:$E$1000, 2, FALSE), "-")</f>
        <v>-</v>
      </c>
      <c r="AJ52" s="115"/>
      <c r="AK52" s="112"/>
      <c r="AL52" s="112"/>
      <c r="AM52" s="116" t="str">
        <f t="shared" si="2"/>
        <v/>
      </c>
      <c r="AN52" s="117" t="str">
        <f t="shared" si="3"/>
        <v/>
      </c>
      <c r="AO52" s="509" t="s">
        <v>292</v>
      </c>
      <c r="AP52" s="384"/>
      <c r="AQ52" s="384"/>
      <c r="AR52" s="384"/>
      <c r="AS52" s="384"/>
      <c r="AT52" s="385"/>
      <c r="AU52" s="54" t="b">
        <v>1</v>
      </c>
      <c r="AV52" s="54" t="b">
        <v>0</v>
      </c>
      <c r="AW52" s="412"/>
      <c r="AX52" s="416"/>
      <c r="AY52" s="416"/>
      <c r="AZ52" s="416"/>
      <c r="BA52" s="423"/>
      <c r="BB52" s="68"/>
      <c r="BC52" s="62"/>
      <c r="BD52" s="129" t="str">
        <f t="shared" si="4"/>
        <v>_</v>
      </c>
      <c r="BE52" s="130" t="str">
        <f>IFERROR(VLOOKUP($BD52,'(勿動)組件目錄表'!$D$15:$R$1094,2,FALSE),"")</f>
        <v/>
      </c>
      <c r="BF52" s="131" t="str">
        <f>IFERROR(VLOOKUP($BD52, '(勿動)組件目錄表'!$D$15:$R$1094, 5, FALSE),"")</f>
        <v/>
      </c>
      <c r="BG52" s="118"/>
      <c r="BH52" s="120"/>
      <c r="BI52" s="118"/>
      <c r="BJ52" s="120"/>
    </row>
    <row r="53" spans="1:62" ht="15.75" customHeight="1">
      <c r="A53" s="18" t="str">
        <f t="array" aca="1" ref="A53" ca="1">IFERROR(TRANSPOSE(INDIRECT('「(動工中勿使用!!)新版+舊版_Teaser」的副本'!$BB53)),"")</f>
        <v/>
      </c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34" t="b">
        <v>0</v>
      </c>
      <c r="AF53" s="111" t="str">
        <f t="shared" si="8"/>
        <v/>
      </c>
      <c r="AG53" s="112" t="str">
        <f t="shared" si="1"/>
        <v/>
      </c>
      <c r="AH53" s="126" t="s">
        <v>270</v>
      </c>
      <c r="AI53" s="114" t="str">
        <f ca="1">IFERROR(VLOOKUP($AH53, '(勿動)Component Label公版'!$D$1:$E$1000, 2, FALSE), "-")</f>
        <v>-</v>
      </c>
      <c r="AJ53" s="115"/>
      <c r="AK53" s="112"/>
      <c r="AL53" s="112"/>
      <c r="AM53" s="116" t="str">
        <f t="shared" si="2"/>
        <v/>
      </c>
      <c r="AN53" s="117" t="str">
        <f t="shared" si="3"/>
        <v/>
      </c>
      <c r="AO53" s="509" t="s">
        <v>293</v>
      </c>
      <c r="AP53" s="384"/>
      <c r="AQ53" s="384"/>
      <c r="AR53" s="384"/>
      <c r="AS53" s="384"/>
      <c r="AT53" s="385"/>
      <c r="AU53" s="54" t="b">
        <v>1</v>
      </c>
      <c r="AV53" s="54" t="b">
        <v>0</v>
      </c>
      <c r="AW53" s="412"/>
      <c r="AX53" s="416"/>
      <c r="AY53" s="416"/>
      <c r="AZ53" s="416"/>
      <c r="BA53" s="423"/>
      <c r="BB53" s="68"/>
      <c r="BC53" s="62"/>
      <c r="BD53" s="129" t="str">
        <f t="shared" si="4"/>
        <v>_</v>
      </c>
      <c r="BE53" s="130" t="str">
        <f>IFERROR(VLOOKUP($BD53,'(勿動)組件目錄表'!$D$15:$R$1094,2,FALSE),"")</f>
        <v/>
      </c>
      <c r="BF53" s="131" t="str">
        <f>IFERROR(VLOOKUP($BD53, '(勿動)組件目錄表'!$D$15:$R$1094, 5, FALSE),"")</f>
        <v/>
      </c>
      <c r="BG53" s="118"/>
      <c r="BH53" s="120"/>
      <c r="BI53" s="118"/>
      <c r="BJ53" s="120"/>
    </row>
    <row r="54" spans="1:62" ht="15.75" customHeight="1">
      <c r="A54" s="18" t="str">
        <f t="array" aca="1" ref="A54" ca="1">IFERROR(TRANSPOSE(INDIRECT('「(動工中勿使用!!)新版+舊版_Teaser」的副本'!$BB54)),"")</f>
        <v/>
      </c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34" t="b">
        <v>0</v>
      </c>
      <c r="AF54" s="111" t="str">
        <f t="shared" si="8"/>
        <v/>
      </c>
      <c r="AG54" s="112" t="str">
        <f t="shared" si="1"/>
        <v/>
      </c>
      <c r="AH54" s="126" t="s">
        <v>270</v>
      </c>
      <c r="AI54" s="114" t="str">
        <f ca="1">IFERROR(VLOOKUP($AH54, '(勿動)Component Label公版'!$D$1:$E$1000, 2, FALSE), "-")</f>
        <v>-</v>
      </c>
      <c r="AJ54" s="115"/>
      <c r="AK54" s="112"/>
      <c r="AL54" s="112"/>
      <c r="AM54" s="116" t="str">
        <f t="shared" si="2"/>
        <v/>
      </c>
      <c r="AN54" s="117" t="str">
        <f t="shared" si="3"/>
        <v/>
      </c>
      <c r="AO54" s="137" t="s">
        <v>294</v>
      </c>
      <c r="AP54" s="507" t="s">
        <v>295</v>
      </c>
      <c r="AQ54" s="385"/>
      <c r="AR54" s="137" t="s">
        <v>294</v>
      </c>
      <c r="AS54" s="507" t="s">
        <v>296</v>
      </c>
      <c r="AT54" s="385"/>
      <c r="AU54" s="54" t="b">
        <v>1</v>
      </c>
      <c r="AV54" s="54" t="b">
        <v>1</v>
      </c>
      <c r="AW54" s="412"/>
      <c r="AX54" s="416"/>
      <c r="AY54" s="416"/>
      <c r="AZ54" s="416"/>
      <c r="BA54" s="423"/>
      <c r="BB54" s="68"/>
      <c r="BC54" s="62"/>
      <c r="BD54" s="129" t="str">
        <f t="shared" si="4"/>
        <v>_</v>
      </c>
      <c r="BE54" s="130" t="str">
        <f>IFERROR(VLOOKUP($BD54,'(勿動)組件目錄表'!$D$15:$R$1094,2,FALSE),"")</f>
        <v/>
      </c>
      <c r="BF54" s="131" t="str">
        <f>IFERROR(VLOOKUP($BD54, '(勿動)組件目錄表'!$D$15:$R$1094, 5, FALSE),"")</f>
        <v/>
      </c>
      <c r="BG54" s="118"/>
      <c r="BH54" s="120"/>
      <c r="BI54" s="118"/>
      <c r="BJ54" s="120"/>
    </row>
    <row r="55" spans="1:62" ht="15.75" customHeight="1">
      <c r="A55" s="18" t="str">
        <f t="array" aca="1" ref="A55" ca="1">IFERROR(TRANSPOSE(INDIRECT('「(動工中勿使用!!)新版+舊版_Teaser」的副本'!$BB55)),"")</f>
        <v/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34" t="b">
        <v>0</v>
      </c>
      <c r="AF55" s="111" t="str">
        <f t="shared" si="8"/>
        <v/>
      </c>
      <c r="AG55" s="112" t="str">
        <f t="shared" si="1"/>
        <v/>
      </c>
      <c r="AH55" s="126" t="s">
        <v>270</v>
      </c>
      <c r="AI55" s="114" t="str">
        <f ca="1">IFERROR(VLOOKUP($AH55, '(勿動)Component Label公版'!$D$1:$E$1000, 2, FALSE), "-")</f>
        <v>-</v>
      </c>
      <c r="AJ55" s="115"/>
      <c r="AK55" s="112"/>
      <c r="AL55" s="112"/>
      <c r="AM55" s="116" t="str">
        <f t="shared" si="2"/>
        <v/>
      </c>
      <c r="AN55" s="117" t="str">
        <f t="shared" si="3"/>
        <v/>
      </c>
      <c r="AO55" s="138" t="s">
        <v>294</v>
      </c>
      <c r="AP55" s="512" t="s">
        <v>297</v>
      </c>
      <c r="AQ55" s="422"/>
      <c r="AR55" s="513" t="s">
        <v>294</v>
      </c>
      <c r="AS55" s="512" t="s">
        <v>298</v>
      </c>
      <c r="AT55" s="422"/>
      <c r="AU55" s="54" t="b">
        <v>1</v>
      </c>
      <c r="AV55" s="54" t="b">
        <v>1</v>
      </c>
      <c r="AW55" s="412"/>
      <c r="AX55" s="416"/>
      <c r="AY55" s="416"/>
      <c r="AZ55" s="416"/>
      <c r="BA55" s="423"/>
      <c r="BB55" s="68"/>
      <c r="BC55" s="62"/>
      <c r="BD55" s="129" t="str">
        <f t="shared" si="4"/>
        <v>_</v>
      </c>
      <c r="BE55" s="130" t="str">
        <f>IFERROR(VLOOKUP($BD55,'(勿動)組件目錄表'!$D$15:$R$1094,2,FALSE),"")</f>
        <v/>
      </c>
      <c r="BF55" s="131" t="str">
        <f>IFERROR(VLOOKUP($BD55, '(勿動)組件目錄表'!$D$15:$R$1094, 5, FALSE),"")</f>
        <v/>
      </c>
      <c r="BG55" s="118"/>
      <c r="BH55" s="120"/>
      <c r="BI55" s="118"/>
      <c r="BJ55" s="120"/>
    </row>
    <row r="56" spans="1:62" ht="15.75" customHeight="1">
      <c r="A56" s="18" t="str">
        <f t="array" aca="1" ref="A56" ca="1">IFERROR(TRANSPOSE(INDIRECT('「(動工中勿使用!!)新版+舊版_Teaser」的副本'!$BB56)),"")</f>
        <v/>
      </c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34" t="b">
        <v>0</v>
      </c>
      <c r="AF56" s="111" t="str">
        <f t="shared" si="8"/>
        <v/>
      </c>
      <c r="AG56" s="112" t="str">
        <f t="shared" si="1"/>
        <v/>
      </c>
      <c r="AH56" s="126" t="s">
        <v>270</v>
      </c>
      <c r="AI56" s="114" t="str">
        <f ca="1">IFERROR(VLOOKUP($AH56, '(勿動)Component Label公版'!$D$1:$E$1000, 2, FALSE), "-")</f>
        <v>-</v>
      </c>
      <c r="AJ56" s="115"/>
      <c r="AK56" s="112"/>
      <c r="AL56" s="112"/>
      <c r="AM56" s="116" t="str">
        <f t="shared" si="2"/>
        <v/>
      </c>
      <c r="AN56" s="117" t="str">
        <f t="shared" si="3"/>
        <v/>
      </c>
      <c r="AO56" s="139" t="s">
        <v>294</v>
      </c>
      <c r="AP56" s="412"/>
      <c r="AQ56" s="423"/>
      <c r="AR56" s="483"/>
      <c r="AS56" s="412"/>
      <c r="AT56" s="423"/>
      <c r="AU56" s="54" t="b">
        <v>1</v>
      </c>
      <c r="AV56" s="54" t="b">
        <v>1</v>
      </c>
      <c r="AW56" s="412"/>
      <c r="AX56" s="416"/>
      <c r="AY56" s="416"/>
      <c r="AZ56" s="416"/>
      <c r="BA56" s="423"/>
      <c r="BB56" s="68"/>
      <c r="BC56" s="62"/>
      <c r="BD56" s="129" t="str">
        <f t="shared" si="4"/>
        <v>_</v>
      </c>
      <c r="BE56" s="130" t="str">
        <f>IFERROR(VLOOKUP($BD56,'(勿動)組件目錄表'!$D$15:$R$1094,2,FALSE),"")</f>
        <v/>
      </c>
      <c r="BF56" s="131" t="str">
        <f>IFERROR(VLOOKUP($BD56, '(勿動)組件目錄表'!$D$15:$R$1094, 5, FALSE),"")</f>
        <v/>
      </c>
      <c r="BG56" s="118"/>
      <c r="BH56" s="120"/>
      <c r="BI56" s="118"/>
      <c r="BJ56" s="120"/>
    </row>
    <row r="57" spans="1:62" ht="15.75" customHeight="1">
      <c r="A57" s="18" t="str">
        <f t="array" aca="1" ref="A57" ca="1">IFERROR(TRANSPOSE(INDIRECT('「(動工中勿使用!!)新版+舊版_Teaser」的副本'!$BB57)),"")</f>
        <v/>
      </c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34" t="b">
        <v>0</v>
      </c>
      <c r="AF57" s="111" t="str">
        <f t="shared" si="8"/>
        <v/>
      </c>
      <c r="AG57" s="112" t="str">
        <f t="shared" si="1"/>
        <v/>
      </c>
      <c r="AH57" s="126" t="s">
        <v>270</v>
      </c>
      <c r="AI57" s="114" t="str">
        <f ca="1">IFERROR(VLOOKUP($AH57, '(勿動)Component Label公版'!$D$1:$E$1000, 2, FALSE), "-")</f>
        <v>-</v>
      </c>
      <c r="AJ57" s="115"/>
      <c r="AK57" s="112"/>
      <c r="AL57" s="112"/>
      <c r="AM57" s="116" t="str">
        <f t="shared" si="2"/>
        <v/>
      </c>
      <c r="AN57" s="117" t="str">
        <f t="shared" si="3"/>
        <v/>
      </c>
      <c r="AO57" s="140" t="s">
        <v>299</v>
      </c>
      <c r="AP57" s="400"/>
      <c r="AQ57" s="424"/>
      <c r="AR57" s="379"/>
      <c r="AS57" s="400"/>
      <c r="AT57" s="424"/>
      <c r="AU57" s="54" t="b">
        <v>1</v>
      </c>
      <c r="AV57" s="54" t="b">
        <v>1</v>
      </c>
      <c r="AW57" s="412"/>
      <c r="AX57" s="416"/>
      <c r="AY57" s="416"/>
      <c r="AZ57" s="416"/>
      <c r="BA57" s="423"/>
      <c r="BB57" s="68"/>
      <c r="BC57" s="62"/>
      <c r="BD57" s="129" t="str">
        <f t="shared" si="4"/>
        <v>_</v>
      </c>
      <c r="BE57" s="130" t="str">
        <f>IFERROR(VLOOKUP($BD57,'(勿動)組件目錄表'!$D$15:$R$1094,2,FALSE),"")</f>
        <v/>
      </c>
      <c r="BF57" s="131" t="str">
        <f>IFERROR(VLOOKUP($BD57, '(勿動)組件目錄表'!$D$15:$R$1094, 5, FALSE),"")</f>
        <v/>
      </c>
      <c r="BG57" s="118"/>
      <c r="BH57" s="120"/>
      <c r="BI57" s="118"/>
      <c r="BJ57" s="120"/>
    </row>
    <row r="58" spans="1:62" ht="15.75" customHeight="1">
      <c r="A58" s="18" t="str">
        <f t="array" aca="1" ref="A58" ca="1">IFERROR(TRANSPOSE(INDIRECT('「(動工中勿使用!!)新版+舊版_Teaser」的副本'!$BB58)),"")</f>
        <v/>
      </c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34" t="b">
        <v>0</v>
      </c>
      <c r="AF58" s="111" t="str">
        <f t="shared" si="8"/>
        <v/>
      </c>
      <c r="AG58" s="112" t="str">
        <f t="shared" si="1"/>
        <v/>
      </c>
      <c r="AH58" s="126" t="s">
        <v>270</v>
      </c>
      <c r="AI58" s="114" t="str">
        <f ca="1">IFERROR(VLOOKUP($AH58, '(勿動)Component Label公版'!$D$1:$E$1000, 2, FALSE), "-")</f>
        <v>-</v>
      </c>
      <c r="AJ58" s="115"/>
      <c r="AK58" s="112"/>
      <c r="AL58" s="112"/>
      <c r="AM58" s="116" t="str">
        <f t="shared" si="2"/>
        <v/>
      </c>
      <c r="AN58" s="117" t="str">
        <f t="shared" si="3"/>
        <v/>
      </c>
      <c r="AO58" s="140" t="s">
        <v>300</v>
      </c>
      <c r="AP58" s="510" t="s">
        <v>301</v>
      </c>
      <c r="AQ58" s="511"/>
      <c r="AR58" s="507" t="s">
        <v>302</v>
      </c>
      <c r="AS58" s="384"/>
      <c r="AT58" s="385"/>
      <c r="AU58" s="54" t="b">
        <v>1</v>
      </c>
      <c r="AV58" s="54" t="b">
        <v>0</v>
      </c>
      <c r="AW58" s="412"/>
      <c r="AX58" s="416"/>
      <c r="AY58" s="416"/>
      <c r="AZ58" s="416"/>
      <c r="BA58" s="423"/>
      <c r="BB58" s="68"/>
      <c r="BC58" s="62"/>
      <c r="BD58" s="129" t="str">
        <f t="shared" si="4"/>
        <v>_</v>
      </c>
      <c r="BE58" s="130" t="str">
        <f>IFERROR(VLOOKUP($BD58,'(勿動)組件目錄表'!$D$15:$R$1094,2,FALSE),"")</f>
        <v/>
      </c>
      <c r="BF58" s="131" t="str">
        <f>IFERROR(VLOOKUP($BD58, '(勿動)組件目錄表'!$D$15:$R$1094, 5, FALSE),"")</f>
        <v/>
      </c>
      <c r="BG58" s="118"/>
      <c r="BH58" s="120"/>
      <c r="BI58" s="118"/>
      <c r="BJ58" s="120"/>
    </row>
    <row r="59" spans="1:62" ht="15.75" customHeight="1">
      <c r="A59" s="18" t="str">
        <f t="array" aca="1" ref="A59" ca="1">IFERROR(TRANSPOSE(INDIRECT('「(動工中勿使用!!)新版+舊版_Teaser」的副本'!$BB59)),"")</f>
        <v/>
      </c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34" t="b">
        <v>0</v>
      </c>
      <c r="AF59" s="111" t="str">
        <f t="shared" si="8"/>
        <v/>
      </c>
      <c r="AG59" s="112" t="str">
        <f t="shared" si="1"/>
        <v/>
      </c>
      <c r="AH59" s="126" t="s">
        <v>270</v>
      </c>
      <c r="AI59" s="114" t="str">
        <f ca="1">IFERROR(VLOOKUP($AH59, '(勿動)Component Label公版'!$D$1:$E$1000, 2, FALSE), "-")</f>
        <v>-</v>
      </c>
      <c r="AJ59" s="115"/>
      <c r="AK59" s="112"/>
      <c r="AL59" s="112"/>
      <c r="AM59" s="116" t="str">
        <f t="shared" si="2"/>
        <v/>
      </c>
      <c r="AN59" s="117" t="str">
        <f t="shared" si="3"/>
        <v/>
      </c>
      <c r="AO59" s="137" t="s">
        <v>294</v>
      </c>
      <c r="AP59" s="507" t="s">
        <v>295</v>
      </c>
      <c r="AQ59" s="385"/>
      <c r="AR59" s="140" t="s">
        <v>300</v>
      </c>
      <c r="AS59" s="510" t="s">
        <v>301</v>
      </c>
      <c r="AT59" s="511"/>
      <c r="AU59" s="54" t="b">
        <v>1</v>
      </c>
      <c r="AV59" s="54" t="b">
        <v>1</v>
      </c>
      <c r="AW59" s="412"/>
      <c r="AX59" s="416"/>
      <c r="AY59" s="416"/>
      <c r="AZ59" s="416"/>
      <c r="BA59" s="423"/>
      <c r="BB59" s="68"/>
      <c r="BC59" s="62"/>
      <c r="BD59" s="129" t="str">
        <f t="shared" si="4"/>
        <v>_</v>
      </c>
      <c r="BE59" s="130" t="str">
        <f>IFERROR(VLOOKUP($BD59,'(勿動)組件目錄表'!$D$15:$R$1094,2,FALSE),"")</f>
        <v/>
      </c>
      <c r="BF59" s="131" t="str">
        <f>IFERROR(VLOOKUP($BD59, '(勿動)組件目錄表'!$D$15:$R$1094, 5, FALSE),"")</f>
        <v/>
      </c>
      <c r="BG59" s="118"/>
      <c r="BH59" s="120"/>
      <c r="BI59" s="118"/>
      <c r="BJ59" s="120"/>
    </row>
    <row r="60" spans="1:62" ht="15.75" customHeight="1">
      <c r="A60" s="18" t="str">
        <f t="array" aca="1" ref="A60" ca="1">IFERROR(TRANSPOSE(INDIRECT('「(動工中勿使用!!)新版+舊版_Teaser」的副本'!$BB60)),"")</f>
        <v/>
      </c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34" t="b">
        <v>0</v>
      </c>
      <c r="AF60" s="111" t="str">
        <f t="shared" si="8"/>
        <v/>
      </c>
      <c r="AG60" s="112" t="str">
        <f t="shared" si="1"/>
        <v/>
      </c>
      <c r="AH60" s="126" t="s">
        <v>270</v>
      </c>
      <c r="AI60" s="114" t="str">
        <f ca="1">IFERROR(VLOOKUP($AH60, '(勿動)Component Label公版'!$D$1:$E$1000, 2, FALSE), "-")</f>
        <v>-</v>
      </c>
      <c r="AJ60" s="115"/>
      <c r="AK60" s="112"/>
      <c r="AL60" s="112"/>
      <c r="AM60" s="116" t="str">
        <f t="shared" si="2"/>
        <v/>
      </c>
      <c r="AN60" s="117" t="str">
        <f t="shared" si="3"/>
        <v/>
      </c>
      <c r="AO60" s="137" t="s">
        <v>294</v>
      </c>
      <c r="AP60" s="141" t="s">
        <v>303</v>
      </c>
      <c r="AQ60" s="138" t="s">
        <v>294</v>
      </c>
      <c r="AR60" s="141" t="s">
        <v>304</v>
      </c>
      <c r="AS60" s="137" t="s">
        <v>294</v>
      </c>
      <c r="AT60" s="141" t="s">
        <v>305</v>
      </c>
      <c r="AU60" s="54" t="b">
        <v>1</v>
      </c>
      <c r="AV60" s="54" t="b">
        <v>1</v>
      </c>
      <c r="AW60" s="412"/>
      <c r="AX60" s="416"/>
      <c r="AY60" s="416"/>
      <c r="AZ60" s="416"/>
      <c r="BA60" s="423"/>
      <c r="BB60" s="68"/>
      <c r="BC60" s="62"/>
      <c r="BD60" s="129" t="str">
        <f t="shared" si="4"/>
        <v>_</v>
      </c>
      <c r="BE60" s="130" t="str">
        <f>IFERROR(VLOOKUP($BD60,'(勿動)組件目錄表'!$D$15:$R$1094,2,FALSE),"")</f>
        <v/>
      </c>
      <c r="BF60" s="131" t="str">
        <f>IFERROR(VLOOKUP($BD60, '(勿動)組件目錄表'!$D$15:$R$1094, 5, FALSE),"")</f>
        <v/>
      </c>
      <c r="BG60" s="118"/>
      <c r="BH60" s="120"/>
      <c r="BI60" s="118"/>
      <c r="BJ60" s="120"/>
    </row>
    <row r="61" spans="1:62" ht="15.75" customHeight="1">
      <c r="A61" s="18" t="str">
        <f t="array" aca="1" ref="A61" ca="1">IFERROR(TRANSPOSE(INDIRECT('「(動工中勿使用!!)新版+舊版_Teaser」的副本'!$BB61)),"")</f>
        <v/>
      </c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34" t="b">
        <v>0</v>
      </c>
      <c r="AF61" s="111" t="str">
        <f t="shared" si="8"/>
        <v/>
      </c>
      <c r="AG61" s="112" t="str">
        <f t="shared" si="1"/>
        <v/>
      </c>
      <c r="AH61" s="126" t="s">
        <v>270</v>
      </c>
      <c r="AI61" s="114" t="str">
        <f ca="1">IFERROR(VLOOKUP($AH61, '(勿動)Component Label公版'!$D$1:$E$1000, 2, FALSE), "-")</f>
        <v>-</v>
      </c>
      <c r="AJ61" s="115"/>
      <c r="AK61" s="112"/>
      <c r="AL61" s="112"/>
      <c r="AM61" s="116" t="str">
        <f t="shared" si="2"/>
        <v/>
      </c>
      <c r="AN61" s="117" t="str">
        <f t="shared" si="3"/>
        <v/>
      </c>
      <c r="AO61" s="508" t="s">
        <v>291</v>
      </c>
      <c r="AP61" s="384"/>
      <c r="AQ61" s="384"/>
      <c r="AR61" s="384"/>
      <c r="AS61" s="384"/>
      <c r="AT61" s="385"/>
      <c r="AU61" s="54" t="b">
        <v>0</v>
      </c>
      <c r="AV61" s="54" t="b">
        <v>0</v>
      </c>
      <c r="AW61" s="412"/>
      <c r="AX61" s="416"/>
      <c r="AY61" s="416"/>
      <c r="AZ61" s="416"/>
      <c r="BA61" s="423"/>
      <c r="BB61" s="68"/>
      <c r="BC61" s="62"/>
      <c r="BD61" s="129" t="str">
        <f t="shared" si="4"/>
        <v>_</v>
      </c>
      <c r="BE61" s="130" t="str">
        <f>IFERROR(VLOOKUP($BD61,'(勿動)組件目錄表'!$D$15:$R$1094,2,FALSE),"")</f>
        <v/>
      </c>
      <c r="BF61" s="131" t="str">
        <f>IFERROR(VLOOKUP($BD61, '(勿動)組件目錄表'!$D$15:$R$1094, 5, FALSE),"")</f>
        <v/>
      </c>
      <c r="BG61" s="118"/>
      <c r="BH61" s="120"/>
      <c r="BI61" s="118"/>
      <c r="BJ61" s="120"/>
    </row>
    <row r="62" spans="1:62" ht="15.75" customHeight="1">
      <c r="A62" s="18" t="str">
        <f t="array" aca="1" ref="A62" ca="1">IFERROR(TRANSPOSE(INDIRECT('「(動工中勿使用!!)新版+舊版_Teaser」的副本'!$BB62)),"")</f>
        <v/>
      </c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86" t="b">
        <v>0</v>
      </c>
      <c r="AF62" s="111" t="str">
        <f t="shared" si="8"/>
        <v/>
      </c>
      <c r="AG62" s="112" t="str">
        <f t="shared" si="1"/>
        <v/>
      </c>
      <c r="AH62" s="126" t="s">
        <v>270</v>
      </c>
      <c r="AI62" s="114" t="str">
        <f ca="1">IFERROR(VLOOKUP($AH62, '(勿動)Component Label公版'!$D$1:$E$1000, 2, FALSE), "-")</f>
        <v>-</v>
      </c>
      <c r="AJ62" s="115"/>
      <c r="AK62" s="112"/>
      <c r="AL62" s="112"/>
      <c r="AM62" s="116" t="str">
        <f t="shared" si="2"/>
        <v/>
      </c>
      <c r="AN62" s="117" t="str">
        <f t="shared" si="3"/>
        <v/>
      </c>
      <c r="AO62" s="437" t="s">
        <v>268</v>
      </c>
      <c r="AP62" s="384"/>
      <c r="AQ62" s="384"/>
      <c r="AR62" s="384"/>
      <c r="AS62" s="384"/>
      <c r="AT62" s="385"/>
      <c r="AU62" s="54" t="b">
        <v>1</v>
      </c>
      <c r="AV62" s="54" t="b">
        <v>0</v>
      </c>
      <c r="AW62" s="412"/>
      <c r="AX62" s="416"/>
      <c r="AY62" s="416"/>
      <c r="AZ62" s="416"/>
      <c r="BA62" s="423"/>
      <c r="BB62" s="68"/>
      <c r="BC62" s="62"/>
      <c r="BD62" s="129" t="str">
        <f t="shared" si="4"/>
        <v>_</v>
      </c>
      <c r="BE62" s="130" t="str">
        <f>IFERROR(VLOOKUP($BD62,'(勿動)組件目錄表'!$D$15:$R$1094,2,FALSE),"")</f>
        <v/>
      </c>
      <c r="BF62" s="131" t="str">
        <f>IFERROR(VLOOKUP($BD62, '(勿動)組件目錄表'!$D$15:$R$1094, 5, FALSE),"")</f>
        <v/>
      </c>
      <c r="BG62" s="118"/>
      <c r="BH62" s="120"/>
      <c r="BI62" s="118"/>
      <c r="BJ62" s="120"/>
    </row>
    <row r="63" spans="1:62" ht="51.75" customHeight="1">
      <c r="A63" s="18" t="str">
        <f t="array" aca="1" ref="A63" ca="1">IFERROR(TRANSPOSE(INDIRECT('「(動工中勿使用!!)新版+舊版_Teaser」的副本'!$BB63)),"")</f>
        <v/>
      </c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86" t="b">
        <v>0</v>
      </c>
      <c r="AF63" s="111" t="str">
        <f t="shared" si="8"/>
        <v/>
      </c>
      <c r="AG63" s="112" t="str">
        <f t="shared" si="1"/>
        <v/>
      </c>
      <c r="AH63" s="126" t="s">
        <v>270</v>
      </c>
      <c r="AI63" s="114" t="str">
        <f ca="1">IFERROR(VLOOKUP($AH63, '(勿動)Component Label公版'!$D$1:$E$1000, 2, FALSE), "-")</f>
        <v>-</v>
      </c>
      <c r="AJ63" s="115"/>
      <c r="AK63" s="112"/>
      <c r="AL63" s="112"/>
      <c r="AM63" s="116" t="str">
        <f t="shared" si="2"/>
        <v/>
      </c>
      <c r="AN63" s="117" t="str">
        <f t="shared" si="3"/>
        <v/>
      </c>
      <c r="AO63" s="517" t="s">
        <v>306</v>
      </c>
      <c r="AP63" s="401"/>
      <c r="AQ63" s="401"/>
      <c r="AR63" s="401"/>
      <c r="AS63" s="401"/>
      <c r="AT63" s="424"/>
      <c r="AU63" s="54" t="b">
        <v>0</v>
      </c>
      <c r="AV63" s="54" t="b">
        <v>0</v>
      </c>
      <c r="AW63" s="412"/>
      <c r="AX63" s="416"/>
      <c r="AY63" s="416"/>
      <c r="AZ63" s="416"/>
      <c r="BA63" s="423"/>
      <c r="BB63" s="68"/>
      <c r="BC63" s="62"/>
      <c r="BD63" s="129" t="str">
        <f t="shared" si="4"/>
        <v>_</v>
      </c>
      <c r="BE63" s="130" t="str">
        <f>IFERROR(VLOOKUP($BD63,'(勿動)組件目錄表'!$D$15:$R$1094,2,FALSE),"")</f>
        <v/>
      </c>
      <c r="BF63" s="131" t="str">
        <f>IFERROR(VLOOKUP($BD63, '(勿動)組件目錄表'!$D$15:$R$1094, 5, FALSE),"")</f>
        <v/>
      </c>
      <c r="BG63" s="118"/>
      <c r="BH63" s="120"/>
      <c r="BI63" s="118"/>
      <c r="BJ63" s="120"/>
    </row>
    <row r="64" spans="1:62" ht="15.75" customHeight="1">
      <c r="A64" s="18" t="str">
        <f t="array" aca="1" ref="A64" ca="1">IFERROR(TRANSPOSE(INDIRECT('「(動工中勿使用!!)新版+舊版_Teaser」的副本'!$BB64)),"")</f>
        <v/>
      </c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86" t="b">
        <v>0</v>
      </c>
      <c r="AF64" s="111" t="str">
        <f t="shared" si="8"/>
        <v/>
      </c>
      <c r="AG64" s="112" t="str">
        <f t="shared" si="1"/>
        <v/>
      </c>
      <c r="AH64" s="126" t="s">
        <v>270</v>
      </c>
      <c r="AI64" s="114" t="str">
        <f ca="1">IFERROR(VLOOKUP($AH64, '(勿動)Component Label公版'!$D$1:$E$1000, 2, FALSE), "-")</f>
        <v>-</v>
      </c>
      <c r="AJ64" s="115"/>
      <c r="AK64" s="112"/>
      <c r="AL64" s="112"/>
      <c r="AM64" s="116" t="str">
        <f t="shared" si="2"/>
        <v/>
      </c>
      <c r="AN64" s="117" t="str">
        <f t="shared" si="3"/>
        <v/>
      </c>
      <c r="AO64" s="449" t="s">
        <v>188</v>
      </c>
      <c r="AP64" s="384"/>
      <c r="AQ64" s="384"/>
      <c r="AR64" s="384"/>
      <c r="AS64" s="384"/>
      <c r="AT64" s="385"/>
      <c r="AU64" s="54" t="b">
        <v>0</v>
      </c>
      <c r="AV64" s="54" t="b">
        <v>0</v>
      </c>
      <c r="AW64" s="412"/>
      <c r="AX64" s="416"/>
      <c r="AY64" s="416"/>
      <c r="AZ64" s="416"/>
      <c r="BA64" s="423"/>
      <c r="BB64" s="68"/>
      <c r="BC64" s="62"/>
      <c r="BD64" s="129" t="str">
        <f t="shared" si="4"/>
        <v>_</v>
      </c>
      <c r="BE64" s="130" t="str">
        <f>IFERROR(VLOOKUP($BD64,'(勿動)組件目錄表'!$D$15:$R$1094,2,FALSE),"")</f>
        <v/>
      </c>
      <c r="BF64" s="131" t="str">
        <f>IFERROR(VLOOKUP($BD64, '(勿動)組件目錄表'!$D$15:$R$1094, 5, FALSE),"")</f>
        <v/>
      </c>
      <c r="BG64" s="118"/>
      <c r="BH64" s="120"/>
      <c r="BI64" s="118"/>
      <c r="BJ64" s="120"/>
    </row>
    <row r="65" spans="1:62" ht="33.75" customHeight="1">
      <c r="A65" s="18" t="str">
        <f t="array" aca="1" ref="A65" ca="1">IFERROR(TRANSPOSE(INDIRECT('「(動工中勿使用!!)新版+舊版_Teaser」的副本'!$BB65)),"")</f>
        <v/>
      </c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86" t="b">
        <v>0</v>
      </c>
      <c r="AF65" s="111" t="str">
        <f t="shared" si="8"/>
        <v/>
      </c>
      <c r="AG65" s="112" t="str">
        <f t="shared" si="1"/>
        <v/>
      </c>
      <c r="AH65" s="126" t="s">
        <v>307</v>
      </c>
      <c r="AI65" s="114" t="str">
        <f ca="1">IFERROR(VLOOKUP($AH65, '(勿動)Component Label公版'!$D$1:$E$1000, 2, FALSE), "-")</f>
        <v>-</v>
      </c>
      <c r="AJ65" s="115"/>
      <c r="AK65" s="112"/>
      <c r="AL65" s="112"/>
      <c r="AM65" s="116" t="str">
        <f t="shared" si="2"/>
        <v/>
      </c>
      <c r="AN65" s="117" t="str">
        <f t="shared" si="3"/>
        <v/>
      </c>
      <c r="AO65" s="450" t="s">
        <v>308</v>
      </c>
      <c r="AP65" s="384"/>
      <c r="AQ65" s="384"/>
      <c r="AR65" s="384"/>
      <c r="AS65" s="384"/>
      <c r="AT65" s="385"/>
      <c r="AU65" s="54" t="b">
        <v>0</v>
      </c>
      <c r="AV65" s="54" t="b">
        <v>0</v>
      </c>
      <c r="AW65" s="441"/>
      <c r="AX65" s="442"/>
      <c r="AY65" s="442"/>
      <c r="AZ65" s="442"/>
      <c r="BA65" s="443"/>
      <c r="BB65" s="68"/>
      <c r="BC65" s="62"/>
      <c r="BD65" s="129" t="str">
        <f t="shared" si="4"/>
        <v>_</v>
      </c>
      <c r="BE65" s="130" t="str">
        <f>IFERROR(VLOOKUP($BD65,'(勿動)組件目錄表'!$D$15:$R$1094,2,FALSE),"")</f>
        <v/>
      </c>
      <c r="BF65" s="131" t="str">
        <f>IFERROR(VLOOKUP($BD65, '(勿動)組件目錄表'!$D$15:$R$1094, 5, FALSE),"")</f>
        <v/>
      </c>
      <c r="BG65" s="118"/>
      <c r="BH65" s="120"/>
      <c r="BI65" s="118"/>
      <c r="BJ65" s="120"/>
    </row>
    <row r="66" spans="1:62" ht="15.75" customHeight="1">
      <c r="A66" s="18" t="str">
        <f t="array" aca="1" ref="A66" ca="1">IFERROR(TRANSPOSE(INDIRECT('「(動工中勿使用!!)新版+舊版_Teaser」的副本'!$BB66)),"")</f>
        <v/>
      </c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86" t="b">
        <v>0</v>
      </c>
      <c r="AF66" s="111" t="str">
        <f t="shared" si="8"/>
        <v/>
      </c>
      <c r="AG66" s="112" t="str">
        <f t="shared" si="1"/>
        <v/>
      </c>
      <c r="AH66" s="126" t="s">
        <v>307</v>
      </c>
      <c r="AI66" s="114" t="str">
        <f ca="1">IFERROR(VLOOKUP($AH66, '(勿動)Component Label公版'!$D$1:$E$1000, 2, FALSE), "-")</f>
        <v>-</v>
      </c>
      <c r="AJ66" s="115"/>
      <c r="AK66" s="112"/>
      <c r="AL66" s="112"/>
      <c r="AM66" s="116" t="str">
        <f t="shared" si="2"/>
        <v/>
      </c>
      <c r="AN66" s="117" t="str">
        <f t="shared" si="3"/>
        <v/>
      </c>
      <c r="AO66" s="474" t="s">
        <v>309</v>
      </c>
      <c r="AP66" s="384"/>
      <c r="AQ66" s="384"/>
      <c r="AR66" s="385"/>
      <c r="AS66" s="475" t="s">
        <v>310</v>
      </c>
      <c r="AT66" s="385"/>
      <c r="AU66" s="54" t="b">
        <v>1</v>
      </c>
      <c r="AV66" s="54" t="b">
        <v>0</v>
      </c>
      <c r="AW66" s="452"/>
      <c r="AX66" s="503"/>
      <c r="AY66" s="503"/>
      <c r="AZ66" s="503"/>
      <c r="BA66" s="504"/>
      <c r="BB66" s="68"/>
      <c r="BC66" s="62"/>
      <c r="BD66" s="129" t="str">
        <f t="shared" si="4"/>
        <v>_</v>
      </c>
      <c r="BE66" s="130" t="str">
        <f>IFERROR(VLOOKUP($BD66,'(勿動)組件目錄表'!$D$15:$R$1094,2,FALSE),"")</f>
        <v/>
      </c>
      <c r="BF66" s="131" t="str">
        <f>IFERROR(VLOOKUP($BD66, '(勿動)組件目錄表'!$D$15:$R$1094, 5, FALSE),"")</f>
        <v/>
      </c>
      <c r="BG66" s="118"/>
      <c r="BH66" s="120"/>
      <c r="BI66" s="118"/>
      <c r="BJ66" s="120"/>
    </row>
    <row r="67" spans="1:62" ht="15.75" customHeight="1">
      <c r="A67" s="18" t="str">
        <f t="array" aca="1" ref="A67" ca="1">IFERROR(TRANSPOSE(INDIRECT('「(動工中勿使用!!)新版+舊版_Teaser」的副本'!$BB67)),"")</f>
        <v/>
      </c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86" t="b">
        <v>0</v>
      </c>
      <c r="AF67" s="111" t="str">
        <f t="shared" si="8"/>
        <v/>
      </c>
      <c r="AG67" s="112" t="str">
        <f t="shared" si="1"/>
        <v/>
      </c>
      <c r="AH67" s="126" t="s">
        <v>307</v>
      </c>
      <c r="AI67" s="114" t="str">
        <f ca="1">IFERROR(VLOOKUP($AH67, '(勿動)Component Label公版'!$D$1:$E$1000, 2, FALSE), "-")</f>
        <v>-</v>
      </c>
      <c r="AJ67" s="115"/>
      <c r="AK67" s="112"/>
      <c r="AL67" s="112"/>
      <c r="AM67" s="116" t="str">
        <f t="shared" si="2"/>
        <v/>
      </c>
      <c r="AN67" s="117" t="str">
        <f t="shared" si="3"/>
        <v/>
      </c>
      <c r="AO67" s="445" t="s">
        <v>311</v>
      </c>
      <c r="AP67" s="384"/>
      <c r="AQ67" s="384"/>
      <c r="AR67" s="384"/>
      <c r="AS67" s="384"/>
      <c r="AT67" s="385"/>
      <c r="AU67" s="54" t="b">
        <v>0</v>
      </c>
      <c r="AV67" s="54" t="b">
        <v>0</v>
      </c>
      <c r="AW67" s="452"/>
      <c r="AX67" s="503"/>
      <c r="AY67" s="503"/>
      <c r="AZ67" s="503"/>
      <c r="BA67" s="504"/>
      <c r="BB67" s="68"/>
      <c r="BC67" s="62"/>
      <c r="BD67" s="129" t="str">
        <f t="shared" si="4"/>
        <v>_</v>
      </c>
      <c r="BE67" s="130" t="str">
        <f>IFERROR(VLOOKUP($BD67,'(勿動)組件目錄表'!$D$15:$R$1094,2,FALSE),"")</f>
        <v/>
      </c>
      <c r="BF67" s="131" t="str">
        <f>IFERROR(VLOOKUP($BD67, '(勿動)組件目錄表'!$D$15:$R$1094, 5, FALSE),"")</f>
        <v/>
      </c>
      <c r="BG67" s="118"/>
      <c r="BH67" s="120"/>
      <c r="BI67" s="118"/>
      <c r="BJ67" s="120"/>
    </row>
    <row r="68" spans="1:62" ht="15.75" customHeight="1">
      <c r="A68" s="18" t="str">
        <f t="array" aca="1" ref="A68" ca="1">IFERROR(TRANSPOSE(INDIRECT('「(動工中勿使用!!)新版+舊版_Teaser」的副本'!$BB68)),"")</f>
        <v/>
      </c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86" t="b">
        <v>0</v>
      </c>
      <c r="AF68" s="111" t="str">
        <f t="shared" si="8"/>
        <v/>
      </c>
      <c r="AG68" s="112" t="str">
        <f t="shared" si="1"/>
        <v/>
      </c>
      <c r="AH68" s="126" t="s">
        <v>307</v>
      </c>
      <c r="AI68" s="114" t="str">
        <f ca="1">IFERROR(VLOOKUP($AH68, '(勿動)Component Label公版'!$D$1:$E$1000, 2, FALSE), "-")</f>
        <v>-</v>
      </c>
      <c r="AJ68" s="115"/>
      <c r="AK68" s="112"/>
      <c r="AL68" s="112"/>
      <c r="AM68" s="116" t="str">
        <f t="shared" si="2"/>
        <v/>
      </c>
      <c r="AN68" s="117" t="str">
        <f t="shared" si="3"/>
        <v/>
      </c>
      <c r="AO68" s="142" t="s">
        <v>312</v>
      </c>
      <c r="AP68" s="456" t="s">
        <v>313</v>
      </c>
      <c r="AQ68" s="456" t="s">
        <v>243</v>
      </c>
      <c r="AR68" s="142" t="s">
        <v>312</v>
      </c>
      <c r="AS68" s="456" t="s">
        <v>313</v>
      </c>
      <c r="AT68" s="457" t="s">
        <v>243</v>
      </c>
      <c r="AU68" s="54" t="b">
        <v>0</v>
      </c>
      <c r="AV68" s="54" t="b">
        <v>0</v>
      </c>
      <c r="AW68" s="123"/>
      <c r="AX68" s="124"/>
      <c r="AY68" s="124"/>
      <c r="AZ68" s="124"/>
      <c r="BA68" s="125"/>
      <c r="BB68" s="68"/>
      <c r="BC68" s="62"/>
      <c r="BD68" s="129" t="str">
        <f t="shared" si="4"/>
        <v>_</v>
      </c>
      <c r="BE68" s="130" t="str">
        <f>IFERROR(VLOOKUP($BD68,'(勿動)組件目錄表'!$D$15:$R$1094,2,FALSE),"")</f>
        <v/>
      </c>
      <c r="BF68" s="131" t="str">
        <f>IFERROR(VLOOKUP($BD68, '(勿動)組件目錄表'!$D$15:$R$1094, 5, FALSE),"")</f>
        <v/>
      </c>
      <c r="BG68" s="118"/>
      <c r="BH68" s="120"/>
      <c r="BI68" s="118"/>
      <c r="BJ68" s="120"/>
    </row>
    <row r="69" spans="1:62" ht="33.75" customHeight="1">
      <c r="A69" s="18" t="str">
        <f t="array" aca="1" ref="A69" ca="1">IFERROR(TRANSPOSE(INDIRECT('「(動工中勿使用!!)新版+舊版_Teaser」的副本'!$BB69)),"")</f>
        <v/>
      </c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86" t="b">
        <v>0</v>
      </c>
      <c r="AF69" s="111" t="str">
        <f t="shared" si="8"/>
        <v/>
      </c>
      <c r="AG69" s="112" t="str">
        <f t="shared" si="1"/>
        <v/>
      </c>
      <c r="AH69" s="126" t="s">
        <v>307</v>
      </c>
      <c r="AI69" s="114" t="str">
        <f ca="1">IFERROR(VLOOKUP($AH69, '(勿動)Component Label公版'!$D$1:$E$1000, 2, FALSE), "-")</f>
        <v>-</v>
      </c>
      <c r="AJ69" s="115"/>
      <c r="AK69" s="112"/>
      <c r="AL69" s="112"/>
      <c r="AM69" s="116" t="str">
        <f t="shared" si="2"/>
        <v/>
      </c>
      <c r="AN69" s="117" t="str">
        <f t="shared" si="3"/>
        <v/>
      </c>
      <c r="AO69" s="143" t="s">
        <v>245</v>
      </c>
      <c r="AP69" s="424"/>
      <c r="AQ69" s="424"/>
      <c r="AR69" s="144" t="s">
        <v>245</v>
      </c>
      <c r="AS69" s="424"/>
      <c r="AT69" s="401"/>
      <c r="AU69" s="54" t="b">
        <v>0</v>
      </c>
      <c r="AV69" s="54" t="b">
        <v>0</v>
      </c>
      <c r="AW69" s="123"/>
      <c r="AX69" s="124"/>
      <c r="AY69" s="124"/>
      <c r="AZ69" s="124"/>
      <c r="BA69" s="125"/>
      <c r="BB69" s="68"/>
      <c r="BC69" s="62"/>
      <c r="BD69" s="129" t="str">
        <f t="shared" si="4"/>
        <v>_</v>
      </c>
      <c r="BE69" s="130" t="str">
        <f>IFERROR(VLOOKUP($BD69,'(勿動)組件目錄表'!$D$15:$R$1094,2,FALSE),"")</f>
        <v/>
      </c>
      <c r="BF69" s="131" t="str">
        <f>IFERROR(VLOOKUP($BD69, '(勿動)組件目錄表'!$D$15:$R$1094, 5, FALSE),"")</f>
        <v/>
      </c>
      <c r="BG69" s="118"/>
      <c r="BH69" s="120"/>
      <c r="BI69" s="118"/>
      <c r="BJ69" s="120"/>
    </row>
    <row r="70" spans="1:62" ht="15.75" customHeight="1">
      <c r="A70" s="18" t="str">
        <f t="array" aca="1" ref="A70" ca="1">IFERROR(TRANSPOSE(INDIRECT('「(動工中勿使用!!)新版+舊版_Teaser」的副本'!$BB70)),"")</f>
        <v/>
      </c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86" t="b">
        <v>0</v>
      </c>
      <c r="AF70" s="111" t="str">
        <f t="shared" si="8"/>
        <v/>
      </c>
      <c r="AG70" s="112" t="str">
        <f t="shared" si="1"/>
        <v/>
      </c>
      <c r="AH70" s="126" t="s">
        <v>307</v>
      </c>
      <c r="AI70" s="114" t="str">
        <f ca="1">IFERROR(VLOOKUP($AH70, '(勿動)Component Label公版'!$D$1:$E$1000, 2, FALSE), "-")</f>
        <v>-</v>
      </c>
      <c r="AJ70" s="115"/>
      <c r="AK70" s="112"/>
      <c r="AL70" s="112"/>
      <c r="AM70" s="116" t="str">
        <f t="shared" si="2"/>
        <v/>
      </c>
      <c r="AN70" s="117" t="str">
        <f t="shared" si="3"/>
        <v/>
      </c>
      <c r="AO70" s="142" t="s">
        <v>312</v>
      </c>
      <c r="AP70" s="456" t="s">
        <v>313</v>
      </c>
      <c r="AQ70" s="456" t="s">
        <v>243</v>
      </c>
      <c r="AR70" s="142" t="s">
        <v>312</v>
      </c>
      <c r="AS70" s="456" t="s">
        <v>313</v>
      </c>
      <c r="AT70" s="457" t="s">
        <v>243</v>
      </c>
      <c r="AU70" s="54" t="b">
        <v>0</v>
      </c>
      <c r="AV70" s="54" t="b">
        <v>0</v>
      </c>
      <c r="AW70" s="123"/>
      <c r="AX70" s="124"/>
      <c r="AY70" s="124"/>
      <c r="AZ70" s="124"/>
      <c r="BA70" s="125"/>
      <c r="BB70" s="68"/>
      <c r="BC70" s="62"/>
      <c r="BD70" s="129" t="str">
        <f t="shared" si="4"/>
        <v>_</v>
      </c>
      <c r="BE70" s="130" t="str">
        <f>IFERROR(VLOOKUP($BD70,'(勿動)組件目錄表'!$D$15:$R$1094,2,FALSE),"")</f>
        <v/>
      </c>
      <c r="BF70" s="131" t="str">
        <f>IFERROR(VLOOKUP($BD70, '(勿動)組件目錄表'!$D$15:$R$1094, 5, FALSE),"")</f>
        <v/>
      </c>
      <c r="BG70" s="118"/>
      <c r="BH70" s="120"/>
      <c r="BI70" s="118"/>
      <c r="BJ70" s="120"/>
    </row>
    <row r="71" spans="1:62" ht="33.75" customHeight="1">
      <c r="A71" s="18" t="str">
        <f t="array" aca="1" ref="A71" ca="1">IFERROR(TRANSPOSE(INDIRECT('「(動工中勿使用!!)新版+舊版_Teaser」的副本'!$BB71)),"")</f>
        <v/>
      </c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86" t="b">
        <v>0</v>
      </c>
      <c r="AF71" s="111" t="str">
        <f t="shared" si="8"/>
        <v/>
      </c>
      <c r="AG71" s="112" t="str">
        <f t="shared" si="1"/>
        <v/>
      </c>
      <c r="AH71" s="126" t="s">
        <v>307</v>
      </c>
      <c r="AI71" s="114" t="str">
        <f ca="1">IFERROR(VLOOKUP($AH71, '(勿動)Component Label公版'!$D$1:$E$1000, 2, FALSE), "-")</f>
        <v>-</v>
      </c>
      <c r="AJ71" s="115"/>
      <c r="AK71" s="112"/>
      <c r="AL71" s="112"/>
      <c r="AM71" s="116" t="str">
        <f t="shared" si="2"/>
        <v/>
      </c>
      <c r="AN71" s="117" t="str">
        <f t="shared" si="3"/>
        <v/>
      </c>
      <c r="AO71" s="143" t="s">
        <v>245</v>
      </c>
      <c r="AP71" s="424"/>
      <c r="AQ71" s="424"/>
      <c r="AR71" s="144" t="s">
        <v>245</v>
      </c>
      <c r="AS71" s="424"/>
      <c r="AT71" s="401"/>
      <c r="AU71" s="54" t="b">
        <v>0</v>
      </c>
      <c r="AV71" s="54" t="b">
        <v>0</v>
      </c>
      <c r="AW71" s="123" t="s">
        <v>314</v>
      </c>
      <c r="AX71" s="124"/>
      <c r="AY71" s="124"/>
      <c r="AZ71" s="124"/>
      <c r="BA71" s="125"/>
      <c r="BB71" s="68"/>
      <c r="BC71" s="62"/>
      <c r="BD71" s="129" t="str">
        <f t="shared" si="4"/>
        <v>_</v>
      </c>
      <c r="BE71" s="130" t="str">
        <f>IFERROR(VLOOKUP($BD71,'(勿動)組件目錄表'!$D$15:$R$1094,2,FALSE),"")</f>
        <v/>
      </c>
      <c r="BF71" s="131" t="str">
        <f>IFERROR(VLOOKUP($BD71, '(勿動)組件目錄表'!$D$15:$R$1094, 5, FALSE),"")</f>
        <v/>
      </c>
      <c r="BG71" s="118"/>
      <c r="BH71" s="120"/>
      <c r="BI71" s="118"/>
      <c r="BJ71" s="120"/>
    </row>
    <row r="72" spans="1:62" ht="15.75" customHeight="1">
      <c r="A72" s="18" t="str">
        <f t="array" aca="1" ref="A72" ca="1">IFERROR(TRANSPOSE(INDIRECT('「(動工中勿使用!!)新版+舊版_Teaser」的副本'!$BB72)),"")</f>
        <v/>
      </c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86" t="b">
        <v>0</v>
      </c>
      <c r="AF72" s="111" t="str">
        <f t="shared" si="8"/>
        <v/>
      </c>
      <c r="AG72" s="112" t="str">
        <f t="shared" si="1"/>
        <v/>
      </c>
      <c r="AH72" s="126" t="s">
        <v>307</v>
      </c>
      <c r="AI72" s="114" t="str">
        <f ca="1">IFERROR(VLOOKUP($AH72, '(勿動)Component Label公版'!$D$1:$E$1000, 2, FALSE), "-")</f>
        <v>-</v>
      </c>
      <c r="AJ72" s="115"/>
      <c r="AK72" s="112"/>
      <c r="AL72" s="112"/>
      <c r="AM72" s="116" t="str">
        <f t="shared" si="2"/>
        <v/>
      </c>
      <c r="AN72" s="117" t="str">
        <f t="shared" si="3"/>
        <v/>
      </c>
      <c r="AO72" s="142" t="s">
        <v>312</v>
      </c>
      <c r="AP72" s="456" t="s">
        <v>313</v>
      </c>
      <c r="AQ72" s="456" t="s">
        <v>243</v>
      </c>
      <c r="AR72" s="525"/>
      <c r="AS72" s="419"/>
      <c r="AT72" s="526"/>
      <c r="AU72" s="54" t="b">
        <v>0</v>
      </c>
      <c r="AV72" s="54" t="b">
        <v>0</v>
      </c>
      <c r="AW72" s="123"/>
      <c r="AX72" s="124"/>
      <c r="AY72" s="124"/>
      <c r="AZ72" s="124"/>
      <c r="BA72" s="125"/>
      <c r="BB72" s="68"/>
      <c r="BC72" s="62"/>
      <c r="BD72" s="129" t="str">
        <f t="shared" si="4"/>
        <v>_</v>
      </c>
      <c r="BE72" s="130" t="str">
        <f>IFERROR(VLOOKUP($BD72,'(勿動)組件目錄表'!$D$15:$R$1094,2,FALSE),"")</f>
        <v/>
      </c>
      <c r="BF72" s="131" t="str">
        <f>IFERROR(VLOOKUP($BD72, '(勿動)組件目錄表'!$D$15:$R$1094, 5, FALSE),"")</f>
        <v/>
      </c>
      <c r="BG72" s="118"/>
      <c r="BH72" s="120"/>
      <c r="BI72" s="118"/>
      <c r="BJ72" s="120"/>
    </row>
    <row r="73" spans="1:62" ht="33.75" customHeight="1">
      <c r="A73" s="18" t="str">
        <f t="array" aca="1" ref="A73" ca="1">IFERROR(TRANSPOSE(INDIRECT('「(動工中勿使用!!)新版+舊版_Teaser」的副本'!$BB73)),"")</f>
        <v/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86" t="b">
        <v>0</v>
      </c>
      <c r="AF73" s="111" t="str">
        <f t="shared" si="8"/>
        <v/>
      </c>
      <c r="AG73" s="112" t="str">
        <f t="shared" si="1"/>
        <v/>
      </c>
      <c r="AH73" s="126" t="s">
        <v>307</v>
      </c>
      <c r="AI73" s="114" t="str">
        <f ca="1">IFERROR(VLOOKUP($AH73, '(勿動)Component Label公版'!$D$1:$E$1000, 2, FALSE), "-")</f>
        <v>-</v>
      </c>
      <c r="AJ73" s="115"/>
      <c r="AK73" s="112"/>
      <c r="AL73" s="112"/>
      <c r="AM73" s="116" t="str">
        <f t="shared" si="2"/>
        <v/>
      </c>
      <c r="AN73" s="117" t="str">
        <f t="shared" si="3"/>
        <v/>
      </c>
      <c r="AO73" s="143" t="s">
        <v>245</v>
      </c>
      <c r="AP73" s="424"/>
      <c r="AQ73" s="424"/>
      <c r="AR73" s="527"/>
      <c r="AS73" s="401"/>
      <c r="AT73" s="424"/>
      <c r="AU73" s="54" t="b">
        <v>0</v>
      </c>
      <c r="AV73" s="54" t="b">
        <v>0</v>
      </c>
      <c r="AW73" s="123"/>
      <c r="AX73" s="124"/>
      <c r="AY73" s="124"/>
      <c r="AZ73" s="124"/>
      <c r="BA73" s="125"/>
      <c r="BB73" s="68"/>
      <c r="BC73" s="62"/>
      <c r="BD73" s="129" t="str">
        <f t="shared" si="4"/>
        <v>_</v>
      </c>
      <c r="BE73" s="130" t="str">
        <f>IFERROR(VLOOKUP($BD73,'(勿動)組件目錄表'!$D$15:$R$1094,2,FALSE),"")</f>
        <v/>
      </c>
      <c r="BF73" s="131" t="str">
        <f>IFERROR(VLOOKUP($BD73, '(勿動)組件目錄表'!$D$15:$R$1094, 5, FALSE),"")</f>
        <v/>
      </c>
      <c r="BG73" s="118"/>
      <c r="BH73" s="120"/>
      <c r="BI73" s="118"/>
      <c r="BJ73" s="120"/>
    </row>
    <row r="74" spans="1:62" ht="15.75" customHeight="1">
      <c r="A74" s="18" t="str">
        <f t="array" aca="1" ref="A74" ca="1">IFERROR(TRANSPOSE(INDIRECT('「(動工中勿使用!!)新版+舊版_Teaser」的副本'!$BB74)),"")</f>
        <v/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86" t="b">
        <v>0</v>
      </c>
      <c r="AF74" s="111" t="str">
        <f t="shared" si="8"/>
        <v/>
      </c>
      <c r="AG74" s="112" t="str">
        <f t="shared" si="1"/>
        <v/>
      </c>
      <c r="AH74" s="126" t="s">
        <v>307</v>
      </c>
      <c r="AI74" s="114" t="str">
        <f ca="1">IFERROR(VLOOKUP($AH74, '(勿動)Component Label公版'!$D$1:$E$1000, 2, FALSE), "-")</f>
        <v>-</v>
      </c>
      <c r="AJ74" s="115"/>
      <c r="AK74" s="112"/>
      <c r="AL74" s="112"/>
      <c r="AM74" s="116" t="str">
        <f t="shared" si="2"/>
        <v/>
      </c>
      <c r="AN74" s="117" t="str">
        <f t="shared" si="3"/>
        <v/>
      </c>
      <c r="AO74" s="445" t="s">
        <v>311</v>
      </c>
      <c r="AP74" s="384"/>
      <c r="AQ74" s="384"/>
      <c r="AR74" s="384"/>
      <c r="AS74" s="384"/>
      <c r="AT74" s="385"/>
      <c r="AU74" s="54" t="b">
        <v>0</v>
      </c>
      <c r="AV74" s="54" t="b">
        <v>0</v>
      </c>
      <c r="AW74" s="123"/>
      <c r="AX74" s="124"/>
      <c r="AY74" s="124"/>
      <c r="AZ74" s="124"/>
      <c r="BA74" s="125"/>
      <c r="BB74" s="68"/>
      <c r="BC74" s="62"/>
      <c r="BD74" s="129" t="str">
        <f t="shared" si="4"/>
        <v>_</v>
      </c>
      <c r="BE74" s="130" t="str">
        <f>IFERROR(VLOOKUP($BD74,'(勿動)組件目錄表'!$D$15:$R$1094,2,FALSE),"")</f>
        <v/>
      </c>
      <c r="BF74" s="131" t="str">
        <f>IFERROR(VLOOKUP($BD74, '(勿動)組件目錄表'!$D$15:$R$1094, 5, FALSE),"")</f>
        <v/>
      </c>
      <c r="BG74" s="118"/>
      <c r="BH74" s="120"/>
      <c r="BI74" s="118"/>
      <c r="BJ74" s="120"/>
    </row>
    <row r="75" spans="1:62" ht="15.75" customHeight="1">
      <c r="A75" s="18" t="str">
        <f t="array" aca="1" ref="A75" ca="1">IFERROR(TRANSPOSE(INDIRECT('「(動工中勿使用!!)新版+舊版_Teaser」的副本'!$BB75)),"")</f>
        <v/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86" t="b">
        <v>0</v>
      </c>
      <c r="AF75" s="111" t="str">
        <f t="shared" si="8"/>
        <v/>
      </c>
      <c r="AG75" s="112" t="str">
        <f t="shared" si="1"/>
        <v/>
      </c>
      <c r="AH75" s="126" t="s">
        <v>307</v>
      </c>
      <c r="AI75" s="114" t="str">
        <f ca="1">IFERROR(VLOOKUP($AH75, '(勿動)Component Label公版'!$D$1:$E$1000, 2, FALSE), "-")</f>
        <v>-</v>
      </c>
      <c r="AJ75" s="115"/>
      <c r="AK75" s="112"/>
      <c r="AL75" s="112"/>
      <c r="AM75" s="116" t="str">
        <f t="shared" si="2"/>
        <v/>
      </c>
      <c r="AN75" s="117" t="str">
        <f t="shared" si="3"/>
        <v/>
      </c>
      <c r="AO75" s="142" t="s">
        <v>312</v>
      </c>
      <c r="AP75" s="456" t="s">
        <v>313</v>
      </c>
      <c r="AQ75" s="456" t="s">
        <v>243</v>
      </c>
      <c r="AR75" s="142" t="s">
        <v>312</v>
      </c>
      <c r="AS75" s="456" t="s">
        <v>313</v>
      </c>
      <c r="AT75" s="457" t="s">
        <v>243</v>
      </c>
      <c r="AU75" s="54" t="b">
        <v>0</v>
      </c>
      <c r="AV75" s="54" t="b">
        <v>0</v>
      </c>
      <c r="AW75" s="123"/>
      <c r="AX75" s="124"/>
      <c r="AY75" s="124"/>
      <c r="AZ75" s="124"/>
      <c r="BA75" s="125"/>
      <c r="BB75" s="68"/>
      <c r="BC75" s="62"/>
      <c r="BD75" s="129" t="str">
        <f t="shared" si="4"/>
        <v>_</v>
      </c>
      <c r="BE75" s="130" t="str">
        <f>IFERROR(VLOOKUP($BD75,'(勿動)組件目錄表'!$D$15:$R$1094,2,FALSE),"")</f>
        <v/>
      </c>
      <c r="BF75" s="131" t="str">
        <f>IFERROR(VLOOKUP($BD75, '(勿動)組件目錄表'!$D$15:$R$1094, 5, FALSE),"")</f>
        <v/>
      </c>
      <c r="BG75" s="118"/>
      <c r="BH75" s="120"/>
      <c r="BI75" s="118"/>
      <c r="BJ75" s="120"/>
    </row>
    <row r="76" spans="1:62" ht="33.75" customHeight="1">
      <c r="A76" s="18" t="str">
        <f t="array" aca="1" ref="A76" ca="1">IFERROR(TRANSPOSE(INDIRECT('「(動工中勿使用!!)新版+舊版_Teaser」的副本'!$BB76)),"")</f>
        <v/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86" t="b">
        <v>0</v>
      </c>
      <c r="AF76" s="111" t="str">
        <f t="shared" si="8"/>
        <v/>
      </c>
      <c r="AG76" s="112" t="str">
        <f t="shared" si="1"/>
        <v/>
      </c>
      <c r="AH76" s="126" t="s">
        <v>307</v>
      </c>
      <c r="AI76" s="114" t="str">
        <f ca="1">IFERROR(VLOOKUP($AH76, '(勿動)Component Label公版'!$D$1:$E$1000, 2, FALSE), "-")</f>
        <v>-</v>
      </c>
      <c r="AJ76" s="115"/>
      <c r="AK76" s="112"/>
      <c r="AL76" s="112"/>
      <c r="AM76" s="116" t="str">
        <f t="shared" si="2"/>
        <v/>
      </c>
      <c r="AN76" s="117" t="str">
        <f t="shared" si="3"/>
        <v/>
      </c>
      <c r="AO76" s="143" t="s">
        <v>245</v>
      </c>
      <c r="AP76" s="424"/>
      <c r="AQ76" s="424"/>
      <c r="AR76" s="144" t="s">
        <v>245</v>
      </c>
      <c r="AS76" s="424"/>
      <c r="AT76" s="401"/>
      <c r="AU76" s="54" t="b">
        <v>0</v>
      </c>
      <c r="AV76" s="54" t="b">
        <v>0</v>
      </c>
      <c r="AW76" s="123"/>
      <c r="AX76" s="124"/>
      <c r="AY76" s="124"/>
      <c r="AZ76" s="124"/>
      <c r="BA76" s="125"/>
      <c r="BB76" s="68"/>
      <c r="BC76" s="62"/>
      <c r="BD76" s="129" t="str">
        <f t="shared" si="4"/>
        <v>_</v>
      </c>
      <c r="BE76" s="130" t="str">
        <f>IFERROR(VLOOKUP($BD76,'(勿動)組件目錄表'!$D$15:$R$1094,2,FALSE),"")</f>
        <v/>
      </c>
      <c r="BF76" s="131" t="str">
        <f>IFERROR(VLOOKUP($BD76, '(勿動)組件目錄表'!$D$15:$R$1094, 5, FALSE),"")</f>
        <v/>
      </c>
      <c r="BG76" s="118"/>
      <c r="BH76" s="120"/>
      <c r="BI76" s="118"/>
      <c r="BJ76" s="120"/>
    </row>
    <row r="77" spans="1:62" ht="15.75" customHeight="1">
      <c r="A77" s="18" t="str">
        <f t="array" aca="1" ref="A77" ca="1">IFERROR(TRANSPOSE(INDIRECT('「(動工中勿使用!!)新版+舊版_Teaser」的副本'!$BB77)),"")</f>
        <v/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86" t="b">
        <v>0</v>
      </c>
      <c r="AF77" s="111" t="str">
        <f t="shared" si="8"/>
        <v/>
      </c>
      <c r="AG77" s="112" t="str">
        <f t="shared" si="1"/>
        <v/>
      </c>
      <c r="AH77" s="126" t="s">
        <v>307</v>
      </c>
      <c r="AI77" s="114" t="str">
        <f ca="1">IFERROR(VLOOKUP($AH77, '(勿動)Component Label公版'!$D$1:$E$1000, 2, FALSE), "-")</f>
        <v>-</v>
      </c>
      <c r="AJ77" s="115"/>
      <c r="AK77" s="112"/>
      <c r="AL77" s="112"/>
      <c r="AM77" s="116" t="str">
        <f t="shared" si="2"/>
        <v/>
      </c>
      <c r="AN77" s="117" t="str">
        <f t="shared" si="3"/>
        <v/>
      </c>
      <c r="AO77" s="142" t="s">
        <v>312</v>
      </c>
      <c r="AP77" s="456" t="s">
        <v>313</v>
      </c>
      <c r="AQ77" s="456" t="s">
        <v>243</v>
      </c>
      <c r="AR77" s="142" t="s">
        <v>312</v>
      </c>
      <c r="AS77" s="456" t="s">
        <v>313</v>
      </c>
      <c r="AT77" s="457" t="s">
        <v>243</v>
      </c>
      <c r="AU77" s="54" t="b">
        <v>0</v>
      </c>
      <c r="AV77" s="54" t="b">
        <v>0</v>
      </c>
      <c r="AW77" s="123"/>
      <c r="AX77" s="124"/>
      <c r="AY77" s="124"/>
      <c r="AZ77" s="124"/>
      <c r="BA77" s="125"/>
      <c r="BB77" s="68"/>
      <c r="BC77" s="62"/>
      <c r="BD77" s="129" t="str">
        <f t="shared" si="4"/>
        <v>_</v>
      </c>
      <c r="BE77" s="130" t="str">
        <f>IFERROR(VLOOKUP($BD77,'(勿動)組件目錄表'!$D$15:$R$1094,2,FALSE),"")</f>
        <v/>
      </c>
      <c r="BF77" s="131" t="str">
        <f>IFERROR(VLOOKUP($BD77, '(勿動)組件目錄表'!$D$15:$R$1094, 5, FALSE),"")</f>
        <v/>
      </c>
      <c r="BG77" s="118"/>
      <c r="BH77" s="120"/>
      <c r="BI77" s="118"/>
      <c r="BJ77" s="120"/>
    </row>
    <row r="78" spans="1:62" ht="33.75" customHeight="1">
      <c r="A78" s="18" t="str">
        <f t="array" aca="1" ref="A78" ca="1">IFERROR(TRANSPOSE(INDIRECT('「(動工中勿使用!!)新版+舊版_Teaser」的副本'!$BB78)),"")</f>
        <v/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86" t="b">
        <v>0</v>
      </c>
      <c r="AF78" s="111" t="str">
        <f t="shared" si="8"/>
        <v/>
      </c>
      <c r="AG78" s="112" t="str">
        <f t="shared" si="1"/>
        <v/>
      </c>
      <c r="AH78" s="126" t="s">
        <v>307</v>
      </c>
      <c r="AI78" s="114" t="str">
        <f ca="1">IFERROR(VLOOKUP($AH78, '(勿動)Component Label公版'!$D$1:$E$1000, 2, FALSE), "-")</f>
        <v>-</v>
      </c>
      <c r="AJ78" s="115"/>
      <c r="AK78" s="112"/>
      <c r="AL78" s="112"/>
      <c r="AM78" s="116" t="str">
        <f t="shared" si="2"/>
        <v/>
      </c>
      <c r="AN78" s="117" t="str">
        <f t="shared" si="3"/>
        <v/>
      </c>
      <c r="AO78" s="143" t="s">
        <v>245</v>
      </c>
      <c r="AP78" s="424"/>
      <c r="AQ78" s="424"/>
      <c r="AR78" s="144" t="s">
        <v>245</v>
      </c>
      <c r="AS78" s="424"/>
      <c r="AT78" s="401"/>
      <c r="AU78" s="54" t="b">
        <v>0</v>
      </c>
      <c r="AV78" s="54" t="b">
        <v>0</v>
      </c>
      <c r="AW78" s="123"/>
      <c r="AX78" s="124"/>
      <c r="AY78" s="124"/>
      <c r="AZ78" s="124"/>
      <c r="BA78" s="125"/>
      <c r="BB78" s="68"/>
      <c r="BC78" s="62"/>
      <c r="BD78" s="129" t="str">
        <f t="shared" si="4"/>
        <v>_</v>
      </c>
      <c r="BE78" s="130" t="str">
        <f>IFERROR(VLOOKUP($BD78,'(勿動)組件目錄表'!$D$15:$R$1094,2,FALSE),"")</f>
        <v/>
      </c>
      <c r="BF78" s="131" t="str">
        <f>IFERROR(VLOOKUP($BD78, '(勿動)組件目錄表'!$D$15:$R$1094, 5, FALSE),"")</f>
        <v/>
      </c>
      <c r="BG78" s="118"/>
      <c r="BH78" s="120"/>
      <c r="BI78" s="118"/>
      <c r="BJ78" s="120"/>
    </row>
    <row r="79" spans="1:62" ht="15.75" customHeight="1">
      <c r="A79" s="18" t="str">
        <f t="array" aca="1" ref="A79" ca="1">IFERROR(TRANSPOSE(INDIRECT('「(動工中勿使用!!)新版+舊版_Teaser」的副本'!$BB79)),"")</f>
        <v/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86" t="b">
        <v>0</v>
      </c>
      <c r="AF79" s="111" t="str">
        <f t="shared" si="8"/>
        <v/>
      </c>
      <c r="AG79" s="112" t="str">
        <f t="shared" si="1"/>
        <v/>
      </c>
      <c r="AH79" s="126" t="s">
        <v>307</v>
      </c>
      <c r="AI79" s="114" t="str">
        <f ca="1">IFERROR(VLOOKUP($AH79, '(勿動)Component Label公版'!$D$1:$E$1000, 2, FALSE), "-")</f>
        <v>-</v>
      </c>
      <c r="AJ79" s="115"/>
      <c r="AK79" s="112"/>
      <c r="AL79" s="112"/>
      <c r="AM79" s="116" t="str">
        <f t="shared" si="2"/>
        <v/>
      </c>
      <c r="AN79" s="117" t="str">
        <f t="shared" si="3"/>
        <v/>
      </c>
      <c r="AO79" s="142" t="s">
        <v>312</v>
      </c>
      <c r="AP79" s="456" t="s">
        <v>313</v>
      </c>
      <c r="AQ79" s="456" t="s">
        <v>243</v>
      </c>
      <c r="AR79" s="525"/>
      <c r="AS79" s="419"/>
      <c r="AT79" s="526"/>
      <c r="AU79" s="54" t="b">
        <v>0</v>
      </c>
      <c r="AV79" s="54" t="b">
        <v>0</v>
      </c>
      <c r="AW79" s="123"/>
      <c r="AX79" s="124"/>
      <c r="AY79" s="124"/>
      <c r="AZ79" s="124"/>
      <c r="BA79" s="125"/>
      <c r="BB79" s="68"/>
      <c r="BC79" s="62"/>
      <c r="BD79" s="129" t="str">
        <f t="shared" si="4"/>
        <v>_</v>
      </c>
      <c r="BE79" s="130" t="str">
        <f>IFERROR(VLOOKUP($BD79,'(勿動)組件目錄表'!$D$15:$R$1094,2,FALSE),"")</f>
        <v/>
      </c>
      <c r="BF79" s="131" t="str">
        <f>IFERROR(VLOOKUP($BD79, '(勿動)組件目錄表'!$D$15:$R$1094, 5, FALSE),"")</f>
        <v/>
      </c>
      <c r="BG79" s="118"/>
      <c r="BH79" s="120"/>
      <c r="BI79" s="118"/>
      <c r="BJ79" s="120"/>
    </row>
    <row r="80" spans="1:62" ht="33.75" customHeight="1">
      <c r="A80" s="18" t="str">
        <f t="array" aca="1" ref="A80" ca="1">IFERROR(TRANSPOSE(INDIRECT('「(動工中勿使用!!)新版+舊版_Teaser」的副本'!$BB80)),"")</f>
        <v/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86" t="b">
        <v>0</v>
      </c>
      <c r="AF80" s="111" t="str">
        <f t="shared" si="8"/>
        <v/>
      </c>
      <c r="AG80" s="112" t="str">
        <f t="shared" si="1"/>
        <v/>
      </c>
      <c r="AH80" s="126" t="s">
        <v>307</v>
      </c>
      <c r="AI80" s="114" t="str">
        <f ca="1">IFERROR(VLOOKUP($AH80, '(勿動)Component Label公版'!$D$1:$E$1000, 2, FALSE), "-")</f>
        <v>-</v>
      </c>
      <c r="AJ80" s="115"/>
      <c r="AK80" s="112"/>
      <c r="AL80" s="112"/>
      <c r="AM80" s="116" t="str">
        <f t="shared" si="2"/>
        <v/>
      </c>
      <c r="AN80" s="117" t="str">
        <f t="shared" si="3"/>
        <v/>
      </c>
      <c r="AO80" s="143" t="s">
        <v>245</v>
      </c>
      <c r="AP80" s="424"/>
      <c r="AQ80" s="424"/>
      <c r="AR80" s="527"/>
      <c r="AS80" s="401"/>
      <c r="AT80" s="424"/>
      <c r="AU80" s="54" t="b">
        <v>0</v>
      </c>
      <c r="AV80" s="54" t="b">
        <v>0</v>
      </c>
      <c r="AW80" s="123"/>
      <c r="AX80" s="124"/>
      <c r="AY80" s="124"/>
      <c r="AZ80" s="124"/>
      <c r="BA80" s="125"/>
      <c r="BB80" s="68"/>
      <c r="BC80" s="62"/>
      <c r="BD80" s="129" t="str">
        <f t="shared" si="4"/>
        <v>_</v>
      </c>
      <c r="BE80" s="130" t="str">
        <f>IFERROR(VLOOKUP($BD80,'(勿動)組件目錄表'!$D$15:$R$1094,2,FALSE),"")</f>
        <v/>
      </c>
      <c r="BF80" s="131" t="str">
        <f>IFERROR(VLOOKUP($BD80, '(勿動)組件目錄表'!$D$15:$R$1094, 5, FALSE),"")</f>
        <v/>
      </c>
      <c r="BG80" s="118"/>
      <c r="BH80" s="120"/>
      <c r="BI80" s="118"/>
      <c r="BJ80" s="120"/>
    </row>
    <row r="81" spans="1:62" ht="15.75" customHeight="1">
      <c r="A81" s="18" t="str">
        <f t="array" aca="1" ref="A81" ca="1">IFERROR(TRANSPOSE(INDIRECT('「(動工中勿使用!!)新版+舊版_Teaser」的副本'!$BB81)),"")</f>
        <v/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86" t="b">
        <v>0</v>
      </c>
      <c r="AF81" s="111" t="str">
        <f t="shared" si="8"/>
        <v/>
      </c>
      <c r="AG81" s="112" t="str">
        <f t="shared" si="1"/>
        <v/>
      </c>
      <c r="AH81" s="126" t="s">
        <v>307</v>
      </c>
      <c r="AI81" s="114" t="str">
        <f ca="1">IFERROR(VLOOKUP($AH81, '(勿動)Component Label公版'!$D$1:$E$1000, 2, FALSE), "-")</f>
        <v>-</v>
      </c>
      <c r="AJ81" s="115"/>
      <c r="AK81" s="112"/>
      <c r="AL81" s="112"/>
      <c r="AM81" s="116" t="str">
        <f t="shared" si="2"/>
        <v/>
      </c>
      <c r="AN81" s="117" t="str">
        <f t="shared" si="3"/>
        <v/>
      </c>
      <c r="AO81" s="445" t="s">
        <v>311</v>
      </c>
      <c r="AP81" s="384"/>
      <c r="AQ81" s="384"/>
      <c r="AR81" s="384"/>
      <c r="AS81" s="384"/>
      <c r="AT81" s="385"/>
      <c r="AU81" s="54" t="b">
        <v>0</v>
      </c>
      <c r="AV81" s="54" t="b">
        <v>0</v>
      </c>
      <c r="AW81" s="123"/>
      <c r="AX81" s="124"/>
      <c r="AY81" s="124"/>
      <c r="AZ81" s="124"/>
      <c r="BA81" s="125"/>
      <c r="BB81" s="68"/>
      <c r="BC81" s="62"/>
      <c r="BD81" s="129" t="str">
        <f t="shared" si="4"/>
        <v>_</v>
      </c>
      <c r="BE81" s="130" t="str">
        <f>IFERROR(VLOOKUP($BD81,'(勿動)組件目錄表'!$D$15:$R$1094,2,FALSE),"")</f>
        <v/>
      </c>
      <c r="BF81" s="131" t="str">
        <f>IFERROR(VLOOKUP($BD81, '(勿動)組件目錄表'!$D$15:$R$1094, 5, FALSE),"")</f>
        <v/>
      </c>
      <c r="BG81" s="118"/>
      <c r="BH81" s="120"/>
      <c r="BI81" s="118"/>
      <c r="BJ81" s="120"/>
    </row>
    <row r="82" spans="1:62" ht="15.75" customHeight="1">
      <c r="A82" s="18" t="str">
        <f t="array" aca="1" ref="A82" ca="1">IFERROR(TRANSPOSE(INDIRECT('「(動工中勿使用!!)新版+舊版_Teaser」的副本'!$BB82)),"")</f>
        <v/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86" t="b">
        <v>0</v>
      </c>
      <c r="AF82" s="111" t="str">
        <f t="shared" si="8"/>
        <v/>
      </c>
      <c r="AG82" s="112" t="str">
        <f t="shared" si="1"/>
        <v/>
      </c>
      <c r="AH82" s="126" t="s">
        <v>307</v>
      </c>
      <c r="AI82" s="114" t="str">
        <f ca="1">IFERROR(VLOOKUP($AH82, '(勿動)Component Label公版'!$D$1:$E$1000, 2, FALSE), "-")</f>
        <v>-</v>
      </c>
      <c r="AJ82" s="115"/>
      <c r="AK82" s="112"/>
      <c r="AL82" s="112"/>
      <c r="AM82" s="116" t="str">
        <f t="shared" si="2"/>
        <v/>
      </c>
      <c r="AN82" s="117" t="str">
        <f t="shared" si="3"/>
        <v/>
      </c>
      <c r="AO82" s="142" t="s">
        <v>312</v>
      </c>
      <c r="AP82" s="456" t="s">
        <v>313</v>
      </c>
      <c r="AQ82" s="456" t="s">
        <v>243</v>
      </c>
      <c r="AR82" s="142" t="s">
        <v>312</v>
      </c>
      <c r="AS82" s="456" t="s">
        <v>313</v>
      </c>
      <c r="AT82" s="457" t="s">
        <v>243</v>
      </c>
      <c r="AU82" s="54" t="b">
        <v>0</v>
      </c>
      <c r="AV82" s="54" t="b">
        <v>0</v>
      </c>
      <c r="AW82" s="123"/>
      <c r="AX82" s="124"/>
      <c r="AY82" s="124"/>
      <c r="AZ82" s="124"/>
      <c r="BA82" s="125"/>
      <c r="BB82" s="68"/>
      <c r="BC82" s="62"/>
      <c r="BD82" s="129" t="str">
        <f t="shared" si="4"/>
        <v>_</v>
      </c>
      <c r="BE82" s="130" t="str">
        <f>IFERROR(VLOOKUP($BD82,'(勿動)組件目錄表'!$D$15:$R$1094,2,FALSE),"")</f>
        <v/>
      </c>
      <c r="BF82" s="131" t="str">
        <f>IFERROR(VLOOKUP($BD82, '(勿動)組件目錄表'!$D$15:$R$1094, 5, FALSE),"")</f>
        <v/>
      </c>
      <c r="BG82" s="118"/>
      <c r="BH82" s="120"/>
      <c r="BI82" s="118"/>
      <c r="BJ82" s="120"/>
    </row>
    <row r="83" spans="1:62" ht="33.75" customHeight="1">
      <c r="A83" s="18" t="str">
        <f t="array" aca="1" ref="A83" ca="1">IFERROR(TRANSPOSE(INDIRECT('「(動工中勿使用!!)新版+舊版_Teaser」的副本'!$BB83)),"")</f>
        <v/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86" t="b">
        <v>0</v>
      </c>
      <c r="AF83" s="111" t="str">
        <f t="shared" si="8"/>
        <v/>
      </c>
      <c r="AG83" s="112" t="str">
        <f t="shared" si="1"/>
        <v/>
      </c>
      <c r="AH83" s="126" t="s">
        <v>307</v>
      </c>
      <c r="AI83" s="114" t="str">
        <f ca="1">IFERROR(VLOOKUP($AH83, '(勿動)Component Label公版'!$D$1:$E$1000, 2, FALSE), "-")</f>
        <v>-</v>
      </c>
      <c r="AJ83" s="115"/>
      <c r="AK83" s="112"/>
      <c r="AL83" s="112"/>
      <c r="AM83" s="116" t="str">
        <f t="shared" si="2"/>
        <v/>
      </c>
      <c r="AN83" s="117" t="str">
        <f t="shared" si="3"/>
        <v/>
      </c>
      <c r="AO83" s="143" t="s">
        <v>245</v>
      </c>
      <c r="AP83" s="424"/>
      <c r="AQ83" s="424"/>
      <c r="AR83" s="144" t="s">
        <v>245</v>
      </c>
      <c r="AS83" s="424"/>
      <c r="AT83" s="401"/>
      <c r="AU83" s="54" t="b">
        <v>0</v>
      </c>
      <c r="AV83" s="54" t="b">
        <v>0</v>
      </c>
      <c r="AW83" s="123"/>
      <c r="AX83" s="124"/>
      <c r="AY83" s="124"/>
      <c r="AZ83" s="124"/>
      <c r="BA83" s="125"/>
      <c r="BB83" s="68"/>
      <c r="BC83" s="62"/>
      <c r="BD83" s="129" t="str">
        <f t="shared" si="4"/>
        <v>_</v>
      </c>
      <c r="BE83" s="130" t="str">
        <f>IFERROR(VLOOKUP($BD83,'(勿動)組件目錄表'!$D$15:$R$1094,2,FALSE),"")</f>
        <v/>
      </c>
      <c r="BF83" s="131" t="str">
        <f>IFERROR(VLOOKUP($BD83, '(勿動)組件目錄表'!$D$15:$R$1094, 5, FALSE),"")</f>
        <v/>
      </c>
      <c r="BG83" s="118"/>
      <c r="BH83" s="120"/>
      <c r="BI83" s="118"/>
      <c r="BJ83" s="120"/>
    </row>
    <row r="84" spans="1:62" ht="15.75" customHeight="1">
      <c r="A84" s="18" t="str">
        <f t="array" aca="1" ref="A84" ca="1">IFERROR(TRANSPOSE(INDIRECT('「(動工中勿使用!!)新版+舊版_Teaser」的副本'!$BB84)),"")</f>
        <v/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86" t="b">
        <v>0</v>
      </c>
      <c r="AF84" s="111" t="str">
        <f t="shared" si="8"/>
        <v/>
      </c>
      <c r="AG84" s="112" t="str">
        <f t="shared" si="1"/>
        <v/>
      </c>
      <c r="AH84" s="126" t="s">
        <v>307</v>
      </c>
      <c r="AI84" s="114" t="str">
        <f ca="1">IFERROR(VLOOKUP($AH84, '(勿動)Component Label公版'!$D$1:$E$1000, 2, FALSE), "-")</f>
        <v>-</v>
      </c>
      <c r="AJ84" s="115"/>
      <c r="AK84" s="112"/>
      <c r="AL84" s="112"/>
      <c r="AM84" s="116" t="str">
        <f t="shared" si="2"/>
        <v/>
      </c>
      <c r="AN84" s="117" t="str">
        <f t="shared" si="3"/>
        <v/>
      </c>
      <c r="AO84" s="142" t="s">
        <v>312</v>
      </c>
      <c r="AP84" s="456" t="s">
        <v>313</v>
      </c>
      <c r="AQ84" s="456" t="s">
        <v>243</v>
      </c>
      <c r="AR84" s="142" t="s">
        <v>312</v>
      </c>
      <c r="AS84" s="456" t="s">
        <v>313</v>
      </c>
      <c r="AT84" s="457" t="s">
        <v>243</v>
      </c>
      <c r="AU84" s="54" t="b">
        <v>0</v>
      </c>
      <c r="AV84" s="54" t="b">
        <v>0</v>
      </c>
      <c r="AW84" s="123"/>
      <c r="AX84" s="124"/>
      <c r="AY84" s="124"/>
      <c r="AZ84" s="124"/>
      <c r="BA84" s="125"/>
      <c r="BB84" s="68"/>
      <c r="BC84" s="62"/>
      <c r="BD84" s="129" t="str">
        <f t="shared" si="4"/>
        <v>_</v>
      </c>
      <c r="BE84" s="130" t="str">
        <f>IFERROR(VLOOKUP($BD84,'(勿動)組件目錄表'!$D$15:$R$1094,2,FALSE),"")</f>
        <v/>
      </c>
      <c r="BF84" s="131" t="str">
        <f>IFERROR(VLOOKUP($BD84, '(勿動)組件目錄表'!$D$15:$R$1094, 5, FALSE),"")</f>
        <v/>
      </c>
      <c r="BG84" s="118"/>
      <c r="BH84" s="120"/>
      <c r="BI84" s="118"/>
      <c r="BJ84" s="120"/>
    </row>
    <row r="85" spans="1:62" ht="33.75" customHeight="1">
      <c r="A85" s="18" t="str">
        <f t="array" aca="1" ref="A85" ca="1">IFERROR(TRANSPOSE(INDIRECT('「(動工中勿使用!!)新版+舊版_Teaser」的副本'!$BB85)),"")</f>
        <v/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86" t="b">
        <v>0</v>
      </c>
      <c r="AF85" s="111" t="str">
        <f t="shared" si="8"/>
        <v/>
      </c>
      <c r="AG85" s="112" t="str">
        <f t="shared" si="1"/>
        <v/>
      </c>
      <c r="AH85" s="126" t="s">
        <v>307</v>
      </c>
      <c r="AI85" s="114" t="str">
        <f ca="1">IFERROR(VLOOKUP($AH85, '(勿動)Component Label公版'!$D$1:$E$1000, 2, FALSE), "-")</f>
        <v>-</v>
      </c>
      <c r="AJ85" s="115"/>
      <c r="AK85" s="112"/>
      <c r="AL85" s="112"/>
      <c r="AM85" s="116" t="str">
        <f t="shared" si="2"/>
        <v/>
      </c>
      <c r="AN85" s="117" t="str">
        <f t="shared" si="3"/>
        <v/>
      </c>
      <c r="AO85" s="143" t="s">
        <v>245</v>
      </c>
      <c r="AP85" s="424"/>
      <c r="AQ85" s="424"/>
      <c r="AR85" s="144" t="s">
        <v>245</v>
      </c>
      <c r="AS85" s="424"/>
      <c r="AT85" s="401"/>
      <c r="AU85" s="54" t="b">
        <v>0</v>
      </c>
      <c r="AV85" s="54" t="b">
        <v>0</v>
      </c>
      <c r="AW85" s="123"/>
      <c r="AX85" s="124"/>
      <c r="AY85" s="124"/>
      <c r="AZ85" s="124"/>
      <c r="BA85" s="125"/>
      <c r="BB85" s="68"/>
      <c r="BC85" s="62"/>
      <c r="BD85" s="129" t="str">
        <f t="shared" si="4"/>
        <v>_</v>
      </c>
      <c r="BE85" s="130" t="str">
        <f>IFERROR(VLOOKUP($BD85,'(勿動)組件目錄表'!$D$15:$R$1094,2,FALSE),"")</f>
        <v/>
      </c>
      <c r="BF85" s="131" t="str">
        <f>IFERROR(VLOOKUP($BD85, '(勿動)組件目錄表'!$D$15:$R$1094, 5, FALSE),"")</f>
        <v/>
      </c>
      <c r="BG85" s="118"/>
      <c r="BH85" s="120"/>
      <c r="BI85" s="118"/>
      <c r="BJ85" s="120"/>
    </row>
    <row r="86" spans="1:62" ht="15.75" customHeight="1">
      <c r="A86" s="18" t="str">
        <f t="array" aca="1" ref="A86" ca="1">IFERROR(TRANSPOSE(INDIRECT('「(動工中勿使用!!)新版+舊版_Teaser」的副本'!$BB86)),"")</f>
        <v/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86" t="b">
        <v>0</v>
      </c>
      <c r="AF86" s="111" t="str">
        <f t="shared" si="8"/>
        <v/>
      </c>
      <c r="AG86" s="112" t="str">
        <f t="shared" si="1"/>
        <v/>
      </c>
      <c r="AH86" s="126" t="s">
        <v>307</v>
      </c>
      <c r="AI86" s="114" t="str">
        <f ca="1">IFERROR(VLOOKUP($AH86, '(勿動)Component Label公版'!$D$1:$E$1000, 2, FALSE), "-")</f>
        <v>-</v>
      </c>
      <c r="AJ86" s="115"/>
      <c r="AK86" s="112"/>
      <c r="AL86" s="112"/>
      <c r="AM86" s="116" t="str">
        <f t="shared" si="2"/>
        <v/>
      </c>
      <c r="AN86" s="117" t="str">
        <f t="shared" si="3"/>
        <v/>
      </c>
      <c r="AO86" s="142" t="s">
        <v>312</v>
      </c>
      <c r="AP86" s="456" t="s">
        <v>313</v>
      </c>
      <c r="AQ86" s="456" t="s">
        <v>243</v>
      </c>
      <c r="AR86" s="525"/>
      <c r="AS86" s="419"/>
      <c r="AT86" s="526"/>
      <c r="AU86" s="54" t="b">
        <v>0</v>
      </c>
      <c r="AV86" s="54" t="b">
        <v>0</v>
      </c>
      <c r="AW86" s="123"/>
      <c r="AX86" s="124"/>
      <c r="AY86" s="124"/>
      <c r="AZ86" s="124"/>
      <c r="BA86" s="125"/>
      <c r="BB86" s="68"/>
      <c r="BC86" s="62"/>
      <c r="BD86" s="129" t="str">
        <f t="shared" si="4"/>
        <v>_</v>
      </c>
      <c r="BE86" s="130" t="str">
        <f>IFERROR(VLOOKUP($BD86,'(勿動)組件目錄表'!$D$15:$R$1094,2,FALSE),"")</f>
        <v/>
      </c>
      <c r="BF86" s="131" t="str">
        <f>IFERROR(VLOOKUP($BD86, '(勿動)組件目錄表'!$D$15:$R$1094, 5, FALSE),"")</f>
        <v/>
      </c>
      <c r="BG86" s="118"/>
      <c r="BH86" s="120"/>
      <c r="BI86" s="118"/>
      <c r="BJ86" s="120"/>
    </row>
    <row r="87" spans="1:62" ht="33.75" customHeight="1">
      <c r="A87" s="18" t="str">
        <f t="array" aca="1" ref="A87" ca="1">IFERROR(TRANSPOSE(INDIRECT('「(動工中勿使用!!)新版+舊版_Teaser」的副本'!$BB87)),"")</f>
        <v/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86" t="b">
        <v>0</v>
      </c>
      <c r="AF87" s="111" t="str">
        <f t="shared" si="8"/>
        <v/>
      </c>
      <c r="AG87" s="112" t="str">
        <f t="shared" si="1"/>
        <v/>
      </c>
      <c r="AH87" s="126" t="s">
        <v>307</v>
      </c>
      <c r="AI87" s="114" t="str">
        <f ca="1">IFERROR(VLOOKUP($AH87, '(勿動)Component Label公版'!$D$1:$E$1000, 2, FALSE), "-")</f>
        <v>-</v>
      </c>
      <c r="AJ87" s="115"/>
      <c r="AK87" s="112"/>
      <c r="AL87" s="112"/>
      <c r="AM87" s="116" t="str">
        <f t="shared" si="2"/>
        <v/>
      </c>
      <c r="AN87" s="117" t="str">
        <f t="shared" si="3"/>
        <v/>
      </c>
      <c r="AO87" s="143" t="s">
        <v>245</v>
      </c>
      <c r="AP87" s="424"/>
      <c r="AQ87" s="424"/>
      <c r="AR87" s="527"/>
      <c r="AS87" s="401"/>
      <c r="AT87" s="424"/>
      <c r="AU87" s="54" t="b">
        <v>0</v>
      </c>
      <c r="AV87" s="54" t="b">
        <v>0</v>
      </c>
      <c r="AW87" s="123"/>
      <c r="AX87" s="124"/>
      <c r="AY87" s="124"/>
      <c r="AZ87" s="124"/>
      <c r="BA87" s="125"/>
      <c r="BB87" s="68"/>
      <c r="BC87" s="62"/>
      <c r="BD87" s="129" t="str">
        <f t="shared" si="4"/>
        <v>_</v>
      </c>
      <c r="BE87" s="130" t="str">
        <f>IFERROR(VLOOKUP($BD87,'(勿動)組件目錄表'!$D$15:$R$1094,2,FALSE),"")</f>
        <v/>
      </c>
      <c r="BF87" s="131" t="str">
        <f>IFERROR(VLOOKUP($BD87, '(勿動)組件目錄表'!$D$15:$R$1094, 5, FALSE),"")</f>
        <v/>
      </c>
      <c r="BG87" s="118"/>
      <c r="BH87" s="120"/>
      <c r="BI87" s="118"/>
      <c r="BJ87" s="120"/>
    </row>
    <row r="88" spans="1:62" ht="15.75" customHeight="1">
      <c r="A88" s="18" t="str">
        <f t="array" aca="1" ref="A88" ca="1">IFERROR(TRANSPOSE(INDIRECT('「(動工中勿使用!!)新版+舊版_Teaser」的副本'!$BB88)),"")</f>
        <v/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86" t="b">
        <v>0</v>
      </c>
      <c r="AF88" s="111" t="str">
        <f t="shared" si="8"/>
        <v/>
      </c>
      <c r="AG88" s="112" t="str">
        <f t="shared" si="1"/>
        <v/>
      </c>
      <c r="AH88" s="126" t="s">
        <v>307</v>
      </c>
      <c r="AI88" s="114" t="str">
        <f ca="1">IFERROR(VLOOKUP($AH88, '(勿動)Component Label公版'!$D$1:$E$1000, 2, FALSE), "-")</f>
        <v>-</v>
      </c>
      <c r="AJ88" s="115"/>
      <c r="AK88" s="112"/>
      <c r="AL88" s="112"/>
      <c r="AM88" s="116" t="str">
        <f t="shared" si="2"/>
        <v/>
      </c>
      <c r="AN88" s="117" t="str">
        <f t="shared" si="3"/>
        <v/>
      </c>
      <c r="AO88" s="445" t="s">
        <v>311</v>
      </c>
      <c r="AP88" s="384"/>
      <c r="AQ88" s="384"/>
      <c r="AR88" s="384"/>
      <c r="AS88" s="384"/>
      <c r="AT88" s="385"/>
      <c r="AU88" s="54" t="b">
        <v>0</v>
      </c>
      <c r="AV88" s="54" t="b">
        <v>0</v>
      </c>
      <c r="AW88" s="123"/>
      <c r="AX88" s="124"/>
      <c r="AY88" s="124"/>
      <c r="AZ88" s="124"/>
      <c r="BA88" s="125"/>
      <c r="BB88" s="68"/>
      <c r="BC88" s="62"/>
      <c r="BD88" s="129" t="str">
        <f t="shared" si="4"/>
        <v>_</v>
      </c>
      <c r="BE88" s="130" t="str">
        <f>IFERROR(VLOOKUP($BD88,'(勿動)組件目錄表'!$D$15:$R$1094,2,FALSE),"")</f>
        <v/>
      </c>
      <c r="BF88" s="131" t="str">
        <f>IFERROR(VLOOKUP($BD88, '(勿動)組件目錄表'!$D$15:$R$1094, 5, FALSE),"")</f>
        <v/>
      </c>
      <c r="BG88" s="118"/>
      <c r="BH88" s="120"/>
      <c r="BI88" s="118"/>
      <c r="BJ88" s="120"/>
    </row>
    <row r="89" spans="1:62" ht="15.75" customHeight="1">
      <c r="A89" s="18" t="str">
        <f t="array" aca="1" ref="A89" ca="1">IFERROR(TRANSPOSE(INDIRECT('「(動工中勿使用!!)新版+舊版_Teaser」的副本'!$BB89)),"")</f>
        <v/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86" t="b">
        <v>0</v>
      </c>
      <c r="AF89" s="111" t="str">
        <f t="shared" si="8"/>
        <v/>
      </c>
      <c r="AG89" s="112" t="str">
        <f t="shared" si="1"/>
        <v/>
      </c>
      <c r="AH89" s="126" t="s">
        <v>307</v>
      </c>
      <c r="AI89" s="114" t="str">
        <f ca="1">IFERROR(VLOOKUP($AH89, '(勿動)Component Label公版'!$D$1:$E$1000, 2, FALSE), "-")</f>
        <v>-</v>
      </c>
      <c r="AJ89" s="115"/>
      <c r="AK89" s="112"/>
      <c r="AL89" s="112"/>
      <c r="AM89" s="116" t="str">
        <f t="shared" si="2"/>
        <v/>
      </c>
      <c r="AN89" s="117" t="str">
        <f t="shared" si="3"/>
        <v/>
      </c>
      <c r="AO89" s="142" t="s">
        <v>312</v>
      </c>
      <c r="AP89" s="456" t="s">
        <v>313</v>
      </c>
      <c r="AQ89" s="456" t="s">
        <v>243</v>
      </c>
      <c r="AR89" s="142" t="s">
        <v>312</v>
      </c>
      <c r="AS89" s="456" t="s">
        <v>313</v>
      </c>
      <c r="AT89" s="457" t="s">
        <v>243</v>
      </c>
      <c r="AU89" s="54" t="b">
        <v>0</v>
      </c>
      <c r="AV89" s="54" t="b">
        <v>0</v>
      </c>
      <c r="AW89" s="123"/>
      <c r="AX89" s="124"/>
      <c r="AY89" s="124"/>
      <c r="AZ89" s="124"/>
      <c r="BA89" s="125"/>
      <c r="BB89" s="68"/>
      <c r="BC89" s="62"/>
      <c r="BD89" s="129" t="str">
        <f t="shared" si="4"/>
        <v>_</v>
      </c>
      <c r="BE89" s="130" t="str">
        <f>IFERROR(VLOOKUP($BD89,'(勿動)組件目錄表'!$D$15:$R$1094,2,FALSE),"")</f>
        <v/>
      </c>
      <c r="BF89" s="131" t="str">
        <f>IFERROR(VLOOKUP($BD89, '(勿動)組件目錄表'!$D$15:$R$1094, 5, FALSE),"")</f>
        <v/>
      </c>
      <c r="BG89" s="118"/>
      <c r="BH89" s="120"/>
      <c r="BI89" s="118"/>
      <c r="BJ89" s="120"/>
    </row>
    <row r="90" spans="1:62" ht="33.75" customHeight="1">
      <c r="A90" s="18" t="str">
        <f t="array" aca="1" ref="A90" ca="1">IFERROR(TRANSPOSE(INDIRECT('「(動工中勿使用!!)新版+舊版_Teaser」的副本'!$BB90)),"")</f>
        <v/>
      </c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86" t="b">
        <v>0</v>
      </c>
      <c r="AF90" s="111" t="str">
        <f t="shared" si="8"/>
        <v/>
      </c>
      <c r="AG90" s="112" t="str">
        <f t="shared" si="1"/>
        <v/>
      </c>
      <c r="AH90" s="126" t="s">
        <v>307</v>
      </c>
      <c r="AI90" s="114" t="str">
        <f ca="1">IFERROR(VLOOKUP($AH90, '(勿動)Component Label公版'!$D$1:$E$1000, 2, FALSE), "-")</f>
        <v>-</v>
      </c>
      <c r="AJ90" s="115"/>
      <c r="AK90" s="112"/>
      <c r="AL90" s="112"/>
      <c r="AM90" s="116" t="str">
        <f t="shared" si="2"/>
        <v/>
      </c>
      <c r="AN90" s="117" t="str">
        <f t="shared" si="3"/>
        <v/>
      </c>
      <c r="AO90" s="143" t="s">
        <v>245</v>
      </c>
      <c r="AP90" s="424"/>
      <c r="AQ90" s="424"/>
      <c r="AR90" s="144" t="s">
        <v>245</v>
      </c>
      <c r="AS90" s="424"/>
      <c r="AT90" s="401"/>
      <c r="AU90" s="54" t="b">
        <v>0</v>
      </c>
      <c r="AV90" s="54" t="b">
        <v>0</v>
      </c>
      <c r="AW90" s="123"/>
      <c r="AX90" s="124"/>
      <c r="AY90" s="124"/>
      <c r="AZ90" s="124"/>
      <c r="BA90" s="125"/>
      <c r="BB90" s="68"/>
      <c r="BC90" s="62"/>
      <c r="BD90" s="129" t="str">
        <f t="shared" si="4"/>
        <v>_</v>
      </c>
      <c r="BE90" s="130" t="str">
        <f>IFERROR(VLOOKUP($BD90,'(勿動)組件目錄表'!$D$15:$R$1094,2,FALSE),"")</f>
        <v/>
      </c>
      <c r="BF90" s="131" t="str">
        <f>IFERROR(VLOOKUP($BD90, '(勿動)組件目錄表'!$D$15:$R$1094, 5, FALSE),"")</f>
        <v/>
      </c>
      <c r="BG90" s="118"/>
      <c r="BH90" s="120"/>
      <c r="BI90" s="118"/>
      <c r="BJ90" s="120"/>
    </row>
    <row r="91" spans="1:62" ht="15.75" customHeight="1">
      <c r="A91" s="18" t="str">
        <f t="array" aca="1" ref="A91" ca="1">IFERROR(TRANSPOSE(INDIRECT('「(動工中勿使用!!)新版+舊版_Teaser」的副本'!$BB91)),"")</f>
        <v/>
      </c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86" t="b">
        <v>0</v>
      </c>
      <c r="AF91" s="111" t="str">
        <f t="shared" si="8"/>
        <v/>
      </c>
      <c r="AG91" s="112" t="str">
        <f t="shared" si="1"/>
        <v/>
      </c>
      <c r="AH91" s="126" t="s">
        <v>307</v>
      </c>
      <c r="AI91" s="114" t="str">
        <f ca="1">IFERROR(VLOOKUP($AH91, '(勿動)Component Label公版'!$D$1:$E$1000, 2, FALSE), "-")</f>
        <v>-</v>
      </c>
      <c r="AJ91" s="115"/>
      <c r="AK91" s="112"/>
      <c r="AL91" s="112"/>
      <c r="AM91" s="116" t="str">
        <f t="shared" si="2"/>
        <v/>
      </c>
      <c r="AN91" s="117" t="str">
        <f t="shared" si="3"/>
        <v/>
      </c>
      <c r="AO91" s="142" t="s">
        <v>312</v>
      </c>
      <c r="AP91" s="456" t="s">
        <v>313</v>
      </c>
      <c r="AQ91" s="456" t="s">
        <v>243</v>
      </c>
      <c r="AR91" s="142" t="s">
        <v>312</v>
      </c>
      <c r="AS91" s="456" t="s">
        <v>313</v>
      </c>
      <c r="AT91" s="457" t="s">
        <v>243</v>
      </c>
      <c r="AU91" s="54" t="b">
        <v>0</v>
      </c>
      <c r="AV91" s="54" t="b">
        <v>0</v>
      </c>
      <c r="AW91" s="123"/>
      <c r="AX91" s="124"/>
      <c r="AY91" s="124"/>
      <c r="AZ91" s="124"/>
      <c r="BA91" s="125"/>
      <c r="BB91" s="68"/>
      <c r="BC91" s="62"/>
      <c r="BD91" s="129" t="str">
        <f t="shared" si="4"/>
        <v>_</v>
      </c>
      <c r="BE91" s="130" t="str">
        <f>IFERROR(VLOOKUP($BD91,'(勿動)組件目錄表'!$D$15:$R$1094,2,FALSE),"")</f>
        <v/>
      </c>
      <c r="BF91" s="131" t="str">
        <f>IFERROR(VLOOKUP($BD91, '(勿動)組件目錄表'!$D$15:$R$1094, 5, FALSE),"")</f>
        <v/>
      </c>
      <c r="BG91" s="118"/>
      <c r="BH91" s="120"/>
      <c r="BI91" s="118"/>
      <c r="BJ91" s="120"/>
    </row>
    <row r="92" spans="1:62" ht="33.75" customHeight="1">
      <c r="A92" s="18" t="str">
        <f t="array" aca="1" ref="A92" ca="1">IFERROR(TRANSPOSE(INDIRECT('「(動工中勿使用!!)新版+舊版_Teaser」的副本'!$BB92)),"")</f>
        <v/>
      </c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86" t="b">
        <v>0</v>
      </c>
      <c r="AF92" s="111" t="str">
        <f t="shared" si="8"/>
        <v/>
      </c>
      <c r="AG92" s="112" t="str">
        <f t="shared" si="1"/>
        <v/>
      </c>
      <c r="AH92" s="126" t="s">
        <v>307</v>
      </c>
      <c r="AI92" s="114" t="str">
        <f ca="1">IFERROR(VLOOKUP($AH92, '(勿動)Component Label公版'!$D$1:$E$1000, 2, FALSE), "-")</f>
        <v>-</v>
      </c>
      <c r="AJ92" s="115"/>
      <c r="AK92" s="112"/>
      <c r="AL92" s="112"/>
      <c r="AM92" s="116" t="str">
        <f t="shared" si="2"/>
        <v/>
      </c>
      <c r="AN92" s="117" t="str">
        <f t="shared" si="3"/>
        <v/>
      </c>
      <c r="AO92" s="143" t="s">
        <v>245</v>
      </c>
      <c r="AP92" s="424"/>
      <c r="AQ92" s="424"/>
      <c r="AR92" s="144" t="s">
        <v>245</v>
      </c>
      <c r="AS92" s="424"/>
      <c r="AT92" s="401"/>
      <c r="AU92" s="54" t="b">
        <v>0</v>
      </c>
      <c r="AV92" s="54" t="b">
        <v>0</v>
      </c>
      <c r="AW92" s="123"/>
      <c r="AX92" s="124"/>
      <c r="AY92" s="124"/>
      <c r="AZ92" s="124"/>
      <c r="BA92" s="125"/>
      <c r="BB92" s="68"/>
      <c r="BC92" s="62"/>
      <c r="BD92" s="129" t="str">
        <f t="shared" si="4"/>
        <v>_</v>
      </c>
      <c r="BE92" s="130" t="str">
        <f>IFERROR(VLOOKUP($BD92,'(勿動)組件目錄表'!$D$15:$R$1094,2,FALSE),"")</f>
        <v/>
      </c>
      <c r="BF92" s="131" t="str">
        <f>IFERROR(VLOOKUP($BD92, '(勿動)組件目錄表'!$D$15:$R$1094, 5, FALSE),"")</f>
        <v/>
      </c>
      <c r="BG92" s="118"/>
      <c r="BH92" s="120"/>
      <c r="BI92" s="118"/>
      <c r="BJ92" s="120"/>
    </row>
    <row r="93" spans="1:62" ht="15.75" customHeight="1">
      <c r="A93" s="18" t="str">
        <f t="array" aca="1" ref="A93" ca="1">IFERROR(TRANSPOSE(INDIRECT('「(動工中勿使用!!)新版+舊版_Teaser」的副本'!$BB93)),"")</f>
        <v/>
      </c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86" t="b">
        <v>0</v>
      </c>
      <c r="AF93" s="111" t="str">
        <f t="shared" si="8"/>
        <v/>
      </c>
      <c r="AG93" s="112" t="str">
        <f t="shared" si="1"/>
        <v/>
      </c>
      <c r="AH93" s="126" t="s">
        <v>307</v>
      </c>
      <c r="AI93" s="114" t="str">
        <f ca="1">IFERROR(VLOOKUP($AH93, '(勿動)Component Label公版'!$D$1:$E$1000, 2, FALSE), "-")</f>
        <v>-</v>
      </c>
      <c r="AJ93" s="115"/>
      <c r="AK93" s="112"/>
      <c r="AL93" s="112"/>
      <c r="AM93" s="116" t="str">
        <f t="shared" si="2"/>
        <v/>
      </c>
      <c r="AN93" s="117" t="str">
        <f t="shared" si="3"/>
        <v/>
      </c>
      <c r="AO93" s="142" t="s">
        <v>312</v>
      </c>
      <c r="AP93" s="456" t="s">
        <v>313</v>
      </c>
      <c r="AQ93" s="456" t="s">
        <v>243</v>
      </c>
      <c r="AR93" s="525"/>
      <c r="AS93" s="419"/>
      <c r="AT93" s="526"/>
      <c r="AU93" s="54" t="b">
        <v>0</v>
      </c>
      <c r="AV93" s="54" t="b">
        <v>0</v>
      </c>
      <c r="AW93" s="123"/>
      <c r="AX93" s="124"/>
      <c r="AY93" s="124"/>
      <c r="AZ93" s="124"/>
      <c r="BA93" s="125"/>
      <c r="BB93" s="68"/>
      <c r="BC93" s="62"/>
      <c r="BD93" s="129" t="str">
        <f t="shared" si="4"/>
        <v>_</v>
      </c>
      <c r="BE93" s="130" t="str">
        <f>IFERROR(VLOOKUP($BD93,'(勿動)組件目錄表'!$D$15:$R$1094,2,FALSE),"")</f>
        <v/>
      </c>
      <c r="BF93" s="131" t="str">
        <f>IFERROR(VLOOKUP($BD93, '(勿動)組件目錄表'!$D$15:$R$1094, 5, FALSE),"")</f>
        <v/>
      </c>
      <c r="BG93" s="118"/>
      <c r="BH93" s="120"/>
      <c r="BI93" s="118"/>
      <c r="BJ93" s="120"/>
    </row>
    <row r="94" spans="1:62" ht="33.75" customHeight="1">
      <c r="A94" s="18" t="str">
        <f t="array" aca="1" ref="A94" ca="1">IFERROR(TRANSPOSE(INDIRECT('「(動工中勿使用!!)新版+舊版_Teaser」的副本'!$BB94)),"")</f>
        <v/>
      </c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86" t="b">
        <v>0</v>
      </c>
      <c r="AF94" s="111" t="str">
        <f t="shared" si="8"/>
        <v/>
      </c>
      <c r="AG94" s="112" t="str">
        <f t="shared" si="1"/>
        <v/>
      </c>
      <c r="AH94" s="126" t="s">
        <v>307</v>
      </c>
      <c r="AI94" s="114" t="str">
        <f ca="1">IFERROR(VLOOKUP($AH94, '(勿動)Component Label公版'!$D$1:$E$1000, 2, FALSE), "-")</f>
        <v>-</v>
      </c>
      <c r="AJ94" s="115"/>
      <c r="AK94" s="112"/>
      <c r="AL94" s="112"/>
      <c r="AM94" s="116" t="str">
        <f t="shared" si="2"/>
        <v/>
      </c>
      <c r="AN94" s="117" t="str">
        <f t="shared" si="3"/>
        <v/>
      </c>
      <c r="AO94" s="143" t="s">
        <v>245</v>
      </c>
      <c r="AP94" s="424"/>
      <c r="AQ94" s="424"/>
      <c r="AR94" s="527"/>
      <c r="AS94" s="401"/>
      <c r="AT94" s="424"/>
      <c r="AU94" s="54" t="b">
        <v>0</v>
      </c>
      <c r="AV94" s="54" t="b">
        <v>0</v>
      </c>
      <c r="AW94" s="123"/>
      <c r="AX94" s="124"/>
      <c r="AY94" s="124"/>
      <c r="AZ94" s="124"/>
      <c r="BA94" s="125"/>
      <c r="BB94" s="68"/>
      <c r="BC94" s="62"/>
      <c r="BD94" s="129" t="str">
        <f t="shared" si="4"/>
        <v>_</v>
      </c>
      <c r="BE94" s="130" t="str">
        <f>IFERROR(VLOOKUP($BD94,'(勿動)組件目錄表'!$D$15:$R$1094,2,FALSE),"")</f>
        <v/>
      </c>
      <c r="BF94" s="131" t="str">
        <f>IFERROR(VLOOKUP($BD94, '(勿動)組件目錄表'!$D$15:$R$1094, 5, FALSE),"")</f>
        <v/>
      </c>
      <c r="BG94" s="118"/>
      <c r="BH94" s="120"/>
      <c r="BI94" s="118"/>
      <c r="BJ94" s="120"/>
    </row>
    <row r="95" spans="1:62" ht="56.25" customHeight="1">
      <c r="A95" s="18" t="str">
        <f t="array" aca="1" ref="A95" ca="1">IFERROR(TRANSPOSE(INDIRECT('「(動工中勿使用!!)新版+舊版_Teaser」的副本'!$BB95)),"")</f>
        <v/>
      </c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86" t="b">
        <v>0</v>
      </c>
      <c r="AF95" s="111" t="str">
        <f t="shared" si="8"/>
        <v/>
      </c>
      <c r="AG95" s="112" t="str">
        <f t="shared" si="1"/>
        <v/>
      </c>
      <c r="AH95" s="126" t="s">
        <v>307</v>
      </c>
      <c r="AI95" s="114" t="str">
        <f ca="1">IFERROR(VLOOKUP($AH95, '(勿動)Component Label公版'!$D$1:$E$1000, 2, FALSE), "-")</f>
        <v>-</v>
      </c>
      <c r="AJ95" s="115"/>
      <c r="AK95" s="112"/>
      <c r="AL95" s="112"/>
      <c r="AM95" s="116" t="str">
        <f t="shared" si="2"/>
        <v/>
      </c>
      <c r="AN95" s="117" t="str">
        <f t="shared" si="3"/>
        <v/>
      </c>
      <c r="AO95" s="474" t="s">
        <v>315</v>
      </c>
      <c r="AP95" s="384"/>
      <c r="AQ95" s="384"/>
      <c r="AR95" s="385"/>
      <c r="AS95" s="475" t="s">
        <v>310</v>
      </c>
      <c r="AT95" s="385"/>
      <c r="AU95" s="54" t="b">
        <v>1</v>
      </c>
      <c r="AV95" s="54" t="b">
        <v>0</v>
      </c>
      <c r="AW95" s="123"/>
      <c r="AX95" s="124"/>
      <c r="AY95" s="124"/>
      <c r="AZ95" s="124"/>
      <c r="BA95" s="125"/>
      <c r="BB95" s="68"/>
      <c r="BC95" s="62"/>
      <c r="BD95" s="129" t="str">
        <f t="shared" si="4"/>
        <v>_</v>
      </c>
      <c r="BE95" s="130" t="str">
        <f>IFERROR(VLOOKUP($BD95,'(勿動)組件目錄表'!$D$15:$R$1094,2,FALSE),"")</f>
        <v/>
      </c>
      <c r="BF95" s="131" t="str">
        <f>IFERROR(VLOOKUP($BD95, '(勿動)組件目錄表'!$D$15:$R$1094, 5, FALSE),"")</f>
        <v/>
      </c>
      <c r="BG95" s="118"/>
      <c r="BH95" s="120"/>
      <c r="BI95" s="118"/>
      <c r="BJ95" s="120"/>
    </row>
    <row r="96" spans="1:62" ht="15.75" customHeight="1">
      <c r="A96" s="18" t="str">
        <f t="array" aca="1" ref="A96" ca="1">IFERROR(TRANSPOSE(INDIRECT('「(動工中勿使用!!)新版+舊版_Teaser」的副本'!$BB96)),"")</f>
        <v/>
      </c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86" t="b">
        <v>0</v>
      </c>
      <c r="AF96" s="111" t="str">
        <f t="shared" si="8"/>
        <v/>
      </c>
      <c r="AG96" s="112" t="str">
        <f t="shared" si="1"/>
        <v/>
      </c>
      <c r="AH96" s="126" t="s">
        <v>307</v>
      </c>
      <c r="AI96" s="114" t="str">
        <f ca="1">IFERROR(VLOOKUP($AH96, '(勿動)Component Label公版'!$D$1:$E$1000, 2, FALSE), "-")</f>
        <v>-</v>
      </c>
      <c r="AJ96" s="115"/>
      <c r="AK96" s="112"/>
      <c r="AL96" s="112"/>
      <c r="AM96" s="116" t="str">
        <f t="shared" si="2"/>
        <v/>
      </c>
      <c r="AN96" s="117" t="str">
        <f t="shared" si="3"/>
        <v/>
      </c>
      <c r="AO96" s="445" t="s">
        <v>316</v>
      </c>
      <c r="AP96" s="384"/>
      <c r="AQ96" s="384"/>
      <c r="AR96" s="384"/>
      <c r="AS96" s="384"/>
      <c r="AT96" s="385"/>
      <c r="AU96" s="54" t="b">
        <v>0</v>
      </c>
      <c r="AV96" s="54" t="b">
        <v>0</v>
      </c>
      <c r="AW96" s="452"/>
      <c r="AX96" s="503"/>
      <c r="AY96" s="453"/>
      <c r="AZ96" s="124"/>
      <c r="BA96" s="125"/>
      <c r="BB96" s="68"/>
      <c r="BC96" s="62"/>
      <c r="BD96" s="129" t="str">
        <f t="shared" si="4"/>
        <v>_</v>
      </c>
      <c r="BE96" s="130" t="str">
        <f>IFERROR(VLOOKUP($BD96,'(勿動)組件目錄表'!$D$15:$R$1094,2,FALSE),"")</f>
        <v/>
      </c>
      <c r="BF96" s="131" t="str">
        <f>IFERROR(VLOOKUP($BD96, '(勿動)組件目錄表'!$D$15:$R$1094, 5, FALSE),"")</f>
        <v/>
      </c>
      <c r="BG96" s="118"/>
      <c r="BH96" s="120"/>
      <c r="BI96" s="118"/>
      <c r="BJ96" s="120"/>
    </row>
    <row r="97" spans="1:62" ht="15.75" customHeight="1">
      <c r="A97" s="18" t="str">
        <f t="array" aca="1" ref="A97" ca="1">IFERROR(TRANSPOSE(INDIRECT('「(動工中勿使用!!)新版+舊版_Teaser」的副本'!$BB97)),"")</f>
        <v/>
      </c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86" t="b">
        <v>0</v>
      </c>
      <c r="AF97" s="111" t="str">
        <f t="shared" si="8"/>
        <v/>
      </c>
      <c r="AG97" s="112" t="str">
        <f t="shared" si="1"/>
        <v/>
      </c>
      <c r="AH97" s="126" t="s">
        <v>307</v>
      </c>
      <c r="AI97" s="114" t="str">
        <f ca="1">IFERROR(VLOOKUP($AH97, '(勿動)Component Label公版'!$D$1:$E$1000, 2, FALSE), "-")</f>
        <v>-</v>
      </c>
      <c r="AJ97" s="115"/>
      <c r="AK97" s="112"/>
      <c r="AL97" s="112"/>
      <c r="AM97" s="116" t="str">
        <f t="shared" si="2"/>
        <v/>
      </c>
      <c r="AN97" s="117" t="str">
        <f t="shared" si="3"/>
        <v/>
      </c>
      <c r="AO97" s="445" t="s">
        <v>317</v>
      </c>
      <c r="AP97" s="384"/>
      <c r="AQ97" s="384"/>
      <c r="AR97" s="384"/>
      <c r="AS97" s="384"/>
      <c r="AT97" s="385"/>
      <c r="AU97" s="54" t="b">
        <v>0</v>
      </c>
      <c r="AV97" s="54" t="b">
        <v>0</v>
      </c>
      <c r="AW97" s="123"/>
      <c r="AX97" s="124"/>
      <c r="AY97" s="124"/>
      <c r="AZ97" s="124"/>
      <c r="BA97" s="125"/>
      <c r="BB97" s="68"/>
      <c r="BC97" s="62"/>
      <c r="BD97" s="129" t="str">
        <f t="shared" si="4"/>
        <v>_</v>
      </c>
      <c r="BE97" s="130" t="str">
        <f>IFERROR(VLOOKUP($BD97,'(勿動)組件目錄表'!$D$15:$R$1094,2,FALSE),"")</f>
        <v/>
      </c>
      <c r="BF97" s="131" t="str">
        <f>IFERROR(VLOOKUP($BD97, '(勿動)組件目錄表'!$D$15:$R$1094, 5, FALSE),"")</f>
        <v/>
      </c>
      <c r="BG97" s="118"/>
      <c r="BH97" s="120"/>
      <c r="BI97" s="118"/>
      <c r="BJ97" s="120"/>
    </row>
    <row r="98" spans="1:62" ht="15.75" customHeight="1">
      <c r="A98" s="18" t="str">
        <f t="array" aca="1" ref="A98" ca="1">IFERROR(TRANSPOSE(INDIRECT('「(動工中勿使用!!)新版+舊版_Teaser」的副本'!$BB98)),"")</f>
        <v/>
      </c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86" t="b">
        <v>0</v>
      </c>
      <c r="AF98" s="111" t="str">
        <f t="shared" si="8"/>
        <v/>
      </c>
      <c r="AG98" s="112" t="str">
        <f t="shared" si="1"/>
        <v/>
      </c>
      <c r="AH98" s="126" t="s">
        <v>307</v>
      </c>
      <c r="AI98" s="114" t="str">
        <f ca="1">IFERROR(VLOOKUP($AH98, '(勿動)Component Label公版'!$D$1:$E$1000, 2, FALSE), "-")</f>
        <v>-</v>
      </c>
      <c r="AJ98" s="115"/>
      <c r="AK98" s="112"/>
      <c r="AL98" s="112"/>
      <c r="AM98" s="116" t="str">
        <f t="shared" si="2"/>
        <v/>
      </c>
      <c r="AN98" s="117" t="str">
        <f t="shared" si="3"/>
        <v/>
      </c>
      <c r="AO98" s="446" t="s">
        <v>318</v>
      </c>
      <c r="AP98" s="447"/>
      <c r="AQ98" s="448"/>
      <c r="AR98" s="446" t="s">
        <v>319</v>
      </c>
      <c r="AS98" s="447"/>
      <c r="AT98" s="448"/>
      <c r="AU98" s="54" t="b">
        <v>0</v>
      </c>
      <c r="AV98" s="54" t="b">
        <v>0</v>
      </c>
      <c r="AW98" s="123"/>
      <c r="AX98" s="124"/>
      <c r="AY98" s="124"/>
      <c r="AZ98" s="124"/>
      <c r="BA98" s="125"/>
      <c r="BB98" s="68"/>
      <c r="BC98" s="62"/>
      <c r="BD98" s="129" t="str">
        <f t="shared" si="4"/>
        <v>_</v>
      </c>
      <c r="BE98" s="130" t="str">
        <f>IFERROR(VLOOKUP($BD98,'(勿動)組件目錄表'!$D$15:$R$1094,2,FALSE),"")</f>
        <v/>
      </c>
      <c r="BF98" s="131" t="str">
        <f>IFERROR(VLOOKUP($BD98, '(勿動)組件目錄表'!$D$15:$R$1094, 5, FALSE),"")</f>
        <v/>
      </c>
      <c r="BG98" s="118"/>
      <c r="BH98" s="120"/>
      <c r="BI98" s="118"/>
      <c r="BJ98" s="120"/>
    </row>
    <row r="99" spans="1:62" ht="15.75" customHeight="1">
      <c r="A99" s="18" t="str">
        <f t="array" aca="1" ref="A99" ca="1">IFERROR(TRANSPOSE(INDIRECT('「(動工中勿使用!!)新版+舊版_Teaser」的副本'!$BB99)),"")</f>
        <v/>
      </c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86" t="b">
        <v>0</v>
      </c>
      <c r="AF99" s="111" t="str">
        <f t="shared" si="8"/>
        <v/>
      </c>
      <c r="AG99" s="112" t="str">
        <f t="shared" si="1"/>
        <v/>
      </c>
      <c r="AH99" s="126" t="s">
        <v>307</v>
      </c>
      <c r="AI99" s="114" t="str">
        <f ca="1">IFERROR(VLOOKUP($AH99, '(勿動)Component Label公版'!$D$1:$E$1000, 2, FALSE), "-")</f>
        <v>-</v>
      </c>
      <c r="AJ99" s="115"/>
      <c r="AK99" s="112"/>
      <c r="AL99" s="112"/>
      <c r="AM99" s="116" t="str">
        <f t="shared" si="2"/>
        <v/>
      </c>
      <c r="AN99" s="117" t="str">
        <f t="shared" si="3"/>
        <v/>
      </c>
      <c r="AO99" s="449" t="s">
        <v>188</v>
      </c>
      <c r="AP99" s="384"/>
      <c r="AQ99" s="384"/>
      <c r="AR99" s="384"/>
      <c r="AS99" s="384"/>
      <c r="AT99" s="385"/>
      <c r="AU99" s="54" t="b">
        <v>0</v>
      </c>
      <c r="AV99" s="54" t="b">
        <v>0</v>
      </c>
      <c r="BB99" s="68"/>
      <c r="BC99" s="62"/>
      <c r="BD99" s="129" t="str">
        <f t="shared" si="4"/>
        <v>_</v>
      </c>
      <c r="BE99" s="130" t="str">
        <f>IFERROR(VLOOKUP($BD99,'(勿動)組件目錄表'!$D$15:$R$1094,2,FALSE),"")</f>
        <v/>
      </c>
      <c r="BF99" s="131" t="str">
        <f>IFERROR(VLOOKUP($BD99, '(勿動)組件目錄表'!$D$15:$R$1094, 5, FALSE),"")</f>
        <v/>
      </c>
      <c r="BG99" s="118"/>
      <c r="BH99" s="120"/>
      <c r="BI99" s="118"/>
      <c r="BJ99" s="120"/>
    </row>
    <row r="100" spans="1:62" ht="33.75" customHeight="1">
      <c r="A100" s="18" t="str">
        <f t="array" aca="1" ref="A100" ca="1">IFERROR(TRANSPOSE(INDIRECT('「(動工中勿使用!!)新版+舊版_Teaser」的副本'!$BB100)),"")</f>
        <v/>
      </c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86" t="b">
        <v>0</v>
      </c>
      <c r="AF100" s="111" t="str">
        <f t="shared" si="8"/>
        <v/>
      </c>
      <c r="AG100" s="112" t="str">
        <f t="shared" si="1"/>
        <v/>
      </c>
      <c r="AH100" s="126"/>
      <c r="AI100" s="114" t="str">
        <f ca="1">IFERROR(VLOOKUP($AH100, '(勿動)Component Label公版'!$D$1:$E$1000, 2, FALSE), "-")</f>
        <v>-</v>
      </c>
      <c r="AJ100" s="115"/>
      <c r="AK100" s="112"/>
      <c r="AL100" s="112"/>
      <c r="AM100" s="116" t="str">
        <f t="shared" si="2"/>
        <v/>
      </c>
      <c r="AN100" s="117" t="str">
        <f t="shared" si="3"/>
        <v/>
      </c>
      <c r="AO100" s="450" t="s">
        <v>320</v>
      </c>
      <c r="AP100" s="384"/>
      <c r="AQ100" s="384"/>
      <c r="AR100" s="384"/>
      <c r="AS100" s="384"/>
      <c r="AT100" s="385"/>
      <c r="AU100" s="54" t="b">
        <v>0</v>
      </c>
      <c r="AV100" s="54" t="b">
        <v>0</v>
      </c>
      <c r="AW100" s="524"/>
      <c r="AX100" s="453"/>
      <c r="AY100" s="124"/>
      <c r="AZ100" s="124"/>
      <c r="BA100" s="125"/>
      <c r="BB100" s="68"/>
      <c r="BC100" s="62"/>
      <c r="BD100" s="129" t="str">
        <f t="shared" si="4"/>
        <v>_</v>
      </c>
      <c r="BE100" s="130" t="str">
        <f>IFERROR(VLOOKUP($BD100,'(勿動)組件目錄表'!$D$15:$R$1094,2,FALSE),"")</f>
        <v/>
      </c>
      <c r="BF100" s="131" t="str">
        <f>IFERROR(VLOOKUP($BD100, '(勿動)組件目錄表'!$D$15:$R$1094, 5, FALSE),"")</f>
        <v/>
      </c>
      <c r="BG100" s="118"/>
      <c r="BH100" s="120"/>
      <c r="BI100" s="118"/>
      <c r="BJ100" s="120"/>
    </row>
    <row r="101" spans="1:62" ht="15.75" customHeight="1">
      <c r="A101" s="18" t="str">
        <f t="array" aca="1" ref="A101" ca="1">IFERROR(TRANSPOSE(INDIRECT('「(動工中勿使用!!)新版+舊版_Teaser」的副本'!$BB101)),"")</f>
        <v/>
      </c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86" t="b">
        <v>0</v>
      </c>
      <c r="AF101" s="111" t="str">
        <f t="shared" si="8"/>
        <v/>
      </c>
      <c r="AG101" s="112" t="str">
        <f t="shared" si="1"/>
        <v/>
      </c>
      <c r="AH101" s="126"/>
      <c r="AI101" s="114" t="str">
        <f ca="1">IFERROR(VLOOKUP($AH101, '(勿動)Component Label公版'!$D$1:$E$1000, 2, FALSE), "-")</f>
        <v>-</v>
      </c>
      <c r="AJ101" s="115"/>
      <c r="AK101" s="112"/>
      <c r="AL101" s="112"/>
      <c r="AM101" s="116" t="str">
        <f t="shared" si="2"/>
        <v/>
      </c>
      <c r="AN101" s="117" t="str">
        <f t="shared" si="3"/>
        <v/>
      </c>
      <c r="AO101" s="451" t="s">
        <v>321</v>
      </c>
      <c r="AP101" s="384"/>
      <c r="AQ101" s="384"/>
      <c r="AR101" s="384"/>
      <c r="AS101" s="384"/>
      <c r="AT101" s="385"/>
      <c r="AU101" s="54" t="b">
        <v>0</v>
      </c>
      <c r="AV101" s="54" t="b">
        <v>0</v>
      </c>
      <c r="AW101" s="123"/>
      <c r="AX101" s="124"/>
      <c r="AY101" s="124"/>
      <c r="AZ101" s="124"/>
      <c r="BA101" s="125"/>
      <c r="BB101" s="68"/>
      <c r="BC101" s="62"/>
      <c r="BD101" s="129" t="str">
        <f t="shared" si="4"/>
        <v>_</v>
      </c>
      <c r="BE101" s="130" t="str">
        <f>IFERROR(VLOOKUP($BD101,'(勿動)組件目錄表'!$D$15:$R$1094,2,FALSE),"")</f>
        <v/>
      </c>
      <c r="BF101" s="131" t="str">
        <f>IFERROR(VLOOKUP($BD101, '(勿動)組件目錄表'!$D$15:$R$1094, 5, FALSE),"")</f>
        <v/>
      </c>
      <c r="BG101" s="118"/>
      <c r="BH101" s="120"/>
      <c r="BI101" s="118"/>
      <c r="BJ101" s="120"/>
    </row>
    <row r="102" spans="1:62" ht="15.75" customHeight="1">
      <c r="A102" s="18" t="str">
        <f t="array" aca="1" ref="A102" ca="1">IFERROR(TRANSPOSE(INDIRECT('「(動工中勿使用!!)新版+舊版_Teaser」的副本'!$BB102)),"")</f>
        <v/>
      </c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86" t="b">
        <v>0</v>
      </c>
      <c r="AF102" s="111" t="str">
        <f t="shared" si="8"/>
        <v/>
      </c>
      <c r="AG102" s="112" t="str">
        <f t="shared" si="1"/>
        <v/>
      </c>
      <c r="AH102" s="126"/>
      <c r="AI102" s="114" t="str">
        <f ca="1">IFERROR(VLOOKUP($AH102, '(勿動)Component Label公版'!$D$1:$E$1000, 2, FALSE), "-")</f>
        <v>-</v>
      </c>
      <c r="AJ102" s="115"/>
      <c r="AK102" s="112"/>
      <c r="AL102" s="112"/>
      <c r="AM102" s="116" t="str">
        <f t="shared" si="2"/>
        <v/>
      </c>
      <c r="AN102" s="117" t="str">
        <f t="shared" si="3"/>
        <v/>
      </c>
      <c r="AO102" s="451" t="s">
        <v>322</v>
      </c>
      <c r="AP102" s="384"/>
      <c r="AQ102" s="384"/>
      <c r="AR102" s="384"/>
      <c r="AS102" s="384"/>
      <c r="AT102" s="385"/>
      <c r="AU102" s="54" t="b">
        <v>0</v>
      </c>
      <c r="AV102" s="54" t="b">
        <v>0</v>
      </c>
      <c r="AW102" s="123"/>
      <c r="AX102" s="124"/>
      <c r="AY102" s="124"/>
      <c r="AZ102" s="124"/>
      <c r="BA102" s="125"/>
      <c r="BB102" s="68"/>
      <c r="BC102" s="62"/>
      <c r="BD102" s="129" t="str">
        <f t="shared" si="4"/>
        <v>_</v>
      </c>
      <c r="BE102" s="130" t="str">
        <f>IFERROR(VLOOKUP($BD102,'(勿動)組件目錄表'!$D$15:$R$1094,2,FALSE),"")</f>
        <v/>
      </c>
      <c r="BF102" s="131" t="str">
        <f>IFERROR(VLOOKUP($BD102, '(勿動)組件目錄表'!$D$15:$R$1094, 5, FALSE),"")</f>
        <v/>
      </c>
      <c r="BG102" s="118"/>
      <c r="BH102" s="120"/>
      <c r="BI102" s="118"/>
      <c r="BJ102" s="120"/>
    </row>
    <row r="103" spans="1:62" ht="15.75" customHeight="1">
      <c r="A103" s="18" t="str">
        <f t="array" aca="1" ref="A103" ca="1">IFERROR(TRANSPOSE(INDIRECT('「(動工中勿使用!!)新版+舊版_Teaser」的副本'!$BB103)),"")</f>
        <v/>
      </c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86" t="b">
        <v>0</v>
      </c>
      <c r="AF103" s="111" t="str">
        <f t="shared" si="8"/>
        <v/>
      </c>
      <c r="AG103" s="112" t="str">
        <f t="shared" si="1"/>
        <v/>
      </c>
      <c r="AH103" s="126"/>
      <c r="AI103" s="114" t="str">
        <f ca="1">IFERROR(VLOOKUP($AH103, '(勿動)Component Label公版'!$D$1:$E$1000, 2, FALSE), "-")</f>
        <v>-</v>
      </c>
      <c r="AJ103" s="115"/>
      <c r="AK103" s="112"/>
      <c r="AL103" s="112"/>
      <c r="AM103" s="116" t="str">
        <f t="shared" si="2"/>
        <v/>
      </c>
      <c r="AN103" s="117" t="str">
        <f t="shared" si="3"/>
        <v/>
      </c>
      <c r="AO103" s="449" t="s">
        <v>188</v>
      </c>
      <c r="AP103" s="384"/>
      <c r="AQ103" s="384"/>
      <c r="AR103" s="384"/>
      <c r="AS103" s="384"/>
      <c r="AT103" s="385"/>
      <c r="AU103" s="54" t="b">
        <v>0</v>
      </c>
      <c r="AV103" s="54" t="b">
        <v>0</v>
      </c>
      <c r="BB103" s="68"/>
      <c r="BC103" s="62"/>
      <c r="BD103" s="129" t="str">
        <f t="shared" si="4"/>
        <v>_</v>
      </c>
      <c r="BE103" s="130" t="str">
        <f>IFERROR(VLOOKUP($BD103,'(勿動)組件目錄表'!$D$15:$R$1094,2,FALSE),"")</f>
        <v/>
      </c>
      <c r="BF103" s="131" t="str">
        <f>IFERROR(VLOOKUP($BD103, '(勿動)組件目錄表'!$D$15:$R$1094, 5, FALSE),"")</f>
        <v/>
      </c>
      <c r="BG103" s="118"/>
      <c r="BH103" s="120"/>
      <c r="BI103" s="118"/>
      <c r="BJ103" s="120"/>
    </row>
    <row r="104" spans="1:62" ht="33.75" customHeight="1">
      <c r="A104" s="18" t="str">
        <f t="array" aca="1" ref="A104" ca="1">IFERROR(TRANSPOSE(INDIRECT('「(動工中勿使用!!)新版+舊版_Teaser」的副本'!$BB104)),"")</f>
        <v/>
      </c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86" t="b">
        <v>0</v>
      </c>
      <c r="AF104" s="111" t="str">
        <f t="shared" si="8"/>
        <v/>
      </c>
      <c r="AG104" s="112" t="str">
        <f t="shared" si="1"/>
        <v/>
      </c>
      <c r="AH104" s="126"/>
      <c r="AI104" s="114" t="str">
        <f ca="1">IFERROR(VLOOKUP($AH104, '(勿動)Component Label公版'!$D$1:$E$1000, 2, FALSE), "-")</f>
        <v>-</v>
      </c>
      <c r="AJ104" s="115"/>
      <c r="AK104" s="112"/>
      <c r="AL104" s="112"/>
      <c r="AM104" s="116" t="str">
        <f t="shared" si="2"/>
        <v/>
      </c>
      <c r="AN104" s="117" t="str">
        <f t="shared" si="3"/>
        <v/>
      </c>
      <c r="AO104" s="450" t="s">
        <v>323</v>
      </c>
      <c r="AP104" s="384"/>
      <c r="AQ104" s="384"/>
      <c r="AR104" s="384"/>
      <c r="AS104" s="384"/>
      <c r="AT104" s="385"/>
      <c r="AU104" s="54" t="b">
        <v>0</v>
      </c>
      <c r="AV104" s="54" t="b">
        <v>0</v>
      </c>
      <c r="AW104" s="123"/>
      <c r="AX104" s="124"/>
      <c r="AY104" s="124"/>
      <c r="AZ104" s="124"/>
      <c r="BA104" s="125"/>
      <c r="BB104" s="68"/>
      <c r="BC104" s="62"/>
      <c r="BD104" s="129" t="str">
        <f t="shared" si="4"/>
        <v>_</v>
      </c>
      <c r="BE104" s="130" t="str">
        <f>IFERROR(VLOOKUP($BD104,'(勿動)組件目錄表'!$D$15:$R$1094,2,FALSE),"")</f>
        <v/>
      </c>
      <c r="BF104" s="131" t="str">
        <f>IFERROR(VLOOKUP($BD104, '(勿動)組件目錄表'!$D$15:$R$1094, 5, FALSE),"")</f>
        <v/>
      </c>
      <c r="BG104" s="118"/>
      <c r="BH104" s="120"/>
      <c r="BI104" s="118"/>
      <c r="BJ104" s="120"/>
    </row>
    <row r="105" spans="1:62" ht="15.75" customHeight="1">
      <c r="A105" s="18" t="str">
        <f t="array" aca="1" ref="A105" ca="1">IFERROR(TRANSPOSE(INDIRECT('「(動工中勿使用!!)新版+舊版_Teaser」的副本'!$BB105)),"")</f>
        <v/>
      </c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86" t="b">
        <v>0</v>
      </c>
      <c r="AF105" s="111" t="str">
        <f t="shared" si="8"/>
        <v/>
      </c>
      <c r="AG105" s="112" t="str">
        <f t="shared" si="1"/>
        <v/>
      </c>
      <c r="AH105" s="126"/>
      <c r="AI105" s="114" t="str">
        <f ca="1">IFERROR(VLOOKUP($AH105, '(勿動)Component Label公版'!$D$1:$E$1000, 2, FALSE), "-")</f>
        <v>-</v>
      </c>
      <c r="AJ105" s="115"/>
      <c r="AK105" s="112"/>
      <c r="AL105" s="112"/>
      <c r="AM105" s="116" t="str">
        <f t="shared" si="2"/>
        <v/>
      </c>
      <c r="AN105" s="117" t="str">
        <f t="shared" si="3"/>
        <v/>
      </c>
      <c r="AO105" s="454" t="s">
        <v>324</v>
      </c>
      <c r="AP105" s="384"/>
      <c r="AQ105" s="384"/>
      <c r="AR105" s="384"/>
      <c r="AS105" s="384"/>
      <c r="AT105" s="385"/>
      <c r="AU105" s="54" t="b">
        <v>0</v>
      </c>
      <c r="AV105" s="54" t="b">
        <v>0</v>
      </c>
      <c r="AW105" s="123"/>
      <c r="AX105" s="124"/>
      <c r="AY105" s="124"/>
      <c r="AZ105" s="124"/>
      <c r="BA105" s="125"/>
      <c r="BB105" s="68"/>
      <c r="BC105" s="62"/>
      <c r="BD105" s="129" t="str">
        <f t="shared" si="4"/>
        <v>_</v>
      </c>
      <c r="BE105" s="130" t="str">
        <f>IFERROR(VLOOKUP($BD105,'(勿動)組件目錄表'!$D$15:$R$1094,2,FALSE),"")</f>
        <v/>
      </c>
      <c r="BF105" s="131" t="str">
        <f>IFERROR(VLOOKUP($BD105, '(勿動)組件目錄表'!$D$15:$R$1094, 5, FALSE),"")</f>
        <v/>
      </c>
      <c r="BG105" s="118"/>
      <c r="BH105" s="120"/>
      <c r="BI105" s="118"/>
      <c r="BJ105" s="120"/>
    </row>
    <row r="106" spans="1:62" ht="15.75" customHeight="1">
      <c r="A106" s="18" t="str">
        <f t="array" aca="1" ref="A106" ca="1">IFERROR(TRANSPOSE(INDIRECT('「(動工中勿使用!!)新版+舊版_Teaser」的副本'!$BB106)),"")</f>
        <v/>
      </c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86" t="b">
        <v>0</v>
      </c>
      <c r="AF106" s="111" t="str">
        <f t="shared" si="8"/>
        <v/>
      </c>
      <c r="AG106" s="112" t="str">
        <f t="shared" si="1"/>
        <v/>
      </c>
      <c r="AH106" s="126"/>
      <c r="AI106" s="114" t="str">
        <f ca="1">IFERROR(VLOOKUP($AH106, '(勿動)Component Label公版'!$D$1:$E$1000, 2, FALSE), "-")</f>
        <v>-</v>
      </c>
      <c r="AJ106" s="115"/>
      <c r="AK106" s="112"/>
      <c r="AL106" s="112"/>
      <c r="AM106" s="116" t="str">
        <f t="shared" si="2"/>
        <v/>
      </c>
      <c r="AN106" s="117" t="str">
        <f t="shared" si="3"/>
        <v/>
      </c>
      <c r="AO106" s="445" t="s">
        <v>325</v>
      </c>
      <c r="AP106" s="384"/>
      <c r="AQ106" s="384"/>
      <c r="AR106" s="384"/>
      <c r="AS106" s="384"/>
      <c r="AT106" s="385"/>
      <c r="AU106" s="54" t="b">
        <v>0</v>
      </c>
      <c r="AV106" s="54" t="b">
        <v>0</v>
      </c>
      <c r="AW106" s="452"/>
      <c r="AX106" s="453"/>
      <c r="AY106" s="124"/>
      <c r="AZ106" s="124"/>
      <c r="BA106" s="125"/>
      <c r="BB106" s="68"/>
      <c r="BC106" s="62"/>
      <c r="BD106" s="129" t="str">
        <f t="shared" si="4"/>
        <v>_</v>
      </c>
      <c r="BE106" s="130" t="str">
        <f>IFERROR(VLOOKUP($BD106,'(勿動)組件目錄表'!$D$15:$R$1094,2,FALSE),"")</f>
        <v/>
      </c>
      <c r="BF106" s="131" t="str">
        <f>IFERROR(VLOOKUP($BD106, '(勿動)組件目錄表'!$D$15:$R$1094, 5, FALSE),"")</f>
        <v/>
      </c>
      <c r="BG106" s="118"/>
      <c r="BH106" s="120"/>
      <c r="BI106" s="118"/>
      <c r="BJ106" s="120"/>
    </row>
    <row r="107" spans="1:62" ht="15.75" customHeight="1">
      <c r="A107" s="18" t="str">
        <f t="array" aca="1" ref="A107:AD107" ca="1">IFERROR(TRANSPOSE(INDIRECT('「(動工中勿使用!!)新版+舊版_Teaser」的副本'!$BB107)),"")</f>
        <v>無CTA</v>
      </c>
      <c r="B107" s="18" t="str">
        <f ca="1"/>
        <v>LINK*1</v>
      </c>
      <c r="C107" s="18" t="str">
        <f ca="1"/>
        <v>LINK*2</v>
      </c>
      <c r="D107" s="18" t="str">
        <f ca="1"/>
        <v>LINK*3</v>
      </c>
      <c r="E107" s="18" t="str">
        <f ca="1"/>
        <v>LINK&gt;3</v>
      </c>
      <c r="F107" s="18" t="str">
        <f ca="1"/>
        <v>Reminder*1</v>
      </c>
      <c r="G107" s="18" t="str">
        <f ca="1"/>
        <v>Reminder*2</v>
      </c>
      <c r="H107" s="18" t="str">
        <f ca="1"/>
        <v>Reminder*3</v>
      </c>
      <c r="I107" s="18" t="str">
        <f ca="1"/>
        <v>Reminder*4</v>
      </c>
      <c r="J107" s="18" t="str">
        <f ca="1"/>
        <v>Reminder*5</v>
      </c>
      <c r="K107" s="18" t="str">
        <f ca="1"/>
        <v>Reminder&gt;5</v>
      </c>
      <c r="L107" s="18" t="str">
        <f ca="1"/>
        <v>LINK*1 + Reminder*1</v>
      </c>
      <c r="M107" s="18" t="str">
        <f ca="1"/>
        <v>LINK*1 + Reminder*2</v>
      </c>
      <c r="N107" s="18" t="str">
        <f ca="1"/>
        <v>LINK*2 + Reminder*1</v>
      </c>
      <c r="O107" s="18" t="str">
        <f ca="1"/>
        <v>Add to Cart*1</v>
      </c>
      <c r="P107" s="18" t="str">
        <f ca="1"/>
        <v>Add to Cart*2</v>
      </c>
      <c r="Q107" s="18" t="str">
        <f ca="1"/>
        <v>Add to Cart*3</v>
      </c>
      <c r="R107" s="18" t="str">
        <f ca="1"/>
        <v>(Reminder+ATC) *1</v>
      </c>
      <c r="S107" s="18" t="str">
        <f ca="1"/>
        <v>(Reminder+ATC) *2</v>
      </c>
      <c r="T107" s="18" t="str">
        <f ca="1"/>
        <v>(Reminder+ATC) *3</v>
      </c>
      <c r="U107" s="18" t="str">
        <f ca="1"/>
        <v>Popup*1</v>
      </c>
      <c r="V107" s="18" t="str">
        <f ca="1"/>
        <v>Popup*2</v>
      </c>
      <c r="W107" s="18" t="str">
        <f ca="1"/>
        <v>Popup*3</v>
      </c>
      <c r="X107" s="18" t="str">
        <f ca="1"/>
        <v>Copy*1</v>
      </c>
      <c r="Y107" s="18" t="str">
        <f ca="1"/>
        <v>Copy*2</v>
      </c>
      <c r="Z107" s="18" t="str">
        <f ca="1"/>
        <v>Copy*3</v>
      </c>
      <c r="AA107" s="18" t="str">
        <f ca="1"/>
        <v>Share*1</v>
      </c>
      <c r="AB107" s="18" t="str">
        <f ca="1"/>
        <v>Share*2</v>
      </c>
      <c r="AC107" s="18" t="str">
        <f ca="1"/>
        <v>Share*3</v>
      </c>
      <c r="AD107" s="18" t="str">
        <f ca="1"/>
        <v>Placeholders</v>
      </c>
      <c r="AE107" s="86" t="b">
        <v>0</v>
      </c>
      <c r="AF107" s="111" t="str">
        <f t="shared" si="8"/>
        <v/>
      </c>
      <c r="AG107" s="112" t="str">
        <f t="shared" si="1"/>
        <v/>
      </c>
      <c r="AH107" s="126"/>
      <c r="AI107" s="114" t="str">
        <f ca="1">IFERROR(VLOOKUP($AH107, '(勿動)Component Label公版'!$D$1:$E$1000, 2, FALSE), "-")</f>
        <v>-</v>
      </c>
      <c r="AJ107" s="115"/>
      <c r="AK107" s="112"/>
      <c r="AL107" s="112"/>
      <c r="AM107" s="116" t="str">
        <f t="shared" si="2"/>
        <v/>
      </c>
      <c r="AN107" s="117" t="str">
        <f t="shared" si="3"/>
        <v/>
      </c>
      <c r="AO107" s="455" t="s">
        <v>326</v>
      </c>
      <c r="AP107" s="384"/>
      <c r="AQ107" s="385"/>
      <c r="AR107" s="455" t="s">
        <v>327</v>
      </c>
      <c r="AS107" s="384"/>
      <c r="AT107" s="385"/>
      <c r="AU107" s="54" t="b">
        <v>0</v>
      </c>
      <c r="AV107" s="54" t="b">
        <v>0</v>
      </c>
      <c r="AW107" s="452"/>
      <c r="AX107" s="453"/>
      <c r="AY107" s="124"/>
      <c r="AZ107" s="124"/>
      <c r="BA107" s="125"/>
      <c r="BB107" s="68" t="s">
        <v>147</v>
      </c>
      <c r="BC107" s="62"/>
      <c r="BD107" s="129" t="str">
        <f t="shared" si="4"/>
        <v>圖_MSBN_</v>
      </c>
      <c r="BE107" s="130" t="str">
        <f>IFERROR(VLOOKUP($BD107,'(勿動)組件目錄表'!$D$15:$R$1094,2,FALSE),"")</f>
        <v/>
      </c>
      <c r="BF107" s="131" t="str">
        <f>IFERROR(VLOOKUP($BD107, '(勿動)組件目錄表'!$D$15:$R$1094, 5, FALSE),"")</f>
        <v/>
      </c>
      <c r="BG107" s="118"/>
      <c r="BH107" s="120"/>
      <c r="BI107" s="118"/>
      <c r="BJ107" s="120"/>
    </row>
    <row r="108" spans="1:62" ht="15.75" customHeight="1">
      <c r="A108" s="18" t="str">
        <f t="array" aca="1" ref="A108" ca="1">IFERROR(TRANSPOSE(INDIRECT('「(動工中勿使用!!)新版+舊版_Teaser」的副本'!$BB108)),"")</f>
        <v/>
      </c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86" t="b">
        <v>0</v>
      </c>
      <c r="AF108" s="111" t="str">
        <f t="shared" si="8"/>
        <v/>
      </c>
      <c r="AG108" s="112" t="str">
        <f t="shared" si="1"/>
        <v/>
      </c>
      <c r="AH108" s="126"/>
      <c r="AI108" s="114" t="str">
        <f ca="1">IFERROR(VLOOKUP($AH108, '(勿動)Component Label公版'!$D$1:$E$1000, 2, FALSE), "-")</f>
        <v>-</v>
      </c>
      <c r="AJ108" s="115"/>
      <c r="AK108" s="112"/>
      <c r="AL108" s="112"/>
      <c r="AM108" s="116" t="str">
        <f t="shared" si="2"/>
        <v/>
      </c>
      <c r="AN108" s="117" t="str">
        <f t="shared" si="3"/>
        <v/>
      </c>
      <c r="AO108" s="142" t="s">
        <v>328</v>
      </c>
      <c r="AP108" s="456" t="s">
        <v>313</v>
      </c>
      <c r="AQ108" s="456" t="s">
        <v>243</v>
      </c>
      <c r="AR108" s="142" t="s">
        <v>329</v>
      </c>
      <c r="AS108" s="456" t="s">
        <v>313</v>
      </c>
      <c r="AT108" s="457" t="s">
        <v>243</v>
      </c>
      <c r="AU108" s="54" t="b">
        <v>0</v>
      </c>
      <c r="AV108" s="54" t="b">
        <v>0</v>
      </c>
      <c r="AW108" s="452"/>
      <c r="AX108" s="453"/>
      <c r="AY108" s="124"/>
      <c r="AZ108" s="124"/>
      <c r="BA108" s="125"/>
      <c r="BB108" s="68"/>
      <c r="BC108" s="62"/>
      <c r="BD108" s="129" t="str">
        <f t="shared" si="4"/>
        <v>_</v>
      </c>
      <c r="BE108" s="130" t="str">
        <f>IFERROR(VLOOKUP($BD108,'(勿動)組件目錄表'!$D$15:$R$1094,2,FALSE),"")</f>
        <v/>
      </c>
      <c r="BF108" s="131" t="str">
        <f>IFERROR(VLOOKUP($BD108, '(勿動)組件目錄表'!$D$15:$R$1094, 5, FALSE),"")</f>
        <v/>
      </c>
      <c r="BG108" s="118"/>
      <c r="BH108" s="120"/>
      <c r="BI108" s="118"/>
      <c r="BJ108" s="120"/>
    </row>
    <row r="109" spans="1:62" ht="33.75" customHeight="1">
      <c r="A109" s="18" t="str">
        <f t="array" aca="1" ref="A109" ca="1">IFERROR(TRANSPOSE(INDIRECT('「(動工中勿使用!!)新版+舊版_Teaser」的副本'!$BB109)),"")</f>
        <v/>
      </c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86" t="b">
        <v>0</v>
      </c>
      <c r="AF109" s="111" t="str">
        <f t="shared" si="8"/>
        <v/>
      </c>
      <c r="AG109" s="112" t="str">
        <f t="shared" si="1"/>
        <v/>
      </c>
      <c r="AH109" s="126"/>
      <c r="AI109" s="114" t="str">
        <f ca="1">IFERROR(VLOOKUP($AH109, '(勿動)Component Label公版'!$D$1:$E$1000, 2, FALSE), "-")</f>
        <v>-</v>
      </c>
      <c r="AJ109" s="115"/>
      <c r="AK109" s="112"/>
      <c r="AL109" s="112"/>
      <c r="AM109" s="116" t="str">
        <f t="shared" si="2"/>
        <v/>
      </c>
      <c r="AN109" s="117" t="str">
        <f t="shared" si="3"/>
        <v/>
      </c>
      <c r="AO109" s="143" t="s">
        <v>245</v>
      </c>
      <c r="AP109" s="424"/>
      <c r="AQ109" s="424"/>
      <c r="AR109" s="144" t="s">
        <v>245</v>
      </c>
      <c r="AS109" s="424"/>
      <c r="AT109" s="401"/>
      <c r="AU109" s="54" t="b">
        <v>0</v>
      </c>
      <c r="AV109" s="54" t="b">
        <v>0</v>
      </c>
      <c r="AW109" s="452"/>
      <c r="AX109" s="453"/>
      <c r="AY109" s="124"/>
      <c r="AZ109" s="124"/>
      <c r="BA109" s="125"/>
      <c r="BB109" s="68"/>
      <c r="BC109" s="62"/>
      <c r="BD109" s="129" t="str">
        <f t="shared" si="4"/>
        <v>_</v>
      </c>
      <c r="BE109" s="130" t="str">
        <f>IFERROR(VLOOKUP($BD109,'(勿動)組件目錄表'!$D$15:$R$1094,2,FALSE),"")</f>
        <v/>
      </c>
      <c r="BF109" s="131" t="str">
        <f>IFERROR(VLOOKUP($BD109, '(勿動)組件目錄表'!$D$15:$R$1094, 5, FALSE),"")</f>
        <v/>
      </c>
      <c r="BG109" s="118"/>
      <c r="BH109" s="120"/>
      <c r="BI109" s="118"/>
      <c r="BJ109" s="120"/>
    </row>
    <row r="110" spans="1:62" ht="15.75" customHeight="1">
      <c r="A110" s="18" t="str">
        <f t="array" aca="1" ref="A110" ca="1">IFERROR(TRANSPOSE(INDIRECT('「(動工中勿使用!!)新版+舊版_Teaser」的副本'!$BB110)),"")</f>
        <v/>
      </c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86" t="b">
        <v>0</v>
      </c>
      <c r="AF110" s="111" t="str">
        <f t="shared" si="8"/>
        <v/>
      </c>
      <c r="AG110" s="112" t="str">
        <f t="shared" si="1"/>
        <v/>
      </c>
      <c r="AH110" s="126"/>
      <c r="AI110" s="114" t="str">
        <f ca="1">IFERROR(VLOOKUP($AH110, '(勿動)Component Label公版'!$D$1:$E$1000, 2, FALSE), "-")</f>
        <v>-</v>
      </c>
      <c r="AJ110" s="115"/>
      <c r="AK110" s="112"/>
      <c r="AL110" s="112"/>
      <c r="AM110" s="116" t="str">
        <f t="shared" si="2"/>
        <v/>
      </c>
      <c r="AN110" s="117" t="str">
        <f t="shared" si="3"/>
        <v/>
      </c>
      <c r="AO110" s="455" t="s">
        <v>330</v>
      </c>
      <c r="AP110" s="384"/>
      <c r="AQ110" s="385"/>
      <c r="AR110" s="455" t="s">
        <v>331</v>
      </c>
      <c r="AS110" s="384"/>
      <c r="AT110" s="385"/>
      <c r="AU110" s="54" t="b">
        <v>0</v>
      </c>
      <c r="AV110" s="54" t="b">
        <v>0</v>
      </c>
      <c r="AW110" s="452"/>
      <c r="AX110" s="453"/>
      <c r="AY110" s="124"/>
      <c r="AZ110" s="124"/>
      <c r="BA110" s="125"/>
      <c r="BB110" s="68"/>
      <c r="BC110" s="62"/>
      <c r="BD110" s="129" t="str">
        <f t="shared" si="4"/>
        <v>_</v>
      </c>
      <c r="BE110" s="130" t="str">
        <f>IFERROR(VLOOKUP($BD110,'(勿動)組件目錄表'!$D$15:$R$1094,2,FALSE),"")</f>
        <v/>
      </c>
      <c r="BF110" s="131" t="str">
        <f>IFERROR(VLOOKUP($BD110, '(勿動)組件目錄表'!$D$15:$R$1094, 5, FALSE),"")</f>
        <v/>
      </c>
      <c r="BG110" s="118"/>
      <c r="BH110" s="120"/>
      <c r="BI110" s="118"/>
      <c r="BJ110" s="120"/>
    </row>
    <row r="111" spans="1:62" ht="15.75" customHeight="1">
      <c r="A111" s="18" t="str">
        <f t="array" aca="1" ref="A111" ca="1">IFERROR(TRANSPOSE(INDIRECT('「(動工中勿使用!!)新版+舊版_Teaser」的副本'!$BB111)),"")</f>
        <v/>
      </c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86" t="b">
        <v>0</v>
      </c>
      <c r="AF111" s="111" t="str">
        <f t="shared" si="8"/>
        <v/>
      </c>
      <c r="AG111" s="112" t="str">
        <f t="shared" si="1"/>
        <v/>
      </c>
      <c r="AH111" s="126"/>
      <c r="AI111" s="114" t="str">
        <f ca="1">IFERROR(VLOOKUP($AH111, '(勿動)Component Label公版'!$D$1:$E$1000, 2, FALSE), "-")</f>
        <v>-</v>
      </c>
      <c r="AJ111" s="115"/>
      <c r="AK111" s="112"/>
      <c r="AL111" s="112"/>
      <c r="AM111" s="116" t="str">
        <f t="shared" si="2"/>
        <v/>
      </c>
      <c r="AN111" s="117" t="str">
        <f t="shared" si="3"/>
        <v/>
      </c>
      <c r="AO111" s="142" t="s">
        <v>332</v>
      </c>
      <c r="AP111" s="456" t="s">
        <v>313</v>
      </c>
      <c r="AQ111" s="456" t="s">
        <v>243</v>
      </c>
      <c r="AR111" s="142" t="s">
        <v>333</v>
      </c>
      <c r="AS111" s="456" t="s">
        <v>313</v>
      </c>
      <c r="AT111" s="457" t="s">
        <v>243</v>
      </c>
      <c r="AU111" s="54" t="b">
        <v>0</v>
      </c>
      <c r="AV111" s="54" t="b">
        <v>0</v>
      </c>
      <c r="AW111" s="452"/>
      <c r="AX111" s="453"/>
      <c r="AY111" s="124"/>
      <c r="AZ111" s="124"/>
      <c r="BA111" s="125"/>
      <c r="BB111" s="68"/>
      <c r="BC111" s="62"/>
      <c r="BD111" s="129" t="str">
        <f t="shared" si="4"/>
        <v>_</v>
      </c>
      <c r="BE111" s="130" t="str">
        <f>IFERROR(VLOOKUP($BD111,'(勿動)組件目錄表'!$D$15:$R$1094,2,FALSE),"")</f>
        <v/>
      </c>
      <c r="BF111" s="131" t="str">
        <f>IFERROR(VLOOKUP($BD111, '(勿動)組件目錄表'!$D$15:$R$1094, 5, FALSE),"")</f>
        <v/>
      </c>
      <c r="BG111" s="118"/>
      <c r="BH111" s="120"/>
      <c r="BI111" s="118"/>
      <c r="BJ111" s="120"/>
    </row>
    <row r="112" spans="1:62" ht="33.75" customHeight="1">
      <c r="A112" s="18" t="str">
        <f t="array" aca="1" ref="A112" ca="1">IFERROR(TRANSPOSE(INDIRECT('「(動工中勿使用!!)新版+舊版_Teaser」的副本'!$BB112)),"")</f>
        <v/>
      </c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86" t="b">
        <v>0</v>
      </c>
      <c r="AF112" s="111" t="str">
        <f t="shared" si="8"/>
        <v/>
      </c>
      <c r="AG112" s="112" t="str">
        <f t="shared" si="1"/>
        <v/>
      </c>
      <c r="AH112" s="126"/>
      <c r="AI112" s="114" t="str">
        <f ca="1">IFERROR(VLOOKUP($AH112, '(勿動)Component Label公版'!$D$1:$E$1000, 2, FALSE), "-")</f>
        <v>-</v>
      </c>
      <c r="AJ112" s="115"/>
      <c r="AK112" s="112"/>
      <c r="AL112" s="112"/>
      <c r="AM112" s="116" t="str">
        <f t="shared" si="2"/>
        <v/>
      </c>
      <c r="AN112" s="117" t="str">
        <f t="shared" si="3"/>
        <v/>
      </c>
      <c r="AO112" s="143" t="s">
        <v>245</v>
      </c>
      <c r="AP112" s="424"/>
      <c r="AQ112" s="424"/>
      <c r="AR112" s="144" t="s">
        <v>245</v>
      </c>
      <c r="AS112" s="424"/>
      <c r="AT112" s="401"/>
      <c r="AU112" s="54" t="b">
        <v>0</v>
      </c>
      <c r="AV112" s="54" t="b">
        <v>0</v>
      </c>
      <c r="AW112" s="123"/>
      <c r="AX112" s="124"/>
      <c r="AY112" s="124"/>
      <c r="AZ112" s="124"/>
      <c r="BA112" s="125"/>
      <c r="BB112" s="68"/>
      <c r="BC112" s="62"/>
      <c r="BD112" s="129" t="str">
        <f t="shared" si="4"/>
        <v>_</v>
      </c>
      <c r="BE112" s="130" t="str">
        <f>IFERROR(VLOOKUP($BD112,'(勿動)組件目錄表'!$D$15:$R$1094,2,FALSE),"")</f>
        <v/>
      </c>
      <c r="BF112" s="131" t="str">
        <f>IFERROR(VLOOKUP($BD112, '(勿動)組件目錄表'!$D$15:$R$1094, 5, FALSE),"")</f>
        <v/>
      </c>
      <c r="BG112" s="118"/>
      <c r="BH112" s="120"/>
      <c r="BI112" s="118"/>
      <c r="BJ112" s="120"/>
    </row>
    <row r="113" spans="1:62" ht="15.75" customHeight="1">
      <c r="A113" s="18" t="str">
        <f t="array" aca="1" ref="A113" ca="1">IFERROR(TRANSPOSE(INDIRECT('「(動工中勿使用!!)新版+舊版_Teaser」的副本'!$BB113)),"")</f>
        <v/>
      </c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86" t="b">
        <v>0</v>
      </c>
      <c r="AF113" s="111" t="str">
        <f t="shared" si="8"/>
        <v/>
      </c>
      <c r="AG113" s="112" t="str">
        <f t="shared" si="1"/>
        <v/>
      </c>
      <c r="AH113" s="126"/>
      <c r="AI113" s="114" t="str">
        <f ca="1">IFERROR(VLOOKUP($AH113, '(勿動)Component Label公版'!$D$1:$E$1000, 2, FALSE), "-")</f>
        <v>-</v>
      </c>
      <c r="AJ113" s="115"/>
      <c r="AK113" s="112"/>
      <c r="AL113" s="112"/>
      <c r="AM113" s="116" t="str">
        <f t="shared" si="2"/>
        <v/>
      </c>
      <c r="AN113" s="117" t="str">
        <f t="shared" si="3"/>
        <v/>
      </c>
      <c r="AO113" s="454" t="s">
        <v>334</v>
      </c>
      <c r="AP113" s="384"/>
      <c r="AQ113" s="384"/>
      <c r="AR113" s="384"/>
      <c r="AS113" s="384"/>
      <c r="AT113" s="385"/>
      <c r="AU113" s="54" t="b">
        <v>0</v>
      </c>
      <c r="AV113" s="54" t="b">
        <v>0</v>
      </c>
      <c r="AW113" s="123"/>
      <c r="AX113" s="124"/>
      <c r="AY113" s="124"/>
      <c r="AZ113" s="124"/>
      <c r="BA113" s="125"/>
      <c r="BB113" s="68"/>
      <c r="BC113" s="62"/>
      <c r="BD113" s="129" t="str">
        <f t="shared" si="4"/>
        <v>_</v>
      </c>
      <c r="BE113" s="130" t="str">
        <f>IFERROR(VLOOKUP($BD113,'(勿動)組件目錄表'!$D$15:$R$1094,2,FALSE),"")</f>
        <v/>
      </c>
      <c r="BF113" s="131" t="str">
        <f>IFERROR(VLOOKUP($BD113, '(勿動)組件目錄表'!$D$15:$R$1094, 5, FALSE),"")</f>
        <v/>
      </c>
      <c r="BG113" s="118"/>
      <c r="BH113" s="120"/>
      <c r="BI113" s="118"/>
      <c r="BJ113" s="120"/>
    </row>
    <row r="114" spans="1:62" ht="15.75" customHeight="1">
      <c r="A114" s="18" t="str">
        <f t="array" aca="1" ref="A114" ca="1">IFERROR(TRANSPOSE(INDIRECT('「(動工中勿使用!!)新版+舊版_Teaser」的副本'!$BB114)),"")</f>
        <v/>
      </c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86" t="b">
        <v>0</v>
      </c>
      <c r="AF114" s="111" t="str">
        <f t="shared" si="8"/>
        <v/>
      </c>
      <c r="AG114" s="112" t="str">
        <f t="shared" si="1"/>
        <v/>
      </c>
      <c r="AH114" s="126"/>
      <c r="AI114" s="114" t="str">
        <f ca="1">IFERROR(VLOOKUP($AH114, '(勿動)Component Label公版'!$D$1:$E$1000, 2, FALSE), "-")</f>
        <v>-</v>
      </c>
      <c r="AJ114" s="115"/>
      <c r="AK114" s="112"/>
      <c r="AL114" s="112"/>
      <c r="AM114" s="116" t="str">
        <f t="shared" si="2"/>
        <v/>
      </c>
      <c r="AN114" s="117" t="str">
        <f t="shared" si="3"/>
        <v/>
      </c>
      <c r="AO114" s="458" t="s">
        <v>325</v>
      </c>
      <c r="AP114" s="381"/>
      <c r="AQ114" s="381"/>
      <c r="AR114" s="381"/>
      <c r="AS114" s="381"/>
      <c r="AT114" s="459"/>
      <c r="AU114" s="54" t="b">
        <v>0</v>
      </c>
      <c r="AV114" s="54" t="b">
        <v>0</v>
      </c>
      <c r="AW114" s="123"/>
      <c r="AX114" s="124"/>
      <c r="AY114" s="124"/>
      <c r="AZ114" s="124"/>
      <c r="BA114" s="125"/>
      <c r="BB114" s="68"/>
      <c r="BC114" s="62"/>
      <c r="BD114" s="129" t="str">
        <f t="shared" si="4"/>
        <v>_</v>
      </c>
      <c r="BE114" s="130" t="str">
        <f>IFERROR(VLOOKUP($BD114,'(勿動)組件目錄表'!$D$15:$R$1094,2,FALSE),"")</f>
        <v/>
      </c>
      <c r="BF114" s="131" t="str">
        <f>IFERROR(VLOOKUP($BD114, '(勿動)組件目錄表'!$D$15:$R$1094, 5, FALSE),"")</f>
        <v/>
      </c>
      <c r="BG114" s="118"/>
      <c r="BH114" s="120"/>
      <c r="BI114" s="118"/>
      <c r="BJ114" s="120"/>
    </row>
    <row r="115" spans="1:62" ht="15.75" customHeight="1">
      <c r="A115" s="18" t="str">
        <f t="array" aca="1" ref="A115" ca="1">IFERROR(TRANSPOSE(INDIRECT('「(動工中勿使用!!)新版+舊版_Teaser」的副本'!$BB115)),"")</f>
        <v/>
      </c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86" t="b">
        <v>0</v>
      </c>
      <c r="AF115" s="111" t="str">
        <f t="shared" si="8"/>
        <v/>
      </c>
      <c r="AG115" s="112" t="str">
        <f t="shared" si="1"/>
        <v/>
      </c>
      <c r="AH115" s="126"/>
      <c r="AI115" s="114" t="str">
        <f ca="1">IFERROR(VLOOKUP($AH115, '(勿動)Component Label公版'!$D$1:$E$1000, 2, FALSE), "-")</f>
        <v>-</v>
      </c>
      <c r="AJ115" s="115"/>
      <c r="AK115" s="112"/>
      <c r="AL115" s="112"/>
      <c r="AM115" s="116" t="str">
        <f t="shared" si="2"/>
        <v/>
      </c>
      <c r="AN115" s="117" t="str">
        <f t="shared" si="3"/>
        <v/>
      </c>
      <c r="AO115" s="145" t="s">
        <v>328</v>
      </c>
      <c r="AP115" s="430" t="s">
        <v>335</v>
      </c>
      <c r="AQ115" s="460"/>
      <c r="AR115" s="461"/>
      <c r="AS115" s="430" t="s">
        <v>243</v>
      </c>
      <c r="AT115" s="464"/>
      <c r="AU115" s="54" t="b">
        <v>0</v>
      </c>
      <c r="AV115" s="54" t="b">
        <v>0</v>
      </c>
      <c r="AW115" s="123"/>
      <c r="AX115" s="124"/>
      <c r="AY115" s="124"/>
      <c r="AZ115" s="124"/>
      <c r="BA115" s="125"/>
      <c r="BB115" s="68"/>
      <c r="BC115" s="62"/>
      <c r="BD115" s="129" t="str">
        <f t="shared" si="4"/>
        <v>_</v>
      </c>
      <c r="BE115" s="130" t="str">
        <f>IFERROR(VLOOKUP($BD115,'(勿動)組件目錄表'!$D$15:$R$1094,2,FALSE),"")</f>
        <v/>
      </c>
      <c r="BF115" s="131" t="str">
        <f>IFERROR(VLOOKUP($BD115, '(勿動)組件目錄表'!$D$15:$R$1094, 5, FALSE),"")</f>
        <v/>
      </c>
      <c r="BG115" s="118"/>
      <c r="BH115" s="120"/>
      <c r="BI115" s="118"/>
      <c r="BJ115" s="120"/>
    </row>
    <row r="116" spans="1:62" ht="33.75" customHeight="1">
      <c r="A116" s="18" t="str">
        <f t="array" aca="1" ref="A116" ca="1">IFERROR(TRANSPOSE(INDIRECT('「(動工中勿使用!!)新版+舊版_Teaser」的副本'!$BB116)),"")</f>
        <v/>
      </c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86" t="b">
        <v>0</v>
      </c>
      <c r="AF116" s="111" t="str">
        <f t="shared" si="8"/>
        <v/>
      </c>
      <c r="AG116" s="112" t="str">
        <f t="shared" si="1"/>
        <v/>
      </c>
      <c r="AH116" s="126"/>
      <c r="AI116" s="114" t="str">
        <f ca="1">IFERROR(VLOOKUP($AH116, '(勿動)Component Label公版'!$D$1:$E$1000, 2, FALSE), "-")</f>
        <v>-</v>
      </c>
      <c r="AJ116" s="115"/>
      <c r="AK116" s="112"/>
      <c r="AL116" s="112"/>
      <c r="AM116" s="116" t="str">
        <f t="shared" si="2"/>
        <v/>
      </c>
      <c r="AN116" s="117" t="str">
        <f t="shared" si="3"/>
        <v/>
      </c>
      <c r="AO116" s="146" t="s">
        <v>336</v>
      </c>
      <c r="AP116" s="431"/>
      <c r="AQ116" s="462"/>
      <c r="AR116" s="463"/>
      <c r="AS116" s="431"/>
      <c r="AT116" s="465"/>
      <c r="AU116" s="54" t="b">
        <v>0</v>
      </c>
      <c r="AV116" s="54" t="b">
        <v>0</v>
      </c>
      <c r="AW116" s="123"/>
      <c r="AX116" s="124"/>
      <c r="AY116" s="124"/>
      <c r="AZ116" s="124"/>
      <c r="BA116" s="125"/>
      <c r="BB116" s="68"/>
      <c r="BC116" s="62"/>
      <c r="BD116" s="129" t="str">
        <f t="shared" si="4"/>
        <v>_</v>
      </c>
      <c r="BE116" s="130" t="str">
        <f>IFERROR(VLOOKUP($BD116,'(勿動)組件目錄表'!$D$15:$R$1094,2,FALSE),"")</f>
        <v/>
      </c>
      <c r="BF116" s="131" t="str">
        <f>IFERROR(VLOOKUP($BD116, '(勿動)組件目錄表'!$D$15:$R$1094, 5, FALSE),"")</f>
        <v/>
      </c>
      <c r="BG116" s="118"/>
      <c r="BH116" s="120"/>
      <c r="BI116" s="118"/>
      <c r="BJ116" s="120"/>
    </row>
    <row r="117" spans="1:62" ht="15.75" customHeight="1">
      <c r="A117" s="18" t="str">
        <f t="array" aca="1" ref="A117" ca="1">IFERROR(TRANSPOSE(INDIRECT('「(動工中勿使用!!)新版+舊版_Teaser」的副本'!$BB117)),"")</f>
        <v/>
      </c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86" t="b">
        <v>0</v>
      </c>
      <c r="AF117" s="111" t="str">
        <f t="shared" si="8"/>
        <v/>
      </c>
      <c r="AG117" s="112" t="str">
        <f t="shared" si="1"/>
        <v/>
      </c>
      <c r="AH117" s="126"/>
      <c r="AI117" s="114" t="str">
        <f ca="1">IFERROR(VLOOKUP($AH117, '(勿動)Component Label公版'!$D$1:$E$1000, 2, FALSE), "-")</f>
        <v>-</v>
      </c>
      <c r="AJ117" s="115"/>
      <c r="AK117" s="112"/>
      <c r="AL117" s="112"/>
      <c r="AM117" s="116" t="str">
        <f t="shared" si="2"/>
        <v/>
      </c>
      <c r="AN117" s="117" t="str">
        <f t="shared" si="3"/>
        <v/>
      </c>
      <c r="AO117" s="145" t="s">
        <v>328</v>
      </c>
      <c r="AP117" s="430" t="s">
        <v>335</v>
      </c>
      <c r="AQ117" s="460"/>
      <c r="AR117" s="461"/>
      <c r="AS117" s="430" t="s">
        <v>243</v>
      </c>
      <c r="AT117" s="464"/>
      <c r="AU117" s="54" t="b">
        <v>0</v>
      </c>
      <c r="AV117" s="54" t="b">
        <v>0</v>
      </c>
      <c r="AW117" s="123"/>
      <c r="AX117" s="124"/>
      <c r="AY117" s="124"/>
      <c r="AZ117" s="124"/>
      <c r="BA117" s="125"/>
      <c r="BB117" s="68"/>
      <c r="BC117" s="62"/>
      <c r="BD117" s="129" t="str">
        <f t="shared" si="4"/>
        <v>_</v>
      </c>
      <c r="BE117" s="130" t="str">
        <f>IFERROR(VLOOKUP($BD117,'(勿動)組件目錄表'!$D$15:$R$1094,2,FALSE),"")</f>
        <v/>
      </c>
      <c r="BF117" s="131" t="str">
        <f>IFERROR(VLOOKUP($BD117, '(勿動)組件目錄表'!$D$15:$R$1094, 5, FALSE),"")</f>
        <v/>
      </c>
      <c r="BG117" s="118"/>
      <c r="BH117" s="120"/>
      <c r="BI117" s="118"/>
      <c r="BJ117" s="120"/>
    </row>
    <row r="118" spans="1:62" ht="33.75" customHeight="1">
      <c r="A118" s="18" t="str">
        <f t="array" aca="1" ref="A118" ca="1">IFERROR(TRANSPOSE(INDIRECT('「(動工中勿使用!!)新版+舊版_Teaser」的副本'!$BB118)),"")</f>
        <v/>
      </c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86" t="b">
        <v>0</v>
      </c>
      <c r="AF118" s="111" t="str">
        <f t="shared" si="8"/>
        <v/>
      </c>
      <c r="AG118" s="112" t="str">
        <f t="shared" si="1"/>
        <v/>
      </c>
      <c r="AH118" s="126"/>
      <c r="AI118" s="114" t="str">
        <f ca="1">IFERROR(VLOOKUP($AH118, '(勿動)Component Label公版'!$D$1:$E$1000, 2, FALSE), "-")</f>
        <v>-</v>
      </c>
      <c r="AJ118" s="115"/>
      <c r="AK118" s="112"/>
      <c r="AL118" s="112"/>
      <c r="AM118" s="116" t="str">
        <f t="shared" si="2"/>
        <v/>
      </c>
      <c r="AN118" s="117" t="str">
        <f t="shared" si="3"/>
        <v/>
      </c>
      <c r="AO118" s="146" t="s">
        <v>336</v>
      </c>
      <c r="AP118" s="431"/>
      <c r="AQ118" s="462"/>
      <c r="AR118" s="463"/>
      <c r="AS118" s="431"/>
      <c r="AT118" s="465"/>
      <c r="AU118" s="54" t="b">
        <v>0</v>
      </c>
      <c r="AV118" s="54" t="b">
        <v>0</v>
      </c>
      <c r="AW118" s="123"/>
      <c r="AX118" s="124"/>
      <c r="AY118" s="124"/>
      <c r="AZ118" s="124"/>
      <c r="BA118" s="125"/>
      <c r="BB118" s="68"/>
      <c r="BC118" s="62"/>
      <c r="BD118" s="129" t="str">
        <f t="shared" si="4"/>
        <v>_</v>
      </c>
      <c r="BE118" s="130" t="str">
        <f>IFERROR(VLOOKUP($BD118,'(勿動)組件目錄表'!$D$15:$R$1094,2,FALSE),"")</f>
        <v/>
      </c>
      <c r="BF118" s="131" t="str">
        <f>IFERROR(VLOOKUP($BD118, '(勿動)組件目錄表'!$D$15:$R$1094, 5, FALSE),"")</f>
        <v/>
      </c>
      <c r="BG118" s="118"/>
      <c r="BH118" s="120"/>
      <c r="BI118" s="118"/>
      <c r="BJ118" s="120"/>
    </row>
    <row r="119" spans="1:62" ht="15.75" customHeight="1">
      <c r="A119" s="18" t="str">
        <f t="array" aca="1" ref="A119" ca="1">IFERROR(TRANSPOSE(INDIRECT('「(動工中勿使用!!)新版+舊版_Teaser」的副本'!$BB119)),"")</f>
        <v/>
      </c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86" t="b">
        <v>0</v>
      </c>
      <c r="AF119" s="111" t="str">
        <f t="shared" si="8"/>
        <v/>
      </c>
      <c r="AG119" s="112" t="str">
        <f t="shared" si="1"/>
        <v/>
      </c>
      <c r="AH119" s="126"/>
      <c r="AI119" s="114" t="str">
        <f ca="1">IFERROR(VLOOKUP($AH119, '(勿動)Component Label公版'!$D$1:$E$1000, 2, FALSE), "-")</f>
        <v>-</v>
      </c>
      <c r="AJ119" s="115"/>
      <c r="AK119" s="112"/>
      <c r="AL119" s="112"/>
      <c r="AM119" s="116" t="str">
        <f t="shared" si="2"/>
        <v/>
      </c>
      <c r="AN119" s="117" t="str">
        <f t="shared" si="3"/>
        <v/>
      </c>
      <c r="AO119" s="145" t="s">
        <v>328</v>
      </c>
      <c r="AP119" s="427" t="s">
        <v>335</v>
      </c>
      <c r="AQ119" s="427" t="s">
        <v>243</v>
      </c>
      <c r="AR119" s="145" t="s">
        <v>328</v>
      </c>
      <c r="AS119" s="427" t="s">
        <v>335</v>
      </c>
      <c r="AT119" s="430" t="s">
        <v>243</v>
      </c>
      <c r="AU119" s="54" t="b">
        <v>0</v>
      </c>
      <c r="AV119" s="54" t="b">
        <v>0</v>
      </c>
      <c r="AW119" s="123"/>
      <c r="AX119" s="124"/>
      <c r="AY119" s="124"/>
      <c r="AZ119" s="124"/>
      <c r="BA119" s="125"/>
      <c r="BB119" s="68"/>
      <c r="BC119" s="62"/>
      <c r="BD119" s="129" t="str">
        <f t="shared" si="4"/>
        <v>_</v>
      </c>
      <c r="BE119" s="130" t="str">
        <f>IFERROR(VLOOKUP($BD119,'(勿動)組件目錄表'!$D$15:$R$1094,2,FALSE),"")</f>
        <v/>
      </c>
      <c r="BF119" s="131" t="str">
        <f>IFERROR(VLOOKUP($BD119, '(勿動)組件目錄表'!$D$15:$R$1094, 5, FALSE),"")</f>
        <v/>
      </c>
      <c r="BG119" s="118"/>
      <c r="BH119" s="120"/>
      <c r="BI119" s="118"/>
      <c r="BJ119" s="120"/>
    </row>
    <row r="120" spans="1:62" ht="33.75" customHeight="1">
      <c r="A120" s="18" t="str">
        <f t="array" aca="1" ref="A120" ca="1">IFERROR(TRANSPOSE(INDIRECT('「(動工中勿使用!!)新版+舊版_Teaser」的副本'!$BB120)),"")</f>
        <v/>
      </c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34" t="b">
        <v>0</v>
      </c>
      <c r="AF120" s="111" t="str">
        <f t="shared" si="8"/>
        <v/>
      </c>
      <c r="AG120" s="112" t="str">
        <f t="shared" si="1"/>
        <v/>
      </c>
      <c r="AH120" s="126"/>
      <c r="AI120" s="114" t="str">
        <f ca="1">IFERROR(VLOOKUP($AH120, '(勿動)Component Label公版'!$D$1:$E$1000, 2, FALSE), "-")</f>
        <v>-</v>
      </c>
      <c r="AJ120" s="115"/>
      <c r="AK120" s="112"/>
      <c r="AL120" s="112"/>
      <c r="AM120" s="116" t="str">
        <f t="shared" si="2"/>
        <v/>
      </c>
      <c r="AN120" s="117" t="str">
        <f t="shared" si="3"/>
        <v/>
      </c>
      <c r="AO120" s="147" t="s">
        <v>336</v>
      </c>
      <c r="AP120" s="379"/>
      <c r="AQ120" s="379"/>
      <c r="AR120" s="147" t="s">
        <v>336</v>
      </c>
      <c r="AS120" s="379"/>
      <c r="AT120" s="400"/>
      <c r="AU120" s="54" t="b">
        <v>0</v>
      </c>
      <c r="AV120" s="54" t="b">
        <v>0</v>
      </c>
      <c r="AW120" s="123"/>
      <c r="AX120" s="124"/>
      <c r="AY120" s="124"/>
      <c r="AZ120" s="124"/>
      <c r="BA120" s="125"/>
      <c r="BB120" s="68"/>
      <c r="BC120" s="62"/>
      <c r="BD120" s="129" t="str">
        <f t="shared" si="4"/>
        <v>_</v>
      </c>
      <c r="BE120" s="130" t="str">
        <f>IFERROR(VLOOKUP($BD120,'(勿動)組件目錄表'!$D$15:$R$1094,2,FALSE),"")</f>
        <v/>
      </c>
      <c r="BF120" s="131" t="str">
        <f>IFERROR(VLOOKUP($BD120, '(勿動)組件目錄表'!$D$15:$R$1094, 5, FALSE),"")</f>
        <v/>
      </c>
      <c r="BG120" s="118"/>
      <c r="BH120" s="120"/>
      <c r="BI120" s="118"/>
      <c r="BJ120" s="120"/>
    </row>
    <row r="121" spans="1:62" ht="15.75" customHeight="1">
      <c r="A121" s="18" t="str">
        <f t="array" aca="1" ref="A121" ca="1">IFERROR(TRANSPOSE(INDIRECT('「(動工中勿使用!!)新版+舊版_Teaser」的副本'!$BB121)),"")</f>
        <v/>
      </c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34" t="b">
        <v>0</v>
      </c>
      <c r="AF121" s="111" t="str">
        <f t="shared" si="8"/>
        <v/>
      </c>
      <c r="AG121" s="112" t="str">
        <f t="shared" si="1"/>
        <v/>
      </c>
      <c r="AH121" s="126"/>
      <c r="AI121" s="114" t="str">
        <f ca="1">IFERROR(VLOOKUP($AH121, '(勿動)Component Label公版'!$D$1:$E$1000, 2, FALSE), "-")</f>
        <v>-</v>
      </c>
      <c r="AJ121" s="115"/>
      <c r="AK121" s="112"/>
      <c r="AL121" s="112"/>
      <c r="AM121" s="116" t="str">
        <f t="shared" si="2"/>
        <v/>
      </c>
      <c r="AN121" s="117" t="str">
        <f t="shared" si="3"/>
        <v/>
      </c>
      <c r="AO121" s="148" t="s">
        <v>328</v>
      </c>
      <c r="AP121" s="428" t="s">
        <v>335</v>
      </c>
      <c r="AQ121" s="428" t="s">
        <v>243</v>
      </c>
      <c r="AR121" s="149"/>
      <c r="AS121" s="149"/>
      <c r="AT121" s="149"/>
      <c r="AU121" s="54" t="b">
        <v>0</v>
      </c>
      <c r="AV121" s="54" t="b">
        <v>0</v>
      </c>
      <c r="AW121" s="123"/>
      <c r="AX121" s="124"/>
      <c r="AY121" s="124"/>
      <c r="AZ121" s="124"/>
      <c r="BA121" s="125"/>
      <c r="BB121" s="68"/>
      <c r="BC121" s="62"/>
      <c r="BD121" s="129" t="str">
        <f t="shared" si="4"/>
        <v>_</v>
      </c>
      <c r="BE121" s="130" t="str">
        <f>IFERROR(VLOOKUP($BD121,'(勿動)組件目錄表'!$D$15:$R$1094,2,FALSE),"")</f>
        <v/>
      </c>
      <c r="BF121" s="131" t="str">
        <f>IFERROR(VLOOKUP($BD121, '(勿動)組件目錄表'!$D$15:$R$1094, 5, FALSE),"")</f>
        <v/>
      </c>
      <c r="BG121" s="118"/>
      <c r="BH121" s="120"/>
      <c r="BI121" s="118"/>
      <c r="BJ121" s="120"/>
    </row>
    <row r="122" spans="1:62" ht="33.75" customHeight="1">
      <c r="A122" s="18" t="str">
        <f t="array" aca="1" ref="A122" ca="1">IFERROR(TRANSPOSE(INDIRECT('「(動工中勿使用!!)新版+舊版_Teaser」的副本'!$BB122)),"")</f>
        <v/>
      </c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34" t="b">
        <v>0</v>
      </c>
      <c r="AF122" s="111" t="str">
        <f t="shared" si="8"/>
        <v/>
      </c>
      <c r="AG122" s="112" t="str">
        <f t="shared" si="1"/>
        <v/>
      </c>
      <c r="AH122" s="126"/>
      <c r="AI122" s="114" t="str">
        <f ca="1">IFERROR(VLOOKUP($AH122, '(勿動)Component Label公版'!$D$1:$E$1000, 2, FALSE), "-")</f>
        <v>-</v>
      </c>
      <c r="AJ122" s="115"/>
      <c r="AK122" s="112"/>
      <c r="AL122" s="112"/>
      <c r="AM122" s="116" t="str">
        <f t="shared" si="2"/>
        <v/>
      </c>
      <c r="AN122" s="117" t="str">
        <f t="shared" si="3"/>
        <v/>
      </c>
      <c r="AO122" s="146" t="s">
        <v>336</v>
      </c>
      <c r="AP122" s="429"/>
      <c r="AQ122" s="429"/>
      <c r="AR122" s="150"/>
      <c r="AS122" s="150"/>
      <c r="AT122" s="150"/>
      <c r="AU122" s="54" t="b">
        <v>0</v>
      </c>
      <c r="AV122" s="54" t="b">
        <v>0</v>
      </c>
      <c r="AW122" s="123"/>
      <c r="AX122" s="124"/>
      <c r="AY122" s="124"/>
      <c r="AZ122" s="124"/>
      <c r="BA122" s="125"/>
      <c r="BB122" s="68"/>
      <c r="BC122" s="62"/>
      <c r="BD122" s="129" t="str">
        <f t="shared" si="4"/>
        <v>_</v>
      </c>
      <c r="BE122" s="130" t="str">
        <f>IFERROR(VLOOKUP($BD122,'(勿動)組件目錄表'!$D$15:$R$1094,2,FALSE),"")</f>
        <v/>
      </c>
      <c r="BF122" s="131" t="str">
        <f>IFERROR(VLOOKUP($BD122, '(勿動)組件目錄表'!$D$15:$R$1094, 5, FALSE),"")</f>
        <v/>
      </c>
      <c r="BG122" s="118"/>
      <c r="BH122" s="120"/>
      <c r="BI122" s="118"/>
      <c r="BJ122" s="120"/>
    </row>
    <row r="123" spans="1:62" ht="15.75" customHeight="1">
      <c r="A123" s="18" t="str">
        <f t="array" aca="1" ref="A123" ca="1">IFERROR(TRANSPOSE(INDIRECT('「(動工中勿使用!!)新版+舊版_Teaser」的副本'!$BB123)),"")</f>
        <v/>
      </c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34" t="b">
        <v>0</v>
      </c>
      <c r="AF123" s="111" t="str">
        <f t="shared" si="8"/>
        <v/>
      </c>
      <c r="AG123" s="112" t="str">
        <f t="shared" si="1"/>
        <v/>
      </c>
      <c r="AH123" s="126"/>
      <c r="AI123" s="114" t="str">
        <f ca="1">IFERROR(VLOOKUP($AH123, '(勿動)Component Label公版'!$D$1:$E$1000, 2, FALSE), "-")</f>
        <v>-</v>
      </c>
      <c r="AJ123" s="115"/>
      <c r="AK123" s="112"/>
      <c r="AL123" s="112"/>
      <c r="AM123" s="116" t="str">
        <f t="shared" si="2"/>
        <v/>
      </c>
      <c r="AN123" s="117" t="str">
        <f t="shared" si="3"/>
        <v/>
      </c>
      <c r="AO123" s="145" t="s">
        <v>328</v>
      </c>
      <c r="AP123" s="427" t="s">
        <v>337</v>
      </c>
      <c r="AQ123" s="427" t="s">
        <v>243</v>
      </c>
      <c r="AR123" s="145" t="s">
        <v>329</v>
      </c>
      <c r="AS123" s="427" t="s">
        <v>337</v>
      </c>
      <c r="AT123" s="430" t="s">
        <v>243</v>
      </c>
      <c r="AU123" s="54" t="b">
        <v>0</v>
      </c>
      <c r="AV123" s="54" t="b">
        <v>0</v>
      </c>
      <c r="AW123" s="123"/>
      <c r="AX123" s="124"/>
      <c r="AY123" s="124"/>
      <c r="AZ123" s="124"/>
      <c r="BA123" s="125"/>
      <c r="BB123" s="68"/>
      <c r="BC123" s="62"/>
      <c r="BD123" s="129" t="str">
        <f t="shared" si="4"/>
        <v>_</v>
      </c>
      <c r="BE123" s="130" t="str">
        <f>IFERROR(VLOOKUP($BD123,'(勿動)組件目錄表'!$D$15:$R$1094,2,FALSE),"")</f>
        <v/>
      </c>
      <c r="BF123" s="131" t="str">
        <f>IFERROR(VLOOKUP($BD123, '(勿動)組件目錄表'!$D$15:$R$1094, 5, FALSE),"")</f>
        <v/>
      </c>
      <c r="BG123" s="118"/>
      <c r="BH123" s="120"/>
      <c r="BI123" s="118"/>
      <c r="BJ123" s="120"/>
    </row>
    <row r="124" spans="1:62" ht="33.75" customHeight="1">
      <c r="A124" s="18" t="str">
        <f t="array" aca="1" ref="A124" ca="1">IFERROR(TRANSPOSE(INDIRECT('「(動工中勿使用!!)新版+舊版_Teaser」的副本'!$BB124)),"")</f>
        <v/>
      </c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34" t="b">
        <v>0</v>
      </c>
      <c r="AF124" s="111" t="str">
        <f t="shared" si="8"/>
        <v/>
      </c>
      <c r="AG124" s="112" t="str">
        <f t="shared" si="1"/>
        <v/>
      </c>
      <c r="AH124" s="126"/>
      <c r="AI124" s="114" t="str">
        <f ca="1">IFERROR(VLOOKUP($AH124, '(勿動)Component Label公版'!$D$1:$E$1000, 2, FALSE), "-")</f>
        <v>-</v>
      </c>
      <c r="AJ124" s="115"/>
      <c r="AK124" s="112"/>
      <c r="AL124" s="112"/>
      <c r="AM124" s="116" t="str">
        <f t="shared" si="2"/>
        <v/>
      </c>
      <c r="AN124" s="117" t="str">
        <f t="shared" si="3"/>
        <v/>
      </c>
      <c r="AO124" s="151" t="s">
        <v>336</v>
      </c>
      <c r="AP124" s="379"/>
      <c r="AQ124" s="379"/>
      <c r="AR124" s="151" t="s">
        <v>336</v>
      </c>
      <c r="AS124" s="379"/>
      <c r="AT124" s="400"/>
      <c r="AU124" s="54" t="b">
        <v>0</v>
      </c>
      <c r="AV124" s="54" t="b">
        <v>0</v>
      </c>
      <c r="AW124" s="123"/>
      <c r="AX124" s="124"/>
      <c r="AY124" s="124"/>
      <c r="AZ124" s="124"/>
      <c r="BA124" s="125"/>
      <c r="BB124" s="68"/>
      <c r="BC124" s="62"/>
      <c r="BD124" s="129" t="str">
        <f t="shared" si="4"/>
        <v>_</v>
      </c>
      <c r="BE124" s="130" t="str">
        <f>IFERROR(VLOOKUP($BD124,'(勿動)組件目錄表'!$D$15:$R$1094,2,FALSE),"")</f>
        <v/>
      </c>
      <c r="BF124" s="131" t="str">
        <f>IFERROR(VLOOKUP($BD124, '(勿動)組件目錄表'!$D$15:$R$1094, 5, FALSE),"")</f>
        <v/>
      </c>
      <c r="BG124" s="118"/>
      <c r="BH124" s="120"/>
      <c r="BI124" s="118"/>
      <c r="BJ124" s="120"/>
    </row>
    <row r="125" spans="1:62" ht="15.75" customHeight="1">
      <c r="A125" s="18" t="str">
        <f t="array" aca="1" ref="A125" ca="1">IFERROR(TRANSPOSE(INDIRECT('「(動工中勿使用!!)新版+舊版_Teaser」的副本'!$BB125)),"")</f>
        <v/>
      </c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34" t="b">
        <v>0</v>
      </c>
      <c r="AF125" s="111" t="str">
        <f t="shared" si="8"/>
        <v/>
      </c>
      <c r="AG125" s="112" t="str">
        <f t="shared" si="1"/>
        <v/>
      </c>
      <c r="AH125" s="126"/>
      <c r="AI125" s="114" t="str">
        <f ca="1">IFERROR(VLOOKUP($AH125, '(勿動)Component Label公版'!$D$1:$E$1000, 2, FALSE), "-")</f>
        <v>-</v>
      </c>
      <c r="AJ125" s="115"/>
      <c r="AK125" s="112"/>
      <c r="AL125" s="112"/>
      <c r="AM125" s="116" t="str">
        <f t="shared" si="2"/>
        <v/>
      </c>
      <c r="AN125" s="117" t="str">
        <f t="shared" si="3"/>
        <v/>
      </c>
      <c r="AO125" s="148" t="s">
        <v>328</v>
      </c>
      <c r="AP125" s="428" t="s">
        <v>338</v>
      </c>
      <c r="AQ125" s="428" t="s">
        <v>243</v>
      </c>
      <c r="AR125" s="149"/>
      <c r="AS125" s="149"/>
      <c r="AT125" s="149"/>
      <c r="AU125" s="54" t="b">
        <v>0</v>
      </c>
      <c r="AV125" s="54" t="b">
        <v>0</v>
      </c>
      <c r="AW125" s="123"/>
      <c r="AX125" s="124"/>
      <c r="AY125" s="124"/>
      <c r="AZ125" s="124"/>
      <c r="BA125" s="125"/>
      <c r="BB125" s="68"/>
      <c r="BC125" s="62"/>
      <c r="BD125" s="129" t="str">
        <f t="shared" si="4"/>
        <v>_</v>
      </c>
      <c r="BE125" s="130" t="str">
        <f>IFERROR(VLOOKUP($BD125,'(勿動)組件目錄表'!$D$15:$R$1094,2,FALSE),"")</f>
        <v/>
      </c>
      <c r="BF125" s="131" t="str">
        <f>IFERROR(VLOOKUP($BD125, '(勿動)組件目錄表'!$D$15:$R$1094, 5, FALSE),"")</f>
        <v/>
      </c>
      <c r="BG125" s="118"/>
      <c r="BH125" s="120"/>
      <c r="BI125" s="118"/>
      <c r="BJ125" s="120"/>
    </row>
    <row r="126" spans="1:62" ht="33.75" customHeight="1">
      <c r="A126" s="18" t="str">
        <f t="array" aca="1" ref="A126" ca="1">IFERROR(TRANSPOSE(INDIRECT('「(動工中勿使用!!)新版+舊版_Teaser」的副本'!$BB126)),"")</f>
        <v/>
      </c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34" t="b">
        <v>0</v>
      </c>
      <c r="AF126" s="111" t="str">
        <f t="shared" si="8"/>
        <v/>
      </c>
      <c r="AG126" s="112" t="str">
        <f t="shared" si="1"/>
        <v/>
      </c>
      <c r="AH126" s="126"/>
      <c r="AI126" s="114" t="str">
        <f ca="1">IFERROR(VLOOKUP($AH126, '(勿動)Component Label公版'!$D$1:$E$1000, 2, FALSE), "-")</f>
        <v>-</v>
      </c>
      <c r="AJ126" s="115"/>
      <c r="AK126" s="112"/>
      <c r="AL126" s="112"/>
      <c r="AM126" s="116" t="str">
        <f t="shared" si="2"/>
        <v/>
      </c>
      <c r="AN126" s="117" t="str">
        <f t="shared" si="3"/>
        <v/>
      </c>
      <c r="AO126" s="152" t="s">
        <v>336</v>
      </c>
      <c r="AP126" s="429"/>
      <c r="AQ126" s="429"/>
      <c r="AR126" s="150"/>
      <c r="AS126" s="150"/>
      <c r="AT126" s="150"/>
      <c r="AU126" s="54" t="b">
        <v>0</v>
      </c>
      <c r="AV126" s="54" t="b">
        <v>0</v>
      </c>
      <c r="AW126" s="123"/>
      <c r="AX126" s="124"/>
      <c r="AY126" s="124"/>
      <c r="AZ126" s="124"/>
      <c r="BA126" s="125"/>
      <c r="BB126" s="68"/>
      <c r="BC126" s="62"/>
      <c r="BD126" s="129" t="str">
        <f t="shared" si="4"/>
        <v>_</v>
      </c>
      <c r="BE126" s="130" t="str">
        <f>IFERROR(VLOOKUP($BD126,'(勿動)組件目錄表'!$D$15:$R$1094,2,FALSE),"")</f>
        <v/>
      </c>
      <c r="BF126" s="131" t="str">
        <f>IFERROR(VLOOKUP($BD126, '(勿動)組件目錄表'!$D$15:$R$1094, 5, FALSE),"")</f>
        <v/>
      </c>
      <c r="BG126" s="118"/>
      <c r="BH126" s="120"/>
      <c r="BI126" s="118"/>
      <c r="BJ126" s="120"/>
    </row>
    <row r="127" spans="1:62" ht="15.75" customHeight="1">
      <c r="A127" s="18" t="str">
        <f t="array" aca="1" ref="A127" ca="1">IFERROR(TRANSPOSE(INDIRECT('「(動工中勿使用!!)新版+舊版_Teaser」的副本'!$BB127)),"")</f>
        <v/>
      </c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34" t="b">
        <v>0</v>
      </c>
      <c r="AF127" s="111" t="str">
        <f t="shared" si="8"/>
        <v/>
      </c>
      <c r="AG127" s="112" t="str">
        <f t="shared" si="1"/>
        <v/>
      </c>
      <c r="AH127" s="126"/>
      <c r="AI127" s="114" t="str">
        <f ca="1">IFERROR(VLOOKUP($AH127, '(勿動)Component Label公版'!$D$1:$E$1000, 2, FALSE), "-")</f>
        <v>-</v>
      </c>
      <c r="AJ127" s="115"/>
      <c r="AK127" s="112"/>
      <c r="AL127" s="112"/>
      <c r="AM127" s="116" t="str">
        <f t="shared" si="2"/>
        <v/>
      </c>
      <c r="AN127" s="117" t="str">
        <f t="shared" si="3"/>
        <v/>
      </c>
      <c r="AO127" s="145" t="s">
        <v>328</v>
      </c>
      <c r="AP127" s="427" t="s">
        <v>337</v>
      </c>
      <c r="AQ127" s="427" t="s">
        <v>243</v>
      </c>
      <c r="AR127" s="145" t="s">
        <v>328</v>
      </c>
      <c r="AS127" s="427" t="s">
        <v>338</v>
      </c>
      <c r="AT127" s="430" t="s">
        <v>243</v>
      </c>
      <c r="AU127" s="54" t="b">
        <v>0</v>
      </c>
      <c r="AV127" s="54" t="b">
        <v>0</v>
      </c>
      <c r="AW127" s="123"/>
      <c r="AX127" s="124"/>
      <c r="AY127" s="124"/>
      <c r="AZ127" s="124"/>
      <c r="BA127" s="125"/>
      <c r="BB127" s="68"/>
      <c r="BC127" s="62"/>
      <c r="BD127" s="129" t="str">
        <f t="shared" si="4"/>
        <v>_</v>
      </c>
      <c r="BE127" s="130" t="str">
        <f>IFERROR(VLOOKUP($BD127,'(勿動)組件目錄表'!$D$15:$R$1094,2,FALSE),"")</f>
        <v/>
      </c>
      <c r="BF127" s="131" t="str">
        <f>IFERROR(VLOOKUP($BD127, '(勿動)組件目錄表'!$D$15:$R$1094, 5, FALSE),"")</f>
        <v/>
      </c>
      <c r="BG127" s="118"/>
      <c r="BH127" s="120"/>
      <c r="BI127" s="118"/>
      <c r="BJ127" s="120"/>
    </row>
    <row r="128" spans="1:62" ht="33.75" customHeight="1">
      <c r="A128" s="18" t="str">
        <f t="array" aca="1" ref="A128" ca="1">IFERROR(TRANSPOSE(INDIRECT('「(動工中勿使用!!)新版+舊版_Teaser」的副本'!$BB128)),"")</f>
        <v/>
      </c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34" t="b">
        <v>0</v>
      </c>
      <c r="AF128" s="111" t="str">
        <f t="shared" si="8"/>
        <v/>
      </c>
      <c r="AG128" s="112" t="str">
        <f t="shared" si="1"/>
        <v/>
      </c>
      <c r="AH128" s="126"/>
      <c r="AI128" s="114" t="str">
        <f ca="1">IFERROR(VLOOKUP($AH128, '(勿動)Component Label公版'!$D$1:$E$1000, 2, FALSE), "-")</f>
        <v>-</v>
      </c>
      <c r="AJ128" s="115"/>
      <c r="AK128" s="112"/>
      <c r="AL128" s="112"/>
      <c r="AM128" s="116" t="str">
        <f t="shared" si="2"/>
        <v/>
      </c>
      <c r="AN128" s="117" t="str">
        <f t="shared" si="3"/>
        <v/>
      </c>
      <c r="AO128" s="152" t="s">
        <v>336</v>
      </c>
      <c r="AP128" s="429"/>
      <c r="AQ128" s="429"/>
      <c r="AR128" s="152" t="s">
        <v>336</v>
      </c>
      <c r="AS128" s="429"/>
      <c r="AT128" s="431"/>
      <c r="AU128" s="54" t="b">
        <v>0</v>
      </c>
      <c r="AV128" s="54" t="b">
        <v>0</v>
      </c>
      <c r="AW128" s="123"/>
      <c r="AX128" s="124"/>
      <c r="AY128" s="124"/>
      <c r="AZ128" s="124"/>
      <c r="BA128" s="125"/>
      <c r="BB128" s="68"/>
      <c r="BC128" s="62"/>
      <c r="BD128" s="129" t="str">
        <f t="shared" si="4"/>
        <v>_</v>
      </c>
      <c r="BE128" s="130" t="str">
        <f>IFERROR(VLOOKUP($BD128,'(勿動)組件目錄表'!$D$15:$R$1094,2,FALSE),"")</f>
        <v/>
      </c>
      <c r="BF128" s="131" t="str">
        <f>IFERROR(VLOOKUP($BD128, '(勿動)組件目錄表'!$D$15:$R$1094, 5, FALSE),"")</f>
        <v/>
      </c>
      <c r="BG128" s="118"/>
      <c r="BH128" s="120"/>
      <c r="BI128" s="118"/>
      <c r="BJ128" s="120"/>
    </row>
    <row r="129" spans="1:62" ht="15.75" customHeight="1">
      <c r="A129" s="18" t="str">
        <f t="array" aca="1" ref="A129" ca="1">IFERROR(TRANSPOSE(INDIRECT('「(動工中勿使用!!)新版+舊版_Teaser」的副本'!$BB129)),"")</f>
        <v/>
      </c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34" t="b">
        <v>0</v>
      </c>
      <c r="AF129" s="111" t="str">
        <f t="shared" si="8"/>
        <v/>
      </c>
      <c r="AG129" s="112" t="str">
        <f t="shared" si="1"/>
        <v/>
      </c>
      <c r="AH129" s="126"/>
      <c r="AI129" s="114" t="str">
        <f ca="1">IFERROR(VLOOKUP($AH129, '(勿動)Component Label公版'!$D$1:$E$1000, 2, FALSE), "-")</f>
        <v>-</v>
      </c>
      <c r="AJ129" s="115"/>
      <c r="AK129" s="112"/>
      <c r="AL129" s="112"/>
      <c r="AM129" s="116" t="str">
        <f t="shared" si="2"/>
        <v/>
      </c>
      <c r="AN129" s="117" t="str">
        <f t="shared" si="3"/>
        <v/>
      </c>
      <c r="AO129" s="145" t="s">
        <v>328</v>
      </c>
      <c r="AP129" s="427" t="s">
        <v>339</v>
      </c>
      <c r="AQ129" s="427" t="s">
        <v>243</v>
      </c>
      <c r="AR129" s="145" t="s">
        <v>328</v>
      </c>
      <c r="AS129" s="427" t="s">
        <v>339</v>
      </c>
      <c r="AT129" s="430" t="s">
        <v>243</v>
      </c>
      <c r="AU129" s="54" t="b">
        <v>0</v>
      </c>
      <c r="AV129" s="54" t="b">
        <v>0</v>
      </c>
      <c r="AW129" s="123"/>
      <c r="AX129" s="124"/>
      <c r="AY129" s="124"/>
      <c r="AZ129" s="124"/>
      <c r="BA129" s="125"/>
      <c r="BB129" s="68"/>
      <c r="BC129" s="62"/>
      <c r="BD129" s="129" t="str">
        <f t="shared" si="4"/>
        <v>_</v>
      </c>
      <c r="BE129" s="130" t="str">
        <f>IFERROR(VLOOKUP($BD129,'(勿動)組件目錄表'!$D$15:$R$1094,2,FALSE),"")</f>
        <v/>
      </c>
      <c r="BF129" s="131" t="str">
        <f>IFERROR(VLOOKUP($BD129, '(勿動)組件目錄表'!$D$15:$R$1094, 5, FALSE),"")</f>
        <v/>
      </c>
      <c r="BG129" s="118"/>
      <c r="BH129" s="120"/>
      <c r="BI129" s="118"/>
      <c r="BJ129" s="120"/>
    </row>
    <row r="130" spans="1:62" ht="33.75" customHeight="1">
      <c r="A130" s="18" t="str">
        <f t="array" aca="1" ref="A130" ca="1">IFERROR(TRANSPOSE(INDIRECT('「(動工中勿使用!!)新版+舊版_Teaser」的副本'!$BB130)),"")</f>
        <v/>
      </c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34" t="b">
        <v>0</v>
      </c>
      <c r="AF130" s="111" t="str">
        <f t="shared" si="8"/>
        <v/>
      </c>
      <c r="AG130" s="112" t="str">
        <f t="shared" si="1"/>
        <v/>
      </c>
      <c r="AH130" s="126"/>
      <c r="AI130" s="114" t="str">
        <f ca="1">IFERROR(VLOOKUP($AH130, '(勿動)Component Label公版'!$D$1:$E$1000, 2, FALSE), "-")</f>
        <v>-</v>
      </c>
      <c r="AJ130" s="115"/>
      <c r="AK130" s="112"/>
      <c r="AL130" s="112"/>
      <c r="AM130" s="116" t="str">
        <f t="shared" si="2"/>
        <v/>
      </c>
      <c r="AN130" s="117" t="str">
        <f t="shared" si="3"/>
        <v/>
      </c>
      <c r="AO130" s="151" t="s">
        <v>340</v>
      </c>
      <c r="AP130" s="379"/>
      <c r="AQ130" s="379"/>
      <c r="AR130" s="151" t="s">
        <v>340</v>
      </c>
      <c r="AS130" s="379"/>
      <c r="AT130" s="400"/>
      <c r="AU130" s="54" t="b">
        <v>0</v>
      </c>
      <c r="AV130" s="54" t="b">
        <v>0</v>
      </c>
      <c r="AW130" s="123"/>
      <c r="AX130" s="124"/>
      <c r="AY130" s="124"/>
      <c r="AZ130" s="124"/>
      <c r="BA130" s="125"/>
      <c r="BB130" s="68"/>
      <c r="BC130" s="62"/>
      <c r="BD130" s="129" t="str">
        <f t="shared" si="4"/>
        <v>_</v>
      </c>
      <c r="BE130" s="130" t="str">
        <f>IFERROR(VLOOKUP($BD130,'(勿動)組件目錄表'!$D$15:$R$1094,2,FALSE),"")</f>
        <v/>
      </c>
      <c r="BF130" s="131" t="str">
        <f>IFERROR(VLOOKUP($BD130, '(勿動)組件目錄表'!$D$15:$R$1094, 5, FALSE),"")</f>
        <v/>
      </c>
      <c r="BG130" s="118"/>
      <c r="BH130" s="120"/>
      <c r="BI130" s="118"/>
      <c r="BJ130" s="120"/>
    </row>
    <row r="131" spans="1:62" ht="15.75" customHeight="1">
      <c r="A131" s="18" t="str">
        <f t="array" aca="1" ref="A131" ca="1">IFERROR(TRANSPOSE(INDIRECT('「(動工中勿使用!!)新版+舊版_Teaser」的副本'!$BB131)),"")</f>
        <v/>
      </c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34" t="b">
        <v>0</v>
      </c>
      <c r="AF131" s="111" t="str">
        <f t="shared" si="8"/>
        <v/>
      </c>
      <c r="AG131" s="112" t="str">
        <f t="shared" si="1"/>
        <v/>
      </c>
      <c r="AH131" s="126"/>
      <c r="AI131" s="114" t="str">
        <f ca="1">IFERROR(VLOOKUP($AH131, '(勿動)Component Label公版'!$D$1:$E$1000, 2, FALSE), "-")</f>
        <v>-</v>
      </c>
      <c r="AJ131" s="115"/>
      <c r="AK131" s="112"/>
      <c r="AL131" s="112"/>
      <c r="AM131" s="116" t="str">
        <f t="shared" si="2"/>
        <v/>
      </c>
      <c r="AN131" s="117" t="str">
        <f t="shared" si="3"/>
        <v/>
      </c>
      <c r="AO131" s="148" t="s">
        <v>328</v>
      </c>
      <c r="AP131" s="428" t="s">
        <v>341</v>
      </c>
      <c r="AQ131" s="428" t="s">
        <v>243</v>
      </c>
      <c r="AR131" s="148" t="s">
        <v>328</v>
      </c>
      <c r="AS131" s="428" t="s">
        <v>341</v>
      </c>
      <c r="AT131" s="432" t="s">
        <v>243</v>
      </c>
      <c r="AU131" s="54" t="b">
        <v>0</v>
      </c>
      <c r="AV131" s="54" t="b">
        <v>0</v>
      </c>
      <c r="AW131" s="123"/>
      <c r="AX131" s="124"/>
      <c r="AY131" s="124"/>
      <c r="AZ131" s="124"/>
      <c r="BA131" s="125"/>
      <c r="BB131" s="68"/>
      <c r="BC131" s="62"/>
      <c r="BD131" s="129" t="str">
        <f t="shared" si="4"/>
        <v>_</v>
      </c>
      <c r="BE131" s="130" t="str">
        <f>IFERROR(VLOOKUP($BD131,'(勿動)組件目錄表'!$D$15:$R$1094,2,FALSE),"")</f>
        <v/>
      </c>
      <c r="BF131" s="131" t="str">
        <f>IFERROR(VLOOKUP($BD131, '(勿動)組件目錄表'!$D$15:$R$1094, 5, FALSE),"")</f>
        <v/>
      </c>
      <c r="BG131" s="118"/>
      <c r="BH131" s="120"/>
      <c r="BI131" s="118"/>
      <c r="BJ131" s="120"/>
    </row>
    <row r="132" spans="1:62" ht="33.75" customHeight="1">
      <c r="A132" s="18" t="str">
        <f t="array" aca="1" ref="A132" ca="1">IFERROR(TRANSPOSE(INDIRECT('「(動工中勿使用!!)新版+舊版_Teaser」的副本'!$BB132)),"")</f>
        <v/>
      </c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34" t="b">
        <v>0</v>
      </c>
      <c r="AF132" s="111" t="str">
        <f t="shared" si="8"/>
        <v/>
      </c>
      <c r="AG132" s="112" t="str">
        <f t="shared" si="1"/>
        <v/>
      </c>
      <c r="AH132" s="126"/>
      <c r="AI132" s="114" t="str">
        <f ca="1">IFERROR(VLOOKUP($AH132, '(勿動)Component Label公版'!$D$1:$E$1000, 2, FALSE), "-")</f>
        <v>-</v>
      </c>
      <c r="AJ132" s="115"/>
      <c r="AK132" s="112"/>
      <c r="AL132" s="112"/>
      <c r="AM132" s="116" t="str">
        <f t="shared" si="2"/>
        <v/>
      </c>
      <c r="AN132" s="117" t="str">
        <f t="shared" si="3"/>
        <v/>
      </c>
      <c r="AO132" s="151" t="s">
        <v>340</v>
      </c>
      <c r="AP132" s="379"/>
      <c r="AQ132" s="379"/>
      <c r="AR132" s="151" t="s">
        <v>340</v>
      </c>
      <c r="AS132" s="379"/>
      <c r="AT132" s="400"/>
      <c r="AU132" s="54" t="b">
        <v>0</v>
      </c>
      <c r="AV132" s="54" t="b">
        <v>0</v>
      </c>
      <c r="AW132" s="123"/>
      <c r="AX132" s="124"/>
      <c r="AY132" s="124"/>
      <c r="AZ132" s="124"/>
      <c r="BA132" s="125"/>
      <c r="BB132" s="68"/>
      <c r="BC132" s="62"/>
      <c r="BD132" s="129" t="str">
        <f t="shared" si="4"/>
        <v>_</v>
      </c>
      <c r="BE132" s="130" t="str">
        <f>IFERROR(VLOOKUP($BD132,'(勿動)組件目錄表'!$D$15:$R$1094,2,FALSE),"")</f>
        <v/>
      </c>
      <c r="BF132" s="131" t="str">
        <f>IFERROR(VLOOKUP($BD132, '(勿動)組件目錄表'!$D$15:$R$1094, 5, FALSE),"")</f>
        <v/>
      </c>
      <c r="BG132" s="118"/>
      <c r="BH132" s="120"/>
      <c r="BI132" s="118"/>
      <c r="BJ132" s="120"/>
    </row>
    <row r="133" spans="1:62" ht="15.75" customHeight="1">
      <c r="A133" s="18" t="str">
        <f t="array" aca="1" ref="A133" ca="1">IFERROR(TRANSPOSE(INDIRECT('「(動工中勿使用!!)新版+舊版_Teaser」的副本'!$BB133)),"")</f>
        <v/>
      </c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34" t="b">
        <v>0</v>
      </c>
      <c r="AF133" s="111" t="str">
        <f t="shared" si="8"/>
        <v/>
      </c>
      <c r="AG133" s="112" t="str">
        <f t="shared" si="1"/>
        <v/>
      </c>
      <c r="AH133" s="126"/>
      <c r="AI133" s="114" t="str">
        <f ca="1">IFERROR(VLOOKUP($AH133, '(勿動)Component Label公版'!$D$1:$E$1000, 2, FALSE), "-")</f>
        <v>-</v>
      </c>
      <c r="AJ133" s="115"/>
      <c r="AK133" s="112"/>
      <c r="AL133" s="112"/>
      <c r="AM133" s="116" t="str">
        <f t="shared" si="2"/>
        <v/>
      </c>
      <c r="AN133" s="117" t="str">
        <f t="shared" si="3"/>
        <v/>
      </c>
      <c r="AO133" s="148" t="s">
        <v>328</v>
      </c>
      <c r="AP133" s="428" t="s">
        <v>342</v>
      </c>
      <c r="AQ133" s="428" t="s">
        <v>243</v>
      </c>
      <c r="AR133" s="153" t="s">
        <v>343</v>
      </c>
      <c r="AS133" s="433" t="s">
        <v>344</v>
      </c>
      <c r="AT133" s="434" t="s">
        <v>243</v>
      </c>
      <c r="AU133" s="54" t="b">
        <v>0</v>
      </c>
      <c r="AV133" s="54" t="b">
        <v>0</v>
      </c>
      <c r="AW133" s="123"/>
      <c r="AX133" s="124"/>
      <c r="AY133" s="124"/>
      <c r="AZ133" s="124"/>
      <c r="BA133" s="125"/>
      <c r="BB133" s="68"/>
      <c r="BC133" s="62"/>
      <c r="BD133" s="129" t="str">
        <f t="shared" si="4"/>
        <v>_</v>
      </c>
      <c r="BE133" s="130" t="str">
        <f>IFERROR(VLOOKUP($BD133,'(勿動)組件目錄表'!$D$15:$R$1094,2,FALSE),"")</f>
        <v/>
      </c>
      <c r="BF133" s="131" t="str">
        <f>IFERROR(VLOOKUP($BD133, '(勿動)組件目錄表'!$D$15:$R$1094, 5, FALSE),"")</f>
        <v/>
      </c>
      <c r="BG133" s="118"/>
      <c r="BH133" s="120"/>
      <c r="BI133" s="118"/>
      <c r="BJ133" s="120"/>
    </row>
    <row r="134" spans="1:62" ht="33.75" customHeight="1">
      <c r="A134" s="18" t="str">
        <f t="array" aca="1" ref="A134" ca="1">IFERROR(TRANSPOSE(INDIRECT('「(動工中勿使用!!)新版+舊版_Teaser」的副本'!$BB134)),"")</f>
        <v/>
      </c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34" t="b">
        <v>0</v>
      </c>
      <c r="AF134" s="111" t="str">
        <f t="shared" si="8"/>
        <v/>
      </c>
      <c r="AG134" s="112" t="str">
        <f t="shared" si="1"/>
        <v/>
      </c>
      <c r="AH134" s="126"/>
      <c r="AI134" s="114" t="str">
        <f ca="1">IFERROR(VLOOKUP($AH134, '(勿動)Component Label公版'!$D$1:$E$1000, 2, FALSE), "-")</f>
        <v>-</v>
      </c>
      <c r="AJ134" s="115"/>
      <c r="AK134" s="112"/>
      <c r="AL134" s="112"/>
      <c r="AM134" s="116" t="str">
        <f t="shared" si="2"/>
        <v/>
      </c>
      <c r="AN134" s="117" t="str">
        <f t="shared" si="3"/>
        <v/>
      </c>
      <c r="AO134" s="151" t="s">
        <v>340</v>
      </c>
      <c r="AP134" s="379"/>
      <c r="AQ134" s="379"/>
      <c r="AR134" s="154" t="s">
        <v>340</v>
      </c>
      <c r="AS134" s="379"/>
      <c r="AT134" s="409"/>
      <c r="AU134" s="54" t="b">
        <v>0</v>
      </c>
      <c r="AV134" s="54" t="b">
        <v>0</v>
      </c>
      <c r="AW134" s="123"/>
      <c r="AX134" s="124"/>
      <c r="AY134" s="124"/>
      <c r="AZ134" s="124"/>
      <c r="BA134" s="125"/>
      <c r="BB134" s="68"/>
      <c r="BC134" s="62"/>
      <c r="BD134" s="129" t="str">
        <f t="shared" si="4"/>
        <v>_</v>
      </c>
      <c r="BE134" s="130" t="str">
        <f>IFERROR(VLOOKUP($BD134,'(勿動)組件目錄表'!$D$15:$R$1094,2,FALSE),"")</f>
        <v/>
      </c>
      <c r="BF134" s="131" t="str">
        <f>IFERROR(VLOOKUP($BD134, '(勿動)組件目錄表'!$D$15:$R$1094, 5, FALSE),"")</f>
        <v/>
      </c>
      <c r="BG134" s="118"/>
      <c r="BH134" s="120"/>
      <c r="BI134" s="118"/>
      <c r="BJ134" s="120"/>
    </row>
    <row r="135" spans="1:62" ht="15.75" customHeight="1">
      <c r="A135" s="18" t="str">
        <f t="array" aca="1" ref="A135" ca="1">IFERROR(TRANSPOSE(INDIRECT('「(動工中勿使用!!)新版+舊版_Teaser」的副本'!$BB135)),"")</f>
        <v/>
      </c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34" t="b">
        <v>0</v>
      </c>
      <c r="AF135" s="111" t="str">
        <f t="shared" si="8"/>
        <v/>
      </c>
      <c r="AG135" s="112" t="str">
        <f t="shared" si="1"/>
        <v/>
      </c>
      <c r="AH135" s="126"/>
      <c r="AI135" s="114" t="str">
        <f ca="1">IFERROR(VLOOKUP($AH135, '(勿動)Component Label公版'!$D$1:$E$1000, 2, FALSE), "-")</f>
        <v>-</v>
      </c>
      <c r="AJ135" s="115"/>
      <c r="AK135" s="112"/>
      <c r="AL135" s="112"/>
      <c r="AM135" s="116" t="str">
        <f t="shared" si="2"/>
        <v/>
      </c>
      <c r="AN135" s="117" t="str">
        <f t="shared" si="3"/>
        <v/>
      </c>
      <c r="AO135" s="148" t="s">
        <v>345</v>
      </c>
      <c r="AP135" s="428" t="s">
        <v>346</v>
      </c>
      <c r="AQ135" s="428" t="s">
        <v>243</v>
      </c>
      <c r="AR135" s="148" t="s">
        <v>347</v>
      </c>
      <c r="AS135" s="428" t="s">
        <v>348</v>
      </c>
      <c r="AT135" s="432" t="s">
        <v>243</v>
      </c>
      <c r="AU135" s="54" t="b">
        <v>0</v>
      </c>
      <c r="AV135" s="54" t="b">
        <v>0</v>
      </c>
      <c r="AW135" s="123"/>
      <c r="AX135" s="124"/>
      <c r="AY135" s="124"/>
      <c r="AZ135" s="124"/>
      <c r="BA135" s="125"/>
      <c r="BB135" s="68"/>
      <c r="BC135" s="62"/>
      <c r="BD135" s="129" t="str">
        <f t="shared" si="4"/>
        <v>_</v>
      </c>
      <c r="BE135" s="130" t="str">
        <f>IFERROR(VLOOKUP($BD135,'(勿動)組件目錄表'!$D$15:$R$1094,2,FALSE),"")</f>
        <v/>
      </c>
      <c r="BF135" s="131" t="str">
        <f>IFERROR(VLOOKUP($BD135, '(勿動)組件目錄表'!$D$15:$R$1094, 5, FALSE),"")</f>
        <v/>
      </c>
      <c r="BG135" s="118"/>
      <c r="BH135" s="120"/>
      <c r="BI135" s="118"/>
      <c r="BJ135" s="120"/>
    </row>
    <row r="136" spans="1:62" ht="33.75" customHeight="1">
      <c r="A136" s="18" t="str">
        <f t="array" aca="1" ref="A136" ca="1">IFERROR(TRANSPOSE(INDIRECT('「(動工中勿使用!!)新版+舊版_Teaser」的副本'!$BB136)),"")</f>
        <v/>
      </c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34" t="b">
        <v>0</v>
      </c>
      <c r="AF136" s="111" t="str">
        <f t="shared" si="8"/>
        <v/>
      </c>
      <c r="AG136" s="112" t="str">
        <f t="shared" si="1"/>
        <v/>
      </c>
      <c r="AH136" s="126"/>
      <c r="AI136" s="114" t="str">
        <f ca="1">IFERROR(VLOOKUP($AH136, '(勿動)Component Label公版'!$D$1:$E$1000, 2, FALSE), "-")</f>
        <v>-</v>
      </c>
      <c r="AJ136" s="115"/>
      <c r="AK136" s="112"/>
      <c r="AL136" s="112"/>
      <c r="AM136" s="116" t="str">
        <f t="shared" si="2"/>
        <v/>
      </c>
      <c r="AN136" s="117" t="str">
        <f t="shared" si="3"/>
        <v/>
      </c>
      <c r="AO136" s="151" t="s">
        <v>340</v>
      </c>
      <c r="AP136" s="379"/>
      <c r="AQ136" s="379"/>
      <c r="AR136" s="151" t="s">
        <v>340</v>
      </c>
      <c r="AS136" s="379"/>
      <c r="AT136" s="400"/>
      <c r="AU136" s="54" t="b">
        <v>0</v>
      </c>
      <c r="AV136" s="54" t="b">
        <v>0</v>
      </c>
      <c r="AW136" s="123"/>
      <c r="AX136" s="124"/>
      <c r="AY136" s="124"/>
      <c r="AZ136" s="124"/>
      <c r="BA136" s="125"/>
      <c r="BB136" s="68"/>
      <c r="BC136" s="62"/>
      <c r="BD136" s="129" t="str">
        <f t="shared" si="4"/>
        <v>_</v>
      </c>
      <c r="BE136" s="130" t="str">
        <f>IFERROR(VLOOKUP($BD136,'(勿動)組件目錄表'!$D$15:$R$1094,2,FALSE),"")</f>
        <v/>
      </c>
      <c r="BF136" s="131" t="str">
        <f>IFERROR(VLOOKUP($BD136, '(勿動)組件目錄表'!$D$15:$R$1094, 5, FALSE),"")</f>
        <v/>
      </c>
      <c r="BG136" s="118"/>
      <c r="BH136" s="120"/>
      <c r="BI136" s="118"/>
      <c r="BJ136" s="120"/>
    </row>
    <row r="137" spans="1:62" ht="15.75" customHeight="1">
      <c r="A137" s="18" t="str">
        <f t="array" aca="1" ref="A137" ca="1">IFERROR(TRANSPOSE(INDIRECT('「(動工中勿使用!!)新版+舊版_Teaser」的副本'!$BB137)),"")</f>
        <v/>
      </c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34" t="b">
        <v>0</v>
      </c>
      <c r="AF137" s="111" t="str">
        <f t="shared" si="8"/>
        <v/>
      </c>
      <c r="AG137" s="112" t="str">
        <f t="shared" si="1"/>
        <v/>
      </c>
      <c r="AH137" s="126"/>
      <c r="AI137" s="114" t="str">
        <f ca="1">IFERROR(VLOOKUP($AH137, '(勿動)Component Label公版'!$D$1:$E$1000, 2, FALSE), "-")</f>
        <v>-</v>
      </c>
      <c r="AJ137" s="115"/>
      <c r="AK137" s="112"/>
      <c r="AL137" s="112"/>
      <c r="AM137" s="116" t="str">
        <f t="shared" si="2"/>
        <v/>
      </c>
      <c r="AN137" s="117" t="str">
        <f t="shared" si="3"/>
        <v/>
      </c>
      <c r="AO137" s="148" t="s">
        <v>347</v>
      </c>
      <c r="AP137" s="428" t="s">
        <v>349</v>
      </c>
      <c r="AQ137" s="428" t="s">
        <v>243</v>
      </c>
      <c r="AR137" s="466"/>
      <c r="AS137" s="399"/>
      <c r="AT137" s="467"/>
      <c r="AU137" s="54" t="b">
        <v>0</v>
      </c>
      <c r="AV137" s="54" t="b">
        <v>0</v>
      </c>
      <c r="AW137" s="123"/>
      <c r="AX137" s="124"/>
      <c r="AY137" s="124"/>
      <c r="AZ137" s="124"/>
      <c r="BA137" s="125"/>
      <c r="BB137" s="68"/>
      <c r="BC137" s="62"/>
      <c r="BD137" s="129" t="str">
        <f t="shared" si="4"/>
        <v>_</v>
      </c>
      <c r="BE137" s="130" t="str">
        <f>IFERROR(VLOOKUP($BD137,'(勿動)組件目錄表'!$D$15:$R$1094,2,FALSE),"")</f>
        <v/>
      </c>
      <c r="BF137" s="131" t="str">
        <f>IFERROR(VLOOKUP($BD137, '(勿動)組件目錄表'!$D$15:$R$1094, 5, FALSE),"")</f>
        <v/>
      </c>
      <c r="BG137" s="118"/>
      <c r="BH137" s="120"/>
      <c r="BI137" s="118"/>
      <c r="BJ137" s="120"/>
    </row>
    <row r="138" spans="1:62" ht="33.75" customHeight="1">
      <c r="A138" s="18" t="str">
        <f t="array" aca="1" ref="A138" ca="1">IFERROR(TRANSPOSE(INDIRECT('「(動工中勿使用!!)新版+舊版_Teaser」的副本'!$BB138)),"")</f>
        <v/>
      </c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34" t="b">
        <v>0</v>
      </c>
      <c r="AF138" s="111" t="str">
        <f t="shared" si="8"/>
        <v/>
      </c>
      <c r="AG138" s="112" t="str">
        <f t="shared" si="1"/>
        <v/>
      </c>
      <c r="AH138" s="126"/>
      <c r="AI138" s="114" t="str">
        <f ca="1">IFERROR(VLOOKUP($AH138, '(勿動)Component Label公版'!$D$1:$E$1000, 2, FALSE), "-")</f>
        <v>-</v>
      </c>
      <c r="AJ138" s="115"/>
      <c r="AK138" s="112"/>
      <c r="AL138" s="112"/>
      <c r="AM138" s="116" t="str">
        <f t="shared" si="2"/>
        <v/>
      </c>
      <c r="AN138" s="117" t="str">
        <f t="shared" si="3"/>
        <v/>
      </c>
      <c r="AO138" s="152" t="s">
        <v>340</v>
      </c>
      <c r="AP138" s="429"/>
      <c r="AQ138" s="429"/>
      <c r="AR138" s="431"/>
      <c r="AS138" s="462"/>
      <c r="AT138" s="465"/>
      <c r="AU138" s="54" t="b">
        <v>0</v>
      </c>
      <c r="AV138" s="54" t="b">
        <v>0</v>
      </c>
      <c r="AW138" s="123"/>
      <c r="AX138" s="124"/>
      <c r="AY138" s="124"/>
      <c r="AZ138" s="124"/>
      <c r="BA138" s="125"/>
      <c r="BB138" s="68"/>
      <c r="BC138" s="62"/>
      <c r="BD138" s="129" t="str">
        <f t="shared" si="4"/>
        <v>_</v>
      </c>
      <c r="BE138" s="130" t="str">
        <f>IFERROR(VLOOKUP($BD138,'(勿動)組件目錄表'!$D$15:$R$1094,2,FALSE),"")</f>
        <v/>
      </c>
      <c r="BF138" s="131" t="str">
        <f>IFERROR(VLOOKUP($BD138, '(勿動)組件目錄表'!$D$15:$R$1094, 5, FALSE),"")</f>
        <v/>
      </c>
      <c r="BG138" s="118"/>
      <c r="BH138" s="120"/>
      <c r="BI138" s="118"/>
      <c r="BJ138" s="120"/>
    </row>
    <row r="139" spans="1:62" ht="15.75" customHeight="1">
      <c r="A139" s="18" t="str">
        <f t="array" aca="1" ref="A139" ca="1">IFERROR(TRANSPOSE(INDIRECT('「(動工中勿使用!!)新版+舊版_Teaser」的副本'!$BB139)),"")</f>
        <v/>
      </c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34" t="b">
        <v>0</v>
      </c>
      <c r="AF139" s="111" t="str">
        <f t="shared" si="8"/>
        <v/>
      </c>
      <c r="AG139" s="112" t="str">
        <f t="shared" si="1"/>
        <v/>
      </c>
      <c r="AH139" s="126"/>
      <c r="AI139" s="114" t="str">
        <f ca="1">IFERROR(VLOOKUP($AH139, '(勿動)Component Label公版'!$D$1:$E$1000, 2, FALSE), "-")</f>
        <v>-</v>
      </c>
      <c r="AJ139" s="115"/>
      <c r="AK139" s="112"/>
      <c r="AL139" s="112"/>
      <c r="AM139" s="116" t="str">
        <f t="shared" si="2"/>
        <v/>
      </c>
      <c r="AN139" s="117" t="str">
        <f t="shared" si="3"/>
        <v/>
      </c>
      <c r="AO139" s="468" t="s">
        <v>350</v>
      </c>
      <c r="AP139" s="469"/>
      <c r="AQ139" s="469"/>
      <c r="AR139" s="469"/>
      <c r="AS139" s="469"/>
      <c r="AT139" s="470"/>
      <c r="AU139" s="54" t="b">
        <v>0</v>
      </c>
      <c r="AV139" s="54" t="b">
        <v>0</v>
      </c>
      <c r="AW139" s="123"/>
      <c r="AX139" s="124"/>
      <c r="AY139" s="124"/>
      <c r="AZ139" s="124"/>
      <c r="BA139" s="125"/>
      <c r="BB139" s="68"/>
      <c r="BC139" s="62"/>
      <c r="BD139" s="129" t="str">
        <f t="shared" si="4"/>
        <v>_</v>
      </c>
      <c r="BE139" s="130" t="str">
        <f>IFERROR(VLOOKUP($BD139,'(勿動)組件目錄表'!$D$15:$R$1094,2,FALSE),"")</f>
        <v/>
      </c>
      <c r="BF139" s="131" t="str">
        <f>IFERROR(VLOOKUP($BD139, '(勿動)組件目錄表'!$D$15:$R$1094, 5, FALSE),"")</f>
        <v/>
      </c>
      <c r="BG139" s="118"/>
      <c r="BH139" s="120"/>
      <c r="BI139" s="118"/>
      <c r="BJ139" s="120"/>
    </row>
    <row r="140" spans="1:62" ht="15.75" customHeight="1">
      <c r="A140" s="18" t="str">
        <f t="array" aca="1" ref="A140" ca="1">IFERROR(TRANSPOSE(INDIRECT('「(動工中勿使用!!)新版+舊版_Teaser」的副本'!$BB140)),"")</f>
        <v/>
      </c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34" t="b">
        <v>0</v>
      </c>
      <c r="AF140" s="111" t="str">
        <f t="shared" si="8"/>
        <v/>
      </c>
      <c r="AG140" s="112" t="str">
        <f t="shared" si="1"/>
        <v/>
      </c>
      <c r="AH140" s="126"/>
      <c r="AI140" s="114" t="str">
        <f ca="1">IFERROR(VLOOKUP($AH140, '(勿動)Component Label公版'!$D$1:$E$1000, 2, FALSE), "-")</f>
        <v>-</v>
      </c>
      <c r="AJ140" s="115"/>
      <c r="AK140" s="112"/>
      <c r="AL140" s="112"/>
      <c r="AM140" s="116" t="str">
        <f t="shared" si="2"/>
        <v/>
      </c>
      <c r="AN140" s="117" t="str">
        <f t="shared" si="3"/>
        <v/>
      </c>
      <c r="AO140" s="471" t="s">
        <v>351</v>
      </c>
      <c r="AP140" s="469"/>
      <c r="AQ140" s="469"/>
      <c r="AR140" s="469"/>
      <c r="AS140" s="469"/>
      <c r="AT140" s="470"/>
      <c r="AU140" s="54" t="b">
        <v>0</v>
      </c>
      <c r="AV140" s="54" t="b">
        <v>0</v>
      </c>
      <c r="AW140" s="123"/>
      <c r="AX140" s="124"/>
      <c r="AY140" s="124"/>
      <c r="AZ140" s="124"/>
      <c r="BA140" s="125"/>
      <c r="BB140" s="68"/>
      <c r="BC140" s="62"/>
      <c r="BD140" s="129" t="str">
        <f t="shared" si="4"/>
        <v>_</v>
      </c>
      <c r="BE140" s="130" t="str">
        <f>IFERROR(VLOOKUP($BD140,'(勿動)組件目錄表'!$D$15:$R$1094,2,FALSE),"")</f>
        <v/>
      </c>
      <c r="BF140" s="131" t="str">
        <f>IFERROR(VLOOKUP($BD140, '(勿動)組件目錄表'!$D$15:$R$1094, 5, FALSE),"")</f>
        <v/>
      </c>
      <c r="BG140" s="118"/>
      <c r="BH140" s="120"/>
      <c r="BI140" s="118"/>
      <c r="BJ140" s="120"/>
    </row>
    <row r="141" spans="1:62" ht="15.75" customHeight="1">
      <c r="A141" s="18" t="str">
        <f t="array" aca="1" ref="A141" ca="1">IFERROR(TRANSPOSE(INDIRECT('「(動工中勿使用!!)新版+舊版_Teaser」的副本'!$BB141)),"")</f>
        <v/>
      </c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34" t="b">
        <v>0</v>
      </c>
      <c r="AF141" s="111" t="str">
        <f t="shared" si="8"/>
        <v/>
      </c>
      <c r="AG141" s="112" t="str">
        <f t="shared" si="1"/>
        <v/>
      </c>
      <c r="AH141" s="126"/>
      <c r="AI141" s="114" t="str">
        <f ca="1">IFERROR(VLOOKUP($AH141, '(勿動)Component Label公版'!$D$1:$E$1000, 2, FALSE), "-")</f>
        <v>-</v>
      </c>
      <c r="AJ141" s="115"/>
      <c r="AK141" s="112"/>
      <c r="AL141" s="112"/>
      <c r="AM141" s="116" t="str">
        <f t="shared" si="2"/>
        <v/>
      </c>
      <c r="AN141" s="117" t="str">
        <f t="shared" si="3"/>
        <v/>
      </c>
      <c r="AO141" s="148" t="s">
        <v>343</v>
      </c>
      <c r="AP141" s="432" t="s">
        <v>344</v>
      </c>
      <c r="AQ141" s="399"/>
      <c r="AR141" s="422"/>
      <c r="AS141" s="432" t="s">
        <v>243</v>
      </c>
      <c r="AT141" s="422"/>
      <c r="AU141" s="54" t="b">
        <v>0</v>
      </c>
      <c r="AV141" s="54" t="b">
        <v>0</v>
      </c>
      <c r="AW141" s="123"/>
      <c r="AX141" s="124"/>
      <c r="AY141" s="124"/>
      <c r="AZ141" s="124"/>
      <c r="BA141" s="125"/>
      <c r="BB141" s="68"/>
      <c r="BC141" s="62"/>
      <c r="BD141" s="129" t="str">
        <f t="shared" si="4"/>
        <v>_</v>
      </c>
      <c r="BE141" s="130" t="str">
        <f>IFERROR(VLOOKUP($BD141,'(勿動)組件目錄表'!$D$15:$R$1094,2,FALSE),"")</f>
        <v/>
      </c>
      <c r="BF141" s="131" t="str">
        <f>IFERROR(VLOOKUP($BD141, '(勿動)組件目錄表'!$D$15:$R$1094, 5, FALSE),"")</f>
        <v/>
      </c>
      <c r="BG141" s="118"/>
      <c r="BH141" s="120"/>
      <c r="BI141" s="118"/>
      <c r="BJ141" s="120"/>
    </row>
    <row r="142" spans="1:62" ht="33.75" customHeight="1">
      <c r="A142" s="18" t="str">
        <f t="array" aca="1" ref="A142" ca="1">IFERROR(TRANSPOSE(INDIRECT('「(動工中勿使用!!)新版+舊版_Teaser」的副本'!$BB142)),"")</f>
        <v/>
      </c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34" t="b">
        <v>0</v>
      </c>
      <c r="AF142" s="111" t="str">
        <f t="shared" si="8"/>
        <v/>
      </c>
      <c r="AG142" s="112" t="str">
        <f t="shared" si="1"/>
        <v/>
      </c>
      <c r="AH142" s="126"/>
      <c r="AI142" s="114" t="str">
        <f ca="1">IFERROR(VLOOKUP($AH142, '(勿動)Component Label公版'!$D$1:$E$1000, 2, FALSE), "-")</f>
        <v>-</v>
      </c>
      <c r="AJ142" s="115"/>
      <c r="AK142" s="112"/>
      <c r="AL142" s="112"/>
      <c r="AM142" s="116" t="str">
        <f t="shared" si="2"/>
        <v/>
      </c>
      <c r="AN142" s="117" t="str">
        <f t="shared" si="3"/>
        <v/>
      </c>
      <c r="AO142" s="147" t="s">
        <v>340</v>
      </c>
      <c r="AP142" s="400"/>
      <c r="AQ142" s="401"/>
      <c r="AR142" s="424"/>
      <c r="AS142" s="400"/>
      <c r="AT142" s="424"/>
      <c r="AU142" s="54" t="b">
        <v>0</v>
      </c>
      <c r="AV142" s="54" t="b">
        <v>0</v>
      </c>
      <c r="AW142" s="123"/>
      <c r="AX142" s="124"/>
      <c r="AY142" s="124"/>
      <c r="AZ142" s="124"/>
      <c r="BA142" s="125"/>
      <c r="BB142" s="68"/>
      <c r="BC142" s="62"/>
      <c r="BD142" s="129" t="str">
        <f t="shared" si="4"/>
        <v>_</v>
      </c>
      <c r="BE142" s="130" t="str">
        <f>IFERROR(VLOOKUP($BD142,'(勿動)組件目錄表'!$D$15:$R$1094,2,FALSE),"")</f>
        <v/>
      </c>
      <c r="BF142" s="131" t="str">
        <f>IFERROR(VLOOKUP($BD142, '(勿動)組件目錄表'!$D$15:$R$1094, 5, FALSE),"")</f>
        <v/>
      </c>
      <c r="BG142" s="118"/>
      <c r="BH142" s="120"/>
      <c r="BI142" s="118"/>
      <c r="BJ142" s="120"/>
    </row>
    <row r="143" spans="1:62" ht="15.75" customHeight="1">
      <c r="A143" s="18" t="str">
        <f t="array" aca="1" ref="A143" ca="1">IFERROR(TRANSPOSE(INDIRECT('「(動工中勿使用!!)新版+舊版_Teaser」的副本'!$BB143)),"")</f>
        <v/>
      </c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86" t="b">
        <v>0</v>
      </c>
      <c r="AF143" s="111" t="str">
        <f t="shared" si="8"/>
        <v/>
      </c>
      <c r="AG143" s="112" t="str">
        <f t="shared" si="1"/>
        <v/>
      </c>
      <c r="AH143" s="126"/>
      <c r="AI143" s="114" t="str">
        <f ca="1">IFERROR(VLOOKUP($AH143, '(勿動)Component Label公版'!$D$1:$E$1000, 2, FALSE), "-")</f>
        <v>-</v>
      </c>
      <c r="AJ143" s="115"/>
      <c r="AK143" s="112"/>
      <c r="AL143" s="112"/>
      <c r="AM143" s="116" t="str">
        <f t="shared" si="2"/>
        <v/>
      </c>
      <c r="AN143" s="117" t="str">
        <f t="shared" si="3"/>
        <v/>
      </c>
      <c r="AO143" s="449" t="s">
        <v>188</v>
      </c>
      <c r="AP143" s="384"/>
      <c r="AQ143" s="384"/>
      <c r="AR143" s="384"/>
      <c r="AS143" s="384"/>
      <c r="AT143" s="385"/>
      <c r="AU143" s="54" t="b">
        <v>0</v>
      </c>
      <c r="AV143" s="54" t="b">
        <v>0</v>
      </c>
      <c r="AW143" s="123"/>
      <c r="AX143" s="124"/>
      <c r="AY143" s="124"/>
      <c r="AZ143" s="124"/>
      <c r="BA143" s="125"/>
      <c r="BB143" s="68"/>
      <c r="BC143" s="62"/>
      <c r="BD143" s="129" t="str">
        <f t="shared" si="4"/>
        <v>_</v>
      </c>
      <c r="BE143" s="130" t="str">
        <f>IFERROR(VLOOKUP($BD143,'(勿動)組件目錄表'!$D$15:$R$1094,2,FALSE),"")</f>
        <v/>
      </c>
      <c r="BF143" s="131" t="str">
        <f>IFERROR(VLOOKUP($BD143, '(勿動)組件目錄表'!$D$15:$R$1094, 5, FALSE),"")</f>
        <v/>
      </c>
      <c r="BG143" s="118"/>
      <c r="BH143" s="120"/>
      <c r="BI143" s="118"/>
      <c r="BJ143" s="120"/>
    </row>
    <row r="144" spans="1:62" ht="33.75" customHeight="1">
      <c r="A144" s="18" t="str">
        <f t="array" aca="1" ref="A144" ca="1">IFERROR(TRANSPOSE(INDIRECT('「(動工中勿使用!!)新版+舊版_Teaser」的副本'!$BB144)),"")</f>
        <v/>
      </c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86" t="b">
        <v>0</v>
      </c>
      <c r="AF144" s="111" t="str">
        <f t="shared" si="8"/>
        <v/>
      </c>
      <c r="AG144" s="112" t="str">
        <f t="shared" si="1"/>
        <v/>
      </c>
      <c r="AH144" s="126" t="s">
        <v>352</v>
      </c>
      <c r="AI144" s="114" t="str">
        <f ca="1">IFERROR(VLOOKUP($AH144, '(勿動)Component Label公版'!$D$1:$E$1000, 2, FALSE), "-")</f>
        <v>-</v>
      </c>
      <c r="AJ144" s="115"/>
      <c r="AK144" s="112"/>
      <c r="AL144" s="112"/>
      <c r="AM144" s="116" t="str">
        <f t="shared" si="2"/>
        <v/>
      </c>
      <c r="AN144" s="117" t="str">
        <f t="shared" si="3"/>
        <v/>
      </c>
      <c r="AO144" s="473" t="s">
        <v>353</v>
      </c>
      <c r="AP144" s="469"/>
      <c r="AQ144" s="469"/>
      <c r="AR144" s="469"/>
      <c r="AS144" s="469"/>
      <c r="AT144" s="470"/>
      <c r="AU144" s="54" t="b">
        <v>0</v>
      </c>
      <c r="AV144" s="54" t="b">
        <v>0</v>
      </c>
      <c r="AW144" s="123"/>
      <c r="AX144" s="124"/>
      <c r="AY144" s="124"/>
      <c r="AZ144" s="124"/>
      <c r="BA144" s="125"/>
      <c r="BB144" s="68"/>
      <c r="BC144" s="62"/>
      <c r="BD144" s="129" t="str">
        <f t="shared" si="4"/>
        <v>_</v>
      </c>
      <c r="BE144" s="130" t="str">
        <f>IFERROR(VLOOKUP($BD144,'(勿動)組件目錄表'!$D$15:$R$1094,2,FALSE),"")</f>
        <v/>
      </c>
      <c r="BF144" s="131" t="str">
        <f>IFERROR(VLOOKUP($BD144, '(勿動)組件目錄表'!$D$15:$R$1094, 5, FALSE),"")</f>
        <v/>
      </c>
      <c r="BG144" s="118"/>
      <c r="BH144" s="120"/>
      <c r="BI144" s="118"/>
      <c r="BJ144" s="120"/>
    </row>
    <row r="145" spans="1:62" ht="15.75" customHeight="1">
      <c r="A145" s="18" t="str">
        <f t="array" aca="1" ref="A145" ca="1">IFERROR(TRANSPOSE(INDIRECT('「(動工中勿使用!!)新版+舊版_Teaser」的副本'!$BB145)),"")</f>
        <v/>
      </c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86" t="b">
        <v>0</v>
      </c>
      <c r="AF145" s="111" t="str">
        <f t="shared" si="8"/>
        <v/>
      </c>
      <c r="AG145" s="112" t="str">
        <f t="shared" si="1"/>
        <v/>
      </c>
      <c r="AH145" s="126" t="s">
        <v>352</v>
      </c>
      <c r="AI145" s="114" t="str">
        <f ca="1">IFERROR(VLOOKUP($AH145, '(勿動)Component Label公版'!$D$1:$E$1000, 2, FALSE), "-")</f>
        <v>-</v>
      </c>
      <c r="AJ145" s="115"/>
      <c r="AK145" s="112"/>
      <c r="AL145" s="112"/>
      <c r="AM145" s="116" t="str">
        <f t="shared" si="2"/>
        <v/>
      </c>
      <c r="AN145" s="117" t="str">
        <f t="shared" si="3"/>
        <v/>
      </c>
      <c r="AO145" s="474" t="s">
        <v>354</v>
      </c>
      <c r="AP145" s="384"/>
      <c r="AQ145" s="384"/>
      <c r="AR145" s="385"/>
      <c r="AS145" s="475" t="s">
        <v>355</v>
      </c>
      <c r="AT145" s="385"/>
      <c r="AU145" s="54" t="b">
        <v>1</v>
      </c>
      <c r="AV145" s="54" t="b">
        <v>1</v>
      </c>
      <c r="AW145" s="444" t="s">
        <v>356</v>
      </c>
      <c r="AX145" s="439"/>
      <c r="AY145" s="439"/>
      <c r="AZ145" s="439"/>
      <c r="BA145" s="440"/>
      <c r="BB145" s="68"/>
      <c r="BC145" s="62"/>
      <c r="BD145" s="129" t="str">
        <f t="shared" si="4"/>
        <v>_</v>
      </c>
      <c r="BE145" s="130" t="str">
        <f>IFERROR(VLOOKUP($BD145,'(勿動)組件目錄表'!$D$15:$R$1094,2,FALSE),"")</f>
        <v/>
      </c>
      <c r="BF145" s="131" t="str">
        <f>IFERROR(VLOOKUP($BD145, '(勿動)組件目錄表'!$D$15:$R$1094, 5, FALSE),"")</f>
        <v/>
      </c>
      <c r="BG145" s="118"/>
      <c r="BH145" s="120"/>
      <c r="BI145" s="118"/>
      <c r="BJ145" s="120"/>
    </row>
    <row r="146" spans="1:62" ht="15.75" customHeight="1">
      <c r="A146" s="18" t="str">
        <f t="array" aca="1" ref="A146" ca="1">IFERROR(TRANSPOSE(INDIRECT('「(動工中勿使用!!)新版+舊版_Teaser」的副本'!$BB146)),"")</f>
        <v/>
      </c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86" t="b">
        <v>0</v>
      </c>
      <c r="AF146" s="111" t="str">
        <f t="shared" si="8"/>
        <v/>
      </c>
      <c r="AG146" s="112" t="str">
        <f t="shared" si="1"/>
        <v/>
      </c>
      <c r="AH146" s="126" t="s">
        <v>352</v>
      </c>
      <c r="AI146" s="114" t="str">
        <f ca="1">IFERROR(VLOOKUP($AH146, '(勿動)Component Label公版'!$D$1:$E$1000, 2, FALSE), "-")</f>
        <v>-</v>
      </c>
      <c r="AJ146" s="115"/>
      <c r="AK146" s="112"/>
      <c r="AL146" s="112"/>
      <c r="AM146" s="116" t="str">
        <f t="shared" si="2"/>
        <v/>
      </c>
      <c r="AN146" s="117" t="str">
        <f t="shared" si="3"/>
        <v/>
      </c>
      <c r="AO146" s="445" t="s">
        <v>357</v>
      </c>
      <c r="AP146" s="384"/>
      <c r="AQ146" s="384"/>
      <c r="AR146" s="384"/>
      <c r="AS146" s="384"/>
      <c r="AT146" s="385"/>
      <c r="AU146" s="54" t="b">
        <v>0</v>
      </c>
      <c r="AV146" s="54" t="b">
        <v>0</v>
      </c>
      <c r="AW146" s="412"/>
      <c r="AX146" s="416"/>
      <c r="AY146" s="416"/>
      <c r="AZ146" s="416"/>
      <c r="BA146" s="423"/>
      <c r="BB146" s="68"/>
      <c r="BC146" s="62"/>
      <c r="BD146" s="129" t="str">
        <f t="shared" si="4"/>
        <v>_</v>
      </c>
      <c r="BE146" s="130" t="str">
        <f>IFERROR(VLOOKUP($BD146,'(勿動)組件目錄表'!$D$15:$R$1094,2,FALSE),"")</f>
        <v/>
      </c>
      <c r="BF146" s="131" t="str">
        <f>IFERROR(VLOOKUP($BD146, '(勿動)組件目錄表'!$D$15:$R$1094, 5, FALSE),"")</f>
        <v/>
      </c>
      <c r="BG146" s="118"/>
      <c r="BH146" s="120"/>
      <c r="BI146" s="118"/>
      <c r="BJ146" s="120"/>
    </row>
    <row r="147" spans="1:62" ht="15.75" customHeight="1">
      <c r="A147" s="18" t="str">
        <f t="array" aca="1" ref="A147" ca="1">IFERROR(TRANSPOSE(INDIRECT('「(動工中勿使用!!)新版+舊版_Teaser」的副本'!$BB147)),"")</f>
        <v/>
      </c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86" t="b">
        <v>0</v>
      </c>
      <c r="AF147" s="111" t="str">
        <f t="shared" si="8"/>
        <v/>
      </c>
      <c r="AG147" s="112" t="str">
        <f t="shared" si="1"/>
        <v/>
      </c>
      <c r="AH147" s="126" t="s">
        <v>352</v>
      </c>
      <c r="AI147" s="114" t="str">
        <f ca="1">IFERROR(VLOOKUP($AH147, '(勿動)Component Label公版'!$D$1:$E$1000, 2, FALSE), "-")</f>
        <v>-</v>
      </c>
      <c r="AJ147" s="115"/>
      <c r="AK147" s="112"/>
      <c r="AL147" s="112"/>
      <c r="AM147" s="116" t="str">
        <f t="shared" si="2"/>
        <v/>
      </c>
      <c r="AN147" s="117" t="str">
        <f t="shared" si="3"/>
        <v/>
      </c>
      <c r="AO147" s="437" t="s">
        <v>358</v>
      </c>
      <c r="AP147" s="385"/>
      <c r="AQ147" s="437" t="s">
        <v>358</v>
      </c>
      <c r="AR147" s="385"/>
      <c r="AS147" s="437" t="s">
        <v>358</v>
      </c>
      <c r="AT147" s="385"/>
      <c r="AU147" s="54" t="b">
        <v>1</v>
      </c>
      <c r="AV147" s="54" t="b">
        <v>1</v>
      </c>
      <c r="AW147" s="441"/>
      <c r="AX147" s="442"/>
      <c r="AY147" s="442"/>
      <c r="AZ147" s="442"/>
      <c r="BA147" s="443"/>
      <c r="BB147" s="68"/>
      <c r="BC147" s="62"/>
      <c r="BD147" s="129" t="str">
        <f t="shared" si="4"/>
        <v>_</v>
      </c>
      <c r="BE147" s="130" t="str">
        <f>IFERROR(VLOOKUP($BD147,'(勿動)組件目錄表'!$D$15:$R$1094,2,FALSE),"")</f>
        <v/>
      </c>
      <c r="BF147" s="131" t="str">
        <f>IFERROR(VLOOKUP($BD147, '(勿動)組件目錄表'!$D$15:$R$1094, 5, FALSE),"")</f>
        <v/>
      </c>
      <c r="BG147" s="118"/>
      <c r="BH147" s="120"/>
      <c r="BI147" s="118"/>
      <c r="BJ147" s="120"/>
    </row>
    <row r="148" spans="1:62" ht="15.75" customHeight="1">
      <c r="A148" s="18" t="str">
        <f t="array" aca="1" ref="A148" ca="1">IFERROR(TRANSPOSE(INDIRECT('「(動工中勿使用!!)新版+舊版_Teaser」的副本'!$BB148)),"")</f>
        <v/>
      </c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86" t="b">
        <v>0</v>
      </c>
      <c r="AF148" s="111" t="str">
        <f t="shared" si="8"/>
        <v/>
      </c>
      <c r="AG148" s="112" t="str">
        <f t="shared" si="1"/>
        <v/>
      </c>
      <c r="AH148" s="126" t="s">
        <v>352</v>
      </c>
      <c r="AI148" s="114" t="str">
        <f ca="1">IFERROR(VLOOKUP($AH148, '(勿動)Component Label公版'!$D$1:$E$1000, 2, FALSE), "-")</f>
        <v>-</v>
      </c>
      <c r="AJ148" s="115"/>
      <c r="AK148" s="112"/>
      <c r="AL148" s="112"/>
      <c r="AM148" s="116" t="str">
        <f t="shared" si="2"/>
        <v/>
      </c>
      <c r="AN148" s="117" t="str">
        <f t="shared" si="3"/>
        <v/>
      </c>
      <c r="AO148" s="437" t="s">
        <v>359</v>
      </c>
      <c r="AP148" s="385"/>
      <c r="AQ148" s="437" t="s">
        <v>360</v>
      </c>
      <c r="AR148" s="385"/>
      <c r="AS148" s="437" t="s">
        <v>361</v>
      </c>
      <c r="AT148" s="385"/>
      <c r="AU148" s="54" t="b">
        <v>1</v>
      </c>
      <c r="AV148" s="54" t="b">
        <v>1</v>
      </c>
      <c r="AW148" s="438"/>
      <c r="AX148" s="439"/>
      <c r="AY148" s="439"/>
      <c r="AZ148" s="439"/>
      <c r="BA148" s="440"/>
      <c r="BB148" s="68"/>
      <c r="BC148" s="62"/>
      <c r="BD148" s="129" t="str">
        <f t="shared" si="4"/>
        <v>_</v>
      </c>
      <c r="BE148" s="130" t="str">
        <f>IFERROR(VLOOKUP($BD148,'(勿動)組件目錄表'!$D$15:$R$1094,2,FALSE),"")</f>
        <v/>
      </c>
      <c r="BF148" s="131" t="str">
        <f>IFERROR(VLOOKUP($BD148, '(勿動)組件目錄表'!$D$15:$R$1094, 5, FALSE),"")</f>
        <v/>
      </c>
      <c r="BG148" s="118"/>
      <c r="BH148" s="120"/>
      <c r="BI148" s="118"/>
      <c r="BJ148" s="120"/>
    </row>
    <row r="149" spans="1:62" ht="15.75" customHeight="1">
      <c r="A149" s="18" t="str">
        <f t="array" aca="1" ref="A149" ca="1">IFERROR(TRANSPOSE(INDIRECT('「(動工中勿使用!!)新版+舊版_Teaser」的副本'!$BB149)),"")</f>
        <v/>
      </c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86" t="b">
        <v>0</v>
      </c>
      <c r="AF149" s="111" t="str">
        <f t="shared" si="8"/>
        <v/>
      </c>
      <c r="AG149" s="112" t="str">
        <f t="shared" si="1"/>
        <v/>
      </c>
      <c r="AH149" s="126" t="s">
        <v>352</v>
      </c>
      <c r="AI149" s="114" t="str">
        <f ca="1">IFERROR(VLOOKUP($AH149, '(勿動)Component Label公版'!$D$1:$E$1000, 2, FALSE), "-")</f>
        <v>-</v>
      </c>
      <c r="AJ149" s="115"/>
      <c r="AK149" s="112"/>
      <c r="AL149" s="112"/>
      <c r="AM149" s="116" t="str">
        <f t="shared" si="2"/>
        <v/>
      </c>
      <c r="AN149" s="117" t="str">
        <f t="shared" si="3"/>
        <v/>
      </c>
      <c r="AO149" s="435" t="s">
        <v>362</v>
      </c>
      <c r="AP149" s="385"/>
      <c r="AQ149" s="435" t="s">
        <v>362</v>
      </c>
      <c r="AR149" s="385"/>
      <c r="AS149" s="435" t="s">
        <v>362</v>
      </c>
      <c r="AT149" s="385"/>
      <c r="AU149" s="54" t="b">
        <v>0</v>
      </c>
      <c r="AV149" s="54" t="b">
        <v>0</v>
      </c>
      <c r="AW149" s="412"/>
      <c r="AX149" s="416"/>
      <c r="AY149" s="416"/>
      <c r="AZ149" s="416"/>
      <c r="BA149" s="423"/>
      <c r="BB149" s="68"/>
      <c r="BC149" s="62"/>
      <c r="BD149" s="129" t="str">
        <f t="shared" si="4"/>
        <v>_</v>
      </c>
      <c r="BE149" s="130" t="str">
        <f>IFERROR(VLOOKUP($BD149,'(勿動)組件目錄表'!$D$15:$R$1094,2,FALSE),"")</f>
        <v/>
      </c>
      <c r="BF149" s="131" t="str">
        <f>IFERROR(VLOOKUP($BD149, '(勿動)組件目錄表'!$D$15:$R$1094, 5, FALSE),"")</f>
        <v/>
      </c>
      <c r="BG149" s="118"/>
      <c r="BH149" s="120"/>
      <c r="BI149" s="118"/>
      <c r="BJ149" s="120"/>
    </row>
    <row r="150" spans="1:62" ht="15.75" customHeight="1">
      <c r="A150" s="18" t="str">
        <f t="array" aca="1" ref="A150" ca="1">IFERROR(TRANSPOSE(INDIRECT('「(動工中勿使用!!)新版+舊版_Teaser」的副本'!$BB150)),"")</f>
        <v/>
      </c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86" t="b">
        <v>0</v>
      </c>
      <c r="AF150" s="111" t="str">
        <f t="shared" si="8"/>
        <v/>
      </c>
      <c r="AG150" s="112" t="str">
        <f t="shared" si="1"/>
        <v/>
      </c>
      <c r="AH150" s="126" t="s">
        <v>352</v>
      </c>
      <c r="AI150" s="114" t="str">
        <f ca="1">IFERROR(VLOOKUP($AH150, '(勿動)Component Label公版'!$D$1:$E$1000, 2, FALSE), "-")</f>
        <v>-</v>
      </c>
      <c r="AJ150" s="115"/>
      <c r="AK150" s="112"/>
      <c r="AL150" s="112"/>
      <c r="AM150" s="116" t="str">
        <f t="shared" si="2"/>
        <v/>
      </c>
      <c r="AN150" s="117" t="str">
        <f t="shared" si="3"/>
        <v/>
      </c>
      <c r="AO150" s="436" t="s">
        <v>363</v>
      </c>
      <c r="AP150" s="385"/>
      <c r="AQ150" s="436" t="s">
        <v>363</v>
      </c>
      <c r="AR150" s="385"/>
      <c r="AS150" s="436" t="s">
        <v>363</v>
      </c>
      <c r="AT150" s="385"/>
      <c r="AU150" s="54" t="b">
        <v>0</v>
      </c>
      <c r="AV150" s="54" t="b">
        <v>0</v>
      </c>
      <c r="AW150" s="441"/>
      <c r="AX150" s="442"/>
      <c r="AY150" s="442"/>
      <c r="AZ150" s="442"/>
      <c r="BA150" s="443"/>
      <c r="BB150" s="68"/>
      <c r="BC150" s="62"/>
      <c r="BD150" s="129" t="str">
        <f t="shared" si="4"/>
        <v>_</v>
      </c>
      <c r="BE150" s="130" t="str">
        <f>IFERROR(VLOOKUP($BD150,'(勿動)組件目錄表'!$D$15:$R$1094,2,FALSE),"")</f>
        <v/>
      </c>
      <c r="BF150" s="131" t="str">
        <f>IFERROR(VLOOKUP($BD150, '(勿動)組件目錄表'!$D$15:$R$1094, 5, FALSE),"")</f>
        <v/>
      </c>
      <c r="BG150" s="118"/>
      <c r="BH150" s="120"/>
      <c r="BI150" s="118"/>
      <c r="BJ150" s="120"/>
    </row>
    <row r="151" spans="1:62" ht="15.75" customHeight="1">
      <c r="A151" s="18" t="str">
        <f t="array" aca="1" ref="A151" ca="1">IFERROR(TRANSPOSE(INDIRECT('「(動工中勿使用!!)新版+舊版_Teaser」的副本'!$BB151)),"")</f>
        <v/>
      </c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86" t="b">
        <v>0</v>
      </c>
      <c r="AF151" s="111" t="str">
        <f t="shared" si="8"/>
        <v/>
      </c>
      <c r="AG151" s="112" t="str">
        <f t="shared" si="1"/>
        <v/>
      </c>
      <c r="AH151" s="126" t="s">
        <v>352</v>
      </c>
      <c r="AI151" s="114" t="str">
        <f ca="1">IFERROR(VLOOKUP($AH151, '(勿動)Component Label公版'!$D$1:$E$1000, 2, FALSE), "-")</f>
        <v>-</v>
      </c>
      <c r="AJ151" s="115"/>
      <c r="AK151" s="112"/>
      <c r="AL151" s="112"/>
      <c r="AM151" s="116" t="str">
        <f t="shared" si="2"/>
        <v/>
      </c>
      <c r="AN151" s="117" t="str">
        <f t="shared" si="3"/>
        <v/>
      </c>
      <c r="AO151" s="437" t="s">
        <v>358</v>
      </c>
      <c r="AP151" s="385"/>
      <c r="AQ151" s="437" t="s">
        <v>358</v>
      </c>
      <c r="AR151" s="385"/>
      <c r="AS151" s="437" t="s">
        <v>358</v>
      </c>
      <c r="AT151" s="385"/>
      <c r="AU151" s="54" t="b">
        <v>1</v>
      </c>
      <c r="AV151" s="54" t="b">
        <v>1</v>
      </c>
      <c r="AW151" s="438"/>
      <c r="AX151" s="439"/>
      <c r="AY151" s="439"/>
      <c r="AZ151" s="439"/>
      <c r="BA151" s="440"/>
      <c r="BB151" s="68"/>
      <c r="BC151" s="62"/>
      <c r="BD151" s="129" t="str">
        <f t="shared" si="4"/>
        <v>_</v>
      </c>
      <c r="BE151" s="130" t="str">
        <f>IFERROR(VLOOKUP($BD151,'(勿動)組件目錄表'!$D$15:$R$1094,2,FALSE),"")</f>
        <v/>
      </c>
      <c r="BF151" s="131" t="str">
        <f>IFERROR(VLOOKUP($BD151, '(勿動)組件目錄表'!$D$15:$R$1094, 5, FALSE),"")</f>
        <v/>
      </c>
      <c r="BG151" s="118"/>
      <c r="BH151" s="120"/>
      <c r="BI151" s="118"/>
      <c r="BJ151" s="120"/>
    </row>
    <row r="152" spans="1:62" ht="15.75" customHeight="1">
      <c r="A152" s="18" t="str">
        <f t="array" aca="1" ref="A152" ca="1">IFERROR(TRANSPOSE(INDIRECT('「(動工中勿使用!!)新版+舊版_Teaser」的副本'!$BB152)),"")</f>
        <v/>
      </c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86" t="b">
        <v>0</v>
      </c>
      <c r="AF152" s="111" t="str">
        <f t="shared" si="8"/>
        <v/>
      </c>
      <c r="AG152" s="112" t="str">
        <f t="shared" si="1"/>
        <v/>
      </c>
      <c r="AH152" s="126" t="s">
        <v>352</v>
      </c>
      <c r="AI152" s="114" t="str">
        <f ca="1">IFERROR(VLOOKUP($AH152, '(勿動)Component Label公版'!$D$1:$E$1000, 2, FALSE), "-")</f>
        <v>-</v>
      </c>
      <c r="AJ152" s="115"/>
      <c r="AK152" s="112"/>
      <c r="AL152" s="112"/>
      <c r="AM152" s="116" t="str">
        <f t="shared" si="2"/>
        <v/>
      </c>
      <c r="AN152" s="117" t="str">
        <f t="shared" si="3"/>
        <v/>
      </c>
      <c r="AO152" s="437" t="s">
        <v>364</v>
      </c>
      <c r="AP152" s="385"/>
      <c r="AQ152" s="437" t="s">
        <v>365</v>
      </c>
      <c r="AR152" s="385"/>
      <c r="AS152" s="437" t="s">
        <v>366</v>
      </c>
      <c r="AT152" s="385"/>
      <c r="AU152" s="54" t="b">
        <v>1</v>
      </c>
      <c r="AV152" s="54" t="b">
        <v>1</v>
      </c>
      <c r="AW152" s="441"/>
      <c r="AX152" s="442"/>
      <c r="AY152" s="442"/>
      <c r="AZ152" s="442"/>
      <c r="BA152" s="443"/>
      <c r="BB152" s="68"/>
      <c r="BC152" s="62"/>
      <c r="BD152" s="129" t="str">
        <f t="shared" si="4"/>
        <v>_</v>
      </c>
      <c r="BE152" s="130" t="str">
        <f>IFERROR(VLOOKUP($BD152,'(勿動)組件目錄表'!$D$15:$R$1094,2,FALSE),"")</f>
        <v/>
      </c>
      <c r="BF152" s="131" t="str">
        <f>IFERROR(VLOOKUP($BD152, '(勿動)組件目錄表'!$D$15:$R$1094, 5, FALSE),"")</f>
        <v/>
      </c>
      <c r="BG152" s="118"/>
      <c r="BH152" s="120"/>
      <c r="BI152" s="118"/>
      <c r="BJ152" s="120"/>
    </row>
    <row r="153" spans="1:62" ht="15.75" customHeight="1">
      <c r="A153" s="18" t="str">
        <f t="array" aca="1" ref="A153" ca="1">IFERROR(TRANSPOSE(INDIRECT('「(動工中勿使用!!)新版+舊版_Teaser」的副本'!$BB153)),"")</f>
        <v/>
      </c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86" t="b">
        <v>0</v>
      </c>
      <c r="AF153" s="111" t="str">
        <f t="shared" si="8"/>
        <v/>
      </c>
      <c r="AG153" s="112" t="str">
        <f t="shared" si="1"/>
        <v/>
      </c>
      <c r="AH153" s="126" t="s">
        <v>352</v>
      </c>
      <c r="AI153" s="114" t="str">
        <f ca="1">IFERROR(VLOOKUP($AH153, '(勿動)Component Label公版'!$D$1:$E$1000, 2, FALSE), "-")</f>
        <v>-</v>
      </c>
      <c r="AJ153" s="115"/>
      <c r="AK153" s="112"/>
      <c r="AL153" s="112"/>
      <c r="AM153" s="116" t="str">
        <f t="shared" si="2"/>
        <v/>
      </c>
      <c r="AN153" s="117" t="str">
        <f t="shared" si="3"/>
        <v/>
      </c>
      <c r="AO153" s="435" t="s">
        <v>362</v>
      </c>
      <c r="AP153" s="385"/>
      <c r="AQ153" s="435" t="s">
        <v>362</v>
      </c>
      <c r="AR153" s="385"/>
      <c r="AS153" s="435" t="s">
        <v>362</v>
      </c>
      <c r="AT153" s="385"/>
      <c r="AU153" s="54" t="b">
        <v>0</v>
      </c>
      <c r="AV153" s="54" t="b">
        <v>0</v>
      </c>
      <c r="AW153" s="123"/>
      <c r="AX153" s="124"/>
      <c r="AY153" s="124"/>
      <c r="AZ153" s="124"/>
      <c r="BA153" s="125"/>
      <c r="BB153" s="68"/>
      <c r="BC153" s="62"/>
      <c r="BD153" s="129" t="str">
        <f t="shared" si="4"/>
        <v>_</v>
      </c>
      <c r="BE153" s="130" t="str">
        <f>IFERROR(VLOOKUP($BD153,'(勿動)組件目錄表'!$D$15:$R$1094,2,FALSE),"")</f>
        <v/>
      </c>
      <c r="BF153" s="131" t="str">
        <f>IFERROR(VLOOKUP($BD153, '(勿動)組件目錄表'!$D$15:$R$1094, 5, FALSE),"")</f>
        <v/>
      </c>
      <c r="BG153" s="118"/>
      <c r="BH153" s="120"/>
      <c r="BI153" s="118"/>
      <c r="BJ153" s="120"/>
    </row>
    <row r="154" spans="1:62" ht="15.75" customHeight="1">
      <c r="A154" s="18" t="str">
        <f t="array" aca="1" ref="A154" ca="1">IFERROR(TRANSPOSE(INDIRECT('「(動工中勿使用!!)新版+舊版_Teaser」的副本'!$BB154)),"")</f>
        <v/>
      </c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86" t="b">
        <v>0</v>
      </c>
      <c r="AF154" s="111" t="str">
        <f t="shared" si="8"/>
        <v/>
      </c>
      <c r="AG154" s="112" t="str">
        <f t="shared" si="1"/>
        <v/>
      </c>
      <c r="AH154" s="126" t="s">
        <v>352</v>
      </c>
      <c r="AI154" s="114" t="str">
        <f ca="1">IFERROR(VLOOKUP($AH154, '(勿動)Component Label公版'!$D$1:$E$1000, 2, FALSE), "-")</f>
        <v>-</v>
      </c>
      <c r="AJ154" s="115"/>
      <c r="AK154" s="112"/>
      <c r="AL154" s="112"/>
      <c r="AM154" s="116" t="str">
        <f t="shared" si="2"/>
        <v/>
      </c>
      <c r="AN154" s="117" t="str">
        <f t="shared" si="3"/>
        <v/>
      </c>
      <c r="AO154" s="436" t="s">
        <v>363</v>
      </c>
      <c r="AP154" s="385"/>
      <c r="AQ154" s="436" t="s">
        <v>363</v>
      </c>
      <c r="AR154" s="385"/>
      <c r="AS154" s="436" t="s">
        <v>363</v>
      </c>
      <c r="AT154" s="385"/>
      <c r="AU154" s="54" t="b">
        <v>0</v>
      </c>
      <c r="AV154" s="54" t="b">
        <v>0</v>
      </c>
      <c r="AW154" s="123"/>
      <c r="AX154" s="124"/>
      <c r="AY154" s="124"/>
      <c r="AZ154" s="124"/>
      <c r="BA154" s="125"/>
      <c r="BB154" s="68"/>
      <c r="BC154" s="62"/>
      <c r="BD154" s="129" t="str">
        <f t="shared" si="4"/>
        <v>_</v>
      </c>
      <c r="BE154" s="130" t="str">
        <f>IFERROR(VLOOKUP($BD154,'(勿動)組件目錄表'!$D$15:$R$1094,2,FALSE),"")</f>
        <v/>
      </c>
      <c r="BF154" s="131" t="str">
        <f>IFERROR(VLOOKUP($BD154, '(勿動)組件目錄表'!$D$15:$R$1094, 5, FALSE),"")</f>
        <v/>
      </c>
      <c r="BG154" s="118"/>
      <c r="BH154" s="120"/>
      <c r="BI154" s="118"/>
      <c r="BJ154" s="120"/>
    </row>
    <row r="155" spans="1:62" ht="15.75" customHeight="1">
      <c r="A155" s="18" t="str">
        <f t="array" aca="1" ref="A155" ca="1">IFERROR(TRANSPOSE(INDIRECT('「(動工中勿使用!!)新版+舊版_Teaser」的副本'!$BB155)),"")</f>
        <v/>
      </c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86" t="b">
        <v>0</v>
      </c>
      <c r="AF155" s="111" t="str">
        <f t="shared" si="8"/>
        <v/>
      </c>
      <c r="AG155" s="112" t="str">
        <f t="shared" si="1"/>
        <v/>
      </c>
      <c r="AH155" s="126" t="s">
        <v>352</v>
      </c>
      <c r="AI155" s="114" t="str">
        <f ca="1">IFERROR(VLOOKUP($AH155, '(勿動)Component Label公版'!$D$1:$E$1000, 2, FALSE), "-")</f>
        <v>-</v>
      </c>
      <c r="AJ155" s="115"/>
      <c r="AK155" s="112"/>
      <c r="AL155" s="112"/>
      <c r="AM155" s="116" t="str">
        <f t="shared" si="2"/>
        <v/>
      </c>
      <c r="AN155" s="117" t="str">
        <f t="shared" si="3"/>
        <v/>
      </c>
      <c r="AO155" s="437" t="s">
        <v>358</v>
      </c>
      <c r="AP155" s="385"/>
      <c r="AQ155" s="437" t="s">
        <v>358</v>
      </c>
      <c r="AR155" s="385"/>
      <c r="AS155" s="437" t="s">
        <v>358</v>
      </c>
      <c r="AT155" s="385"/>
      <c r="AU155" s="54" t="b">
        <v>1</v>
      </c>
      <c r="AV155" s="54" t="b">
        <v>1</v>
      </c>
      <c r="AW155" s="123"/>
      <c r="AX155" s="124"/>
      <c r="AY155" s="124"/>
      <c r="AZ155" s="124"/>
      <c r="BA155" s="125"/>
      <c r="BB155" s="68"/>
      <c r="BC155" s="62"/>
      <c r="BD155" s="129" t="str">
        <f t="shared" si="4"/>
        <v>_</v>
      </c>
      <c r="BE155" s="130" t="str">
        <f>IFERROR(VLOOKUP($BD155,'(勿動)組件目錄表'!$D$15:$R$1094,2,FALSE),"")</f>
        <v/>
      </c>
      <c r="BF155" s="131" t="str">
        <f>IFERROR(VLOOKUP($BD155, '(勿動)組件目錄表'!$D$15:$R$1094, 5, FALSE),"")</f>
        <v/>
      </c>
      <c r="BG155" s="118"/>
      <c r="BH155" s="120"/>
      <c r="BI155" s="118"/>
      <c r="BJ155" s="120"/>
    </row>
    <row r="156" spans="1:62" ht="15.75" customHeight="1">
      <c r="A156" s="18" t="str">
        <f t="array" aca="1" ref="A156" ca="1">IFERROR(TRANSPOSE(INDIRECT('「(動工中勿使用!!)新版+舊版_Teaser」的副本'!$BB156)),"")</f>
        <v/>
      </c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86" t="b">
        <v>0</v>
      </c>
      <c r="AF156" s="111" t="str">
        <f t="shared" si="8"/>
        <v/>
      </c>
      <c r="AG156" s="112" t="str">
        <f t="shared" si="1"/>
        <v/>
      </c>
      <c r="AH156" s="126" t="s">
        <v>352</v>
      </c>
      <c r="AI156" s="114" t="str">
        <f ca="1">IFERROR(VLOOKUP($AH156, '(勿動)Component Label公版'!$D$1:$E$1000, 2, FALSE), "-")</f>
        <v>-</v>
      </c>
      <c r="AJ156" s="115"/>
      <c r="AK156" s="112"/>
      <c r="AL156" s="112"/>
      <c r="AM156" s="116" t="str">
        <f t="shared" si="2"/>
        <v/>
      </c>
      <c r="AN156" s="117" t="str">
        <f t="shared" si="3"/>
        <v/>
      </c>
      <c r="AO156" s="437" t="s">
        <v>367</v>
      </c>
      <c r="AP156" s="385"/>
      <c r="AQ156" s="437" t="s">
        <v>368</v>
      </c>
      <c r="AR156" s="385"/>
      <c r="AS156" s="437" t="s">
        <v>369</v>
      </c>
      <c r="AT156" s="385"/>
      <c r="AU156" s="54" t="b">
        <v>1</v>
      </c>
      <c r="AV156" s="54" t="b">
        <v>1</v>
      </c>
      <c r="AW156" s="123"/>
      <c r="AX156" s="124"/>
      <c r="AY156" s="124"/>
      <c r="AZ156" s="124"/>
      <c r="BA156" s="125"/>
      <c r="BB156" s="68"/>
      <c r="BC156" s="62"/>
      <c r="BD156" s="129" t="str">
        <f t="shared" si="4"/>
        <v>_</v>
      </c>
      <c r="BE156" s="130" t="str">
        <f>IFERROR(VLOOKUP($BD156,'(勿動)組件目錄表'!$D$15:$R$1094,2,FALSE),"")</f>
        <v/>
      </c>
      <c r="BF156" s="131" t="str">
        <f>IFERROR(VLOOKUP($BD156, '(勿動)組件目錄表'!$D$15:$R$1094, 5, FALSE),"")</f>
        <v/>
      </c>
      <c r="BG156" s="118"/>
      <c r="BH156" s="120"/>
      <c r="BI156" s="118"/>
      <c r="BJ156" s="120"/>
    </row>
    <row r="157" spans="1:62" ht="15.75" customHeight="1">
      <c r="A157" s="18" t="str">
        <f t="array" aca="1" ref="A157" ca="1">IFERROR(TRANSPOSE(INDIRECT('「(動工中勿使用!!)新版+舊版_Teaser」的副本'!$BB157)),"")</f>
        <v/>
      </c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86" t="b">
        <v>0</v>
      </c>
      <c r="AF157" s="111" t="str">
        <f t="shared" si="8"/>
        <v/>
      </c>
      <c r="AG157" s="112" t="str">
        <f t="shared" si="1"/>
        <v/>
      </c>
      <c r="AH157" s="126" t="s">
        <v>352</v>
      </c>
      <c r="AI157" s="114" t="str">
        <f ca="1">IFERROR(VLOOKUP($AH157, '(勿動)Component Label公版'!$D$1:$E$1000, 2, FALSE), "-")</f>
        <v>-</v>
      </c>
      <c r="AJ157" s="115"/>
      <c r="AK157" s="112"/>
      <c r="AL157" s="112"/>
      <c r="AM157" s="116" t="str">
        <f t="shared" si="2"/>
        <v/>
      </c>
      <c r="AN157" s="117" t="str">
        <f t="shared" si="3"/>
        <v/>
      </c>
      <c r="AO157" s="435" t="s">
        <v>362</v>
      </c>
      <c r="AP157" s="385"/>
      <c r="AQ157" s="435" t="s">
        <v>362</v>
      </c>
      <c r="AR157" s="385"/>
      <c r="AS157" s="435" t="s">
        <v>362</v>
      </c>
      <c r="AT157" s="385"/>
      <c r="AU157" s="54" t="b">
        <v>0</v>
      </c>
      <c r="AV157" s="54" t="b">
        <v>0</v>
      </c>
      <c r="AW157" s="123"/>
      <c r="AX157" s="124"/>
      <c r="AY157" s="124"/>
      <c r="AZ157" s="124"/>
      <c r="BA157" s="125"/>
      <c r="BB157" s="68"/>
      <c r="BC157" s="62"/>
      <c r="BD157" s="129" t="str">
        <f t="shared" si="4"/>
        <v>_</v>
      </c>
      <c r="BE157" s="130" t="str">
        <f>IFERROR(VLOOKUP($BD157,'(勿動)組件目錄表'!$D$15:$R$1094,2,FALSE),"")</f>
        <v/>
      </c>
      <c r="BF157" s="131" t="str">
        <f>IFERROR(VLOOKUP($BD157, '(勿動)組件目錄表'!$D$15:$R$1094, 5, FALSE),"")</f>
        <v/>
      </c>
      <c r="BG157" s="118"/>
      <c r="BH157" s="120"/>
      <c r="BI157" s="118"/>
      <c r="BJ157" s="120"/>
    </row>
    <row r="158" spans="1:62" ht="15.75" customHeight="1">
      <c r="A158" s="18" t="str">
        <f t="array" aca="1" ref="A158" ca="1">IFERROR(TRANSPOSE(INDIRECT('「(動工中勿使用!!)新版+舊版_Teaser」的副本'!$BB158)),"")</f>
        <v/>
      </c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86" t="b">
        <v>0</v>
      </c>
      <c r="AF158" s="111" t="str">
        <f t="shared" si="8"/>
        <v/>
      </c>
      <c r="AG158" s="112" t="str">
        <f t="shared" si="1"/>
        <v/>
      </c>
      <c r="AH158" s="126" t="s">
        <v>352</v>
      </c>
      <c r="AI158" s="114" t="str">
        <f ca="1">IFERROR(VLOOKUP($AH158, '(勿動)Component Label公版'!$D$1:$E$1000, 2, FALSE), "-")</f>
        <v>-</v>
      </c>
      <c r="AJ158" s="115"/>
      <c r="AK158" s="112"/>
      <c r="AL158" s="112"/>
      <c r="AM158" s="116" t="str">
        <f t="shared" si="2"/>
        <v/>
      </c>
      <c r="AN158" s="117" t="str">
        <f t="shared" si="3"/>
        <v/>
      </c>
      <c r="AO158" s="436" t="s">
        <v>363</v>
      </c>
      <c r="AP158" s="385"/>
      <c r="AQ158" s="436" t="s">
        <v>363</v>
      </c>
      <c r="AR158" s="385"/>
      <c r="AS158" s="436" t="s">
        <v>363</v>
      </c>
      <c r="AT158" s="385"/>
      <c r="AU158" s="54" t="b">
        <v>0</v>
      </c>
      <c r="AV158" s="54" t="b">
        <v>0</v>
      </c>
      <c r="AW158" s="123"/>
      <c r="AX158" s="124"/>
      <c r="AY158" s="124"/>
      <c r="AZ158" s="124"/>
      <c r="BA158" s="125"/>
      <c r="BB158" s="68"/>
      <c r="BC158" s="62"/>
      <c r="BD158" s="129" t="str">
        <f t="shared" si="4"/>
        <v>_</v>
      </c>
      <c r="BE158" s="130" t="str">
        <f>IFERROR(VLOOKUP($BD158,'(勿動)組件目錄表'!$D$15:$R$1094,2,FALSE),"")</f>
        <v/>
      </c>
      <c r="BF158" s="131" t="str">
        <f>IFERROR(VLOOKUP($BD158, '(勿動)組件目錄表'!$D$15:$R$1094, 5, FALSE),"")</f>
        <v/>
      </c>
      <c r="BG158" s="118"/>
      <c r="BH158" s="120"/>
      <c r="BI158" s="118"/>
      <c r="BJ158" s="120"/>
    </row>
    <row r="159" spans="1:62" ht="15.75" customHeight="1">
      <c r="A159" s="18" t="str">
        <f t="array" aca="1" ref="A159" ca="1">IFERROR(TRANSPOSE(INDIRECT('「(動工中勿使用!!)新版+舊版_Teaser」的副本'!$BB159)),"")</f>
        <v/>
      </c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86" t="b">
        <v>0</v>
      </c>
      <c r="AF159" s="111" t="str">
        <f t="shared" si="8"/>
        <v/>
      </c>
      <c r="AG159" s="112" t="str">
        <f t="shared" si="1"/>
        <v/>
      </c>
      <c r="AH159" s="126" t="s">
        <v>352</v>
      </c>
      <c r="AI159" s="114" t="str">
        <f ca="1">IFERROR(VLOOKUP($AH159, '(勿動)Component Label公版'!$D$1:$E$1000, 2, FALSE), "-")</f>
        <v>-</v>
      </c>
      <c r="AJ159" s="115"/>
      <c r="AK159" s="112"/>
      <c r="AL159" s="112"/>
      <c r="AM159" s="116" t="str">
        <f t="shared" si="2"/>
        <v/>
      </c>
      <c r="AN159" s="117" t="str">
        <f t="shared" si="3"/>
        <v/>
      </c>
      <c r="AO159" s="437" t="s">
        <v>358</v>
      </c>
      <c r="AP159" s="385"/>
      <c r="AQ159" s="437" t="s">
        <v>358</v>
      </c>
      <c r="AR159" s="385"/>
      <c r="AS159" s="437" t="s">
        <v>358</v>
      </c>
      <c r="AT159" s="385"/>
      <c r="AU159" s="54" t="b">
        <v>1</v>
      </c>
      <c r="AV159" s="54" t="b">
        <v>1</v>
      </c>
      <c r="AW159" s="123"/>
      <c r="AX159" s="124"/>
      <c r="AY159" s="124"/>
      <c r="AZ159" s="124"/>
      <c r="BA159" s="125"/>
      <c r="BB159" s="68"/>
      <c r="BC159" s="62"/>
      <c r="BD159" s="129" t="str">
        <f t="shared" si="4"/>
        <v>_</v>
      </c>
      <c r="BE159" s="130" t="str">
        <f>IFERROR(VLOOKUP($BD159,'(勿動)組件目錄表'!$D$15:$R$1094,2,FALSE),"")</f>
        <v/>
      </c>
      <c r="BF159" s="131" t="str">
        <f>IFERROR(VLOOKUP($BD159, '(勿動)組件目錄表'!$D$15:$R$1094, 5, FALSE),"")</f>
        <v/>
      </c>
      <c r="BG159" s="118"/>
      <c r="BH159" s="120"/>
      <c r="BI159" s="118"/>
      <c r="BJ159" s="120"/>
    </row>
    <row r="160" spans="1:62" ht="15.75" customHeight="1">
      <c r="A160" s="18" t="str">
        <f t="array" aca="1" ref="A160" ca="1">IFERROR(TRANSPOSE(INDIRECT('「(動工中勿使用!!)新版+舊版_Teaser」的副本'!$BB160)),"")</f>
        <v/>
      </c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86" t="b">
        <v>0</v>
      </c>
      <c r="AF160" s="111" t="str">
        <f t="shared" si="8"/>
        <v/>
      </c>
      <c r="AG160" s="112" t="str">
        <f t="shared" si="1"/>
        <v/>
      </c>
      <c r="AH160" s="126" t="s">
        <v>352</v>
      </c>
      <c r="AI160" s="114" t="str">
        <f ca="1">IFERROR(VLOOKUP($AH160, '(勿動)Component Label公版'!$D$1:$E$1000, 2, FALSE), "-")</f>
        <v>-</v>
      </c>
      <c r="AJ160" s="115"/>
      <c r="AK160" s="112"/>
      <c r="AL160" s="112"/>
      <c r="AM160" s="116" t="str">
        <f t="shared" si="2"/>
        <v/>
      </c>
      <c r="AN160" s="117" t="str">
        <f t="shared" si="3"/>
        <v/>
      </c>
      <c r="AO160" s="437" t="s">
        <v>370</v>
      </c>
      <c r="AP160" s="385"/>
      <c r="AQ160" s="437" t="s">
        <v>371</v>
      </c>
      <c r="AR160" s="385"/>
      <c r="AS160" s="437" t="s">
        <v>372</v>
      </c>
      <c r="AT160" s="385"/>
      <c r="AU160" s="54" t="b">
        <v>1</v>
      </c>
      <c r="AV160" s="54" t="b">
        <v>1</v>
      </c>
      <c r="AW160" s="123"/>
      <c r="AX160" s="124"/>
      <c r="AY160" s="124"/>
      <c r="AZ160" s="124"/>
      <c r="BA160" s="125"/>
      <c r="BB160" s="68"/>
      <c r="BC160" s="62"/>
      <c r="BD160" s="129" t="str">
        <f t="shared" si="4"/>
        <v>_</v>
      </c>
      <c r="BE160" s="130" t="str">
        <f>IFERROR(VLOOKUP($BD160,'(勿動)組件目錄表'!$D$15:$R$1094,2,FALSE),"")</f>
        <v/>
      </c>
      <c r="BF160" s="131" t="str">
        <f>IFERROR(VLOOKUP($BD160, '(勿動)組件目錄表'!$D$15:$R$1094, 5, FALSE),"")</f>
        <v/>
      </c>
      <c r="BG160" s="118"/>
      <c r="BH160" s="120"/>
      <c r="BI160" s="118"/>
      <c r="BJ160" s="120"/>
    </row>
    <row r="161" spans="1:62" ht="15.75" customHeight="1">
      <c r="A161" s="18" t="str">
        <f t="array" aca="1" ref="A161" ca="1">IFERROR(TRANSPOSE(INDIRECT('「(動工中勿使用!!)新版+舊版_Teaser」的副本'!$BB161)),"")</f>
        <v/>
      </c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86" t="b">
        <v>0</v>
      </c>
      <c r="AF161" s="111" t="str">
        <f t="shared" si="8"/>
        <v/>
      </c>
      <c r="AG161" s="112" t="str">
        <f t="shared" si="1"/>
        <v/>
      </c>
      <c r="AH161" s="126" t="s">
        <v>352</v>
      </c>
      <c r="AI161" s="114" t="str">
        <f ca="1">IFERROR(VLOOKUP($AH161, '(勿動)Component Label公版'!$D$1:$E$1000, 2, FALSE), "-")</f>
        <v>-</v>
      </c>
      <c r="AJ161" s="115"/>
      <c r="AK161" s="112"/>
      <c r="AL161" s="112"/>
      <c r="AM161" s="116" t="str">
        <f t="shared" si="2"/>
        <v/>
      </c>
      <c r="AN161" s="117" t="str">
        <f t="shared" si="3"/>
        <v/>
      </c>
      <c r="AO161" s="435" t="s">
        <v>362</v>
      </c>
      <c r="AP161" s="385"/>
      <c r="AQ161" s="435" t="s">
        <v>362</v>
      </c>
      <c r="AR161" s="385"/>
      <c r="AS161" s="435" t="s">
        <v>362</v>
      </c>
      <c r="AT161" s="385"/>
      <c r="AU161" s="54" t="b">
        <v>0</v>
      </c>
      <c r="AV161" s="54" t="b">
        <v>0</v>
      </c>
      <c r="AW161" s="123"/>
      <c r="AX161" s="124"/>
      <c r="AY161" s="124"/>
      <c r="AZ161" s="124"/>
      <c r="BA161" s="125"/>
      <c r="BB161" s="68"/>
      <c r="BC161" s="62"/>
      <c r="BD161" s="129" t="str">
        <f t="shared" si="4"/>
        <v>_</v>
      </c>
      <c r="BE161" s="130" t="str">
        <f>IFERROR(VLOOKUP($BD161,'(勿動)組件目錄表'!$D$15:$R$1094,2,FALSE),"")</f>
        <v/>
      </c>
      <c r="BF161" s="131" t="str">
        <f>IFERROR(VLOOKUP($BD161, '(勿動)組件目錄表'!$D$15:$R$1094, 5, FALSE),"")</f>
        <v/>
      </c>
      <c r="BG161" s="118"/>
      <c r="BH161" s="120"/>
      <c r="BI161" s="118"/>
      <c r="BJ161" s="120"/>
    </row>
    <row r="162" spans="1:62" ht="15.75" customHeight="1">
      <c r="A162" s="18" t="str">
        <f t="array" aca="1" ref="A162" ca="1">IFERROR(TRANSPOSE(INDIRECT('「(動工中勿使用!!)新版+舊版_Teaser」的副本'!$BB162)),"")</f>
        <v/>
      </c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86" t="b">
        <v>0</v>
      </c>
      <c r="AF162" s="111" t="str">
        <f t="shared" si="8"/>
        <v/>
      </c>
      <c r="AG162" s="112" t="str">
        <f t="shared" si="1"/>
        <v/>
      </c>
      <c r="AH162" s="126" t="s">
        <v>352</v>
      </c>
      <c r="AI162" s="114" t="str">
        <f ca="1">IFERROR(VLOOKUP($AH162, '(勿動)Component Label公版'!$D$1:$E$1000, 2, FALSE), "-")</f>
        <v>-</v>
      </c>
      <c r="AJ162" s="115"/>
      <c r="AK162" s="112"/>
      <c r="AL162" s="112"/>
      <c r="AM162" s="116" t="str">
        <f t="shared" si="2"/>
        <v/>
      </c>
      <c r="AN162" s="117" t="str">
        <f t="shared" si="3"/>
        <v/>
      </c>
      <c r="AO162" s="436" t="s">
        <v>363</v>
      </c>
      <c r="AP162" s="385"/>
      <c r="AQ162" s="436" t="s">
        <v>363</v>
      </c>
      <c r="AR162" s="385"/>
      <c r="AS162" s="436" t="s">
        <v>363</v>
      </c>
      <c r="AT162" s="385"/>
      <c r="AU162" s="54" t="b">
        <v>0</v>
      </c>
      <c r="AV162" s="54" t="b">
        <v>0</v>
      </c>
      <c r="AW162" s="123"/>
      <c r="AX162" s="124"/>
      <c r="AY162" s="124"/>
      <c r="AZ162" s="124"/>
      <c r="BA162" s="125"/>
      <c r="BB162" s="68"/>
      <c r="BC162" s="62"/>
      <c r="BD162" s="129" t="str">
        <f t="shared" si="4"/>
        <v>_</v>
      </c>
      <c r="BE162" s="130" t="str">
        <f>IFERROR(VLOOKUP($BD162,'(勿動)組件目錄表'!$D$15:$R$1094,2,FALSE),"")</f>
        <v/>
      </c>
      <c r="BF162" s="131" t="str">
        <f>IFERROR(VLOOKUP($BD162, '(勿動)組件目錄表'!$D$15:$R$1094, 5, FALSE),"")</f>
        <v/>
      </c>
      <c r="BG162" s="118"/>
      <c r="BH162" s="120"/>
      <c r="BI162" s="118"/>
      <c r="BJ162" s="120"/>
    </row>
    <row r="163" spans="1:62" ht="15.75" customHeight="1">
      <c r="A163" s="18" t="str">
        <f t="array" aca="1" ref="A163" ca="1">IFERROR(TRANSPOSE(INDIRECT('「(動工中勿使用!!)新版+舊版_Teaser」的副本'!$BB163)),"")</f>
        <v/>
      </c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86" t="b">
        <v>0</v>
      </c>
      <c r="AF163" s="111" t="str">
        <f t="shared" si="8"/>
        <v/>
      </c>
      <c r="AG163" s="112" t="str">
        <f t="shared" si="1"/>
        <v/>
      </c>
      <c r="AH163" s="126" t="s">
        <v>352</v>
      </c>
      <c r="AI163" s="114" t="str">
        <f ca="1">IFERROR(VLOOKUP($AH163, '(勿動)Component Label公版'!$D$1:$E$1000, 2, FALSE), "-")</f>
        <v>-</v>
      </c>
      <c r="AJ163" s="115"/>
      <c r="AK163" s="112"/>
      <c r="AL163" s="112"/>
      <c r="AM163" s="116" t="str">
        <f t="shared" si="2"/>
        <v/>
      </c>
      <c r="AN163" s="117" t="str">
        <f t="shared" si="3"/>
        <v/>
      </c>
      <c r="AO163" s="472" t="s">
        <v>373</v>
      </c>
      <c r="AP163" s="384"/>
      <c r="AQ163" s="384"/>
      <c r="AR163" s="384"/>
      <c r="AS163" s="384"/>
      <c r="AT163" s="385"/>
      <c r="AU163" s="54" t="b">
        <v>0</v>
      </c>
      <c r="AV163" s="54" t="b">
        <v>0</v>
      </c>
      <c r="AW163" s="123"/>
      <c r="AX163" s="124"/>
      <c r="AY163" s="124"/>
      <c r="AZ163" s="124"/>
      <c r="BA163" s="125"/>
      <c r="BB163" s="68"/>
      <c r="BC163" s="62"/>
      <c r="BD163" s="129" t="str">
        <f t="shared" si="4"/>
        <v>_</v>
      </c>
      <c r="BE163" s="130" t="str">
        <f>IFERROR(VLOOKUP($BD163,'(勿動)組件目錄表'!$D$15:$R$1094,2,FALSE),"")</f>
        <v/>
      </c>
      <c r="BF163" s="131" t="str">
        <f>IFERROR(VLOOKUP($BD163, '(勿動)組件目錄表'!$D$15:$R$1094, 5, FALSE),"")</f>
        <v/>
      </c>
      <c r="BG163" s="118"/>
      <c r="BH163" s="120"/>
      <c r="BI163" s="118"/>
      <c r="BJ163" s="120"/>
    </row>
    <row r="164" spans="1:62" ht="67.5" customHeight="1">
      <c r="A164" s="18" t="str">
        <f t="array" aca="1" ref="A164" ca="1">IFERROR(TRANSPOSE(INDIRECT('「(動工中勿使用!!)新版+舊版_Teaser」的副本'!$BB164)),"")</f>
        <v/>
      </c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86" t="b">
        <v>0</v>
      </c>
      <c r="AF164" s="111" t="str">
        <f t="shared" si="8"/>
        <v/>
      </c>
      <c r="AG164" s="112" t="str">
        <f t="shared" si="1"/>
        <v/>
      </c>
      <c r="AH164" s="126" t="s">
        <v>352</v>
      </c>
      <c r="AI164" s="114" t="str">
        <f ca="1">IFERROR(VLOOKUP($AH164, '(勿動)Component Label公版'!$D$1:$E$1000, 2, FALSE), "-")</f>
        <v>-</v>
      </c>
      <c r="AJ164" s="115"/>
      <c r="AK164" s="112"/>
      <c r="AL164" s="112"/>
      <c r="AM164" s="116" t="str">
        <f t="shared" si="2"/>
        <v/>
      </c>
      <c r="AN164" s="117" t="str">
        <f t="shared" si="3"/>
        <v/>
      </c>
      <c r="AO164" s="476" t="s">
        <v>374</v>
      </c>
      <c r="AP164" s="385"/>
      <c r="AQ164" s="476" t="s">
        <v>375</v>
      </c>
      <c r="AR164" s="385"/>
      <c r="AS164" s="476" t="s">
        <v>376</v>
      </c>
      <c r="AT164" s="385"/>
      <c r="AU164" s="54" t="b">
        <v>0</v>
      </c>
      <c r="AV164" s="54" t="b">
        <v>0</v>
      </c>
      <c r="AW164" s="155"/>
      <c r="AX164" s="156"/>
      <c r="AY164" s="156"/>
      <c r="AZ164" s="156"/>
      <c r="BA164" s="157"/>
      <c r="BB164" s="68"/>
      <c r="BC164" s="62"/>
      <c r="BD164" s="129" t="str">
        <f t="shared" si="4"/>
        <v>_</v>
      </c>
      <c r="BE164" s="130" t="str">
        <f>IFERROR(VLOOKUP($BD164,'(勿動)組件目錄表'!$D$15:$R$1094,2,FALSE),"")</f>
        <v/>
      </c>
      <c r="BF164" s="131" t="str">
        <f>IFERROR(VLOOKUP($BD164, '(勿動)組件目錄表'!$D$15:$R$1094, 5, FALSE),"")</f>
        <v/>
      </c>
      <c r="BG164" s="118"/>
      <c r="BH164" s="120"/>
      <c r="BI164" s="118"/>
      <c r="BJ164" s="120"/>
    </row>
    <row r="165" spans="1:62" ht="15.75" customHeight="1">
      <c r="A165" s="18" t="str">
        <f t="array" aca="1" ref="A165" ca="1">IFERROR(TRANSPOSE(INDIRECT('「(動工中勿使用!!)新版+舊版_Teaser」的副本'!$BB165)),"")</f>
        <v/>
      </c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86" t="b">
        <v>0</v>
      </c>
      <c r="AF165" s="111" t="str">
        <f t="shared" si="8"/>
        <v/>
      </c>
      <c r="AG165" s="112" t="str">
        <f t="shared" si="1"/>
        <v/>
      </c>
      <c r="AH165" s="126" t="s">
        <v>352</v>
      </c>
      <c r="AI165" s="114" t="str">
        <f ca="1">IFERROR(VLOOKUP($AH165, '(勿動)Component Label公版'!$D$1:$E$1000, 2, FALSE), "-")</f>
        <v>-</v>
      </c>
      <c r="AJ165" s="115"/>
      <c r="AK165" s="112"/>
      <c r="AL165" s="112"/>
      <c r="AM165" s="116" t="str">
        <f t="shared" si="2"/>
        <v/>
      </c>
      <c r="AN165" s="117" t="str">
        <f t="shared" si="3"/>
        <v/>
      </c>
      <c r="AO165" s="437" t="s">
        <v>377</v>
      </c>
      <c r="AP165" s="385"/>
      <c r="AQ165" s="437" t="s">
        <v>378</v>
      </c>
      <c r="AR165" s="385"/>
      <c r="AS165" s="437" t="s">
        <v>379</v>
      </c>
      <c r="AT165" s="385"/>
      <c r="AU165" s="54" t="b">
        <v>1</v>
      </c>
      <c r="AV165" s="54" t="b">
        <v>1</v>
      </c>
      <c r="AW165" s="155"/>
      <c r="AX165" s="156"/>
      <c r="AY165" s="156"/>
      <c r="AZ165" s="156"/>
      <c r="BA165" s="157"/>
      <c r="BB165" s="68"/>
      <c r="BC165" s="62"/>
      <c r="BD165" s="129" t="str">
        <f t="shared" si="4"/>
        <v>_</v>
      </c>
      <c r="BE165" s="130" t="str">
        <f>IFERROR(VLOOKUP($BD165,'(勿動)組件目錄表'!$D$15:$R$1094,2,FALSE),"")</f>
        <v/>
      </c>
      <c r="BF165" s="131" t="str">
        <f>IFERROR(VLOOKUP($BD165, '(勿動)組件目錄表'!$D$15:$R$1094, 5, FALSE),"")</f>
        <v/>
      </c>
      <c r="BG165" s="118"/>
      <c r="BH165" s="120"/>
      <c r="BI165" s="118"/>
      <c r="BJ165" s="120"/>
    </row>
    <row r="166" spans="1:62" ht="15.75" customHeight="1">
      <c r="A166" s="18" t="str">
        <f t="array" aca="1" ref="A166" ca="1">IFERROR(TRANSPOSE(INDIRECT('「(動工中勿使用!!)新版+舊版_Teaser」的副本'!$BB166)),"")</f>
        <v/>
      </c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86" t="b">
        <v>0</v>
      </c>
      <c r="AF166" s="111" t="str">
        <f t="shared" si="8"/>
        <v/>
      </c>
      <c r="AG166" s="112" t="str">
        <f t="shared" si="1"/>
        <v/>
      </c>
      <c r="AH166" s="126" t="s">
        <v>352</v>
      </c>
      <c r="AI166" s="114" t="str">
        <f ca="1">IFERROR(VLOOKUP($AH166, '(勿動)Component Label公版'!$D$1:$E$1000, 2, FALSE), "-")</f>
        <v>-</v>
      </c>
      <c r="AJ166" s="115"/>
      <c r="AK166" s="112"/>
      <c r="AL166" s="112"/>
      <c r="AM166" s="116" t="str">
        <f t="shared" si="2"/>
        <v/>
      </c>
      <c r="AN166" s="117" t="str">
        <f t="shared" si="3"/>
        <v/>
      </c>
      <c r="AO166" s="435" t="s">
        <v>362</v>
      </c>
      <c r="AP166" s="385"/>
      <c r="AQ166" s="435" t="s">
        <v>362</v>
      </c>
      <c r="AR166" s="385"/>
      <c r="AS166" s="435" t="s">
        <v>362</v>
      </c>
      <c r="AT166" s="385"/>
      <c r="AU166" s="54" t="b">
        <v>0</v>
      </c>
      <c r="AV166" s="54" t="b">
        <v>0</v>
      </c>
      <c r="AW166" s="155"/>
      <c r="AX166" s="156"/>
      <c r="AY166" s="156"/>
      <c r="AZ166" s="156"/>
      <c r="BA166" s="157"/>
      <c r="BB166" s="68"/>
      <c r="BC166" s="62"/>
      <c r="BD166" s="129" t="str">
        <f t="shared" si="4"/>
        <v>_</v>
      </c>
      <c r="BE166" s="130" t="str">
        <f>IFERROR(VLOOKUP($BD166,'(勿動)組件目錄表'!$D$15:$R$1094,2,FALSE),"")</f>
        <v/>
      </c>
      <c r="BF166" s="131" t="str">
        <f>IFERROR(VLOOKUP($BD166, '(勿動)組件目錄表'!$D$15:$R$1094, 5, FALSE),"")</f>
        <v/>
      </c>
      <c r="BG166" s="118"/>
      <c r="BH166" s="120"/>
      <c r="BI166" s="118"/>
      <c r="BJ166" s="120"/>
    </row>
    <row r="167" spans="1:62" ht="15.75" customHeight="1">
      <c r="A167" s="18" t="str">
        <f t="array" aca="1" ref="A167" ca="1">IFERROR(TRANSPOSE(INDIRECT('「(動工中勿使用!!)新版+舊版_Teaser」的副本'!$BB167)),"")</f>
        <v/>
      </c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86" t="b">
        <v>0</v>
      </c>
      <c r="AF167" s="111" t="str">
        <f t="shared" si="8"/>
        <v/>
      </c>
      <c r="AG167" s="112" t="str">
        <f t="shared" si="1"/>
        <v/>
      </c>
      <c r="AH167" s="126" t="s">
        <v>352</v>
      </c>
      <c r="AI167" s="114" t="str">
        <f ca="1">IFERROR(VLOOKUP($AH167, '(勿動)Component Label公版'!$D$1:$E$1000, 2, FALSE), "-")</f>
        <v>-</v>
      </c>
      <c r="AJ167" s="115"/>
      <c r="AK167" s="112"/>
      <c r="AL167" s="112"/>
      <c r="AM167" s="116" t="str">
        <f t="shared" si="2"/>
        <v/>
      </c>
      <c r="AN167" s="117" t="str">
        <f t="shared" si="3"/>
        <v/>
      </c>
      <c r="AO167" s="436" t="s">
        <v>363</v>
      </c>
      <c r="AP167" s="385"/>
      <c r="AQ167" s="436" t="s">
        <v>363</v>
      </c>
      <c r="AR167" s="385"/>
      <c r="AS167" s="436" t="s">
        <v>363</v>
      </c>
      <c r="AT167" s="385"/>
      <c r="AU167" s="54" t="b">
        <v>0</v>
      </c>
      <c r="AV167" s="54" t="b">
        <v>0</v>
      </c>
      <c r="AW167" s="155"/>
      <c r="AX167" s="156"/>
      <c r="AY167" s="156"/>
      <c r="AZ167" s="156"/>
      <c r="BA167" s="157"/>
      <c r="BB167" s="68"/>
      <c r="BC167" s="62"/>
      <c r="BD167" s="129" t="str">
        <f t="shared" si="4"/>
        <v>_</v>
      </c>
      <c r="BE167" s="130" t="str">
        <f>IFERROR(VLOOKUP($BD167,'(勿動)組件目錄表'!$D$15:$R$1094,2,FALSE),"")</f>
        <v/>
      </c>
      <c r="BF167" s="131" t="str">
        <f>IFERROR(VLOOKUP($BD167, '(勿動)組件目錄表'!$D$15:$R$1094, 5, FALSE),"")</f>
        <v/>
      </c>
      <c r="BG167" s="118"/>
      <c r="BH167" s="120"/>
      <c r="BI167" s="118"/>
      <c r="BJ167" s="120"/>
    </row>
    <row r="168" spans="1:62" ht="15.75" customHeight="1">
      <c r="A168" s="18" t="str">
        <f t="array" aca="1" ref="A168" ca="1">IFERROR(TRANSPOSE(INDIRECT('「(動工中勿使用!!)新版+舊版_Teaser」的副本'!$BB168)),"")</f>
        <v/>
      </c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86" t="b">
        <v>0</v>
      </c>
      <c r="AF168" s="111" t="str">
        <f t="shared" si="8"/>
        <v/>
      </c>
      <c r="AG168" s="112" t="str">
        <f t="shared" si="1"/>
        <v/>
      </c>
      <c r="AH168" s="126" t="s">
        <v>352</v>
      </c>
      <c r="AI168" s="114" t="str">
        <f ca="1">IFERROR(VLOOKUP($AH168, '(勿動)Component Label公版'!$D$1:$E$1000, 2, FALSE), "-")</f>
        <v>-</v>
      </c>
      <c r="AJ168" s="115"/>
      <c r="AK168" s="112"/>
      <c r="AL168" s="112"/>
      <c r="AM168" s="116" t="str">
        <f t="shared" si="2"/>
        <v/>
      </c>
      <c r="AN168" s="117" t="str">
        <f t="shared" si="3"/>
        <v/>
      </c>
      <c r="AO168" s="476" t="s">
        <v>380</v>
      </c>
      <c r="AP168" s="385"/>
      <c r="AQ168" s="476" t="s">
        <v>381</v>
      </c>
      <c r="AR168" s="385"/>
      <c r="AS168" s="476" t="s">
        <v>382</v>
      </c>
      <c r="AT168" s="385"/>
      <c r="AU168" s="54" t="b">
        <v>0</v>
      </c>
      <c r="AV168" s="54" t="b">
        <v>0</v>
      </c>
      <c r="AW168" s="155"/>
      <c r="AX168" s="156"/>
      <c r="AY168" s="156"/>
      <c r="AZ168" s="156"/>
      <c r="BA168" s="157"/>
      <c r="BB168" s="68"/>
      <c r="BC168" s="62"/>
      <c r="BD168" s="129" t="str">
        <f t="shared" si="4"/>
        <v>_</v>
      </c>
      <c r="BE168" s="130" t="str">
        <f>IFERROR(VLOOKUP($BD168,'(勿動)組件目錄表'!$D$15:$R$1094,2,FALSE),"")</f>
        <v/>
      </c>
      <c r="BF168" s="131" t="str">
        <f>IFERROR(VLOOKUP($BD168, '(勿動)組件目錄表'!$D$15:$R$1094, 5, FALSE),"")</f>
        <v/>
      </c>
      <c r="BG168" s="118"/>
      <c r="BH168" s="120"/>
      <c r="BI168" s="118"/>
      <c r="BJ168" s="120"/>
    </row>
    <row r="169" spans="1:62" ht="15.75" customHeight="1">
      <c r="A169" s="18" t="str">
        <f t="array" aca="1" ref="A169" ca="1">IFERROR(TRANSPOSE(INDIRECT('「(動工中勿使用!!)新版+舊版_Teaser」的副本'!$BB169)),"")</f>
        <v/>
      </c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80" t="b">
        <v>0</v>
      </c>
      <c r="AF169" s="111" t="str">
        <f t="shared" si="8"/>
        <v/>
      </c>
      <c r="AG169" s="112" t="str">
        <f t="shared" si="1"/>
        <v/>
      </c>
      <c r="AH169" s="126" t="s">
        <v>352</v>
      </c>
      <c r="AI169" s="114" t="str">
        <f ca="1">IFERROR(VLOOKUP($AH169, '(勿動)Component Label公版'!$D$1:$E$1000, 2, FALSE), "-")</f>
        <v>-</v>
      </c>
      <c r="AJ169" s="115"/>
      <c r="AK169" s="112"/>
      <c r="AL169" s="112"/>
      <c r="AM169" s="116" t="str">
        <f t="shared" si="2"/>
        <v/>
      </c>
      <c r="AN169" s="117" t="str">
        <f t="shared" si="3"/>
        <v/>
      </c>
      <c r="AO169" s="437" t="s">
        <v>383</v>
      </c>
      <c r="AP169" s="385"/>
      <c r="AQ169" s="437" t="s">
        <v>384</v>
      </c>
      <c r="AR169" s="385"/>
      <c r="AS169" s="437" t="s">
        <v>385</v>
      </c>
      <c r="AT169" s="385"/>
      <c r="AU169" s="54" t="b">
        <v>1</v>
      </c>
      <c r="AV169" s="54" t="b">
        <v>1</v>
      </c>
      <c r="AW169" s="155"/>
      <c r="AX169" s="156"/>
      <c r="AY169" s="156"/>
      <c r="AZ169" s="156"/>
      <c r="BA169" s="157"/>
      <c r="BB169" s="68"/>
      <c r="BC169" s="62"/>
      <c r="BD169" s="129" t="str">
        <f t="shared" si="4"/>
        <v>_</v>
      </c>
      <c r="BE169" s="130" t="str">
        <f>IFERROR(VLOOKUP($BD169,'(勿動)組件目錄表'!$D$15:$R$1094,2,FALSE),"")</f>
        <v/>
      </c>
      <c r="BF169" s="131" t="str">
        <f>IFERROR(VLOOKUP($BD169, '(勿動)組件目錄表'!$D$15:$R$1094, 5, FALSE),"")</f>
        <v/>
      </c>
      <c r="BG169" s="118"/>
      <c r="BH169" s="120"/>
      <c r="BI169" s="118"/>
      <c r="BJ169" s="120"/>
    </row>
    <row r="170" spans="1:62" ht="15.75" customHeight="1">
      <c r="A170" s="18" t="str">
        <f t="array" aca="1" ref="A170" ca="1">IFERROR(TRANSPOSE(INDIRECT('「(動工中勿使用!!)新版+舊版_Teaser」的副本'!$BB170)),"")</f>
        <v/>
      </c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80" t="b">
        <v>0</v>
      </c>
      <c r="AF170" s="111" t="str">
        <f t="shared" si="8"/>
        <v/>
      </c>
      <c r="AG170" s="112" t="str">
        <f t="shared" si="1"/>
        <v/>
      </c>
      <c r="AH170" s="126" t="s">
        <v>352</v>
      </c>
      <c r="AI170" s="114" t="str">
        <f ca="1">IFERROR(VLOOKUP($AH170, '(勿動)Component Label公版'!$D$1:$E$1000, 2, FALSE), "-")</f>
        <v>-</v>
      </c>
      <c r="AJ170" s="115"/>
      <c r="AK170" s="112"/>
      <c r="AL170" s="112"/>
      <c r="AM170" s="116" t="str">
        <f t="shared" si="2"/>
        <v/>
      </c>
      <c r="AN170" s="117" t="str">
        <f t="shared" si="3"/>
        <v/>
      </c>
      <c r="AO170" s="435" t="s">
        <v>362</v>
      </c>
      <c r="AP170" s="385"/>
      <c r="AQ170" s="435" t="s">
        <v>362</v>
      </c>
      <c r="AR170" s="385"/>
      <c r="AS170" s="435" t="s">
        <v>362</v>
      </c>
      <c r="AT170" s="385"/>
      <c r="AU170" s="54" t="b">
        <v>0</v>
      </c>
      <c r="AV170" s="54" t="b">
        <v>0</v>
      </c>
      <c r="AW170" s="155"/>
      <c r="AX170" s="156"/>
      <c r="AY170" s="156"/>
      <c r="AZ170" s="156"/>
      <c r="BA170" s="157"/>
      <c r="BB170" s="68"/>
      <c r="BC170" s="62"/>
      <c r="BD170" s="129" t="str">
        <f t="shared" si="4"/>
        <v>_</v>
      </c>
      <c r="BE170" s="130" t="str">
        <f>IFERROR(VLOOKUP($BD170,'(勿動)組件目錄表'!$D$15:$R$1094,2,FALSE),"")</f>
        <v/>
      </c>
      <c r="BF170" s="131" t="str">
        <f>IFERROR(VLOOKUP($BD170, '(勿動)組件目錄表'!$D$15:$R$1094, 5, FALSE),"")</f>
        <v/>
      </c>
      <c r="BG170" s="118"/>
      <c r="BH170" s="120"/>
      <c r="BI170" s="118"/>
      <c r="BJ170" s="120"/>
    </row>
    <row r="171" spans="1:62" ht="15.75" customHeight="1">
      <c r="A171" s="18" t="str">
        <f t="array" aca="1" ref="A171" ca="1">IFERROR(TRANSPOSE(INDIRECT('「(動工中勿使用!!)新版+舊版_Teaser」的副本'!$BB171)),"")</f>
        <v/>
      </c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80" t="b">
        <v>0</v>
      </c>
      <c r="AF171" s="111" t="str">
        <f t="shared" si="8"/>
        <v/>
      </c>
      <c r="AG171" s="112" t="str">
        <f t="shared" si="1"/>
        <v/>
      </c>
      <c r="AH171" s="126" t="s">
        <v>352</v>
      </c>
      <c r="AI171" s="114" t="str">
        <f ca="1">IFERROR(VLOOKUP($AH171, '(勿動)Component Label公版'!$D$1:$E$1000, 2, FALSE), "-")</f>
        <v>-</v>
      </c>
      <c r="AJ171" s="115"/>
      <c r="AK171" s="112"/>
      <c r="AL171" s="112"/>
      <c r="AM171" s="116" t="str">
        <f t="shared" si="2"/>
        <v/>
      </c>
      <c r="AN171" s="117" t="str">
        <f t="shared" si="3"/>
        <v/>
      </c>
      <c r="AO171" s="436" t="s">
        <v>363</v>
      </c>
      <c r="AP171" s="385"/>
      <c r="AQ171" s="436" t="s">
        <v>363</v>
      </c>
      <c r="AR171" s="385"/>
      <c r="AS171" s="436" t="s">
        <v>363</v>
      </c>
      <c r="AT171" s="385"/>
      <c r="AU171" s="54" t="b">
        <v>0</v>
      </c>
      <c r="AV171" s="54" t="b">
        <v>0</v>
      </c>
      <c r="AW171" s="155"/>
      <c r="AX171" s="156"/>
      <c r="AY171" s="156"/>
      <c r="AZ171" s="156"/>
      <c r="BA171" s="157"/>
      <c r="BB171" s="68"/>
      <c r="BC171" s="62"/>
      <c r="BD171" s="129" t="str">
        <f t="shared" si="4"/>
        <v>_</v>
      </c>
      <c r="BE171" s="130" t="str">
        <f>IFERROR(VLOOKUP($BD171,'(勿動)組件目錄表'!$D$15:$R$1094,2,FALSE),"")</f>
        <v/>
      </c>
      <c r="BF171" s="131" t="str">
        <f>IFERROR(VLOOKUP($BD171, '(勿動)組件目錄表'!$D$15:$R$1094, 5, FALSE),"")</f>
        <v/>
      </c>
      <c r="BG171" s="118"/>
      <c r="BH171" s="120"/>
      <c r="BI171" s="118"/>
      <c r="BJ171" s="120"/>
    </row>
    <row r="172" spans="1:62" ht="17.25" customHeight="1">
      <c r="A172" s="18" t="str">
        <f t="array" aca="1" ref="A172" ca="1">IFERROR(TRANSPOSE(INDIRECT('「(動工中勿使用!!)新版+舊版_Teaser」的副本'!$BB172)),"")</f>
        <v/>
      </c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80" t="b">
        <v>0</v>
      </c>
      <c r="AF172" s="111" t="str">
        <f t="shared" si="8"/>
        <v/>
      </c>
      <c r="AG172" s="112" t="str">
        <f t="shared" si="1"/>
        <v/>
      </c>
      <c r="AH172" s="126" t="s">
        <v>352</v>
      </c>
      <c r="AI172" s="114" t="str">
        <f ca="1">IFERROR(VLOOKUP($AH172, '(勿動)Component Label公版'!$D$1:$E$1000, 2, FALSE), "-")</f>
        <v>-</v>
      </c>
      <c r="AJ172" s="115"/>
      <c r="AK172" s="112"/>
      <c r="AL172" s="112"/>
      <c r="AM172" s="116" t="str">
        <f t="shared" si="2"/>
        <v/>
      </c>
      <c r="AN172" s="117" t="str">
        <f t="shared" si="3"/>
        <v/>
      </c>
      <c r="AO172" s="479" t="s">
        <v>386</v>
      </c>
      <c r="AP172" s="385"/>
      <c r="AQ172" s="479" t="s">
        <v>387</v>
      </c>
      <c r="AR172" s="385"/>
      <c r="AS172" s="479" t="s">
        <v>388</v>
      </c>
      <c r="AT172" s="385"/>
      <c r="AU172" s="54" t="b">
        <v>0</v>
      </c>
      <c r="AV172" s="54" t="b">
        <v>0</v>
      </c>
      <c r="AW172" s="155"/>
      <c r="AX172" s="156"/>
      <c r="AY172" s="156"/>
      <c r="AZ172" s="156"/>
      <c r="BA172" s="157"/>
      <c r="BB172" s="68"/>
      <c r="BC172" s="62"/>
      <c r="BD172" s="129" t="str">
        <f t="shared" si="4"/>
        <v>_</v>
      </c>
      <c r="BE172" s="130" t="str">
        <f>IFERROR(VLOOKUP($BD172,'(勿動)組件目錄表'!$D$15:$R$1094,2,FALSE),"")</f>
        <v/>
      </c>
      <c r="BF172" s="131" t="str">
        <f>IFERROR(VLOOKUP($BD172, '(勿動)組件目錄表'!$D$15:$R$1094, 5, FALSE),"")</f>
        <v/>
      </c>
      <c r="BG172" s="118"/>
      <c r="BH172" s="120"/>
      <c r="BI172" s="118"/>
      <c r="BJ172" s="120"/>
    </row>
    <row r="173" spans="1:62" ht="33.75" customHeight="1">
      <c r="A173" s="18" t="str">
        <f t="array" aca="1" ref="A173" ca="1">IFERROR(TRANSPOSE(INDIRECT('「(動工中勿使用!!)新版+舊版_Teaser」的副本'!$BB173)),"")</f>
        <v/>
      </c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80" t="b">
        <v>0</v>
      </c>
      <c r="AF173" s="111" t="str">
        <f t="shared" si="8"/>
        <v/>
      </c>
      <c r="AG173" s="112" t="str">
        <f t="shared" si="1"/>
        <v/>
      </c>
      <c r="AH173" s="126" t="s">
        <v>352</v>
      </c>
      <c r="AI173" s="114" t="str">
        <f ca="1">IFERROR(VLOOKUP($AH173, '(勿動)Component Label公版'!$D$1:$E$1000, 2, FALSE), "-")</f>
        <v>-</v>
      </c>
      <c r="AJ173" s="115"/>
      <c r="AK173" s="112"/>
      <c r="AL173" s="112"/>
      <c r="AM173" s="116" t="str">
        <f t="shared" si="2"/>
        <v/>
      </c>
      <c r="AN173" s="117" t="str">
        <f t="shared" si="3"/>
        <v/>
      </c>
      <c r="AO173" s="479" t="s">
        <v>389</v>
      </c>
      <c r="AP173" s="385"/>
      <c r="AQ173" s="479" t="s">
        <v>390</v>
      </c>
      <c r="AR173" s="385"/>
      <c r="AS173" s="479" t="s">
        <v>391</v>
      </c>
      <c r="AT173" s="385"/>
      <c r="AU173" s="54" t="b">
        <v>0</v>
      </c>
      <c r="AV173" s="54" t="b">
        <v>0</v>
      </c>
      <c r="AW173" s="155"/>
      <c r="AX173" s="156"/>
      <c r="AY173" s="156"/>
      <c r="AZ173" s="156"/>
      <c r="BA173" s="157"/>
      <c r="BB173" s="68"/>
      <c r="BC173" s="62"/>
      <c r="BD173" s="129" t="str">
        <f t="shared" si="4"/>
        <v>_</v>
      </c>
      <c r="BE173" s="130" t="str">
        <f>IFERROR(VLOOKUP($BD173,'(勿動)組件目錄表'!$D$15:$R$1094,2,FALSE),"")</f>
        <v/>
      </c>
      <c r="BF173" s="131" t="str">
        <f>IFERROR(VLOOKUP($BD173, '(勿動)組件目錄表'!$D$15:$R$1094, 5, FALSE),"")</f>
        <v/>
      </c>
      <c r="BG173" s="118"/>
      <c r="BH173" s="120"/>
      <c r="BI173" s="118"/>
      <c r="BJ173" s="120"/>
    </row>
    <row r="174" spans="1:62" ht="15.75" customHeight="1">
      <c r="A174" s="18" t="str">
        <f t="array" aca="1" ref="A174" ca="1">IFERROR(TRANSPOSE(INDIRECT('「(動工中勿使用!!)新版+舊版_Teaser」的副本'!$BB174)),"")</f>
        <v/>
      </c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80" t="b">
        <v>0</v>
      </c>
      <c r="AF174" s="111" t="str">
        <f t="shared" si="8"/>
        <v/>
      </c>
      <c r="AG174" s="112" t="str">
        <f t="shared" si="1"/>
        <v/>
      </c>
      <c r="AH174" s="126" t="s">
        <v>352</v>
      </c>
      <c r="AI174" s="114" t="str">
        <f ca="1">IFERROR(VLOOKUP($AH174, '(勿動)Component Label公版'!$D$1:$E$1000, 2, FALSE), "-")</f>
        <v>-</v>
      </c>
      <c r="AJ174" s="115"/>
      <c r="AK174" s="112"/>
      <c r="AL174" s="112"/>
      <c r="AM174" s="116" t="str">
        <f t="shared" si="2"/>
        <v/>
      </c>
      <c r="AN174" s="117" t="str">
        <f t="shared" si="3"/>
        <v/>
      </c>
      <c r="AO174" s="472" t="s">
        <v>392</v>
      </c>
      <c r="AP174" s="384"/>
      <c r="AQ174" s="384"/>
      <c r="AR174" s="384"/>
      <c r="AS174" s="384"/>
      <c r="AT174" s="385"/>
      <c r="AU174" s="54" t="b">
        <v>0</v>
      </c>
      <c r="AV174" s="54" t="b">
        <v>0</v>
      </c>
      <c r="AW174" s="155"/>
      <c r="AX174" s="156"/>
      <c r="AY174" s="156"/>
      <c r="AZ174" s="156"/>
      <c r="BA174" s="157"/>
      <c r="BB174" s="68"/>
      <c r="BC174" s="62"/>
      <c r="BD174" s="129" t="str">
        <f t="shared" si="4"/>
        <v>_</v>
      </c>
      <c r="BE174" s="130" t="str">
        <f>IFERROR(VLOOKUP($BD174,'(勿動)組件目錄表'!$D$15:$R$1094,2,FALSE),"")</f>
        <v/>
      </c>
      <c r="BF174" s="131" t="str">
        <f>IFERROR(VLOOKUP($BD174, '(勿動)組件目錄表'!$D$15:$R$1094, 5, FALSE),"")</f>
        <v/>
      </c>
      <c r="BG174" s="118"/>
      <c r="BH174" s="120"/>
      <c r="BI174" s="118"/>
      <c r="BJ174" s="120"/>
    </row>
    <row r="175" spans="1:62" ht="67.5" customHeight="1">
      <c r="A175" s="18" t="str">
        <f t="array" aca="1" ref="A175" ca="1">IFERROR(TRANSPOSE(INDIRECT('「(動工中勿使用!!)新版+舊版_Teaser」的副本'!$BB175)),"")</f>
        <v/>
      </c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80" t="b">
        <v>0</v>
      </c>
      <c r="AF175" s="111" t="str">
        <f t="shared" si="8"/>
        <v/>
      </c>
      <c r="AG175" s="112" t="str">
        <f t="shared" si="1"/>
        <v/>
      </c>
      <c r="AH175" s="126" t="s">
        <v>352</v>
      </c>
      <c r="AI175" s="114" t="str">
        <f ca="1">IFERROR(VLOOKUP($AH175, '(勿動)Component Label公版'!$D$1:$E$1000, 2, FALSE), "-")</f>
        <v>-</v>
      </c>
      <c r="AJ175" s="115"/>
      <c r="AK175" s="112"/>
      <c r="AL175" s="112"/>
      <c r="AM175" s="116" t="str">
        <f t="shared" si="2"/>
        <v/>
      </c>
      <c r="AN175" s="117" t="str">
        <f t="shared" si="3"/>
        <v/>
      </c>
      <c r="AO175" s="451" t="s">
        <v>393</v>
      </c>
      <c r="AP175" s="385"/>
      <c r="AQ175" s="451" t="s">
        <v>394</v>
      </c>
      <c r="AR175" s="385"/>
      <c r="AS175" s="451" t="s">
        <v>395</v>
      </c>
      <c r="AT175" s="385"/>
      <c r="AU175" s="54" t="b">
        <v>0</v>
      </c>
      <c r="AV175" s="54" t="b">
        <v>0</v>
      </c>
      <c r="AW175" s="155"/>
      <c r="AX175" s="156"/>
      <c r="AY175" s="156"/>
      <c r="AZ175" s="156"/>
      <c r="BA175" s="157"/>
      <c r="BB175" s="68"/>
      <c r="BC175" s="62"/>
      <c r="BD175" s="129" t="str">
        <f t="shared" si="4"/>
        <v>_</v>
      </c>
      <c r="BE175" s="130" t="str">
        <f>IFERROR(VLOOKUP($BD175,'(勿動)組件目錄表'!$D$15:$R$1094,2,FALSE),"")</f>
        <v/>
      </c>
      <c r="BF175" s="131" t="str">
        <f>IFERROR(VLOOKUP($BD175, '(勿動)組件目錄表'!$D$15:$R$1094, 5, FALSE),"")</f>
        <v/>
      </c>
      <c r="BG175" s="118"/>
      <c r="BH175" s="120"/>
      <c r="BI175" s="118"/>
      <c r="BJ175" s="120"/>
    </row>
    <row r="176" spans="1:62" ht="15.75" customHeight="1">
      <c r="A176" s="18" t="str">
        <f t="array" aca="1" ref="A176" ca="1">IFERROR(TRANSPOSE(INDIRECT('「(動工中勿使用!!)新版+舊版_Teaser」的副本'!$BB176)),"")</f>
        <v/>
      </c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80" t="b">
        <v>0</v>
      </c>
      <c r="AF176" s="111" t="str">
        <f t="shared" si="8"/>
        <v/>
      </c>
      <c r="AG176" s="112" t="str">
        <f t="shared" si="1"/>
        <v/>
      </c>
      <c r="AH176" s="126" t="s">
        <v>352</v>
      </c>
      <c r="AI176" s="114" t="str">
        <f ca="1">IFERROR(VLOOKUP($AH176, '(勿動)Component Label公版'!$D$1:$E$1000, 2, FALSE), "-")</f>
        <v>-</v>
      </c>
      <c r="AJ176" s="115"/>
      <c r="AK176" s="112"/>
      <c r="AL176" s="112"/>
      <c r="AM176" s="116" t="str">
        <f t="shared" si="2"/>
        <v/>
      </c>
      <c r="AN176" s="117" t="str">
        <f t="shared" si="3"/>
        <v/>
      </c>
      <c r="AO176" s="437" t="s">
        <v>396</v>
      </c>
      <c r="AP176" s="385"/>
      <c r="AQ176" s="437" t="s">
        <v>397</v>
      </c>
      <c r="AR176" s="385"/>
      <c r="AS176" s="437" t="s">
        <v>398</v>
      </c>
      <c r="AT176" s="385"/>
      <c r="AU176" s="54" t="b">
        <v>1</v>
      </c>
      <c r="AV176" s="54" t="b">
        <v>1</v>
      </c>
      <c r="AW176" s="155"/>
      <c r="AX176" s="156"/>
      <c r="AY176" s="156"/>
      <c r="AZ176" s="156"/>
      <c r="BA176" s="157"/>
      <c r="BB176" s="68"/>
      <c r="BC176" s="62"/>
      <c r="BD176" s="129" t="str">
        <f t="shared" si="4"/>
        <v>_</v>
      </c>
      <c r="BE176" s="130" t="str">
        <f>IFERROR(VLOOKUP($BD176,'(勿動)組件目錄表'!$D$15:$R$1094,2,FALSE),"")</f>
        <v/>
      </c>
      <c r="BF176" s="131" t="str">
        <f>IFERROR(VLOOKUP($BD176, '(勿動)組件目錄表'!$D$15:$R$1094, 5, FALSE),"")</f>
        <v/>
      </c>
      <c r="BG176" s="118"/>
      <c r="BH176" s="120"/>
      <c r="BI176" s="118"/>
      <c r="BJ176" s="120"/>
    </row>
    <row r="177" spans="1:62" ht="15.75" customHeight="1">
      <c r="A177" s="18" t="str">
        <f t="array" aca="1" ref="A177" ca="1">IFERROR(TRANSPOSE(INDIRECT('「(動工中勿使用!!)新版+舊版_Teaser」的副本'!$BB177)),"")</f>
        <v/>
      </c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80" t="b">
        <v>0</v>
      </c>
      <c r="AF177" s="111" t="str">
        <f t="shared" si="8"/>
        <v/>
      </c>
      <c r="AG177" s="112" t="str">
        <f t="shared" si="1"/>
        <v/>
      </c>
      <c r="AH177" s="126" t="s">
        <v>352</v>
      </c>
      <c r="AI177" s="114" t="str">
        <f ca="1">IFERROR(VLOOKUP($AH177, '(勿動)Component Label公版'!$D$1:$E$1000, 2, FALSE), "-")</f>
        <v>-</v>
      </c>
      <c r="AJ177" s="115"/>
      <c r="AK177" s="112"/>
      <c r="AL177" s="112"/>
      <c r="AM177" s="116" t="str">
        <f t="shared" si="2"/>
        <v/>
      </c>
      <c r="AN177" s="117" t="str">
        <f t="shared" si="3"/>
        <v/>
      </c>
      <c r="AO177" s="435" t="s">
        <v>362</v>
      </c>
      <c r="AP177" s="385"/>
      <c r="AQ177" s="435" t="s">
        <v>362</v>
      </c>
      <c r="AR177" s="385"/>
      <c r="AS177" s="435" t="s">
        <v>362</v>
      </c>
      <c r="AT177" s="385"/>
      <c r="AU177" s="54" t="b">
        <v>0</v>
      </c>
      <c r="AV177" s="54" t="b">
        <v>0</v>
      </c>
      <c r="AW177" s="155"/>
      <c r="AX177" s="156"/>
      <c r="AY177" s="156"/>
      <c r="AZ177" s="156"/>
      <c r="BA177" s="157"/>
      <c r="BB177" s="68"/>
      <c r="BC177" s="62"/>
      <c r="BD177" s="129" t="str">
        <f t="shared" si="4"/>
        <v>_</v>
      </c>
      <c r="BE177" s="130" t="str">
        <f>IFERROR(VLOOKUP($BD177,'(勿動)組件目錄表'!$D$15:$R$1094,2,FALSE),"")</f>
        <v/>
      </c>
      <c r="BF177" s="131" t="str">
        <f>IFERROR(VLOOKUP($BD177, '(勿動)組件目錄表'!$D$15:$R$1094, 5, FALSE),"")</f>
        <v/>
      </c>
      <c r="BG177" s="118"/>
      <c r="BH177" s="120"/>
      <c r="BI177" s="118"/>
      <c r="BJ177" s="120"/>
    </row>
    <row r="178" spans="1:62" ht="15.75" customHeight="1">
      <c r="A178" s="18" t="str">
        <f t="array" aca="1" ref="A178" ca="1">IFERROR(TRANSPOSE(INDIRECT('「(動工中勿使用!!)新版+舊版_Teaser」的副本'!$BB178)),"")</f>
        <v/>
      </c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86" t="b">
        <v>0</v>
      </c>
      <c r="AF178" s="111" t="str">
        <f t="shared" si="8"/>
        <v/>
      </c>
      <c r="AG178" s="112" t="str">
        <f t="shared" si="1"/>
        <v/>
      </c>
      <c r="AH178" s="126" t="s">
        <v>352</v>
      </c>
      <c r="AI178" s="114" t="str">
        <f ca="1">IFERROR(VLOOKUP($AH178, '(勿動)Component Label公版'!$D$1:$E$1000, 2, FALSE), "-")</f>
        <v>-</v>
      </c>
      <c r="AJ178" s="115"/>
      <c r="AK178" s="112"/>
      <c r="AL178" s="112"/>
      <c r="AM178" s="116" t="str">
        <f t="shared" si="2"/>
        <v/>
      </c>
      <c r="AN178" s="117" t="str">
        <f t="shared" si="3"/>
        <v/>
      </c>
      <c r="AO178" s="449" t="s">
        <v>188</v>
      </c>
      <c r="AP178" s="384"/>
      <c r="AQ178" s="384"/>
      <c r="AR178" s="384"/>
      <c r="AS178" s="384"/>
      <c r="AT178" s="385"/>
      <c r="AU178" s="54" t="b">
        <v>0</v>
      </c>
      <c r="AV178" s="54" t="b">
        <v>0</v>
      </c>
      <c r="AW178" s="123"/>
      <c r="AX178" s="124"/>
      <c r="AY178" s="124"/>
      <c r="AZ178" s="124"/>
      <c r="BA178" s="125"/>
      <c r="BB178" s="68"/>
      <c r="BC178" s="62"/>
      <c r="BD178" s="129" t="str">
        <f t="shared" si="4"/>
        <v>_</v>
      </c>
      <c r="BE178" s="130" t="str">
        <f>IFERROR(VLOOKUP($BD178,'(勿動)組件目錄表'!$D$15:$R$1094,2,FALSE),"")</f>
        <v/>
      </c>
      <c r="BF178" s="131" t="str">
        <f>IFERROR(VLOOKUP($BD178, '(勿動)組件目錄表'!$D$15:$R$1094, 5, FALSE),"")</f>
        <v/>
      </c>
      <c r="BG178" s="118"/>
      <c r="BH178" s="120"/>
      <c r="BI178" s="118"/>
      <c r="BJ178" s="120"/>
    </row>
    <row r="179" spans="1:62" ht="33.75" customHeight="1">
      <c r="A179" s="18" t="str">
        <f t="array" aca="1" ref="A179" ca="1">IFERROR(TRANSPOSE(INDIRECT('「(動工中勿使用!!)新版+舊版_Teaser」的副本'!$BB179)),"")</f>
        <v/>
      </c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80" t="b">
        <v>0</v>
      </c>
      <c r="AF179" s="111" t="str">
        <f t="shared" si="8"/>
        <v/>
      </c>
      <c r="AG179" s="112" t="str">
        <f t="shared" si="1"/>
        <v/>
      </c>
      <c r="AH179" s="126" t="s">
        <v>399</v>
      </c>
      <c r="AI179" s="114" t="str">
        <f ca="1">IFERROR(VLOOKUP($AH179, '(勿動)Component Label公版'!$D$1:$E$1000, 2, FALSE), "-")</f>
        <v>-</v>
      </c>
      <c r="AJ179" s="115"/>
      <c r="AK179" s="112"/>
      <c r="AL179" s="112"/>
      <c r="AM179" s="116" t="str">
        <f t="shared" si="2"/>
        <v/>
      </c>
      <c r="AN179" s="117" t="str">
        <f t="shared" si="3"/>
        <v/>
      </c>
      <c r="AO179" s="450" t="s">
        <v>400</v>
      </c>
      <c r="AP179" s="384"/>
      <c r="AQ179" s="384"/>
      <c r="AR179" s="384"/>
      <c r="AS179" s="384"/>
      <c r="AT179" s="385"/>
      <c r="AU179" s="54" t="b">
        <v>0</v>
      </c>
      <c r="AV179" s="54" t="b">
        <v>0</v>
      </c>
      <c r="AW179" s="155"/>
      <c r="AX179" s="156"/>
      <c r="AY179" s="156"/>
      <c r="AZ179" s="156"/>
      <c r="BA179" s="157"/>
      <c r="BB179" s="68"/>
      <c r="BC179" s="62"/>
      <c r="BD179" s="129" t="str">
        <f t="shared" si="4"/>
        <v>_</v>
      </c>
      <c r="BE179" s="130" t="str">
        <f>IFERROR(VLOOKUP($BD179,'(勿動)組件目錄表'!$D$15:$R$1094,2,FALSE),"")</f>
        <v/>
      </c>
      <c r="BF179" s="131" t="str">
        <f>IFERROR(VLOOKUP($BD179, '(勿動)組件目錄表'!$D$15:$R$1094, 5, FALSE),"")</f>
        <v/>
      </c>
      <c r="BG179" s="118"/>
      <c r="BH179" s="120"/>
      <c r="BI179" s="118"/>
      <c r="BJ179" s="120"/>
    </row>
    <row r="180" spans="1:62" ht="60.75" customHeight="1">
      <c r="A180" s="18" t="str">
        <f t="array" aca="1" ref="A180" ca="1">IFERROR(TRANSPOSE(INDIRECT('「(動工中勿使用!!)新版+舊版_Teaser」的副本'!$BB180)),"")</f>
        <v/>
      </c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80" t="b">
        <v>0</v>
      </c>
      <c r="AF180" s="111" t="str">
        <f t="shared" si="8"/>
        <v/>
      </c>
      <c r="AG180" s="112" t="str">
        <f t="shared" si="1"/>
        <v/>
      </c>
      <c r="AH180" s="126" t="s">
        <v>399</v>
      </c>
      <c r="AI180" s="114" t="str">
        <f ca="1">IFERROR(VLOOKUP($AH180, '(勿動)Component Label公版'!$D$1:$E$1000, 2, FALSE), "-")</f>
        <v>-</v>
      </c>
      <c r="AJ180" s="115"/>
      <c r="AK180" s="112"/>
      <c r="AL180" s="112"/>
      <c r="AM180" s="116" t="str">
        <f t="shared" si="2"/>
        <v/>
      </c>
      <c r="AN180" s="117" t="str">
        <f t="shared" si="3"/>
        <v/>
      </c>
      <c r="AO180" s="476" t="s">
        <v>401</v>
      </c>
      <c r="AP180" s="384"/>
      <c r="AQ180" s="384"/>
      <c r="AR180" s="384"/>
      <c r="AS180" s="384"/>
      <c r="AT180" s="385"/>
      <c r="AU180" s="54" t="b">
        <v>0</v>
      </c>
      <c r="AV180" s="54" t="b">
        <v>0</v>
      </c>
      <c r="AW180" s="123"/>
      <c r="AX180" s="124"/>
      <c r="AY180" s="124"/>
      <c r="AZ180" s="124"/>
      <c r="BA180" s="125"/>
      <c r="BB180" s="68"/>
      <c r="BC180" s="62"/>
      <c r="BD180" s="129" t="str">
        <f t="shared" si="4"/>
        <v>_</v>
      </c>
      <c r="BE180" s="130" t="str">
        <f>IFERROR(VLOOKUP($BD180,'(勿動)組件目錄表'!$D$15:$R$1094,2,FALSE),"")</f>
        <v/>
      </c>
      <c r="BF180" s="131" t="str">
        <f>IFERROR(VLOOKUP($BD180, '(勿動)組件目錄表'!$D$15:$R$1094, 5, FALSE),"")</f>
        <v/>
      </c>
      <c r="BG180" s="118"/>
      <c r="BH180" s="120"/>
      <c r="BI180" s="118"/>
      <c r="BJ180" s="120"/>
    </row>
    <row r="181" spans="1:62" ht="15.75" customHeight="1">
      <c r="A181" s="18" t="str">
        <f t="array" aca="1" ref="A181" ca="1">IFERROR(TRANSPOSE(INDIRECT('「(動工中勿使用!!)新版+舊版_Teaser」的副本'!$BB181)),"")</f>
        <v/>
      </c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80" t="b">
        <v>0</v>
      </c>
      <c r="AF181" s="111" t="str">
        <f t="shared" si="8"/>
        <v/>
      </c>
      <c r="AG181" s="112" t="str">
        <f t="shared" si="1"/>
        <v/>
      </c>
      <c r="AH181" s="126" t="s">
        <v>402</v>
      </c>
      <c r="AI181" s="114" t="str">
        <f ca="1">IFERROR(VLOOKUP($AH181, '(勿動)Component Label公版'!$D$1:$E$1000, 2, FALSE), "-")</f>
        <v>-</v>
      </c>
      <c r="AJ181" s="115"/>
      <c r="AK181" s="112"/>
      <c r="AL181" s="112"/>
      <c r="AM181" s="116" t="str">
        <f t="shared" si="2"/>
        <v/>
      </c>
      <c r="AN181" s="117" t="str">
        <f t="shared" si="3"/>
        <v/>
      </c>
      <c r="AO181" s="478" t="s">
        <v>403</v>
      </c>
      <c r="AP181" s="384"/>
      <c r="AQ181" s="384"/>
      <c r="AR181" s="384"/>
      <c r="AS181" s="384"/>
      <c r="AT181" s="385"/>
      <c r="AU181" s="54" t="b">
        <v>0</v>
      </c>
      <c r="AV181" s="54" t="b">
        <v>0</v>
      </c>
      <c r="AW181" s="123"/>
      <c r="AX181" s="124"/>
      <c r="AY181" s="124"/>
      <c r="AZ181" s="124"/>
      <c r="BA181" s="125"/>
      <c r="BB181" s="68"/>
      <c r="BC181" s="62"/>
      <c r="BD181" s="129" t="str">
        <f t="shared" si="4"/>
        <v>_</v>
      </c>
      <c r="BE181" s="130" t="str">
        <f>IFERROR(VLOOKUP($BD181,'(勿動)組件目錄表'!$D$15:$R$1094,2,FALSE),"")</f>
        <v/>
      </c>
      <c r="BF181" s="131" t="str">
        <f>IFERROR(VLOOKUP($BD181, '(勿動)組件目錄表'!$D$15:$R$1094, 5, FALSE),"")</f>
        <v/>
      </c>
      <c r="BG181" s="118"/>
      <c r="BH181" s="120"/>
      <c r="BI181" s="118"/>
      <c r="BJ181" s="120"/>
    </row>
    <row r="182" spans="1:62" ht="15.75" customHeight="1">
      <c r="A182" s="18" t="str">
        <f t="array" aca="1" ref="A182" ca="1">IFERROR(TRANSPOSE(INDIRECT('「(動工中勿使用!!)新版+舊版_Teaser」的副本'!$BB182)),"")</f>
        <v/>
      </c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80" t="b">
        <v>0</v>
      </c>
      <c r="AF182" s="111" t="str">
        <f t="shared" si="8"/>
        <v/>
      </c>
      <c r="AG182" s="112" t="str">
        <f t="shared" si="1"/>
        <v/>
      </c>
      <c r="AH182" s="126" t="s">
        <v>402</v>
      </c>
      <c r="AI182" s="114" t="str">
        <f ca="1">IFERROR(VLOOKUP($AH182, '(勿動)Component Label公版'!$D$1:$E$1000, 2, FALSE), "-")</f>
        <v>-</v>
      </c>
      <c r="AJ182" s="115"/>
      <c r="AK182" s="112"/>
      <c r="AL182" s="112"/>
      <c r="AM182" s="116" t="str">
        <f t="shared" si="2"/>
        <v/>
      </c>
      <c r="AN182" s="117" t="str">
        <f t="shared" si="3"/>
        <v/>
      </c>
      <c r="AO182" s="445" t="s">
        <v>403</v>
      </c>
      <c r="AP182" s="384"/>
      <c r="AQ182" s="384"/>
      <c r="AR182" s="384"/>
      <c r="AS182" s="384"/>
      <c r="AT182" s="385"/>
      <c r="AU182" s="54" t="b">
        <v>0</v>
      </c>
      <c r="AV182" s="54" t="b">
        <v>0</v>
      </c>
      <c r="AW182" s="123"/>
      <c r="AX182" s="124"/>
      <c r="AY182" s="124"/>
      <c r="AZ182" s="124"/>
      <c r="BA182" s="125"/>
      <c r="BB182" s="68"/>
      <c r="BC182" s="62"/>
      <c r="BD182" s="129" t="str">
        <f t="shared" si="4"/>
        <v>_</v>
      </c>
      <c r="BE182" s="130" t="str">
        <f>IFERROR(VLOOKUP($BD182,'(勿動)組件目錄表'!$D$15:$R$1094,2,FALSE),"")</f>
        <v/>
      </c>
      <c r="BF182" s="131" t="str">
        <f>IFERROR(VLOOKUP($BD182, '(勿動)組件目錄表'!$D$15:$R$1094, 5, FALSE),"")</f>
        <v/>
      </c>
      <c r="BG182" s="118"/>
      <c r="BH182" s="120"/>
      <c r="BI182" s="118"/>
      <c r="BJ182" s="120"/>
    </row>
    <row r="183" spans="1:62" ht="15.75" customHeight="1">
      <c r="A183" s="18" t="str">
        <f t="array" aca="1" ref="A183" ca="1">IFERROR(TRANSPOSE(INDIRECT('「(動工中勿使用!!)新版+舊版_Teaser」的副本'!$BB183)),"")</f>
        <v/>
      </c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80" t="b">
        <v>0</v>
      </c>
      <c r="AF183" s="111" t="str">
        <f t="shared" si="8"/>
        <v/>
      </c>
      <c r="AG183" s="112" t="str">
        <f t="shared" si="1"/>
        <v/>
      </c>
      <c r="AH183" s="126" t="s">
        <v>402</v>
      </c>
      <c r="AI183" s="114" t="str">
        <f ca="1">IFERROR(VLOOKUP($AH183, '(勿動)Component Label公版'!$D$1:$E$1000, 2, FALSE), "-")</f>
        <v>-</v>
      </c>
      <c r="AJ183" s="115"/>
      <c r="AK183" s="112"/>
      <c r="AL183" s="112"/>
      <c r="AM183" s="116" t="str">
        <f t="shared" si="2"/>
        <v/>
      </c>
      <c r="AN183" s="117" t="str">
        <f t="shared" si="3"/>
        <v/>
      </c>
      <c r="AO183" s="477" t="s">
        <v>404</v>
      </c>
      <c r="AP183" s="384"/>
      <c r="AQ183" s="384"/>
      <c r="AR183" s="384"/>
      <c r="AS183" s="384"/>
      <c r="AT183" s="385"/>
      <c r="AU183" s="54" t="b">
        <v>0</v>
      </c>
      <c r="AV183" s="54" t="b">
        <v>0</v>
      </c>
      <c r="AW183" s="123"/>
      <c r="AX183" s="124"/>
      <c r="AY183" s="124"/>
      <c r="AZ183" s="124"/>
      <c r="BA183" s="125"/>
      <c r="BB183" s="68"/>
      <c r="BC183" s="62"/>
      <c r="BD183" s="129" t="str">
        <f t="shared" si="4"/>
        <v>_</v>
      </c>
      <c r="BE183" s="130" t="str">
        <f>IFERROR(VLOOKUP($BD183,'(勿動)組件目錄表'!$D$15:$R$1094,2,FALSE),"")</f>
        <v/>
      </c>
      <c r="BF183" s="131" t="str">
        <f>IFERROR(VLOOKUP($BD183, '(勿動)組件目錄表'!$D$15:$R$1094, 5, FALSE),"")</f>
        <v/>
      </c>
      <c r="BG183" s="118"/>
      <c r="BH183" s="120"/>
      <c r="BI183" s="118"/>
      <c r="BJ183" s="120"/>
    </row>
    <row r="184" spans="1:62" ht="15.75" customHeight="1">
      <c r="A184" s="18" t="str">
        <f t="array" aca="1" ref="A184" ca="1">IFERROR(TRANSPOSE(INDIRECT('「(動工中勿使用!!)新版+舊版_Teaser」的副本'!$BB184)),"")</f>
        <v/>
      </c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80" t="b">
        <v>0</v>
      </c>
      <c r="AF184" s="111" t="str">
        <f t="shared" si="8"/>
        <v/>
      </c>
      <c r="AG184" s="112" t="str">
        <f t="shared" si="1"/>
        <v/>
      </c>
      <c r="AH184" s="126" t="s">
        <v>402</v>
      </c>
      <c r="AI184" s="114" t="str">
        <f ca="1">IFERROR(VLOOKUP($AH184, '(勿動)Component Label公版'!$D$1:$E$1000, 2, FALSE), "-")</f>
        <v>-</v>
      </c>
      <c r="AJ184" s="115"/>
      <c r="AK184" s="112"/>
      <c r="AL184" s="112"/>
      <c r="AM184" s="116" t="str">
        <f t="shared" si="2"/>
        <v/>
      </c>
      <c r="AN184" s="117" t="str">
        <f t="shared" si="3"/>
        <v/>
      </c>
      <c r="AO184" s="445" t="s">
        <v>403</v>
      </c>
      <c r="AP184" s="384"/>
      <c r="AQ184" s="384"/>
      <c r="AR184" s="384"/>
      <c r="AS184" s="384"/>
      <c r="AT184" s="385"/>
      <c r="AU184" s="54" t="b">
        <v>0</v>
      </c>
      <c r="AV184" s="54" t="b">
        <v>0</v>
      </c>
      <c r="AW184" s="123"/>
      <c r="AX184" s="124"/>
      <c r="AY184" s="124"/>
      <c r="AZ184" s="124"/>
      <c r="BA184" s="125"/>
      <c r="BB184" s="68"/>
      <c r="BC184" s="62"/>
      <c r="BD184" s="129" t="str">
        <f t="shared" si="4"/>
        <v>_</v>
      </c>
      <c r="BE184" s="130" t="str">
        <f>IFERROR(VLOOKUP($BD184,'(勿動)組件目錄表'!$D$15:$R$1094,2,FALSE),"")</f>
        <v/>
      </c>
      <c r="BF184" s="131" t="str">
        <f>IFERROR(VLOOKUP($BD184, '(勿動)組件目錄表'!$D$15:$R$1094, 5, FALSE),"")</f>
        <v/>
      </c>
      <c r="BG184" s="118"/>
      <c r="BH184" s="120"/>
      <c r="BI184" s="118"/>
      <c r="BJ184" s="120"/>
    </row>
    <row r="185" spans="1:62" ht="15.75" customHeight="1">
      <c r="A185" s="18" t="str">
        <f t="array" aca="1" ref="A185" ca="1">IFERROR(TRANSPOSE(INDIRECT('「(動工中勿使用!!)新版+舊版_Teaser」的副本'!$BB185)),"")</f>
        <v/>
      </c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80" t="b">
        <v>0</v>
      </c>
      <c r="AF185" s="111" t="str">
        <f t="shared" si="8"/>
        <v/>
      </c>
      <c r="AG185" s="112" t="str">
        <f t="shared" si="1"/>
        <v/>
      </c>
      <c r="AH185" s="126" t="s">
        <v>402</v>
      </c>
      <c r="AI185" s="114" t="str">
        <f ca="1">IFERROR(VLOOKUP($AH185, '(勿動)Component Label公版'!$D$1:$E$1000, 2, FALSE), "-")</f>
        <v>-</v>
      </c>
      <c r="AJ185" s="115"/>
      <c r="AK185" s="112"/>
      <c r="AL185" s="112"/>
      <c r="AM185" s="116" t="str">
        <f t="shared" si="2"/>
        <v/>
      </c>
      <c r="AN185" s="117" t="str">
        <f t="shared" si="3"/>
        <v/>
      </c>
      <c r="AO185" s="477" t="s">
        <v>405</v>
      </c>
      <c r="AP185" s="384"/>
      <c r="AQ185" s="384"/>
      <c r="AR185" s="384"/>
      <c r="AS185" s="384"/>
      <c r="AT185" s="385"/>
      <c r="AU185" s="54" t="b">
        <v>0</v>
      </c>
      <c r="AV185" s="54" t="b">
        <v>0</v>
      </c>
      <c r="AW185" s="123"/>
      <c r="AX185" s="124"/>
      <c r="AY185" s="124"/>
      <c r="AZ185" s="124"/>
      <c r="BA185" s="125"/>
      <c r="BB185" s="68"/>
      <c r="BC185" s="62"/>
      <c r="BD185" s="129" t="str">
        <f t="shared" si="4"/>
        <v>_</v>
      </c>
      <c r="BE185" s="130" t="str">
        <f>IFERROR(VLOOKUP($BD185,'(勿動)組件目錄表'!$D$15:$R$1094,2,FALSE),"")</f>
        <v/>
      </c>
      <c r="BF185" s="131" t="str">
        <f>IFERROR(VLOOKUP($BD185, '(勿動)組件目錄表'!$D$15:$R$1094, 5, FALSE),"")</f>
        <v/>
      </c>
      <c r="BG185" s="118"/>
      <c r="BH185" s="120"/>
      <c r="BI185" s="118"/>
      <c r="BJ185" s="120"/>
    </row>
    <row r="186" spans="1:62" ht="15.75" customHeight="1">
      <c r="A186" s="18" t="str">
        <f t="array" aca="1" ref="A186" ca="1">IFERROR(TRANSPOSE(INDIRECT('「(動工中勿使用!!)新版+舊版_Teaser」的副本'!$BB186)),"")</f>
        <v/>
      </c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80" t="b">
        <v>0</v>
      </c>
      <c r="AF186" s="111" t="str">
        <f t="shared" si="8"/>
        <v/>
      </c>
      <c r="AG186" s="112" t="str">
        <f t="shared" si="1"/>
        <v/>
      </c>
      <c r="AH186" s="126" t="s">
        <v>402</v>
      </c>
      <c r="AI186" s="114" t="str">
        <f ca="1">IFERROR(VLOOKUP($AH186, '(勿動)Component Label公版'!$D$1:$E$1000, 2, FALSE), "-")</f>
        <v>-</v>
      </c>
      <c r="AJ186" s="115"/>
      <c r="AK186" s="112"/>
      <c r="AL186" s="112"/>
      <c r="AM186" s="116" t="str">
        <f t="shared" si="2"/>
        <v/>
      </c>
      <c r="AN186" s="117" t="str">
        <f t="shared" si="3"/>
        <v/>
      </c>
      <c r="AO186" s="445" t="s">
        <v>403</v>
      </c>
      <c r="AP186" s="384"/>
      <c r="AQ186" s="384"/>
      <c r="AR186" s="384"/>
      <c r="AS186" s="384"/>
      <c r="AT186" s="385"/>
      <c r="AU186" s="54" t="b">
        <v>0</v>
      </c>
      <c r="AV186" s="54" t="b">
        <v>0</v>
      </c>
      <c r="AW186" s="123"/>
      <c r="AX186" s="124"/>
      <c r="AY186" s="124"/>
      <c r="AZ186" s="124"/>
      <c r="BA186" s="125"/>
      <c r="BB186" s="68"/>
      <c r="BC186" s="62"/>
      <c r="BD186" s="129" t="str">
        <f t="shared" si="4"/>
        <v>_</v>
      </c>
      <c r="BE186" s="130" t="str">
        <f>IFERROR(VLOOKUP($BD186,'(勿動)組件目錄表'!$D$15:$R$1094,2,FALSE),"")</f>
        <v/>
      </c>
      <c r="BF186" s="131" t="str">
        <f>IFERROR(VLOOKUP($BD186, '(勿動)組件目錄表'!$D$15:$R$1094, 5, FALSE),"")</f>
        <v/>
      </c>
      <c r="BG186" s="118"/>
      <c r="BH186" s="120"/>
      <c r="BI186" s="118"/>
      <c r="BJ186" s="120"/>
    </row>
    <row r="187" spans="1:62" ht="15.75" customHeight="1">
      <c r="A187" s="18" t="str">
        <f t="array" aca="1" ref="A187" ca="1">IFERROR(TRANSPOSE(INDIRECT('「(動工中勿使用!!)新版+舊版_Teaser」的副本'!$BB187)),"")</f>
        <v/>
      </c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80" t="b">
        <v>0</v>
      </c>
      <c r="AF187" s="111" t="str">
        <f t="shared" si="8"/>
        <v/>
      </c>
      <c r="AG187" s="112" t="str">
        <f t="shared" si="1"/>
        <v/>
      </c>
      <c r="AH187" s="126" t="s">
        <v>402</v>
      </c>
      <c r="AI187" s="114" t="str">
        <f ca="1">IFERROR(VLOOKUP($AH187, '(勿動)Component Label公版'!$D$1:$E$1000, 2, FALSE), "-")</f>
        <v>-</v>
      </c>
      <c r="AJ187" s="115"/>
      <c r="AK187" s="112"/>
      <c r="AL187" s="112"/>
      <c r="AM187" s="116" t="str">
        <f t="shared" si="2"/>
        <v/>
      </c>
      <c r="AN187" s="117" t="str">
        <f t="shared" si="3"/>
        <v/>
      </c>
      <c r="AO187" s="477" t="s">
        <v>406</v>
      </c>
      <c r="AP187" s="384"/>
      <c r="AQ187" s="384"/>
      <c r="AR187" s="384"/>
      <c r="AS187" s="384"/>
      <c r="AT187" s="385"/>
      <c r="AU187" s="54" t="b">
        <v>0</v>
      </c>
      <c r="AV187" s="54" t="b">
        <v>0</v>
      </c>
      <c r="AW187" s="123"/>
      <c r="AX187" s="124"/>
      <c r="AY187" s="124"/>
      <c r="AZ187" s="124"/>
      <c r="BA187" s="125"/>
      <c r="BB187" s="68"/>
      <c r="BC187" s="62"/>
      <c r="BD187" s="129" t="str">
        <f t="shared" si="4"/>
        <v>_</v>
      </c>
      <c r="BE187" s="130" t="str">
        <f>IFERROR(VLOOKUP($BD187,'(勿動)組件目錄表'!$D$15:$R$1094,2,FALSE),"")</f>
        <v/>
      </c>
      <c r="BF187" s="131" t="str">
        <f>IFERROR(VLOOKUP($BD187, '(勿動)組件目錄表'!$D$15:$R$1094, 5, FALSE),"")</f>
        <v/>
      </c>
      <c r="BG187" s="118"/>
      <c r="BH187" s="120"/>
      <c r="BI187" s="118"/>
      <c r="BJ187" s="120"/>
    </row>
    <row r="188" spans="1:62" ht="39.75" customHeight="1">
      <c r="A188" s="18" t="str">
        <f t="array" aca="1" ref="A188" ca="1">IFERROR(TRANSPOSE(INDIRECT('「(動工中勿使用!!)新版+舊版_Teaser」的副本'!$BB188)),"")</f>
        <v/>
      </c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80" t="b">
        <v>0</v>
      </c>
      <c r="AF188" s="111" t="str">
        <f t="shared" si="8"/>
        <v/>
      </c>
      <c r="AG188" s="112" t="str">
        <f t="shared" si="1"/>
        <v/>
      </c>
      <c r="AH188" s="126"/>
      <c r="AI188" s="114" t="str">
        <f ca="1">IFERROR(VLOOKUP($AH188, '(勿動)Component Label公版'!$D$1:$E$1000, 2, FALSE), "-")</f>
        <v>-</v>
      </c>
      <c r="AJ188" s="115"/>
      <c r="AK188" s="112"/>
      <c r="AL188" s="112"/>
      <c r="AM188" s="116" t="str">
        <f t="shared" si="2"/>
        <v/>
      </c>
      <c r="AN188" s="117" t="str">
        <f t="shared" si="3"/>
        <v/>
      </c>
      <c r="AO188" s="437" t="s">
        <v>407</v>
      </c>
      <c r="AP188" s="384"/>
      <c r="AQ188" s="384"/>
      <c r="AR188" s="384"/>
      <c r="AS188" s="384"/>
      <c r="AT188" s="385"/>
      <c r="AU188" s="54" t="b">
        <v>0</v>
      </c>
      <c r="AV188" s="54" t="b">
        <v>0</v>
      </c>
      <c r="AW188" s="123"/>
      <c r="AX188" s="124"/>
      <c r="AY188" s="124"/>
      <c r="AZ188" s="124"/>
      <c r="BA188" s="125"/>
      <c r="BB188" s="68"/>
      <c r="BC188" s="62"/>
      <c r="BD188" s="129" t="str">
        <f t="shared" si="4"/>
        <v>_</v>
      </c>
      <c r="BE188" s="130" t="str">
        <f>IFERROR(VLOOKUP($BD188,'(勿動)組件目錄表'!$D$15:$R$1094,2,FALSE),"")</f>
        <v/>
      </c>
      <c r="BF188" s="131" t="str">
        <f>IFERROR(VLOOKUP($BD188, '(勿動)組件目錄表'!$D$15:$R$1094, 5, FALSE),"")</f>
        <v/>
      </c>
      <c r="BG188" s="118"/>
      <c r="BH188" s="120"/>
      <c r="BI188" s="118"/>
      <c r="BJ188" s="120"/>
    </row>
    <row r="189" spans="1:62" ht="15.75" customHeight="1">
      <c r="A189" s="18" t="str">
        <f t="array" aca="1" ref="A189" ca="1">IFERROR(TRANSPOSE(INDIRECT('「(動工中勿使用!!)新版+舊版_Teaser」的副本'!$BB189)),"")</f>
        <v/>
      </c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80" t="b">
        <v>0</v>
      </c>
      <c r="AF189" s="111" t="str">
        <f t="shared" si="8"/>
        <v/>
      </c>
      <c r="AG189" s="112" t="str">
        <f t="shared" si="1"/>
        <v/>
      </c>
      <c r="AH189" s="126"/>
      <c r="AI189" s="114" t="str">
        <f ca="1">IFERROR(VLOOKUP($AH189, '(勿動)Component Label公版'!$D$1:$E$1000, 2, FALSE), "-")</f>
        <v>-</v>
      </c>
      <c r="AJ189" s="115"/>
      <c r="AK189" s="112"/>
      <c r="AL189" s="112"/>
      <c r="AM189" s="116" t="str">
        <f t="shared" si="2"/>
        <v/>
      </c>
      <c r="AN189" s="117" t="str">
        <f t="shared" si="3"/>
        <v/>
      </c>
      <c r="AO189" s="158"/>
      <c r="AP189" s="18"/>
      <c r="AQ189" s="18"/>
      <c r="AR189" s="18"/>
      <c r="AS189" s="18"/>
      <c r="AT189" s="18"/>
      <c r="AU189" s="54" t="b">
        <v>0</v>
      </c>
      <c r="AV189" s="54" t="b">
        <v>0</v>
      </c>
      <c r="AW189" s="123"/>
      <c r="AX189" s="124"/>
      <c r="AY189" s="124"/>
      <c r="AZ189" s="124"/>
      <c r="BA189" s="125"/>
      <c r="BB189" s="68"/>
      <c r="BC189" s="62"/>
      <c r="BD189" s="129" t="str">
        <f t="shared" si="4"/>
        <v>_</v>
      </c>
      <c r="BE189" s="130" t="str">
        <f>IFERROR(VLOOKUP($BD189,'(勿動)組件目錄表'!$D$15:$R$1094,2,FALSE),"")</f>
        <v/>
      </c>
      <c r="BF189" s="131" t="str">
        <f>IFERROR(VLOOKUP($BD189, '(勿動)組件目錄表'!$D$15:$R$1094, 5, FALSE),"")</f>
        <v/>
      </c>
      <c r="BG189" s="118"/>
      <c r="BH189" s="120"/>
      <c r="BI189" s="118"/>
      <c r="BJ189" s="120"/>
    </row>
    <row r="190" spans="1:62" ht="15.75" customHeight="1">
      <c r="A190" s="18" t="str">
        <f t="array" aca="1" ref="A190" ca="1">IFERROR(TRANSPOSE(INDIRECT('「(動工中勿使用!!)新版+舊版_Teaser」的副本'!$BB190)),"")</f>
        <v/>
      </c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80" t="b">
        <v>0</v>
      </c>
      <c r="AF190" s="111" t="str">
        <f t="shared" si="8"/>
        <v/>
      </c>
      <c r="AG190" s="112" t="str">
        <f t="shared" si="1"/>
        <v/>
      </c>
      <c r="AH190" s="126"/>
      <c r="AI190" s="114" t="str">
        <f ca="1">IFERROR(VLOOKUP($AH190, '(勿動)Component Label公版'!$D$1:$E$1000, 2, FALSE), "-")</f>
        <v>-</v>
      </c>
      <c r="AJ190" s="115"/>
      <c r="AK190" s="112"/>
      <c r="AL190" s="112"/>
      <c r="AM190" s="116" t="str">
        <f t="shared" si="2"/>
        <v/>
      </c>
      <c r="AN190" s="117" t="str">
        <f t="shared" si="3"/>
        <v/>
      </c>
      <c r="AO190" s="158"/>
      <c r="AP190" s="18"/>
      <c r="AQ190" s="18"/>
      <c r="AR190" s="18"/>
      <c r="AS190" s="18"/>
      <c r="AT190" s="18"/>
      <c r="AU190" s="54" t="b">
        <v>0</v>
      </c>
      <c r="AV190" s="54" t="b">
        <v>0</v>
      </c>
      <c r="AW190" s="123"/>
      <c r="AX190" s="124"/>
      <c r="AY190" s="124"/>
      <c r="AZ190" s="124"/>
      <c r="BA190" s="125"/>
      <c r="BB190" s="68"/>
      <c r="BC190" s="62"/>
      <c r="BD190" s="129" t="str">
        <f t="shared" si="4"/>
        <v>_</v>
      </c>
      <c r="BE190" s="130" t="str">
        <f>IFERROR(VLOOKUP($BD190,'(勿動)組件目錄表'!$D$15:$R$1094,2,FALSE),"")</f>
        <v/>
      </c>
      <c r="BF190" s="131" t="str">
        <f>IFERROR(VLOOKUP($BD190, '(勿動)組件目錄表'!$D$15:$R$1094, 5, FALSE),"")</f>
        <v/>
      </c>
      <c r="BG190" s="118"/>
      <c r="BH190" s="120"/>
      <c r="BI190" s="118"/>
      <c r="BJ190" s="120"/>
    </row>
    <row r="191" spans="1:62" ht="15.75" customHeight="1">
      <c r="A191" s="18" t="str">
        <f t="array" aca="1" ref="A191" ca="1">IFERROR(TRANSPOSE(INDIRECT('「(動工中勿使用!!)新版+舊版_Teaser」的副本'!$BB191)),"")</f>
        <v/>
      </c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80" t="b">
        <v>0</v>
      </c>
      <c r="AF191" s="111" t="str">
        <f t="shared" si="8"/>
        <v/>
      </c>
      <c r="AG191" s="112" t="str">
        <f t="shared" si="1"/>
        <v/>
      </c>
      <c r="AH191" s="126"/>
      <c r="AI191" s="114" t="str">
        <f ca="1">IFERROR(VLOOKUP($AH191, '(勿動)Component Label公版'!$D$1:$E$1000, 2, FALSE), "-")</f>
        <v>-</v>
      </c>
      <c r="AJ191" s="115"/>
      <c r="AK191" s="112"/>
      <c r="AL191" s="112"/>
      <c r="AM191" s="116" t="str">
        <f t="shared" si="2"/>
        <v/>
      </c>
      <c r="AN191" s="117" t="str">
        <f t="shared" si="3"/>
        <v/>
      </c>
      <c r="AO191" s="158"/>
      <c r="AP191" s="18"/>
      <c r="AQ191" s="18"/>
      <c r="AR191" s="18"/>
      <c r="AS191" s="18"/>
      <c r="AT191" s="18"/>
      <c r="AU191" s="54" t="b">
        <v>0</v>
      </c>
      <c r="AV191" s="54" t="b">
        <v>0</v>
      </c>
      <c r="AW191" s="123"/>
      <c r="AX191" s="124"/>
      <c r="AY191" s="124"/>
      <c r="AZ191" s="124"/>
      <c r="BA191" s="125"/>
      <c r="BB191" s="68"/>
      <c r="BC191" s="62"/>
      <c r="BD191" s="129" t="str">
        <f t="shared" si="4"/>
        <v>_</v>
      </c>
      <c r="BE191" s="130" t="str">
        <f>IFERROR(VLOOKUP($BD191,'(勿動)組件目錄表'!$D$15:$R$1094,2,FALSE),"")</f>
        <v/>
      </c>
      <c r="BF191" s="131" t="str">
        <f>IFERROR(VLOOKUP($BD191, '(勿動)組件目錄表'!$D$15:$R$1094, 5, FALSE),"")</f>
        <v/>
      </c>
      <c r="BG191" s="118"/>
      <c r="BH191" s="120"/>
      <c r="BI191" s="118"/>
      <c r="BJ191" s="120"/>
    </row>
    <row r="192" spans="1:62" ht="15.75" customHeight="1">
      <c r="A192" s="18" t="str">
        <f t="array" aca="1" ref="A192" ca="1">IFERROR(TRANSPOSE(INDIRECT('「(動工中勿使用!!)新版+舊版_Teaser」的副本'!$BB192)),"")</f>
        <v/>
      </c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80" t="b">
        <v>0</v>
      </c>
      <c r="AF192" s="111" t="str">
        <f t="shared" si="8"/>
        <v/>
      </c>
      <c r="AG192" s="112" t="str">
        <f t="shared" si="1"/>
        <v/>
      </c>
      <c r="AH192" s="126"/>
      <c r="AI192" s="114" t="str">
        <f ca="1">IFERROR(VLOOKUP($AH192, '(勿動)Component Label公版'!$D$1:$E$1000, 2, FALSE), "-")</f>
        <v>-</v>
      </c>
      <c r="AJ192" s="115"/>
      <c r="AK192" s="112"/>
      <c r="AL192" s="112"/>
      <c r="AM192" s="116" t="str">
        <f t="shared" si="2"/>
        <v/>
      </c>
      <c r="AN192" s="117" t="str">
        <f t="shared" si="3"/>
        <v/>
      </c>
      <c r="AO192" s="158"/>
      <c r="AP192" s="18"/>
      <c r="AQ192" s="18"/>
      <c r="AR192" s="18"/>
      <c r="AS192" s="18"/>
      <c r="AT192" s="18"/>
      <c r="AU192" s="54" t="b">
        <v>0</v>
      </c>
      <c r="AV192" s="54" t="b">
        <v>0</v>
      </c>
      <c r="AW192" s="123"/>
      <c r="AX192" s="124"/>
      <c r="AY192" s="124"/>
      <c r="AZ192" s="124"/>
      <c r="BA192" s="125"/>
      <c r="BB192" s="68"/>
      <c r="BC192" s="62"/>
      <c r="BD192" s="129" t="str">
        <f t="shared" si="4"/>
        <v>_</v>
      </c>
      <c r="BE192" s="130" t="str">
        <f>IFERROR(VLOOKUP($BD192,'(勿動)組件目錄表'!$D$15:$R$1094,2,FALSE),"")</f>
        <v/>
      </c>
      <c r="BF192" s="131" t="str">
        <f>IFERROR(VLOOKUP($BD192, '(勿動)組件目錄表'!$D$15:$R$1094, 5, FALSE),"")</f>
        <v/>
      </c>
      <c r="BG192" s="118"/>
      <c r="BH192" s="120"/>
      <c r="BI192" s="118"/>
      <c r="BJ192" s="120"/>
    </row>
    <row r="193" spans="1:62" ht="15.75" customHeight="1">
      <c r="A193" s="18" t="str">
        <f t="array" aca="1" ref="A193" ca="1">IFERROR(TRANSPOSE(INDIRECT('「(動工中勿使用!!)新版+舊版_Teaser」的副本'!$BB193)),"")</f>
        <v/>
      </c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80" t="b">
        <v>0</v>
      </c>
      <c r="AF193" s="111" t="str">
        <f t="shared" si="8"/>
        <v/>
      </c>
      <c r="AG193" s="112" t="str">
        <f t="shared" si="1"/>
        <v/>
      </c>
      <c r="AH193" s="126"/>
      <c r="AI193" s="114" t="str">
        <f ca="1">IFERROR(VLOOKUP($AH193, '(勿動)Component Label公版'!$D$1:$E$1000, 2, FALSE), "-")</f>
        <v>-</v>
      </c>
      <c r="AJ193" s="115"/>
      <c r="AK193" s="112"/>
      <c r="AL193" s="112"/>
      <c r="AM193" s="116" t="str">
        <f t="shared" si="2"/>
        <v/>
      </c>
      <c r="AN193" s="117" t="str">
        <f t="shared" si="3"/>
        <v/>
      </c>
      <c r="AO193" s="158"/>
      <c r="AP193" s="18"/>
      <c r="AQ193" s="18"/>
      <c r="AR193" s="18"/>
      <c r="AS193" s="18"/>
      <c r="AT193" s="18"/>
      <c r="AU193" s="54" t="b">
        <v>0</v>
      </c>
      <c r="AV193" s="54" t="b">
        <v>0</v>
      </c>
      <c r="AW193" s="123"/>
      <c r="AX193" s="124"/>
      <c r="AY193" s="124"/>
      <c r="AZ193" s="124"/>
      <c r="BA193" s="125"/>
      <c r="BB193" s="68"/>
      <c r="BC193" s="62"/>
      <c r="BD193" s="129" t="str">
        <f t="shared" si="4"/>
        <v>_</v>
      </c>
      <c r="BE193" s="130" t="str">
        <f>IFERROR(VLOOKUP($BD193,'(勿動)組件目錄表'!$D$15:$R$1094,2,FALSE),"")</f>
        <v/>
      </c>
      <c r="BF193" s="131" t="str">
        <f>IFERROR(VLOOKUP($BD193, '(勿動)組件目錄表'!$D$15:$R$1094, 5, FALSE),"")</f>
        <v/>
      </c>
      <c r="BG193" s="118"/>
      <c r="BH193" s="120"/>
      <c r="BI193" s="118"/>
      <c r="BJ193" s="120"/>
    </row>
    <row r="194" spans="1:62" ht="15.75" customHeight="1">
      <c r="A194" s="18" t="str">
        <f t="array" aca="1" ref="A194" ca="1">IFERROR(TRANSPOSE(INDIRECT('「(動工中勿使用!!)新版+舊版_Teaser」的副本'!$BB194)),"")</f>
        <v/>
      </c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80" t="b">
        <v>0</v>
      </c>
      <c r="AF194" s="111" t="str">
        <f t="shared" si="8"/>
        <v/>
      </c>
      <c r="AG194" s="112" t="str">
        <f t="shared" si="1"/>
        <v/>
      </c>
      <c r="AH194" s="126"/>
      <c r="AI194" s="114" t="str">
        <f ca="1">IFERROR(VLOOKUP($AH194, '(勿動)Component Label公版'!$D$1:$E$1000, 2, FALSE), "-")</f>
        <v>-</v>
      </c>
      <c r="AJ194" s="115"/>
      <c r="AK194" s="112"/>
      <c r="AL194" s="112"/>
      <c r="AM194" s="116" t="str">
        <f t="shared" si="2"/>
        <v/>
      </c>
      <c r="AN194" s="117" t="str">
        <f t="shared" si="3"/>
        <v/>
      </c>
      <c r="AO194" s="158"/>
      <c r="AP194" s="18"/>
      <c r="AQ194" s="18"/>
      <c r="AR194" s="18"/>
      <c r="AS194" s="18"/>
      <c r="AT194" s="18"/>
      <c r="AU194" s="54" t="b">
        <v>0</v>
      </c>
      <c r="AV194" s="54" t="b">
        <v>0</v>
      </c>
      <c r="AW194" s="123"/>
      <c r="AX194" s="124"/>
      <c r="AY194" s="124"/>
      <c r="AZ194" s="124"/>
      <c r="BA194" s="125"/>
      <c r="BB194" s="68"/>
      <c r="BC194" s="62"/>
      <c r="BD194" s="129" t="str">
        <f t="shared" si="4"/>
        <v>_</v>
      </c>
      <c r="BE194" s="130" t="str">
        <f>IFERROR(VLOOKUP($BD194,'(勿動)組件目錄表'!$D$15:$R$1094,2,FALSE),"")</f>
        <v/>
      </c>
      <c r="BF194" s="131" t="str">
        <f>IFERROR(VLOOKUP($BD194, '(勿動)組件目錄表'!$D$15:$R$1094, 5, FALSE),"")</f>
        <v/>
      </c>
      <c r="BG194" s="118"/>
      <c r="BH194" s="120"/>
      <c r="BI194" s="118"/>
      <c r="BJ194" s="120"/>
    </row>
    <row r="195" spans="1:62" ht="15.75" customHeight="1">
      <c r="A195" s="18" t="str">
        <f t="array" aca="1" ref="A195" ca="1">IFERROR(TRANSPOSE(INDIRECT('「(動工中勿使用!!)新版+舊版_Teaser」的副本'!$BB195)),"")</f>
        <v/>
      </c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80" t="b">
        <v>0</v>
      </c>
      <c r="AF195" s="111" t="str">
        <f t="shared" si="8"/>
        <v/>
      </c>
      <c r="AG195" s="112" t="str">
        <f t="shared" si="1"/>
        <v/>
      </c>
      <c r="AH195" s="126"/>
      <c r="AI195" s="114" t="str">
        <f ca="1">IFERROR(VLOOKUP($AH195, '(勿動)Component Label公版'!$D$1:$E$1000, 2, FALSE), "-")</f>
        <v>-</v>
      </c>
      <c r="AJ195" s="115"/>
      <c r="AK195" s="112"/>
      <c r="AL195" s="112"/>
      <c r="AM195" s="116" t="str">
        <f t="shared" si="2"/>
        <v/>
      </c>
      <c r="AN195" s="117" t="str">
        <f t="shared" si="3"/>
        <v/>
      </c>
      <c r="AO195" s="158"/>
      <c r="AP195" s="18"/>
      <c r="AQ195" s="18"/>
      <c r="AR195" s="18"/>
      <c r="AS195" s="18"/>
      <c r="AT195" s="18"/>
      <c r="AU195" s="54" t="b">
        <v>0</v>
      </c>
      <c r="AV195" s="54" t="b">
        <v>0</v>
      </c>
      <c r="AW195" s="123"/>
      <c r="AX195" s="124"/>
      <c r="AY195" s="124"/>
      <c r="AZ195" s="124"/>
      <c r="BA195" s="125"/>
      <c r="BB195" s="68"/>
      <c r="BC195" s="62"/>
      <c r="BD195" s="129" t="str">
        <f t="shared" si="4"/>
        <v>_</v>
      </c>
      <c r="BE195" s="130" t="str">
        <f>IFERROR(VLOOKUP($BD195,'(勿動)組件目錄表'!$D$15:$R$1094,2,FALSE),"")</f>
        <v/>
      </c>
      <c r="BF195" s="131" t="str">
        <f>IFERROR(VLOOKUP($BD195, '(勿動)組件目錄表'!$D$15:$R$1094, 5, FALSE),"")</f>
        <v/>
      </c>
      <c r="BG195" s="118"/>
      <c r="BH195" s="120"/>
      <c r="BI195" s="118"/>
      <c r="BJ195" s="120"/>
    </row>
    <row r="196" spans="1:62" ht="15.75" customHeight="1">
      <c r="A196" s="18" t="str">
        <f t="array" aca="1" ref="A196" ca="1">IFERROR(TRANSPOSE(INDIRECT('「(動工中勿使用!!)新版+舊版_Teaser」的副本'!$BB196)),"")</f>
        <v/>
      </c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80" t="b">
        <v>0</v>
      </c>
      <c r="AF196" s="111" t="str">
        <f t="shared" si="8"/>
        <v/>
      </c>
      <c r="AG196" s="112" t="str">
        <f t="shared" si="1"/>
        <v/>
      </c>
      <c r="AH196" s="126"/>
      <c r="AI196" s="114" t="str">
        <f ca="1">IFERROR(VLOOKUP($AH196, '(勿動)Component Label公版'!$D$1:$E$1000, 2, FALSE), "-")</f>
        <v>-</v>
      </c>
      <c r="AJ196" s="115"/>
      <c r="AK196" s="112"/>
      <c r="AL196" s="112"/>
      <c r="AM196" s="116" t="str">
        <f t="shared" si="2"/>
        <v/>
      </c>
      <c r="AN196" s="117" t="str">
        <f t="shared" si="3"/>
        <v/>
      </c>
      <c r="AO196" s="158"/>
      <c r="AP196" s="18"/>
      <c r="AQ196" s="18"/>
      <c r="AR196" s="18"/>
      <c r="AS196" s="18"/>
      <c r="AT196" s="18"/>
      <c r="AU196" s="54" t="b">
        <v>0</v>
      </c>
      <c r="AV196" s="54" t="b">
        <v>0</v>
      </c>
      <c r="AW196" s="123"/>
      <c r="AX196" s="124"/>
      <c r="AY196" s="124"/>
      <c r="AZ196" s="124"/>
      <c r="BA196" s="125"/>
      <c r="BB196" s="68"/>
      <c r="BC196" s="62"/>
      <c r="BD196" s="129" t="str">
        <f t="shared" si="4"/>
        <v>_</v>
      </c>
      <c r="BE196" s="130" t="str">
        <f>IFERROR(VLOOKUP($BD196,'(勿動)組件目錄表'!$D$15:$R$1094,2,FALSE),"")</f>
        <v/>
      </c>
      <c r="BF196" s="131" t="str">
        <f>IFERROR(VLOOKUP($BD196, '(勿動)組件目錄表'!$D$15:$R$1094, 5, FALSE),"")</f>
        <v/>
      </c>
      <c r="BG196" s="118"/>
      <c r="BH196" s="120"/>
      <c r="BI196" s="118"/>
      <c r="BJ196" s="120"/>
    </row>
    <row r="197" spans="1:62" ht="15.75" customHeight="1">
      <c r="A197" s="18" t="str">
        <f t="array" aca="1" ref="A197" ca="1">IFERROR(TRANSPOSE(INDIRECT('「(動工中勿使用!!)新版+舊版_Teaser」的副本'!$BB197)),"")</f>
        <v/>
      </c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80" t="b">
        <v>0</v>
      </c>
      <c r="AF197" s="111" t="str">
        <f t="shared" si="8"/>
        <v/>
      </c>
      <c r="AG197" s="112" t="str">
        <f t="shared" si="1"/>
        <v/>
      </c>
      <c r="AH197" s="126"/>
      <c r="AI197" s="114" t="str">
        <f ca="1">IFERROR(VLOOKUP($AH197, '(勿動)Component Label公版'!$D$1:$E$1000, 2, FALSE), "-")</f>
        <v>-</v>
      </c>
      <c r="AJ197" s="115"/>
      <c r="AK197" s="112"/>
      <c r="AL197" s="112"/>
      <c r="AM197" s="116" t="str">
        <f t="shared" si="2"/>
        <v/>
      </c>
      <c r="AN197" s="117" t="str">
        <f t="shared" si="3"/>
        <v/>
      </c>
      <c r="AO197" s="158"/>
      <c r="AP197" s="18"/>
      <c r="AQ197" s="18"/>
      <c r="AR197" s="18"/>
      <c r="AS197" s="18"/>
      <c r="AT197" s="18"/>
      <c r="AU197" s="54" t="b">
        <v>0</v>
      </c>
      <c r="AV197" s="54" t="b">
        <v>0</v>
      </c>
      <c r="AW197" s="123"/>
      <c r="AX197" s="124"/>
      <c r="AY197" s="124"/>
      <c r="AZ197" s="124"/>
      <c r="BA197" s="125"/>
      <c r="BB197" s="68"/>
      <c r="BC197" s="62"/>
      <c r="BD197" s="129" t="str">
        <f t="shared" si="4"/>
        <v>_</v>
      </c>
      <c r="BE197" s="130" t="str">
        <f>IFERROR(VLOOKUP($BD197,'(勿動)組件目錄表'!$D$15:$R$1094,2,FALSE),"")</f>
        <v/>
      </c>
      <c r="BF197" s="131" t="str">
        <f>IFERROR(VLOOKUP($BD197, '(勿動)組件目錄表'!$D$15:$R$1094, 5, FALSE),"")</f>
        <v/>
      </c>
      <c r="BG197" s="118"/>
      <c r="BH197" s="120"/>
      <c r="BI197" s="118"/>
      <c r="BJ197" s="120"/>
    </row>
    <row r="198" spans="1:62" ht="15.75" customHeight="1">
      <c r="A198" s="18" t="str">
        <f t="array" aca="1" ref="A198" ca="1">IFERROR(TRANSPOSE(INDIRECT('「(動工中勿使用!!)新版+舊版_Teaser」的副本'!$BB198)),"")</f>
        <v/>
      </c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80" t="b">
        <v>0</v>
      </c>
      <c r="AF198" s="111" t="str">
        <f t="shared" si="8"/>
        <v/>
      </c>
      <c r="AG198" s="112" t="str">
        <f t="shared" si="1"/>
        <v/>
      </c>
      <c r="AH198" s="126"/>
      <c r="AI198" s="114" t="str">
        <f ca="1">IFERROR(VLOOKUP($AH198, '(勿動)Component Label公版'!$D$1:$E$1000, 2, FALSE), "-")</f>
        <v>-</v>
      </c>
      <c r="AJ198" s="115"/>
      <c r="AK198" s="112"/>
      <c r="AL198" s="112"/>
      <c r="AM198" s="116" t="str">
        <f t="shared" si="2"/>
        <v/>
      </c>
      <c r="AN198" s="117" t="str">
        <f t="shared" si="3"/>
        <v/>
      </c>
      <c r="AO198" s="158"/>
      <c r="AP198" s="18"/>
      <c r="AQ198" s="18"/>
      <c r="AR198" s="18"/>
      <c r="AS198" s="18"/>
      <c r="AT198" s="18"/>
      <c r="AU198" s="54" t="b">
        <v>0</v>
      </c>
      <c r="AV198" s="54" t="b">
        <v>0</v>
      </c>
      <c r="AW198" s="123"/>
      <c r="AX198" s="124"/>
      <c r="AY198" s="124"/>
      <c r="AZ198" s="124"/>
      <c r="BA198" s="125"/>
      <c r="BB198" s="68"/>
      <c r="BC198" s="62"/>
      <c r="BD198" s="129" t="str">
        <f t="shared" si="4"/>
        <v>_</v>
      </c>
      <c r="BE198" s="130" t="str">
        <f>IFERROR(VLOOKUP($BD198,'(勿動)組件目錄表'!$D$15:$R$1094,2,FALSE),"")</f>
        <v/>
      </c>
      <c r="BF198" s="131" t="str">
        <f>IFERROR(VLOOKUP($BD198, '(勿動)組件目錄表'!$D$15:$R$1094, 5, FALSE),"")</f>
        <v/>
      </c>
      <c r="BG198" s="118"/>
      <c r="BH198" s="120"/>
      <c r="BI198" s="118"/>
      <c r="BJ198" s="120"/>
    </row>
    <row r="199" spans="1:62" ht="15.75" customHeight="1">
      <c r="A199" s="18" t="str">
        <f t="array" aca="1" ref="A199" ca="1">IFERROR(TRANSPOSE(INDIRECT('「(動工中勿使用!!)新版+舊版_Teaser」的副本'!$BB199)),"")</f>
        <v/>
      </c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80" t="b">
        <v>0</v>
      </c>
      <c r="AF199" s="111" t="str">
        <f t="shared" si="8"/>
        <v/>
      </c>
      <c r="AG199" s="112" t="str">
        <f t="shared" si="1"/>
        <v/>
      </c>
      <c r="AH199" s="126"/>
      <c r="AI199" s="114" t="str">
        <f ca="1">IFERROR(VLOOKUP($AH199, '(勿動)Component Label公版'!$D$1:$E$1000, 2, FALSE), "-")</f>
        <v>-</v>
      </c>
      <c r="AJ199" s="115"/>
      <c r="AK199" s="112"/>
      <c r="AL199" s="112"/>
      <c r="AM199" s="116" t="str">
        <f t="shared" si="2"/>
        <v/>
      </c>
      <c r="AN199" s="117" t="str">
        <f t="shared" si="3"/>
        <v/>
      </c>
      <c r="AO199" s="158"/>
      <c r="AP199" s="18"/>
      <c r="AQ199" s="18"/>
      <c r="AR199" s="18"/>
      <c r="AS199" s="18"/>
      <c r="AT199" s="18"/>
      <c r="AU199" s="54" t="b">
        <v>0</v>
      </c>
      <c r="AV199" s="54" t="b">
        <v>0</v>
      </c>
      <c r="AW199" s="123"/>
      <c r="AX199" s="124"/>
      <c r="AY199" s="124"/>
      <c r="AZ199" s="124"/>
      <c r="BA199" s="125"/>
      <c r="BB199" s="68"/>
      <c r="BC199" s="62"/>
      <c r="BD199" s="129" t="str">
        <f t="shared" si="4"/>
        <v>_</v>
      </c>
      <c r="BE199" s="130" t="str">
        <f>IFERROR(VLOOKUP($BD199,'(勿動)組件目錄表'!$D$15:$R$1094,2,FALSE),"")</f>
        <v/>
      </c>
      <c r="BF199" s="131" t="str">
        <f>IFERROR(VLOOKUP($BD199, '(勿動)組件目錄表'!$D$15:$R$1094, 5, FALSE),"")</f>
        <v/>
      </c>
      <c r="BG199" s="118"/>
      <c r="BH199" s="120"/>
      <c r="BI199" s="118"/>
      <c r="BJ199" s="120"/>
    </row>
    <row r="200" spans="1:62" ht="15.75" customHeight="1">
      <c r="A200" s="18" t="str">
        <f t="array" aca="1" ref="A200" ca="1">IFERROR(TRANSPOSE(INDIRECT('「(動工中勿使用!!)新版+舊版_Teaser」的副本'!$BB200)),"")</f>
        <v/>
      </c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80" t="b">
        <v>0</v>
      </c>
      <c r="AF200" s="111" t="str">
        <f t="shared" si="8"/>
        <v/>
      </c>
      <c r="AG200" s="112" t="str">
        <f t="shared" si="1"/>
        <v/>
      </c>
      <c r="AH200" s="126"/>
      <c r="AI200" s="114" t="str">
        <f ca="1">IFERROR(VLOOKUP($AH200, '(勿動)Component Label公版'!$D$1:$E$1000, 2, FALSE), "-")</f>
        <v>-</v>
      </c>
      <c r="AJ200" s="115"/>
      <c r="AK200" s="112"/>
      <c r="AL200" s="112"/>
      <c r="AM200" s="116" t="str">
        <f t="shared" si="2"/>
        <v/>
      </c>
      <c r="AN200" s="117" t="str">
        <f t="shared" si="3"/>
        <v/>
      </c>
      <c r="AO200" s="158"/>
      <c r="AP200" s="18"/>
      <c r="AQ200" s="18"/>
      <c r="AR200" s="18"/>
      <c r="AS200" s="18"/>
      <c r="AT200" s="18"/>
      <c r="AU200" s="54" t="b">
        <v>0</v>
      </c>
      <c r="AV200" s="54" t="b">
        <v>0</v>
      </c>
      <c r="AW200" s="123"/>
      <c r="AX200" s="124"/>
      <c r="AY200" s="124"/>
      <c r="AZ200" s="124"/>
      <c r="BA200" s="125"/>
      <c r="BB200" s="68"/>
      <c r="BC200" s="62"/>
      <c r="BD200" s="129" t="str">
        <f t="shared" si="4"/>
        <v>_</v>
      </c>
      <c r="BE200" s="130" t="str">
        <f>IFERROR(VLOOKUP($BD200,'(勿動)組件目錄表'!$D$15:$R$1094,2,FALSE),"")</f>
        <v/>
      </c>
      <c r="BF200" s="131" t="str">
        <f>IFERROR(VLOOKUP($BD200, '(勿動)組件目錄表'!$D$15:$R$1094, 5, FALSE),"")</f>
        <v/>
      </c>
      <c r="BG200" s="118"/>
      <c r="BH200" s="120"/>
      <c r="BI200" s="118"/>
      <c r="BJ200" s="120"/>
    </row>
    <row r="201" spans="1:62" ht="15.75" customHeight="1">
      <c r="A201" s="18" t="str">
        <f t="array" aca="1" ref="A201" ca="1">IFERROR(TRANSPOSE(INDIRECT('「(動工中勿使用!!)新版+舊版_Teaser」的副本'!$BB201)),"")</f>
        <v/>
      </c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80" t="b">
        <v>0</v>
      </c>
      <c r="AF201" s="111" t="str">
        <f t="shared" si="8"/>
        <v/>
      </c>
      <c r="AG201" s="112" t="str">
        <f t="shared" si="1"/>
        <v/>
      </c>
      <c r="AH201" s="126"/>
      <c r="AI201" s="114" t="str">
        <f ca="1">IFERROR(VLOOKUP($AH201, '(勿動)Component Label公版'!$D$1:$E$1000, 2, FALSE), "-")</f>
        <v>-</v>
      </c>
      <c r="AJ201" s="115"/>
      <c r="AK201" s="112"/>
      <c r="AL201" s="112"/>
      <c r="AM201" s="116" t="str">
        <f t="shared" si="2"/>
        <v/>
      </c>
      <c r="AN201" s="117" t="str">
        <f t="shared" si="3"/>
        <v/>
      </c>
      <c r="AO201" s="158"/>
      <c r="AP201" s="18"/>
      <c r="AQ201" s="18"/>
      <c r="AR201" s="18"/>
      <c r="AS201" s="18"/>
      <c r="AT201" s="18"/>
      <c r="AU201" s="54" t="b">
        <v>0</v>
      </c>
      <c r="AV201" s="54" t="b">
        <v>0</v>
      </c>
      <c r="AW201" s="123"/>
      <c r="AX201" s="124"/>
      <c r="AY201" s="124"/>
      <c r="AZ201" s="124"/>
      <c r="BA201" s="125"/>
      <c r="BB201" s="68"/>
      <c r="BC201" s="62"/>
      <c r="BD201" s="129" t="str">
        <f t="shared" si="4"/>
        <v>_</v>
      </c>
      <c r="BE201" s="130" t="str">
        <f>IFERROR(VLOOKUP($BD201,'(勿動)組件目錄表'!$D$15:$R$1094,2,FALSE),"")</f>
        <v/>
      </c>
      <c r="BF201" s="131" t="str">
        <f>IFERROR(VLOOKUP($BD201, '(勿動)組件目錄表'!$D$15:$R$1094, 5, FALSE),"")</f>
        <v/>
      </c>
      <c r="BG201" s="118"/>
      <c r="BH201" s="120"/>
      <c r="BI201" s="118"/>
      <c r="BJ201" s="120"/>
    </row>
    <row r="202" spans="1:62" ht="15.75" customHeight="1">
      <c r="A202" s="18" t="str">
        <f t="array" aca="1" ref="A202" ca="1">IFERROR(TRANSPOSE(INDIRECT('「(動工中勿使用!!)新版+舊版_Teaser」的副本'!$BB202)),"")</f>
        <v/>
      </c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80" t="b">
        <v>0</v>
      </c>
      <c r="AF202" s="111" t="str">
        <f t="shared" si="8"/>
        <v/>
      </c>
      <c r="AG202" s="112" t="str">
        <f t="shared" si="1"/>
        <v/>
      </c>
      <c r="AH202" s="126"/>
      <c r="AI202" s="114" t="str">
        <f ca="1">IFERROR(VLOOKUP($AH202, '(勿動)Component Label公版'!$D$1:$E$1000, 2, FALSE), "-")</f>
        <v>-</v>
      </c>
      <c r="AJ202" s="115"/>
      <c r="AK202" s="112"/>
      <c r="AL202" s="112"/>
      <c r="AM202" s="116" t="str">
        <f t="shared" si="2"/>
        <v/>
      </c>
      <c r="AN202" s="117" t="str">
        <f t="shared" si="3"/>
        <v/>
      </c>
      <c r="AO202" s="158"/>
      <c r="AP202" s="18"/>
      <c r="AQ202" s="18"/>
      <c r="AR202" s="18"/>
      <c r="AS202" s="18"/>
      <c r="AT202" s="18"/>
      <c r="AU202" s="54" t="b">
        <v>0</v>
      </c>
      <c r="AV202" s="54" t="b">
        <v>0</v>
      </c>
      <c r="AW202" s="123"/>
      <c r="AX202" s="124"/>
      <c r="AY202" s="124"/>
      <c r="AZ202" s="124"/>
      <c r="BA202" s="125"/>
      <c r="BB202" s="68"/>
      <c r="BC202" s="62"/>
      <c r="BD202" s="129" t="str">
        <f t="shared" si="4"/>
        <v>_</v>
      </c>
      <c r="BE202" s="130" t="str">
        <f>IFERROR(VLOOKUP($BD202,'(勿動)組件目錄表'!$D$15:$R$1094,2,FALSE),"")</f>
        <v/>
      </c>
      <c r="BF202" s="131" t="str">
        <f>IFERROR(VLOOKUP($BD202, '(勿動)組件目錄表'!$D$15:$R$1094, 5, FALSE),"")</f>
        <v/>
      </c>
      <c r="BG202" s="118"/>
      <c r="BH202" s="120"/>
      <c r="BI202" s="118"/>
      <c r="BJ202" s="120"/>
    </row>
    <row r="203" spans="1:62" ht="15.75" customHeight="1">
      <c r="A203" s="18" t="str">
        <f t="array" aca="1" ref="A203" ca="1">IFERROR(TRANSPOSE(INDIRECT('「(動工中勿使用!!)新版+舊版_Teaser」的副本'!$BB203)),"")</f>
        <v/>
      </c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80" t="b">
        <v>0</v>
      </c>
      <c r="AF203" s="111" t="str">
        <f t="shared" si="8"/>
        <v/>
      </c>
      <c r="AG203" s="112" t="str">
        <f t="shared" si="1"/>
        <v/>
      </c>
      <c r="AH203" s="126"/>
      <c r="AI203" s="114" t="str">
        <f ca="1">IFERROR(VLOOKUP($AH203, '(勿動)Component Label公版'!$D$1:$E$1000, 2, FALSE), "-")</f>
        <v>-</v>
      </c>
      <c r="AJ203" s="115"/>
      <c r="AK203" s="112"/>
      <c r="AL203" s="112"/>
      <c r="AM203" s="116" t="str">
        <f t="shared" si="2"/>
        <v/>
      </c>
      <c r="AN203" s="117" t="str">
        <f t="shared" si="3"/>
        <v/>
      </c>
      <c r="AO203" s="158"/>
      <c r="AP203" s="18"/>
      <c r="AQ203" s="18"/>
      <c r="AR203" s="18"/>
      <c r="AS203" s="18"/>
      <c r="AT203" s="18"/>
      <c r="AU203" s="54" t="b">
        <v>0</v>
      </c>
      <c r="AV203" s="54" t="b">
        <v>0</v>
      </c>
      <c r="AW203" s="123"/>
      <c r="AX203" s="124"/>
      <c r="AY203" s="124"/>
      <c r="AZ203" s="124"/>
      <c r="BA203" s="125"/>
      <c r="BB203" s="68"/>
      <c r="BC203" s="62"/>
      <c r="BD203" s="129" t="str">
        <f t="shared" si="4"/>
        <v>_</v>
      </c>
      <c r="BE203" s="130" t="str">
        <f>IFERROR(VLOOKUP($BD203,'(勿動)組件目錄表'!$D$15:$R$1094,2,FALSE),"")</f>
        <v/>
      </c>
      <c r="BF203" s="131" t="str">
        <f>IFERROR(VLOOKUP($BD203, '(勿動)組件目錄表'!$D$15:$R$1094, 5, FALSE),"")</f>
        <v/>
      </c>
      <c r="BG203" s="118"/>
      <c r="BH203" s="120"/>
      <c r="BI203" s="118"/>
      <c r="BJ203" s="120"/>
    </row>
    <row r="204" spans="1:62" ht="15.75" customHeight="1">
      <c r="A204" s="18" t="str">
        <f t="array" aca="1" ref="A204" ca="1">IFERROR(TRANSPOSE(INDIRECT('「(動工中勿使用!!)新版+舊版_Teaser」的副本'!$BB204)),"")</f>
        <v/>
      </c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80" t="b">
        <v>0</v>
      </c>
      <c r="AF204" s="111" t="str">
        <f t="shared" si="8"/>
        <v/>
      </c>
      <c r="AG204" s="112" t="str">
        <f t="shared" si="1"/>
        <v/>
      </c>
      <c r="AH204" s="126"/>
      <c r="AI204" s="114" t="str">
        <f ca="1">IFERROR(VLOOKUP($AH204, '(勿動)Component Label公版'!$D$1:$E$1000, 2, FALSE), "-")</f>
        <v>-</v>
      </c>
      <c r="AJ204" s="115"/>
      <c r="AK204" s="112"/>
      <c r="AL204" s="112"/>
      <c r="AM204" s="116" t="str">
        <f t="shared" si="2"/>
        <v/>
      </c>
      <c r="AN204" s="117" t="str">
        <f t="shared" si="3"/>
        <v/>
      </c>
      <c r="AO204" s="158"/>
      <c r="AP204" s="18"/>
      <c r="AQ204" s="18"/>
      <c r="AR204" s="18"/>
      <c r="AS204" s="18"/>
      <c r="AT204" s="18"/>
      <c r="AU204" s="54" t="b">
        <v>0</v>
      </c>
      <c r="AV204" s="54" t="b">
        <v>0</v>
      </c>
      <c r="AW204" s="123"/>
      <c r="AX204" s="124"/>
      <c r="AY204" s="124"/>
      <c r="AZ204" s="124"/>
      <c r="BA204" s="125"/>
      <c r="BB204" s="68"/>
      <c r="BC204" s="62"/>
      <c r="BD204" s="129" t="str">
        <f t="shared" si="4"/>
        <v>_</v>
      </c>
      <c r="BE204" s="130" t="str">
        <f>IFERROR(VLOOKUP($BD204,'(勿動)組件目錄表'!$D$15:$R$1094,2,FALSE),"")</f>
        <v/>
      </c>
      <c r="BF204" s="131" t="str">
        <f>IFERROR(VLOOKUP($BD204, '(勿動)組件目錄表'!$D$15:$R$1094, 5, FALSE),"")</f>
        <v/>
      </c>
      <c r="BG204" s="118"/>
      <c r="BH204" s="120"/>
      <c r="BI204" s="118"/>
      <c r="BJ204" s="120"/>
    </row>
    <row r="205" spans="1:62" ht="15.75" customHeight="1">
      <c r="A205" s="18" t="str">
        <f t="array" aca="1" ref="A205" ca="1">IFERROR(TRANSPOSE(INDIRECT('「(動工中勿使用!!)新版+舊版_Teaser」的副本'!$BB205)),"")</f>
        <v/>
      </c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80" t="b">
        <v>0</v>
      </c>
      <c r="AF205" s="111" t="str">
        <f t="shared" si="8"/>
        <v/>
      </c>
      <c r="AG205" s="112" t="str">
        <f t="shared" si="1"/>
        <v/>
      </c>
      <c r="AH205" s="126"/>
      <c r="AI205" s="114" t="str">
        <f ca="1">IFERROR(VLOOKUP($AH205, '(勿動)Component Label公版'!$D$1:$E$1000, 2, FALSE), "-")</f>
        <v>-</v>
      </c>
      <c r="AJ205" s="115"/>
      <c r="AK205" s="112"/>
      <c r="AL205" s="112"/>
      <c r="AM205" s="116" t="str">
        <f t="shared" si="2"/>
        <v/>
      </c>
      <c r="AN205" s="117" t="str">
        <f t="shared" si="3"/>
        <v/>
      </c>
      <c r="AO205" s="158"/>
      <c r="AP205" s="18"/>
      <c r="AQ205" s="18"/>
      <c r="AR205" s="18"/>
      <c r="AS205" s="18"/>
      <c r="AT205" s="18"/>
      <c r="AU205" s="54" t="b">
        <v>0</v>
      </c>
      <c r="AV205" s="54" t="b">
        <v>0</v>
      </c>
      <c r="AW205" s="123"/>
      <c r="AX205" s="124"/>
      <c r="AY205" s="124"/>
      <c r="AZ205" s="124"/>
      <c r="BA205" s="125"/>
      <c r="BB205" s="68"/>
      <c r="BC205" s="62"/>
      <c r="BD205" s="129" t="str">
        <f t="shared" si="4"/>
        <v>_</v>
      </c>
      <c r="BE205" s="130" t="str">
        <f>IFERROR(VLOOKUP($BD205,'(勿動)組件目錄表'!$D$15:$R$1094,2,FALSE),"")</f>
        <v/>
      </c>
      <c r="BF205" s="131" t="str">
        <f>IFERROR(VLOOKUP($BD205, '(勿動)組件目錄表'!$D$15:$R$1094, 5, FALSE),"")</f>
        <v/>
      </c>
      <c r="BG205" s="118"/>
      <c r="BH205" s="120"/>
      <c r="BI205" s="118"/>
      <c r="BJ205" s="120"/>
    </row>
    <row r="206" spans="1:62" ht="15.75" customHeight="1">
      <c r="A206" s="18" t="str">
        <f t="array" aca="1" ref="A206" ca="1">IFERROR(TRANSPOSE(INDIRECT('「(動工中勿使用!!)新版+舊版_Teaser」的副本'!$BB206)),"")</f>
        <v/>
      </c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80" t="b">
        <v>0</v>
      </c>
      <c r="AF206" s="111" t="str">
        <f t="shared" si="8"/>
        <v/>
      </c>
      <c r="AG206" s="112" t="str">
        <f t="shared" si="1"/>
        <v/>
      </c>
      <c r="AH206" s="126"/>
      <c r="AI206" s="114" t="str">
        <f ca="1">IFERROR(VLOOKUP($AH206, '(勿動)Component Label公版'!$D$1:$E$1000, 2, FALSE), "-")</f>
        <v>-</v>
      </c>
      <c r="AJ206" s="115"/>
      <c r="AK206" s="112"/>
      <c r="AL206" s="112"/>
      <c r="AM206" s="116" t="str">
        <f t="shared" si="2"/>
        <v/>
      </c>
      <c r="AN206" s="117" t="str">
        <f t="shared" si="3"/>
        <v/>
      </c>
      <c r="AO206" s="158"/>
      <c r="AP206" s="18"/>
      <c r="AQ206" s="18"/>
      <c r="AR206" s="18"/>
      <c r="AS206" s="18"/>
      <c r="AT206" s="18"/>
      <c r="AU206" s="54" t="b">
        <v>0</v>
      </c>
      <c r="AV206" s="54" t="b">
        <v>0</v>
      </c>
      <c r="AW206" s="123"/>
      <c r="AX206" s="124"/>
      <c r="AY206" s="124"/>
      <c r="AZ206" s="124"/>
      <c r="BA206" s="125"/>
      <c r="BB206" s="68"/>
      <c r="BC206" s="62"/>
      <c r="BD206" s="129" t="str">
        <f t="shared" si="4"/>
        <v>_</v>
      </c>
      <c r="BE206" s="130" t="str">
        <f>IFERROR(VLOOKUP($BD206,'(勿動)組件目錄表'!$D$15:$R$1094,2,FALSE),"")</f>
        <v/>
      </c>
      <c r="BF206" s="131" t="str">
        <f>IFERROR(VLOOKUP($BD206, '(勿動)組件目錄表'!$D$15:$R$1094, 5, FALSE),"")</f>
        <v/>
      </c>
      <c r="BG206" s="118"/>
      <c r="BH206" s="120"/>
      <c r="BI206" s="118"/>
      <c r="BJ206" s="120"/>
    </row>
    <row r="207" spans="1:62" ht="15.75" customHeight="1">
      <c r="A207" s="18" t="str">
        <f t="array" aca="1" ref="A207" ca="1">IFERROR(TRANSPOSE(INDIRECT('「(動工中勿使用!!)新版+舊版_Teaser」的副本'!$BB207)),"")</f>
        <v/>
      </c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80" t="b">
        <v>0</v>
      </c>
      <c r="AF207" s="111" t="str">
        <f t="shared" si="8"/>
        <v/>
      </c>
      <c r="AG207" s="112" t="str">
        <f t="shared" si="1"/>
        <v/>
      </c>
      <c r="AH207" s="126"/>
      <c r="AI207" s="114" t="str">
        <f ca="1">IFERROR(VLOOKUP($AH207, '(勿動)Component Label公版'!$D$1:$E$1000, 2, FALSE), "-")</f>
        <v>-</v>
      </c>
      <c r="AJ207" s="115"/>
      <c r="AK207" s="112"/>
      <c r="AL207" s="112"/>
      <c r="AM207" s="116" t="str">
        <f t="shared" si="2"/>
        <v/>
      </c>
      <c r="AN207" s="117" t="str">
        <f t="shared" si="3"/>
        <v/>
      </c>
      <c r="AO207" s="158"/>
      <c r="AP207" s="18"/>
      <c r="AQ207" s="18"/>
      <c r="AR207" s="18"/>
      <c r="AS207" s="18"/>
      <c r="AT207" s="18"/>
      <c r="AU207" s="54" t="b">
        <v>0</v>
      </c>
      <c r="AV207" s="54" t="b">
        <v>0</v>
      </c>
      <c r="AW207" s="123"/>
      <c r="AX207" s="124"/>
      <c r="AY207" s="124"/>
      <c r="AZ207" s="124"/>
      <c r="BA207" s="125"/>
      <c r="BB207" s="68"/>
      <c r="BC207" s="62"/>
      <c r="BD207" s="129" t="str">
        <f t="shared" si="4"/>
        <v>_</v>
      </c>
      <c r="BE207" s="130" t="str">
        <f>IFERROR(VLOOKUP($BD207,'(勿動)組件目錄表'!$D$15:$R$1094,2,FALSE),"")</f>
        <v/>
      </c>
      <c r="BF207" s="131" t="str">
        <f>IFERROR(VLOOKUP($BD207, '(勿動)組件目錄表'!$D$15:$R$1094, 5, FALSE),"")</f>
        <v/>
      </c>
      <c r="BG207" s="118"/>
      <c r="BH207" s="120"/>
      <c r="BI207" s="118"/>
      <c r="BJ207" s="120"/>
    </row>
    <row r="208" spans="1:62" ht="15.75" customHeight="1">
      <c r="A208" s="18" t="str">
        <f t="array" aca="1" ref="A208" ca="1">IFERROR(TRANSPOSE(INDIRECT('「(動工中勿使用!!)新版+舊版_Teaser」的副本'!$BB208)),"")</f>
        <v/>
      </c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80" t="b">
        <v>0</v>
      </c>
      <c r="AF208" s="111" t="str">
        <f t="shared" si="8"/>
        <v/>
      </c>
      <c r="AG208" s="112" t="str">
        <f t="shared" si="1"/>
        <v/>
      </c>
      <c r="AH208" s="126"/>
      <c r="AI208" s="114" t="str">
        <f ca="1">IFERROR(VLOOKUP($AH208, '(勿動)Component Label公版'!$D$1:$E$1000, 2, FALSE), "-")</f>
        <v>-</v>
      </c>
      <c r="AJ208" s="115"/>
      <c r="AK208" s="112"/>
      <c r="AL208" s="112"/>
      <c r="AM208" s="116" t="str">
        <f t="shared" si="2"/>
        <v/>
      </c>
      <c r="AN208" s="117" t="str">
        <f t="shared" si="3"/>
        <v/>
      </c>
      <c r="AO208" s="158"/>
      <c r="AP208" s="18"/>
      <c r="AQ208" s="18"/>
      <c r="AR208" s="18"/>
      <c r="AS208" s="18"/>
      <c r="AT208" s="18"/>
      <c r="AU208" s="54" t="b">
        <v>0</v>
      </c>
      <c r="AV208" s="54" t="b">
        <v>0</v>
      </c>
      <c r="AW208" s="123"/>
      <c r="AX208" s="124"/>
      <c r="AY208" s="124"/>
      <c r="AZ208" s="124"/>
      <c r="BA208" s="125"/>
      <c r="BB208" s="68"/>
      <c r="BC208" s="62"/>
      <c r="BD208" s="129" t="str">
        <f t="shared" si="4"/>
        <v>_</v>
      </c>
      <c r="BE208" s="130" t="str">
        <f>IFERROR(VLOOKUP($BD208,'(勿動)組件目錄表'!$D$15:$R$1094,2,FALSE),"")</f>
        <v/>
      </c>
      <c r="BF208" s="131" t="str">
        <f>IFERROR(VLOOKUP($BD208, '(勿動)組件目錄表'!$D$15:$R$1094, 5, FALSE),"")</f>
        <v/>
      </c>
      <c r="BG208" s="118"/>
      <c r="BH208" s="120"/>
      <c r="BI208" s="118"/>
      <c r="BJ208" s="120"/>
    </row>
    <row r="209" spans="1:62" ht="15.75" customHeight="1">
      <c r="A209" s="18" t="str">
        <f t="array" aca="1" ref="A209" ca="1">IFERROR(TRANSPOSE(INDIRECT('「(動工中勿使用!!)新版+舊版_Teaser」的副本'!$BB209)),"")</f>
        <v/>
      </c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80" t="b">
        <v>0</v>
      </c>
      <c r="AF209" s="111" t="str">
        <f t="shared" si="8"/>
        <v/>
      </c>
      <c r="AG209" s="112" t="str">
        <f t="shared" si="1"/>
        <v/>
      </c>
      <c r="AH209" s="126"/>
      <c r="AI209" s="114" t="str">
        <f ca="1">IFERROR(VLOOKUP($AH209, '(勿動)Component Label公版'!$D$1:$E$1000, 2, FALSE), "-")</f>
        <v>-</v>
      </c>
      <c r="AJ209" s="115"/>
      <c r="AK209" s="112"/>
      <c r="AL209" s="112"/>
      <c r="AM209" s="116" t="str">
        <f t="shared" si="2"/>
        <v/>
      </c>
      <c r="AN209" s="117" t="str">
        <f t="shared" si="3"/>
        <v/>
      </c>
      <c r="AO209" s="158"/>
      <c r="AP209" s="18"/>
      <c r="AQ209" s="18"/>
      <c r="AR209" s="18"/>
      <c r="AS209" s="18"/>
      <c r="AT209" s="18"/>
      <c r="AU209" s="54" t="b">
        <v>0</v>
      </c>
      <c r="AV209" s="54" t="b">
        <v>0</v>
      </c>
      <c r="AW209" s="123"/>
      <c r="AX209" s="124"/>
      <c r="AY209" s="124"/>
      <c r="AZ209" s="124"/>
      <c r="BA209" s="125"/>
      <c r="BB209" s="68"/>
      <c r="BC209" s="62"/>
      <c r="BD209" s="129" t="str">
        <f t="shared" si="4"/>
        <v>_</v>
      </c>
      <c r="BE209" s="130" t="str">
        <f>IFERROR(VLOOKUP($BD209,'(勿動)組件目錄表'!$D$15:$R$1094,2,FALSE),"")</f>
        <v/>
      </c>
      <c r="BF209" s="131" t="str">
        <f>IFERROR(VLOOKUP($BD209, '(勿動)組件目錄表'!$D$15:$R$1094, 5, FALSE),"")</f>
        <v/>
      </c>
      <c r="BG209" s="118"/>
      <c r="BH209" s="120"/>
      <c r="BI209" s="118"/>
      <c r="BJ209" s="120"/>
    </row>
    <row r="210" spans="1:62" ht="15.75" customHeight="1">
      <c r="A210" s="18" t="str">
        <f t="array" aca="1" ref="A210" ca="1">IFERROR(TRANSPOSE(INDIRECT('「(動工中勿使用!!)新版+舊版_Teaser」的副本'!$BB210)),"")</f>
        <v/>
      </c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80" t="b">
        <v>0</v>
      </c>
      <c r="AF210" s="111" t="str">
        <f t="shared" si="8"/>
        <v/>
      </c>
      <c r="AG210" s="112" t="str">
        <f t="shared" si="1"/>
        <v/>
      </c>
      <c r="AH210" s="126"/>
      <c r="AI210" s="114" t="str">
        <f ca="1">IFERROR(VLOOKUP($AH210, '(勿動)Component Label公版'!$D$1:$E$1000, 2, FALSE), "-")</f>
        <v>-</v>
      </c>
      <c r="AJ210" s="115"/>
      <c r="AK210" s="112"/>
      <c r="AL210" s="112"/>
      <c r="AM210" s="116" t="str">
        <f t="shared" si="2"/>
        <v/>
      </c>
      <c r="AN210" s="117" t="str">
        <f t="shared" si="3"/>
        <v/>
      </c>
      <c r="AO210" s="158"/>
      <c r="AP210" s="18"/>
      <c r="AQ210" s="18"/>
      <c r="AR210" s="18"/>
      <c r="AS210" s="18"/>
      <c r="AT210" s="18"/>
      <c r="AU210" s="54" t="b">
        <v>0</v>
      </c>
      <c r="AV210" s="54" t="b">
        <v>0</v>
      </c>
      <c r="AW210" s="123"/>
      <c r="AX210" s="124"/>
      <c r="AY210" s="124"/>
      <c r="AZ210" s="124"/>
      <c r="BA210" s="125"/>
      <c r="BB210" s="68"/>
      <c r="BC210" s="62"/>
      <c r="BD210" s="129" t="str">
        <f t="shared" si="4"/>
        <v>_</v>
      </c>
      <c r="BE210" s="130" t="str">
        <f>IFERROR(VLOOKUP($BD210,'(勿動)組件目錄表'!$D$15:$R$1094,2,FALSE),"")</f>
        <v/>
      </c>
      <c r="BF210" s="131" t="str">
        <f>IFERROR(VLOOKUP($BD210, '(勿動)組件目錄表'!$D$15:$R$1094, 5, FALSE),"")</f>
        <v/>
      </c>
      <c r="BG210" s="118"/>
      <c r="BH210" s="120"/>
      <c r="BI210" s="118"/>
      <c r="BJ210" s="120"/>
    </row>
    <row r="211" spans="1:62" ht="15.75" customHeight="1">
      <c r="A211" s="18" t="str">
        <f t="array" aca="1" ref="A211" ca="1">IFERROR(TRANSPOSE(INDIRECT('「(動工中勿使用!!)新版+舊版_Teaser」的副本'!$BB211)),"")</f>
        <v/>
      </c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80" t="b">
        <v>0</v>
      </c>
      <c r="AF211" s="111" t="str">
        <f t="shared" si="8"/>
        <v/>
      </c>
      <c r="AG211" s="112" t="str">
        <f t="shared" si="1"/>
        <v/>
      </c>
      <c r="AH211" s="126"/>
      <c r="AI211" s="114" t="str">
        <f ca="1">IFERROR(VLOOKUP($AH211, '(勿動)Component Label公版'!$D$1:$E$1000, 2, FALSE), "-")</f>
        <v>-</v>
      </c>
      <c r="AJ211" s="115"/>
      <c r="AK211" s="112"/>
      <c r="AL211" s="112"/>
      <c r="AM211" s="116" t="str">
        <f t="shared" si="2"/>
        <v/>
      </c>
      <c r="AN211" s="117" t="str">
        <f t="shared" si="3"/>
        <v/>
      </c>
      <c r="AO211" s="158"/>
      <c r="AP211" s="18"/>
      <c r="AQ211" s="18"/>
      <c r="AR211" s="18"/>
      <c r="AS211" s="18"/>
      <c r="AT211" s="18"/>
      <c r="AU211" s="54" t="b">
        <v>0</v>
      </c>
      <c r="AV211" s="54" t="b">
        <v>0</v>
      </c>
      <c r="AW211" s="123"/>
      <c r="AX211" s="124"/>
      <c r="AY211" s="124"/>
      <c r="AZ211" s="124"/>
      <c r="BA211" s="125"/>
      <c r="BB211" s="68"/>
      <c r="BC211" s="62"/>
      <c r="BD211" s="129" t="str">
        <f t="shared" si="4"/>
        <v>_</v>
      </c>
      <c r="BE211" s="130" t="str">
        <f>IFERROR(VLOOKUP($BD211,'(勿動)組件目錄表'!$D$15:$R$1094,2,FALSE),"")</f>
        <v/>
      </c>
      <c r="BF211" s="131" t="str">
        <f>IFERROR(VLOOKUP($BD211, '(勿動)組件目錄表'!$D$15:$R$1094, 5, FALSE),"")</f>
        <v/>
      </c>
      <c r="BG211" s="118"/>
      <c r="BH211" s="120"/>
      <c r="BI211" s="118"/>
      <c r="BJ211" s="120"/>
    </row>
    <row r="212" spans="1:62" ht="15.75" customHeight="1">
      <c r="A212" s="18" t="str">
        <f t="array" aca="1" ref="A212" ca="1">IFERROR(TRANSPOSE(INDIRECT('「(動工中勿使用!!)新版+舊版_Teaser」的副本'!$BB212)),"")</f>
        <v/>
      </c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80" t="b">
        <v>0</v>
      </c>
      <c r="AF212" s="111" t="str">
        <f t="shared" si="8"/>
        <v/>
      </c>
      <c r="AG212" s="112" t="str">
        <f t="shared" si="1"/>
        <v/>
      </c>
      <c r="AH212" s="126"/>
      <c r="AI212" s="114" t="str">
        <f ca="1">IFERROR(VLOOKUP($AH212, '(勿動)Component Label公版'!$D$1:$E$1000, 2, FALSE), "-")</f>
        <v>-</v>
      </c>
      <c r="AJ212" s="115"/>
      <c r="AK212" s="112"/>
      <c r="AL212" s="112"/>
      <c r="AM212" s="116" t="str">
        <f t="shared" si="2"/>
        <v/>
      </c>
      <c r="AN212" s="117" t="str">
        <f t="shared" si="3"/>
        <v/>
      </c>
      <c r="AO212" s="158"/>
      <c r="AP212" s="18"/>
      <c r="AQ212" s="18"/>
      <c r="AR212" s="18"/>
      <c r="AS212" s="18"/>
      <c r="AT212" s="18"/>
      <c r="AU212" s="54" t="b">
        <v>0</v>
      </c>
      <c r="AV212" s="54" t="b">
        <v>0</v>
      </c>
      <c r="AW212" s="123"/>
      <c r="AX212" s="124"/>
      <c r="AY212" s="124"/>
      <c r="AZ212" s="124"/>
      <c r="BA212" s="125"/>
      <c r="BB212" s="68"/>
      <c r="BC212" s="62"/>
      <c r="BD212" s="129" t="str">
        <f t="shared" si="4"/>
        <v>_</v>
      </c>
      <c r="BE212" s="130" t="str">
        <f>IFERROR(VLOOKUP($BD212,'(勿動)組件目錄表'!$D$15:$R$1094,2,FALSE),"")</f>
        <v/>
      </c>
      <c r="BF212" s="131" t="str">
        <f>IFERROR(VLOOKUP($BD212, '(勿動)組件目錄表'!$D$15:$R$1094, 5, FALSE),"")</f>
        <v/>
      </c>
      <c r="BG212" s="118"/>
      <c r="BH212" s="120"/>
      <c r="BI212" s="118"/>
      <c r="BJ212" s="120"/>
    </row>
    <row r="213" spans="1:62" ht="15.75" customHeight="1">
      <c r="A213" s="18" t="str">
        <f t="array" aca="1" ref="A213" ca="1">IFERROR(TRANSPOSE(INDIRECT('「(動工中勿使用!!)新版+舊版_Teaser」的副本'!$BB213)),"")</f>
        <v/>
      </c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80" t="b">
        <v>0</v>
      </c>
      <c r="AF213" s="111" t="str">
        <f t="shared" si="8"/>
        <v/>
      </c>
      <c r="AG213" s="112" t="str">
        <f t="shared" si="1"/>
        <v/>
      </c>
      <c r="AH213" s="126"/>
      <c r="AI213" s="114" t="str">
        <f ca="1">IFERROR(VLOOKUP($AH213, '(勿動)Component Label公版'!$D$1:$E$1000, 2, FALSE), "-")</f>
        <v>-</v>
      </c>
      <c r="AJ213" s="115"/>
      <c r="AK213" s="112"/>
      <c r="AL213" s="112"/>
      <c r="AM213" s="116" t="str">
        <f t="shared" si="2"/>
        <v/>
      </c>
      <c r="AN213" s="117" t="str">
        <f t="shared" si="3"/>
        <v/>
      </c>
      <c r="AO213" s="158"/>
      <c r="AP213" s="18"/>
      <c r="AQ213" s="18"/>
      <c r="AR213" s="18"/>
      <c r="AS213" s="18"/>
      <c r="AT213" s="18"/>
      <c r="AU213" s="54" t="b">
        <v>0</v>
      </c>
      <c r="AV213" s="54" t="b">
        <v>0</v>
      </c>
      <c r="AW213" s="123"/>
      <c r="AX213" s="124"/>
      <c r="AY213" s="124"/>
      <c r="AZ213" s="124"/>
      <c r="BA213" s="125"/>
      <c r="BB213" s="68"/>
      <c r="BC213" s="62"/>
      <c r="BD213" s="129" t="str">
        <f t="shared" si="4"/>
        <v>_</v>
      </c>
      <c r="BE213" s="130" t="str">
        <f>IFERROR(VLOOKUP($BD213,'(勿動)組件目錄表'!$D$15:$R$1094,2,FALSE),"")</f>
        <v/>
      </c>
      <c r="BF213" s="131" t="str">
        <f>IFERROR(VLOOKUP($BD213, '(勿動)組件目錄表'!$D$15:$R$1094, 5, FALSE),"")</f>
        <v/>
      </c>
      <c r="BG213" s="118"/>
      <c r="BH213" s="120"/>
      <c r="BI213" s="118"/>
      <c r="BJ213" s="120"/>
    </row>
    <row r="214" spans="1:62" ht="15.75" customHeight="1">
      <c r="A214" s="18" t="str">
        <f t="array" aca="1" ref="A214" ca="1">IFERROR(TRANSPOSE(INDIRECT('「(動工中勿使用!!)新版+舊版_Teaser」的副本'!$BB214)),"")</f>
        <v/>
      </c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80" t="b">
        <v>0</v>
      </c>
      <c r="AF214" s="111" t="str">
        <f t="shared" si="8"/>
        <v/>
      </c>
      <c r="AG214" s="112" t="str">
        <f t="shared" si="1"/>
        <v/>
      </c>
      <c r="AH214" s="126"/>
      <c r="AI214" s="114" t="str">
        <f ca="1">IFERROR(VLOOKUP($AH214, '(勿動)Component Label公版'!$D$1:$E$1000, 2, FALSE), "-")</f>
        <v>-</v>
      </c>
      <c r="AJ214" s="115"/>
      <c r="AK214" s="112"/>
      <c r="AL214" s="112"/>
      <c r="AM214" s="116" t="str">
        <f t="shared" si="2"/>
        <v/>
      </c>
      <c r="AN214" s="117" t="str">
        <f t="shared" si="3"/>
        <v/>
      </c>
      <c r="AO214" s="158"/>
      <c r="AP214" s="18"/>
      <c r="AQ214" s="18"/>
      <c r="AR214" s="18"/>
      <c r="AS214" s="18"/>
      <c r="AT214" s="18"/>
      <c r="AU214" s="54" t="b">
        <v>0</v>
      </c>
      <c r="AV214" s="54" t="b">
        <v>0</v>
      </c>
      <c r="AW214" s="123"/>
      <c r="AX214" s="124"/>
      <c r="AY214" s="124"/>
      <c r="AZ214" s="124"/>
      <c r="BA214" s="125"/>
      <c r="BB214" s="68"/>
      <c r="BC214" s="62"/>
      <c r="BD214" s="129" t="str">
        <f t="shared" si="4"/>
        <v>_</v>
      </c>
      <c r="BE214" s="130" t="str">
        <f>IFERROR(VLOOKUP($BD214,'(勿動)組件目錄表'!$D$15:$R$1094,2,FALSE),"")</f>
        <v/>
      </c>
      <c r="BF214" s="131" t="str">
        <f>IFERROR(VLOOKUP($BD214, '(勿動)組件目錄表'!$D$15:$R$1094, 5, FALSE),"")</f>
        <v/>
      </c>
      <c r="BG214" s="118"/>
      <c r="BH214" s="120"/>
      <c r="BI214" s="118"/>
      <c r="BJ214" s="120"/>
    </row>
    <row r="215" spans="1:62" ht="15.75" customHeight="1">
      <c r="A215" s="18" t="str">
        <f t="array" aca="1" ref="A215" ca="1">IFERROR(TRANSPOSE(INDIRECT('「(動工中勿使用!!)新版+舊版_Teaser」的副本'!$BB215)),"")</f>
        <v/>
      </c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80" t="b">
        <v>0</v>
      </c>
      <c r="AF215" s="111" t="str">
        <f t="shared" si="8"/>
        <v/>
      </c>
      <c r="AG215" s="112" t="str">
        <f t="shared" si="1"/>
        <v/>
      </c>
      <c r="AH215" s="126"/>
      <c r="AI215" s="114" t="str">
        <f ca="1">IFERROR(VLOOKUP($AH215, '(勿動)Component Label公版'!$D$1:$E$1000, 2, FALSE), "-")</f>
        <v>-</v>
      </c>
      <c r="AJ215" s="115"/>
      <c r="AK215" s="112"/>
      <c r="AL215" s="112"/>
      <c r="AM215" s="116" t="str">
        <f t="shared" si="2"/>
        <v/>
      </c>
      <c r="AN215" s="117" t="str">
        <f t="shared" si="3"/>
        <v/>
      </c>
      <c r="AO215" s="158"/>
      <c r="AP215" s="18"/>
      <c r="AQ215" s="18"/>
      <c r="AR215" s="18"/>
      <c r="AS215" s="18"/>
      <c r="AT215" s="18"/>
      <c r="AU215" s="54" t="b">
        <v>0</v>
      </c>
      <c r="AV215" s="54" t="b">
        <v>0</v>
      </c>
      <c r="AW215" s="123"/>
      <c r="AX215" s="124"/>
      <c r="AY215" s="124"/>
      <c r="AZ215" s="124"/>
      <c r="BA215" s="125"/>
      <c r="BB215" s="68"/>
      <c r="BC215" s="62"/>
      <c r="BD215" s="129" t="str">
        <f t="shared" si="4"/>
        <v>_</v>
      </c>
      <c r="BE215" s="130" t="str">
        <f>IFERROR(VLOOKUP($BD215,'(勿動)組件目錄表'!$D$15:$R$1094,2,FALSE),"")</f>
        <v/>
      </c>
      <c r="BF215" s="131" t="str">
        <f>IFERROR(VLOOKUP($BD215, '(勿動)組件目錄表'!$D$15:$R$1094, 5, FALSE),"")</f>
        <v/>
      </c>
      <c r="BG215" s="118"/>
      <c r="BH215" s="120"/>
      <c r="BI215" s="118"/>
      <c r="BJ215" s="120"/>
    </row>
    <row r="216" spans="1:62" ht="15.75" customHeight="1">
      <c r="A216" s="18" t="str">
        <f t="array" aca="1" ref="A216" ca="1">IFERROR(TRANSPOSE(INDIRECT('「(動工中勿使用!!)新版+舊版_Teaser」的副本'!$BB216)),"")</f>
        <v/>
      </c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80" t="b">
        <v>0</v>
      </c>
      <c r="AF216" s="111" t="str">
        <f t="shared" si="8"/>
        <v/>
      </c>
      <c r="AG216" s="112" t="str">
        <f t="shared" si="1"/>
        <v/>
      </c>
      <c r="AH216" s="126"/>
      <c r="AI216" s="114" t="str">
        <f ca="1">IFERROR(VLOOKUP($AH216, '(勿動)Component Label公版'!$D$1:$E$1000, 2, FALSE), "-")</f>
        <v>-</v>
      </c>
      <c r="AJ216" s="115"/>
      <c r="AK216" s="112"/>
      <c r="AL216" s="112"/>
      <c r="AM216" s="116" t="str">
        <f t="shared" si="2"/>
        <v/>
      </c>
      <c r="AN216" s="117" t="str">
        <f t="shared" si="3"/>
        <v/>
      </c>
      <c r="AO216" s="158"/>
      <c r="AP216" s="18"/>
      <c r="AQ216" s="18"/>
      <c r="AR216" s="18"/>
      <c r="AS216" s="18"/>
      <c r="AT216" s="18"/>
      <c r="AU216" s="54" t="b">
        <v>0</v>
      </c>
      <c r="AV216" s="54" t="b">
        <v>0</v>
      </c>
      <c r="AW216" s="123"/>
      <c r="AX216" s="124"/>
      <c r="AY216" s="124"/>
      <c r="AZ216" s="124"/>
      <c r="BA216" s="125"/>
      <c r="BB216" s="68"/>
      <c r="BC216" s="62"/>
      <c r="BD216" s="129" t="str">
        <f t="shared" si="4"/>
        <v>_</v>
      </c>
      <c r="BE216" s="130" t="str">
        <f>IFERROR(VLOOKUP($BD216,'(勿動)組件目錄表'!$D$15:$R$1094,2,FALSE),"")</f>
        <v/>
      </c>
      <c r="BF216" s="131" t="str">
        <f>IFERROR(VLOOKUP($BD216, '(勿動)組件目錄表'!$D$15:$R$1094, 5, FALSE),"")</f>
        <v/>
      </c>
      <c r="BG216" s="118"/>
      <c r="BH216" s="120"/>
      <c r="BI216" s="118"/>
      <c r="BJ216" s="120"/>
    </row>
    <row r="217" spans="1:62" ht="15.75" customHeight="1">
      <c r="A217" s="18" t="str">
        <f t="array" aca="1" ref="A217" ca="1">IFERROR(TRANSPOSE(INDIRECT('「(動工中勿使用!!)新版+舊版_Teaser」的副本'!$BB217)),"")</f>
        <v/>
      </c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80" t="b">
        <v>0</v>
      </c>
      <c r="AF217" s="111" t="str">
        <f t="shared" si="8"/>
        <v/>
      </c>
      <c r="AG217" s="112" t="str">
        <f t="shared" si="1"/>
        <v/>
      </c>
      <c r="AH217" s="126"/>
      <c r="AI217" s="114" t="str">
        <f ca="1">IFERROR(VLOOKUP($AH217, '(勿動)Component Label公版'!$D$1:$E$1000, 2, FALSE), "-")</f>
        <v>-</v>
      </c>
      <c r="AJ217" s="115"/>
      <c r="AK217" s="112"/>
      <c r="AL217" s="112"/>
      <c r="AM217" s="116" t="str">
        <f t="shared" si="2"/>
        <v/>
      </c>
      <c r="AN217" s="117" t="str">
        <f t="shared" si="3"/>
        <v/>
      </c>
      <c r="AO217" s="158"/>
      <c r="AP217" s="18"/>
      <c r="AQ217" s="18"/>
      <c r="AR217" s="18"/>
      <c r="AS217" s="18"/>
      <c r="AT217" s="18"/>
      <c r="AU217" s="54" t="b">
        <v>0</v>
      </c>
      <c r="AV217" s="54" t="b">
        <v>0</v>
      </c>
      <c r="AW217" s="123"/>
      <c r="AX217" s="124"/>
      <c r="AY217" s="124"/>
      <c r="AZ217" s="124"/>
      <c r="BA217" s="125"/>
      <c r="BB217" s="68"/>
      <c r="BC217" s="62"/>
      <c r="BD217" s="129" t="str">
        <f t="shared" si="4"/>
        <v>_</v>
      </c>
      <c r="BE217" s="130" t="str">
        <f>IFERROR(VLOOKUP($BD217,'(勿動)組件目錄表'!$D$15:$R$1094,2,FALSE),"")</f>
        <v/>
      </c>
      <c r="BF217" s="131" t="str">
        <f>IFERROR(VLOOKUP($BD217, '(勿動)組件目錄表'!$D$15:$R$1094, 5, FALSE),"")</f>
        <v/>
      </c>
      <c r="BG217" s="118"/>
      <c r="BH217" s="120"/>
      <c r="BI217" s="118"/>
      <c r="BJ217" s="120"/>
    </row>
    <row r="218" spans="1:62" ht="15.75" customHeight="1">
      <c r="A218" s="18" t="str">
        <f t="array" aca="1" ref="A218" ca="1">IFERROR(TRANSPOSE(INDIRECT('「(動工中勿使用!!)新版+舊版_Teaser」的副本'!$BB218)),"")</f>
        <v/>
      </c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80" t="b">
        <v>0</v>
      </c>
      <c r="AF218" s="111" t="str">
        <f t="shared" si="8"/>
        <v/>
      </c>
      <c r="AG218" s="112" t="str">
        <f t="shared" si="1"/>
        <v/>
      </c>
      <c r="AH218" s="126"/>
      <c r="AI218" s="114" t="str">
        <f ca="1">IFERROR(VLOOKUP($AH218, '(勿動)Component Label公版'!$D$1:$E$1000, 2, FALSE), "-")</f>
        <v>-</v>
      </c>
      <c r="AJ218" s="115"/>
      <c r="AK218" s="112"/>
      <c r="AL218" s="112"/>
      <c r="AM218" s="116" t="str">
        <f t="shared" si="2"/>
        <v/>
      </c>
      <c r="AN218" s="117" t="str">
        <f t="shared" si="3"/>
        <v/>
      </c>
      <c r="AO218" s="158"/>
      <c r="AP218" s="18"/>
      <c r="AQ218" s="18"/>
      <c r="AR218" s="18"/>
      <c r="AS218" s="18"/>
      <c r="AT218" s="18"/>
      <c r="AU218" s="54" t="b">
        <v>0</v>
      </c>
      <c r="AV218" s="54" t="b">
        <v>0</v>
      </c>
      <c r="AW218" s="123"/>
      <c r="AX218" s="124"/>
      <c r="AY218" s="124"/>
      <c r="AZ218" s="124"/>
      <c r="BA218" s="125"/>
      <c r="BB218" s="68"/>
      <c r="BC218" s="62"/>
      <c r="BD218" s="129" t="str">
        <f t="shared" si="4"/>
        <v>_</v>
      </c>
      <c r="BE218" s="130" t="str">
        <f>IFERROR(VLOOKUP($BD218,'(勿動)組件目錄表'!$D$15:$R$1094,2,FALSE),"")</f>
        <v/>
      </c>
      <c r="BF218" s="131" t="str">
        <f>IFERROR(VLOOKUP($BD218, '(勿動)組件目錄表'!$D$15:$R$1094, 5, FALSE),"")</f>
        <v/>
      </c>
      <c r="BG218" s="118"/>
      <c r="BH218" s="120"/>
      <c r="BI218" s="118"/>
      <c r="BJ218" s="120"/>
    </row>
    <row r="219" spans="1:62" ht="15.75" customHeight="1">
      <c r="A219" s="18" t="str">
        <f t="array" aca="1" ref="A219" ca="1">IFERROR(TRANSPOSE(INDIRECT('「(動工中勿使用!!)新版+舊版_Teaser」的副本'!$BB219)),"")</f>
        <v/>
      </c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80" t="b">
        <v>0</v>
      </c>
      <c r="AF219" s="111" t="str">
        <f t="shared" si="8"/>
        <v/>
      </c>
      <c r="AG219" s="112" t="str">
        <f t="shared" si="1"/>
        <v/>
      </c>
      <c r="AH219" s="126"/>
      <c r="AI219" s="114" t="str">
        <f ca="1">IFERROR(VLOOKUP($AH219, '(勿動)Component Label公版'!$D$1:$E$1000, 2, FALSE), "-")</f>
        <v>-</v>
      </c>
      <c r="AJ219" s="115"/>
      <c r="AK219" s="112"/>
      <c r="AL219" s="112"/>
      <c r="AM219" s="116" t="str">
        <f t="shared" si="2"/>
        <v/>
      </c>
      <c r="AN219" s="117" t="str">
        <f t="shared" si="3"/>
        <v/>
      </c>
      <c r="AO219" s="158"/>
      <c r="AP219" s="18"/>
      <c r="AQ219" s="18"/>
      <c r="AR219" s="18"/>
      <c r="AS219" s="18"/>
      <c r="AT219" s="18"/>
      <c r="AU219" s="54" t="b">
        <v>0</v>
      </c>
      <c r="AV219" s="54" t="b">
        <v>0</v>
      </c>
      <c r="AW219" s="123"/>
      <c r="AX219" s="124"/>
      <c r="AY219" s="124"/>
      <c r="AZ219" s="124"/>
      <c r="BA219" s="125"/>
      <c r="BB219" s="68"/>
      <c r="BC219" s="62"/>
      <c r="BD219" s="129" t="str">
        <f t="shared" si="4"/>
        <v>_</v>
      </c>
      <c r="BE219" s="130" t="str">
        <f>IFERROR(VLOOKUP($BD219,'(勿動)組件目錄表'!$D$15:$R$1094,2,FALSE),"")</f>
        <v/>
      </c>
      <c r="BF219" s="131" t="str">
        <f>IFERROR(VLOOKUP($BD219, '(勿動)組件目錄表'!$D$15:$R$1094, 5, FALSE),"")</f>
        <v/>
      </c>
      <c r="BG219" s="118"/>
      <c r="BH219" s="120"/>
      <c r="BI219" s="118"/>
      <c r="BJ219" s="120"/>
    </row>
    <row r="220" spans="1:62" ht="15.75" customHeight="1">
      <c r="A220" s="18" t="str">
        <f t="array" aca="1" ref="A220" ca="1">IFERROR(TRANSPOSE(INDIRECT('「(動工中勿使用!!)新版+舊版_Teaser」的副本'!$BB220)),"")</f>
        <v/>
      </c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80" t="b">
        <v>0</v>
      </c>
      <c r="AF220" s="111" t="str">
        <f t="shared" si="8"/>
        <v/>
      </c>
      <c r="AG220" s="112" t="str">
        <f t="shared" si="1"/>
        <v/>
      </c>
      <c r="AH220" s="126"/>
      <c r="AI220" s="114" t="str">
        <f ca="1">IFERROR(VLOOKUP($AH220, '(勿動)Component Label公版'!$D$1:$E$1000, 2, FALSE), "-")</f>
        <v>-</v>
      </c>
      <c r="AJ220" s="115"/>
      <c r="AK220" s="112"/>
      <c r="AL220" s="112"/>
      <c r="AM220" s="116" t="str">
        <f t="shared" si="2"/>
        <v/>
      </c>
      <c r="AN220" s="117" t="str">
        <f t="shared" si="3"/>
        <v/>
      </c>
      <c r="AO220" s="158"/>
      <c r="AP220" s="18"/>
      <c r="AQ220" s="18"/>
      <c r="AR220" s="18"/>
      <c r="AS220" s="18"/>
      <c r="AT220" s="18"/>
      <c r="AU220" s="54" t="b">
        <v>0</v>
      </c>
      <c r="AV220" s="54" t="b">
        <v>0</v>
      </c>
      <c r="AW220" s="123"/>
      <c r="AX220" s="124"/>
      <c r="AY220" s="124"/>
      <c r="AZ220" s="124"/>
      <c r="BA220" s="125"/>
      <c r="BB220" s="68"/>
      <c r="BC220" s="62"/>
      <c r="BD220" s="129" t="str">
        <f t="shared" si="4"/>
        <v>_</v>
      </c>
      <c r="BE220" s="130" t="str">
        <f>IFERROR(VLOOKUP($BD220,'(勿動)組件目錄表'!$D$15:$R$1094,2,FALSE),"")</f>
        <v/>
      </c>
      <c r="BF220" s="131" t="str">
        <f>IFERROR(VLOOKUP($BD220, '(勿動)組件目錄表'!$D$15:$R$1094, 5, FALSE),"")</f>
        <v/>
      </c>
      <c r="BG220" s="118"/>
      <c r="BH220" s="120"/>
      <c r="BI220" s="118"/>
      <c r="BJ220" s="120"/>
    </row>
    <row r="221" spans="1:62" ht="15.75" customHeight="1">
      <c r="A221" s="18" t="str">
        <f t="array" aca="1" ref="A221" ca="1">IFERROR(TRANSPOSE(INDIRECT('「(動工中勿使用!!)新版+舊版_Teaser」的副本'!$BB221)),"")</f>
        <v/>
      </c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80" t="b">
        <v>0</v>
      </c>
      <c r="AF221" s="111" t="str">
        <f t="shared" si="8"/>
        <v/>
      </c>
      <c r="AG221" s="112" t="str">
        <f t="shared" si="1"/>
        <v/>
      </c>
      <c r="AH221" s="126"/>
      <c r="AI221" s="114" t="str">
        <f ca="1">IFERROR(VLOOKUP($AH221, '(勿動)Component Label公版'!$D$1:$E$1000, 2, FALSE), "-")</f>
        <v>-</v>
      </c>
      <c r="AJ221" s="115"/>
      <c r="AK221" s="112"/>
      <c r="AL221" s="112"/>
      <c r="AM221" s="116" t="str">
        <f t="shared" si="2"/>
        <v/>
      </c>
      <c r="AN221" s="117" t="str">
        <f t="shared" si="3"/>
        <v/>
      </c>
      <c r="AO221" s="158"/>
      <c r="AP221" s="18"/>
      <c r="AQ221" s="18"/>
      <c r="AR221" s="18"/>
      <c r="AS221" s="18"/>
      <c r="AT221" s="18"/>
      <c r="AU221" s="54" t="b">
        <v>0</v>
      </c>
      <c r="AV221" s="54" t="b">
        <v>0</v>
      </c>
      <c r="AW221" s="123"/>
      <c r="AX221" s="124"/>
      <c r="AY221" s="124"/>
      <c r="AZ221" s="124"/>
      <c r="BA221" s="125"/>
      <c r="BB221" s="68"/>
      <c r="BC221" s="62"/>
      <c r="BD221" s="129" t="str">
        <f t="shared" si="4"/>
        <v>_</v>
      </c>
      <c r="BE221" s="130" t="str">
        <f>IFERROR(VLOOKUP($BD221,'(勿動)組件目錄表'!$D$15:$R$1094,2,FALSE),"")</f>
        <v/>
      </c>
      <c r="BF221" s="131" t="str">
        <f>IFERROR(VLOOKUP($BD221, '(勿動)組件目錄表'!$D$15:$R$1094, 5, FALSE),"")</f>
        <v/>
      </c>
      <c r="BG221" s="118"/>
      <c r="BH221" s="120"/>
      <c r="BI221" s="118"/>
      <c r="BJ221" s="120"/>
    </row>
    <row r="222" spans="1:62" ht="15.75" customHeight="1">
      <c r="A222" s="18" t="str">
        <f t="array" aca="1" ref="A222" ca="1">IFERROR(TRANSPOSE(INDIRECT('「(動工中勿使用!!)新版+舊版_Teaser」的副本'!$BB222)),"")</f>
        <v/>
      </c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80" t="b">
        <v>0</v>
      </c>
      <c r="AF222" s="111" t="str">
        <f t="shared" si="8"/>
        <v/>
      </c>
      <c r="AG222" s="112" t="str">
        <f t="shared" si="1"/>
        <v/>
      </c>
      <c r="AH222" s="126"/>
      <c r="AI222" s="114" t="str">
        <f ca="1">IFERROR(VLOOKUP($AH222, '(勿動)Component Label公版'!$D$1:$E$1000, 2, FALSE), "-")</f>
        <v>-</v>
      </c>
      <c r="AJ222" s="115"/>
      <c r="AK222" s="112"/>
      <c r="AL222" s="112"/>
      <c r="AM222" s="116" t="str">
        <f t="shared" si="2"/>
        <v/>
      </c>
      <c r="AN222" s="117" t="str">
        <f t="shared" si="3"/>
        <v/>
      </c>
      <c r="AO222" s="158"/>
      <c r="AP222" s="18"/>
      <c r="AQ222" s="18"/>
      <c r="AR222" s="18"/>
      <c r="AS222" s="18"/>
      <c r="AT222" s="18"/>
      <c r="AU222" s="54" t="b">
        <v>0</v>
      </c>
      <c r="AV222" s="54" t="b">
        <v>0</v>
      </c>
      <c r="AW222" s="123"/>
      <c r="AX222" s="124"/>
      <c r="AY222" s="124"/>
      <c r="AZ222" s="124"/>
      <c r="BA222" s="125"/>
      <c r="BB222" s="68"/>
      <c r="BC222" s="62"/>
      <c r="BD222" s="129" t="str">
        <f t="shared" si="4"/>
        <v>_</v>
      </c>
      <c r="BE222" s="130" t="str">
        <f>IFERROR(VLOOKUP($BD222,'(勿動)組件目錄表'!$D$15:$R$1094,2,FALSE),"")</f>
        <v/>
      </c>
      <c r="BF222" s="131" t="str">
        <f>IFERROR(VLOOKUP($BD222, '(勿動)組件目錄表'!$D$15:$R$1094, 5, FALSE),"")</f>
        <v/>
      </c>
      <c r="BG222" s="118"/>
      <c r="BH222" s="120"/>
      <c r="BI222" s="118"/>
      <c r="BJ222" s="120"/>
    </row>
    <row r="223" spans="1:62" ht="15.75" customHeight="1">
      <c r="A223" s="18" t="str">
        <f t="array" aca="1" ref="A223" ca="1">IFERROR(TRANSPOSE(INDIRECT('「(動工中勿使用!!)新版+舊版_Teaser」的副本'!$BB223)),"")</f>
        <v/>
      </c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80" t="b">
        <v>0</v>
      </c>
      <c r="AF223" s="111" t="str">
        <f t="shared" si="8"/>
        <v/>
      </c>
      <c r="AG223" s="112" t="str">
        <f t="shared" si="1"/>
        <v/>
      </c>
      <c r="AH223" s="126"/>
      <c r="AI223" s="114" t="str">
        <f ca="1">IFERROR(VLOOKUP($AH223, '(勿動)Component Label公版'!$D$1:$E$1000, 2, FALSE), "-")</f>
        <v>-</v>
      </c>
      <c r="AJ223" s="115"/>
      <c r="AK223" s="112"/>
      <c r="AL223" s="112"/>
      <c r="AM223" s="116" t="str">
        <f t="shared" si="2"/>
        <v/>
      </c>
      <c r="AN223" s="117" t="str">
        <f t="shared" si="3"/>
        <v/>
      </c>
      <c r="AO223" s="158"/>
      <c r="AP223" s="18"/>
      <c r="AQ223" s="18"/>
      <c r="AR223" s="18"/>
      <c r="AS223" s="18"/>
      <c r="AT223" s="18"/>
      <c r="AU223" s="54" t="b">
        <v>0</v>
      </c>
      <c r="AV223" s="54" t="b">
        <v>0</v>
      </c>
      <c r="AW223" s="123"/>
      <c r="AX223" s="124"/>
      <c r="AY223" s="124"/>
      <c r="AZ223" s="124"/>
      <c r="BA223" s="125"/>
      <c r="BB223" s="68"/>
      <c r="BC223" s="62"/>
      <c r="BD223" s="129" t="str">
        <f t="shared" si="4"/>
        <v>_</v>
      </c>
      <c r="BE223" s="130" t="str">
        <f>IFERROR(VLOOKUP($BD223,'(勿動)組件目錄表'!$D$15:$R$1094,2,FALSE),"")</f>
        <v/>
      </c>
      <c r="BF223" s="131" t="str">
        <f>IFERROR(VLOOKUP($BD223, '(勿動)組件目錄表'!$D$15:$R$1094, 5, FALSE),"")</f>
        <v/>
      </c>
      <c r="BG223" s="118"/>
      <c r="BH223" s="120"/>
      <c r="BI223" s="118"/>
      <c r="BJ223" s="120"/>
    </row>
    <row r="224" spans="1:62" ht="15.75" customHeight="1">
      <c r="A224" s="18" t="str">
        <f t="array" aca="1" ref="A224" ca="1">IFERROR(TRANSPOSE(INDIRECT('「(動工中勿使用!!)新版+舊版_Teaser」的副本'!$BB224)),"")</f>
        <v/>
      </c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80" t="b">
        <v>0</v>
      </c>
      <c r="AF224" s="111" t="str">
        <f t="shared" si="8"/>
        <v/>
      </c>
      <c r="AG224" s="112" t="str">
        <f t="shared" si="1"/>
        <v/>
      </c>
      <c r="AH224" s="126"/>
      <c r="AI224" s="114" t="str">
        <f ca="1">IFERROR(VLOOKUP($AH224, '(勿動)Component Label公版'!$D$1:$E$1000, 2, FALSE), "-")</f>
        <v>-</v>
      </c>
      <c r="AJ224" s="115"/>
      <c r="AK224" s="112"/>
      <c r="AL224" s="112"/>
      <c r="AM224" s="116" t="str">
        <f t="shared" si="2"/>
        <v/>
      </c>
      <c r="AN224" s="117" t="str">
        <f t="shared" si="3"/>
        <v/>
      </c>
      <c r="AO224" s="158"/>
      <c r="AP224" s="18"/>
      <c r="AQ224" s="18"/>
      <c r="AR224" s="18"/>
      <c r="AS224" s="18"/>
      <c r="AT224" s="18"/>
      <c r="AU224" s="54" t="b">
        <v>0</v>
      </c>
      <c r="AV224" s="54" t="b">
        <v>0</v>
      </c>
      <c r="AW224" s="123"/>
      <c r="AX224" s="124"/>
      <c r="AY224" s="124"/>
      <c r="AZ224" s="124"/>
      <c r="BA224" s="125"/>
      <c r="BB224" s="68"/>
      <c r="BC224" s="62"/>
      <c r="BD224" s="129" t="str">
        <f t="shared" si="4"/>
        <v>_</v>
      </c>
      <c r="BE224" s="130" t="str">
        <f>IFERROR(VLOOKUP($BD224,'(勿動)組件目錄表'!$D$15:$R$1094,2,FALSE),"")</f>
        <v/>
      </c>
      <c r="BF224" s="131" t="str">
        <f>IFERROR(VLOOKUP($BD224, '(勿動)組件目錄表'!$D$15:$R$1094, 5, FALSE),"")</f>
        <v/>
      </c>
      <c r="BG224" s="118"/>
      <c r="BH224" s="120"/>
      <c r="BI224" s="118"/>
      <c r="BJ224" s="120"/>
    </row>
    <row r="225" spans="1:62" ht="15.75" customHeight="1">
      <c r="A225" s="18" t="str">
        <f t="array" aca="1" ref="A225" ca="1">IFERROR(TRANSPOSE(INDIRECT('「(動工中勿使用!!)新版+舊版_Teaser」的副本'!$BB225)),"")</f>
        <v/>
      </c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80" t="b">
        <v>0</v>
      </c>
      <c r="AF225" s="111" t="str">
        <f t="shared" si="8"/>
        <v/>
      </c>
      <c r="AG225" s="112" t="str">
        <f t="shared" si="1"/>
        <v/>
      </c>
      <c r="AH225" s="126"/>
      <c r="AI225" s="114" t="str">
        <f ca="1">IFERROR(VLOOKUP($AH225, '(勿動)Component Label公版'!$D$1:$E$1000, 2, FALSE), "-")</f>
        <v>-</v>
      </c>
      <c r="AJ225" s="115"/>
      <c r="AK225" s="112"/>
      <c r="AL225" s="112"/>
      <c r="AM225" s="116" t="str">
        <f t="shared" si="2"/>
        <v/>
      </c>
      <c r="AN225" s="117" t="str">
        <f t="shared" si="3"/>
        <v/>
      </c>
      <c r="AO225" s="158"/>
      <c r="AP225" s="18"/>
      <c r="AQ225" s="18"/>
      <c r="AR225" s="18"/>
      <c r="AS225" s="18"/>
      <c r="AT225" s="18"/>
      <c r="AU225" s="54" t="b">
        <v>0</v>
      </c>
      <c r="AV225" s="54" t="b">
        <v>0</v>
      </c>
      <c r="AW225" s="123"/>
      <c r="AX225" s="124"/>
      <c r="AY225" s="124"/>
      <c r="AZ225" s="124"/>
      <c r="BA225" s="125"/>
      <c r="BB225" s="68"/>
      <c r="BC225" s="62"/>
      <c r="BD225" s="129" t="str">
        <f t="shared" si="4"/>
        <v>_</v>
      </c>
      <c r="BE225" s="130" t="str">
        <f>IFERROR(VLOOKUP($BD225,'(勿動)組件目錄表'!$D$15:$R$1094,2,FALSE),"")</f>
        <v/>
      </c>
      <c r="BF225" s="131" t="str">
        <f>IFERROR(VLOOKUP($BD225, '(勿動)組件目錄表'!$D$15:$R$1094, 5, FALSE),"")</f>
        <v/>
      </c>
      <c r="BG225" s="118"/>
      <c r="BH225" s="120"/>
      <c r="BI225" s="118"/>
      <c r="BJ225" s="120"/>
    </row>
    <row r="226" spans="1:62" ht="15.75" customHeight="1">
      <c r="A226" s="18" t="str">
        <f t="array" aca="1" ref="A226" ca="1">IFERROR(TRANSPOSE(INDIRECT('「(動工中勿使用!!)新版+舊版_Teaser」的副本'!$BB226)),"")</f>
        <v/>
      </c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80" t="b">
        <v>0</v>
      </c>
      <c r="AF226" s="111" t="str">
        <f t="shared" si="8"/>
        <v/>
      </c>
      <c r="AG226" s="112" t="str">
        <f t="shared" si="1"/>
        <v/>
      </c>
      <c r="AH226" s="126"/>
      <c r="AI226" s="114" t="str">
        <f ca="1">IFERROR(VLOOKUP($AH226, '(勿動)Component Label公版'!$D$1:$E$1000, 2, FALSE), "-")</f>
        <v>-</v>
      </c>
      <c r="AJ226" s="115"/>
      <c r="AK226" s="112"/>
      <c r="AL226" s="112"/>
      <c r="AM226" s="116" t="str">
        <f t="shared" si="2"/>
        <v/>
      </c>
      <c r="AN226" s="117" t="str">
        <f t="shared" si="3"/>
        <v/>
      </c>
      <c r="AO226" s="158"/>
      <c r="AP226" s="18"/>
      <c r="AQ226" s="18"/>
      <c r="AR226" s="18"/>
      <c r="AS226" s="18"/>
      <c r="AT226" s="18"/>
      <c r="AU226" s="54" t="b">
        <v>0</v>
      </c>
      <c r="AV226" s="54" t="b">
        <v>0</v>
      </c>
      <c r="AW226" s="123"/>
      <c r="AX226" s="124"/>
      <c r="AY226" s="124"/>
      <c r="AZ226" s="124"/>
      <c r="BA226" s="125"/>
      <c r="BB226" s="68"/>
      <c r="BC226" s="62"/>
      <c r="BD226" s="129" t="str">
        <f t="shared" si="4"/>
        <v>_</v>
      </c>
      <c r="BE226" s="130" t="str">
        <f>IFERROR(VLOOKUP($BD226,'(勿動)組件目錄表'!$D$15:$R$1094,2,FALSE),"")</f>
        <v/>
      </c>
      <c r="BF226" s="131" t="str">
        <f>IFERROR(VLOOKUP($BD226, '(勿動)組件目錄表'!$D$15:$R$1094, 5, FALSE),"")</f>
        <v/>
      </c>
      <c r="BG226" s="118"/>
      <c r="BH226" s="120"/>
      <c r="BI226" s="118"/>
      <c r="BJ226" s="120"/>
    </row>
    <row r="227" spans="1:62" ht="15.75" customHeight="1">
      <c r="A227" s="18" t="str">
        <f t="array" aca="1" ref="A227" ca="1">IFERROR(TRANSPOSE(INDIRECT('「(動工中勿使用!!)新版+舊版_Teaser」的副本'!$BB227)),"")</f>
        <v/>
      </c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80" t="b">
        <v>0</v>
      </c>
      <c r="AF227" s="111" t="str">
        <f t="shared" si="8"/>
        <v/>
      </c>
      <c r="AG227" s="112" t="str">
        <f t="shared" si="1"/>
        <v/>
      </c>
      <c r="AH227" s="126"/>
      <c r="AI227" s="114" t="str">
        <f ca="1">IFERROR(VLOOKUP($AH227, '(勿動)Component Label公版'!$D$1:$E$1000, 2, FALSE), "-")</f>
        <v>-</v>
      </c>
      <c r="AJ227" s="115"/>
      <c r="AK227" s="112"/>
      <c r="AL227" s="112"/>
      <c r="AM227" s="116" t="str">
        <f t="shared" si="2"/>
        <v/>
      </c>
      <c r="AN227" s="117" t="str">
        <f t="shared" si="3"/>
        <v/>
      </c>
      <c r="AO227" s="158"/>
      <c r="AP227" s="18"/>
      <c r="AQ227" s="18"/>
      <c r="AR227" s="18"/>
      <c r="AS227" s="18"/>
      <c r="AT227" s="18"/>
      <c r="AU227" s="54" t="b">
        <v>0</v>
      </c>
      <c r="AV227" s="54" t="b">
        <v>0</v>
      </c>
      <c r="AW227" s="123"/>
      <c r="AX227" s="124"/>
      <c r="AY227" s="124"/>
      <c r="AZ227" s="124"/>
      <c r="BA227" s="125"/>
      <c r="BB227" s="68"/>
      <c r="BC227" s="62"/>
      <c r="BD227" s="129" t="str">
        <f t="shared" si="4"/>
        <v>_</v>
      </c>
      <c r="BE227" s="130" t="str">
        <f>IFERROR(VLOOKUP($BD227,'(勿動)組件目錄表'!$D$15:$R$1094,2,FALSE),"")</f>
        <v/>
      </c>
      <c r="BF227" s="131" t="str">
        <f>IFERROR(VLOOKUP($BD227, '(勿動)組件目錄表'!$D$15:$R$1094, 5, FALSE),"")</f>
        <v/>
      </c>
      <c r="BG227" s="118"/>
      <c r="BH227" s="120"/>
      <c r="BI227" s="118"/>
      <c r="BJ227" s="120"/>
    </row>
    <row r="228" spans="1:62" ht="15.75" customHeight="1">
      <c r="A228" s="18" t="str">
        <f t="array" aca="1" ref="A228" ca="1">IFERROR(TRANSPOSE(INDIRECT('「(動工中勿使用!!)新版+舊版_Teaser」的副本'!$BB228)),"")</f>
        <v/>
      </c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80" t="b">
        <v>0</v>
      </c>
      <c r="AF228" s="111" t="str">
        <f t="shared" si="8"/>
        <v/>
      </c>
      <c r="AG228" s="112" t="str">
        <f t="shared" si="1"/>
        <v/>
      </c>
      <c r="AH228" s="126"/>
      <c r="AI228" s="114" t="str">
        <f ca="1">IFERROR(VLOOKUP($AH228, '(勿動)Component Label公版'!$D$1:$E$1000, 2, FALSE), "-")</f>
        <v>-</v>
      </c>
      <c r="AJ228" s="115"/>
      <c r="AK228" s="112"/>
      <c r="AL228" s="112"/>
      <c r="AM228" s="116" t="str">
        <f t="shared" si="2"/>
        <v/>
      </c>
      <c r="AN228" s="117" t="str">
        <f t="shared" si="3"/>
        <v/>
      </c>
      <c r="AO228" s="158"/>
      <c r="AP228" s="18"/>
      <c r="AQ228" s="18"/>
      <c r="AR228" s="18"/>
      <c r="AS228" s="18"/>
      <c r="AT228" s="18"/>
      <c r="AU228" s="54" t="b">
        <v>0</v>
      </c>
      <c r="AV228" s="54" t="b">
        <v>0</v>
      </c>
      <c r="AW228" s="123"/>
      <c r="AX228" s="124"/>
      <c r="AY228" s="124"/>
      <c r="AZ228" s="124"/>
      <c r="BA228" s="125"/>
      <c r="BB228" s="68"/>
      <c r="BC228" s="62"/>
      <c r="BD228" s="129" t="str">
        <f t="shared" si="4"/>
        <v>_</v>
      </c>
      <c r="BE228" s="130" t="str">
        <f>IFERROR(VLOOKUP($BD228,'(勿動)組件目錄表'!$D$15:$R$1094,2,FALSE),"")</f>
        <v/>
      </c>
      <c r="BF228" s="131" t="str">
        <f>IFERROR(VLOOKUP($BD228, '(勿動)組件目錄表'!$D$15:$R$1094, 5, FALSE),"")</f>
        <v/>
      </c>
      <c r="BG228" s="118"/>
      <c r="BH228" s="120"/>
      <c r="BI228" s="118"/>
      <c r="BJ228" s="120"/>
    </row>
    <row r="229" spans="1:62" ht="15.75" customHeight="1">
      <c r="A229" s="18" t="str">
        <f t="array" aca="1" ref="A229" ca="1">IFERROR(TRANSPOSE(INDIRECT('「(動工中勿使用!!)新版+舊版_Teaser」的副本'!$BB229)),"")</f>
        <v/>
      </c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80" t="b">
        <v>0</v>
      </c>
      <c r="AF229" s="111" t="str">
        <f t="shared" si="8"/>
        <v/>
      </c>
      <c r="AG229" s="112" t="str">
        <f t="shared" si="1"/>
        <v/>
      </c>
      <c r="AH229" s="126"/>
      <c r="AI229" s="114" t="str">
        <f ca="1">IFERROR(VLOOKUP($AH229, '(勿動)Component Label公版'!$D$1:$E$1000, 2, FALSE), "-")</f>
        <v>-</v>
      </c>
      <c r="AJ229" s="115"/>
      <c r="AK229" s="112"/>
      <c r="AL229" s="112"/>
      <c r="AM229" s="116" t="str">
        <f t="shared" si="2"/>
        <v/>
      </c>
      <c r="AN229" s="117" t="str">
        <f t="shared" si="3"/>
        <v/>
      </c>
      <c r="AO229" s="158"/>
      <c r="AP229" s="18"/>
      <c r="AQ229" s="18"/>
      <c r="AR229" s="18"/>
      <c r="AS229" s="18"/>
      <c r="AT229" s="18"/>
      <c r="AU229" s="54" t="b">
        <v>0</v>
      </c>
      <c r="AV229" s="54" t="b">
        <v>0</v>
      </c>
      <c r="AW229" s="123"/>
      <c r="AX229" s="124"/>
      <c r="AY229" s="124"/>
      <c r="AZ229" s="124"/>
      <c r="BA229" s="125"/>
      <c r="BB229" s="68"/>
      <c r="BC229" s="62"/>
      <c r="BD229" s="129" t="str">
        <f t="shared" si="4"/>
        <v>_</v>
      </c>
      <c r="BE229" s="130" t="str">
        <f>IFERROR(VLOOKUP($BD229,'(勿動)組件目錄表'!$D$15:$R$1094,2,FALSE),"")</f>
        <v/>
      </c>
      <c r="BF229" s="131" t="str">
        <f>IFERROR(VLOOKUP($BD229, '(勿動)組件目錄表'!$D$15:$R$1094, 5, FALSE),"")</f>
        <v/>
      </c>
      <c r="BG229" s="118"/>
      <c r="BH229" s="120"/>
      <c r="BI229" s="118"/>
      <c r="BJ229" s="120"/>
    </row>
    <row r="230" spans="1:62" ht="15.75" customHeight="1">
      <c r="A230" s="18" t="str">
        <f t="array" aca="1" ref="A230" ca="1">IFERROR(TRANSPOSE(INDIRECT('「(動工中勿使用!!)新版+舊版_Teaser」的副本'!$BB230)),"")</f>
        <v/>
      </c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80" t="b">
        <v>0</v>
      </c>
      <c r="AF230" s="111" t="str">
        <f t="shared" si="8"/>
        <v/>
      </c>
      <c r="AG230" s="112" t="str">
        <f t="shared" si="1"/>
        <v/>
      </c>
      <c r="AH230" s="126"/>
      <c r="AI230" s="114" t="str">
        <f ca="1">IFERROR(VLOOKUP($AH230, '(勿動)Component Label公版'!$D$1:$E$1000, 2, FALSE), "-")</f>
        <v>-</v>
      </c>
      <c r="AJ230" s="115"/>
      <c r="AK230" s="112"/>
      <c r="AL230" s="112"/>
      <c r="AM230" s="116" t="str">
        <f t="shared" si="2"/>
        <v/>
      </c>
      <c r="AN230" s="117" t="str">
        <f t="shared" si="3"/>
        <v/>
      </c>
      <c r="AO230" s="158"/>
      <c r="AP230" s="18"/>
      <c r="AQ230" s="18"/>
      <c r="AR230" s="18"/>
      <c r="AS230" s="18"/>
      <c r="AT230" s="18"/>
      <c r="AU230" s="54" t="b">
        <v>0</v>
      </c>
      <c r="AV230" s="54" t="b">
        <v>0</v>
      </c>
      <c r="AW230" s="123"/>
      <c r="AX230" s="124"/>
      <c r="AY230" s="124"/>
      <c r="AZ230" s="124"/>
      <c r="BA230" s="125"/>
      <c r="BB230" s="68"/>
      <c r="BC230" s="62"/>
      <c r="BD230" s="129" t="str">
        <f t="shared" si="4"/>
        <v>_</v>
      </c>
      <c r="BE230" s="130" t="str">
        <f>IFERROR(VLOOKUP($BD230,'(勿動)組件目錄表'!$D$15:$R$1094,2,FALSE),"")</f>
        <v/>
      </c>
      <c r="BF230" s="131" t="str">
        <f>IFERROR(VLOOKUP($BD230, '(勿動)組件目錄表'!$D$15:$R$1094, 5, FALSE),"")</f>
        <v/>
      </c>
      <c r="BG230" s="118"/>
      <c r="BH230" s="120"/>
      <c r="BI230" s="118"/>
      <c r="BJ230" s="120"/>
    </row>
    <row r="231" spans="1:62" ht="15.75" customHeight="1">
      <c r="A231" s="18" t="str">
        <f t="array" aca="1" ref="A231" ca="1">IFERROR(TRANSPOSE(INDIRECT('「(動工中勿使用!!)新版+舊版_Teaser」的副本'!$BB231)),"")</f>
        <v/>
      </c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80" t="b">
        <v>0</v>
      </c>
      <c r="AF231" s="111" t="str">
        <f t="shared" si="8"/>
        <v/>
      </c>
      <c r="AG231" s="112" t="str">
        <f t="shared" si="1"/>
        <v/>
      </c>
      <c r="AH231" s="126"/>
      <c r="AI231" s="114" t="str">
        <f ca="1">IFERROR(VLOOKUP($AH231, '(勿動)Component Label公版'!$D$1:$E$1000, 2, FALSE), "-")</f>
        <v>-</v>
      </c>
      <c r="AJ231" s="115"/>
      <c r="AK231" s="112"/>
      <c r="AL231" s="112"/>
      <c r="AM231" s="116" t="str">
        <f t="shared" si="2"/>
        <v/>
      </c>
      <c r="AN231" s="117" t="str">
        <f t="shared" si="3"/>
        <v/>
      </c>
      <c r="AO231" s="158"/>
      <c r="AP231" s="18"/>
      <c r="AQ231" s="18"/>
      <c r="AR231" s="18"/>
      <c r="AS231" s="18"/>
      <c r="AT231" s="18"/>
      <c r="AU231" s="54" t="b">
        <v>0</v>
      </c>
      <c r="AV231" s="54" t="b">
        <v>0</v>
      </c>
      <c r="AW231" s="123"/>
      <c r="AX231" s="124"/>
      <c r="AY231" s="124"/>
      <c r="AZ231" s="124"/>
      <c r="BA231" s="125"/>
      <c r="BB231" s="68"/>
      <c r="BC231" s="62"/>
      <c r="BD231" s="129" t="str">
        <f t="shared" si="4"/>
        <v>_</v>
      </c>
      <c r="BE231" s="130" t="str">
        <f>IFERROR(VLOOKUP($BD231,'(勿動)組件目錄表'!$D$15:$R$1094,2,FALSE),"")</f>
        <v/>
      </c>
      <c r="BF231" s="131" t="str">
        <f>IFERROR(VLOOKUP($BD231, '(勿動)組件目錄表'!$D$15:$R$1094, 5, FALSE),"")</f>
        <v/>
      </c>
      <c r="BG231" s="118"/>
      <c r="BH231" s="120"/>
      <c r="BI231" s="118"/>
      <c r="BJ231" s="120"/>
    </row>
    <row r="232" spans="1:62" ht="15.75" customHeight="1">
      <c r="A232" s="18" t="str">
        <f t="array" aca="1" ref="A232" ca="1">IFERROR(TRANSPOSE(INDIRECT('「(動工中勿使用!!)新版+舊版_Teaser」的副本'!$BB232)),"")</f>
        <v/>
      </c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80" t="b">
        <v>0</v>
      </c>
      <c r="AF232" s="111" t="str">
        <f t="shared" si="8"/>
        <v/>
      </c>
      <c r="AG232" s="112" t="str">
        <f t="shared" si="1"/>
        <v/>
      </c>
      <c r="AH232" s="126"/>
      <c r="AI232" s="114" t="str">
        <f ca="1">IFERROR(VLOOKUP($AH232, '(勿動)Component Label公版'!$D$1:$E$1000, 2, FALSE), "-")</f>
        <v>-</v>
      </c>
      <c r="AJ232" s="115"/>
      <c r="AK232" s="112"/>
      <c r="AL232" s="112"/>
      <c r="AM232" s="116" t="str">
        <f t="shared" si="2"/>
        <v/>
      </c>
      <c r="AN232" s="117" t="str">
        <f t="shared" si="3"/>
        <v/>
      </c>
      <c r="AO232" s="158"/>
      <c r="AP232" s="18"/>
      <c r="AQ232" s="18"/>
      <c r="AR232" s="18"/>
      <c r="AS232" s="18"/>
      <c r="AT232" s="18"/>
      <c r="AU232" s="54" t="b">
        <v>0</v>
      </c>
      <c r="AV232" s="54" t="b">
        <v>0</v>
      </c>
      <c r="AW232" s="123"/>
      <c r="AX232" s="124"/>
      <c r="AY232" s="124"/>
      <c r="AZ232" s="124"/>
      <c r="BA232" s="125"/>
      <c r="BB232" s="68"/>
      <c r="BC232" s="62"/>
      <c r="BD232" s="129" t="str">
        <f t="shared" si="4"/>
        <v>_</v>
      </c>
      <c r="BE232" s="130" t="str">
        <f>IFERROR(VLOOKUP($BD232,'(勿動)組件目錄表'!$D$15:$R$1094,2,FALSE),"")</f>
        <v/>
      </c>
      <c r="BF232" s="131" t="str">
        <f>IFERROR(VLOOKUP($BD232, '(勿動)組件目錄表'!$D$15:$R$1094, 5, FALSE),"")</f>
        <v/>
      </c>
      <c r="BG232" s="118"/>
      <c r="BH232" s="120"/>
      <c r="BI232" s="118"/>
      <c r="BJ232" s="120"/>
    </row>
    <row r="233" spans="1:62" ht="15.75" customHeight="1">
      <c r="A233" s="18" t="str">
        <f t="array" aca="1" ref="A233" ca="1">IFERROR(TRANSPOSE(INDIRECT('「(動工中勿使用!!)新版+舊版_Teaser」的副本'!$BB233)),"")</f>
        <v/>
      </c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80" t="b">
        <v>0</v>
      </c>
      <c r="AF233" s="111" t="str">
        <f t="shared" si="8"/>
        <v/>
      </c>
      <c r="AG233" s="112" t="str">
        <f t="shared" si="1"/>
        <v/>
      </c>
      <c r="AH233" s="126"/>
      <c r="AI233" s="114" t="str">
        <f ca="1">IFERROR(VLOOKUP($AH233, '(勿動)Component Label公版'!$D$1:$E$1000, 2, FALSE), "-")</f>
        <v>-</v>
      </c>
      <c r="AJ233" s="115"/>
      <c r="AK233" s="112"/>
      <c r="AL233" s="112"/>
      <c r="AM233" s="116" t="str">
        <f t="shared" si="2"/>
        <v/>
      </c>
      <c r="AN233" s="117" t="str">
        <f t="shared" si="3"/>
        <v/>
      </c>
      <c r="AO233" s="158"/>
      <c r="AP233" s="18"/>
      <c r="AQ233" s="18"/>
      <c r="AR233" s="18"/>
      <c r="AS233" s="18"/>
      <c r="AT233" s="18"/>
      <c r="AU233" s="54" t="b">
        <v>0</v>
      </c>
      <c r="AV233" s="54" t="b">
        <v>0</v>
      </c>
      <c r="AW233" s="123"/>
      <c r="AX233" s="124"/>
      <c r="AY233" s="124"/>
      <c r="AZ233" s="124"/>
      <c r="BA233" s="125"/>
      <c r="BB233" s="68"/>
      <c r="BC233" s="62"/>
      <c r="BD233" s="129" t="str">
        <f t="shared" si="4"/>
        <v>_</v>
      </c>
      <c r="BE233" s="130" t="str">
        <f>IFERROR(VLOOKUP($BD233,'(勿動)組件目錄表'!$D$15:$R$1094,2,FALSE),"")</f>
        <v/>
      </c>
      <c r="BF233" s="131" t="str">
        <f>IFERROR(VLOOKUP($BD233, '(勿動)組件目錄表'!$D$15:$R$1094, 5, FALSE),"")</f>
        <v/>
      </c>
      <c r="BG233" s="118"/>
      <c r="BH233" s="120"/>
      <c r="BI233" s="118"/>
      <c r="BJ233" s="120"/>
    </row>
    <row r="234" spans="1:62" ht="15.75" customHeight="1">
      <c r="A234" s="18" t="str">
        <f t="array" aca="1" ref="A234" ca="1">IFERROR(TRANSPOSE(INDIRECT('「(動工中勿使用!!)新版+舊版_Teaser」的副本'!$BB234)),"")</f>
        <v/>
      </c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80" t="b">
        <v>0</v>
      </c>
      <c r="AF234" s="111" t="str">
        <f t="shared" si="8"/>
        <v/>
      </c>
      <c r="AG234" s="112" t="str">
        <f t="shared" si="1"/>
        <v/>
      </c>
      <c r="AH234" s="126"/>
      <c r="AI234" s="114" t="str">
        <f ca="1">IFERROR(VLOOKUP($AH234, '(勿動)Component Label公版'!$D$1:$E$1000, 2, FALSE), "-")</f>
        <v>-</v>
      </c>
      <c r="AJ234" s="115"/>
      <c r="AK234" s="112"/>
      <c r="AL234" s="112"/>
      <c r="AM234" s="116" t="str">
        <f t="shared" si="2"/>
        <v/>
      </c>
      <c r="AN234" s="117" t="str">
        <f t="shared" si="3"/>
        <v/>
      </c>
      <c r="AO234" s="158"/>
      <c r="AP234" s="18"/>
      <c r="AQ234" s="18"/>
      <c r="AR234" s="18"/>
      <c r="AS234" s="18"/>
      <c r="AT234" s="18"/>
      <c r="AU234" s="54" t="b">
        <v>0</v>
      </c>
      <c r="AV234" s="54" t="b">
        <v>0</v>
      </c>
      <c r="AW234" s="123"/>
      <c r="AX234" s="124"/>
      <c r="AY234" s="124"/>
      <c r="AZ234" s="124"/>
      <c r="BA234" s="125"/>
      <c r="BB234" s="68"/>
      <c r="BC234" s="62"/>
      <c r="BD234" s="129" t="str">
        <f t="shared" si="4"/>
        <v>_</v>
      </c>
      <c r="BE234" s="130" t="str">
        <f>IFERROR(VLOOKUP($BD234,'(勿動)組件目錄表'!$D$15:$R$1094,2,FALSE),"")</f>
        <v/>
      </c>
      <c r="BF234" s="131" t="str">
        <f>IFERROR(VLOOKUP($BD234, '(勿動)組件目錄表'!$D$15:$R$1094, 5, FALSE),"")</f>
        <v/>
      </c>
      <c r="BG234" s="118"/>
      <c r="BH234" s="120"/>
      <c r="BI234" s="118"/>
      <c r="BJ234" s="120"/>
    </row>
    <row r="235" spans="1:62" ht="15.75" customHeight="1">
      <c r="A235" s="18" t="str">
        <f t="array" aca="1" ref="A235" ca="1">IFERROR(TRANSPOSE(INDIRECT('「(動工中勿使用!!)新版+舊版_Teaser」的副本'!$BB235)),"")</f>
        <v/>
      </c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80" t="b">
        <v>0</v>
      </c>
      <c r="AF235" s="111" t="str">
        <f t="shared" si="8"/>
        <v/>
      </c>
      <c r="AG235" s="112" t="str">
        <f t="shared" si="1"/>
        <v/>
      </c>
      <c r="AH235" s="126"/>
      <c r="AI235" s="114" t="str">
        <f ca="1">IFERROR(VLOOKUP($AH235, '(勿動)Component Label公版'!$D$1:$E$1000, 2, FALSE), "-")</f>
        <v>-</v>
      </c>
      <c r="AJ235" s="115"/>
      <c r="AK235" s="112"/>
      <c r="AL235" s="112"/>
      <c r="AM235" s="116" t="str">
        <f t="shared" si="2"/>
        <v/>
      </c>
      <c r="AN235" s="117" t="str">
        <f t="shared" si="3"/>
        <v/>
      </c>
      <c r="AO235" s="158"/>
      <c r="AP235" s="18"/>
      <c r="AQ235" s="18"/>
      <c r="AR235" s="18"/>
      <c r="AS235" s="18"/>
      <c r="AT235" s="18"/>
      <c r="AU235" s="54" t="b">
        <v>0</v>
      </c>
      <c r="AV235" s="54" t="b">
        <v>0</v>
      </c>
      <c r="AW235" s="123"/>
      <c r="AX235" s="124"/>
      <c r="AY235" s="124"/>
      <c r="AZ235" s="124"/>
      <c r="BA235" s="125"/>
      <c r="BB235" s="68"/>
      <c r="BC235" s="62"/>
      <c r="BD235" s="129" t="str">
        <f t="shared" si="4"/>
        <v>_</v>
      </c>
      <c r="BE235" s="130" t="str">
        <f>IFERROR(VLOOKUP($BD235,'(勿動)組件目錄表'!$D$15:$R$1094,2,FALSE),"")</f>
        <v/>
      </c>
      <c r="BF235" s="131" t="str">
        <f>IFERROR(VLOOKUP($BD235, '(勿動)組件目錄表'!$D$15:$R$1094, 5, FALSE),"")</f>
        <v/>
      </c>
      <c r="BG235" s="118"/>
      <c r="BH235" s="120"/>
      <c r="BI235" s="118"/>
      <c r="BJ235" s="120"/>
    </row>
    <row r="236" spans="1:62" ht="15.75" customHeight="1">
      <c r="A236" s="18" t="str">
        <f t="array" aca="1" ref="A236" ca="1">IFERROR(TRANSPOSE(INDIRECT('「(動工中勿使用!!)新版+舊版_Teaser」的副本'!$BB236)),"")</f>
        <v/>
      </c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80" t="b">
        <v>0</v>
      </c>
      <c r="AF236" s="111" t="str">
        <f t="shared" si="8"/>
        <v/>
      </c>
      <c r="AG236" s="112" t="str">
        <f t="shared" si="1"/>
        <v/>
      </c>
      <c r="AH236" s="126"/>
      <c r="AI236" s="114" t="str">
        <f ca="1">IFERROR(VLOOKUP($AH236, '(勿動)Component Label公版'!$D$1:$E$1000, 2, FALSE), "-")</f>
        <v>-</v>
      </c>
      <c r="AJ236" s="115"/>
      <c r="AK236" s="112"/>
      <c r="AL236" s="112"/>
      <c r="AM236" s="116" t="str">
        <f t="shared" si="2"/>
        <v/>
      </c>
      <c r="AN236" s="117" t="str">
        <f t="shared" si="3"/>
        <v/>
      </c>
      <c r="AO236" s="158"/>
      <c r="AP236" s="18"/>
      <c r="AQ236" s="18"/>
      <c r="AR236" s="18"/>
      <c r="AS236" s="18"/>
      <c r="AT236" s="18"/>
      <c r="AU236" s="54" t="b">
        <v>0</v>
      </c>
      <c r="AV236" s="54" t="b">
        <v>0</v>
      </c>
      <c r="AW236" s="123"/>
      <c r="AX236" s="124"/>
      <c r="AY236" s="124"/>
      <c r="AZ236" s="124"/>
      <c r="BA236" s="125"/>
      <c r="BB236" s="68"/>
      <c r="BC236" s="62"/>
      <c r="BD236" s="129" t="str">
        <f t="shared" si="4"/>
        <v>_</v>
      </c>
      <c r="BE236" s="130" t="str">
        <f>IFERROR(VLOOKUP($BD236,'(勿動)組件目錄表'!$D$15:$R$1094,2,FALSE),"")</f>
        <v/>
      </c>
      <c r="BF236" s="131" t="str">
        <f>IFERROR(VLOOKUP($BD236, '(勿動)組件目錄表'!$D$15:$R$1094, 5, FALSE),"")</f>
        <v/>
      </c>
      <c r="BG236" s="118"/>
      <c r="BH236" s="120"/>
      <c r="BI236" s="118"/>
      <c r="BJ236" s="120"/>
    </row>
    <row r="237" spans="1:62" ht="15.75" customHeight="1">
      <c r="A237" s="18" t="str">
        <f t="array" aca="1" ref="A237" ca="1">IFERROR(TRANSPOSE(INDIRECT('「(動工中勿使用!!)新版+舊版_Teaser」的副本'!$BB237)),"")</f>
        <v/>
      </c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80" t="b">
        <v>0</v>
      </c>
      <c r="AF237" s="111" t="str">
        <f t="shared" si="8"/>
        <v/>
      </c>
      <c r="AG237" s="112" t="str">
        <f t="shared" si="1"/>
        <v/>
      </c>
      <c r="AH237" s="126"/>
      <c r="AI237" s="114" t="str">
        <f ca="1">IFERROR(VLOOKUP($AH237, '(勿動)Component Label公版'!$D$1:$E$1000, 2, FALSE), "-")</f>
        <v>-</v>
      </c>
      <c r="AJ237" s="115"/>
      <c r="AK237" s="112"/>
      <c r="AL237" s="112"/>
      <c r="AM237" s="116" t="str">
        <f t="shared" si="2"/>
        <v/>
      </c>
      <c r="AN237" s="117" t="str">
        <f t="shared" si="3"/>
        <v/>
      </c>
      <c r="AO237" s="158"/>
      <c r="AP237" s="18"/>
      <c r="AQ237" s="18"/>
      <c r="AR237" s="18"/>
      <c r="AS237" s="18"/>
      <c r="AT237" s="18"/>
      <c r="AU237" s="54" t="b">
        <v>0</v>
      </c>
      <c r="AV237" s="54" t="b">
        <v>0</v>
      </c>
      <c r="AW237" s="123"/>
      <c r="AX237" s="124"/>
      <c r="AY237" s="124"/>
      <c r="AZ237" s="124"/>
      <c r="BA237" s="125"/>
      <c r="BB237" s="68"/>
      <c r="BC237" s="62"/>
      <c r="BD237" s="129" t="str">
        <f t="shared" si="4"/>
        <v>_</v>
      </c>
      <c r="BE237" s="130" t="str">
        <f>IFERROR(VLOOKUP($BD237,'(勿動)組件目錄表'!$D$15:$R$1094,2,FALSE),"")</f>
        <v/>
      </c>
      <c r="BF237" s="131" t="str">
        <f>IFERROR(VLOOKUP($BD237, '(勿動)組件目錄表'!$D$15:$R$1094, 5, FALSE),"")</f>
        <v/>
      </c>
      <c r="BG237" s="118"/>
      <c r="BH237" s="120"/>
      <c r="BI237" s="118"/>
      <c r="BJ237" s="120"/>
    </row>
    <row r="238" spans="1:62" ht="15.75" customHeight="1">
      <c r="A238" s="18" t="str">
        <f t="array" aca="1" ref="A238" ca="1">IFERROR(TRANSPOSE(INDIRECT('「(動工中勿使用!!)新版+舊版_Teaser」的副本'!$BB238)),"")</f>
        <v/>
      </c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80" t="b">
        <v>0</v>
      </c>
      <c r="AF238" s="111" t="str">
        <f t="shared" si="8"/>
        <v/>
      </c>
      <c r="AG238" s="112" t="str">
        <f t="shared" si="1"/>
        <v/>
      </c>
      <c r="AH238" s="126"/>
      <c r="AI238" s="114" t="str">
        <f ca="1">IFERROR(VLOOKUP($AH238, '(勿動)Component Label公版'!$D$1:$E$1000, 2, FALSE), "-")</f>
        <v>-</v>
      </c>
      <c r="AJ238" s="115"/>
      <c r="AK238" s="112"/>
      <c r="AL238" s="112"/>
      <c r="AM238" s="116" t="str">
        <f t="shared" si="2"/>
        <v/>
      </c>
      <c r="AN238" s="117" t="str">
        <f t="shared" si="3"/>
        <v/>
      </c>
      <c r="AO238" s="158"/>
      <c r="AP238" s="18"/>
      <c r="AQ238" s="18"/>
      <c r="AR238" s="18"/>
      <c r="AS238" s="18"/>
      <c r="AT238" s="18"/>
      <c r="AU238" s="54" t="b">
        <v>0</v>
      </c>
      <c r="AV238" s="54" t="b">
        <v>0</v>
      </c>
      <c r="AW238" s="123"/>
      <c r="AX238" s="124"/>
      <c r="AY238" s="124"/>
      <c r="AZ238" s="124"/>
      <c r="BA238" s="125"/>
      <c r="BB238" s="68"/>
      <c r="BC238" s="62"/>
      <c r="BD238" s="129" t="str">
        <f t="shared" si="4"/>
        <v>_</v>
      </c>
      <c r="BE238" s="130" t="str">
        <f>IFERROR(VLOOKUP($BD238,'(勿動)組件目錄表'!$D$15:$R$1094,2,FALSE),"")</f>
        <v/>
      </c>
      <c r="BF238" s="131" t="str">
        <f>IFERROR(VLOOKUP($BD238, '(勿動)組件目錄表'!$D$15:$R$1094, 5, FALSE),"")</f>
        <v/>
      </c>
      <c r="BG238" s="118"/>
      <c r="BH238" s="120"/>
      <c r="BI238" s="118"/>
      <c r="BJ238" s="120"/>
    </row>
    <row r="239" spans="1:62" ht="15.75" customHeight="1">
      <c r="A239" s="18" t="str">
        <f t="array" aca="1" ref="A239" ca="1">IFERROR(TRANSPOSE(INDIRECT('「(動工中勿使用!!)新版+舊版_Teaser」的副本'!$BB239)),"")</f>
        <v/>
      </c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80" t="b">
        <v>0</v>
      </c>
      <c r="AF239" s="111" t="str">
        <f t="shared" si="8"/>
        <v/>
      </c>
      <c r="AG239" s="112" t="str">
        <f t="shared" si="1"/>
        <v/>
      </c>
      <c r="AH239" s="126"/>
      <c r="AI239" s="114" t="str">
        <f ca="1">IFERROR(VLOOKUP($AH239, '(勿動)Component Label公版'!$D$1:$E$1000, 2, FALSE), "-")</f>
        <v>-</v>
      </c>
      <c r="AJ239" s="115"/>
      <c r="AK239" s="112"/>
      <c r="AL239" s="112"/>
      <c r="AM239" s="116" t="str">
        <f t="shared" si="2"/>
        <v/>
      </c>
      <c r="AN239" s="117" t="str">
        <f t="shared" si="3"/>
        <v/>
      </c>
      <c r="AO239" s="158"/>
      <c r="AP239" s="18"/>
      <c r="AQ239" s="18"/>
      <c r="AR239" s="18"/>
      <c r="AS239" s="18"/>
      <c r="AT239" s="18"/>
      <c r="AU239" s="54" t="b">
        <v>0</v>
      </c>
      <c r="AV239" s="54" t="b">
        <v>0</v>
      </c>
      <c r="AW239" s="123"/>
      <c r="AX239" s="124"/>
      <c r="AY239" s="124"/>
      <c r="AZ239" s="124"/>
      <c r="BA239" s="125"/>
      <c r="BB239" s="68"/>
      <c r="BC239" s="62"/>
      <c r="BD239" s="129" t="str">
        <f t="shared" si="4"/>
        <v>_</v>
      </c>
      <c r="BE239" s="130" t="str">
        <f>IFERROR(VLOOKUP($BD239,'(勿動)組件目錄表'!$D$15:$R$1094,2,FALSE),"")</f>
        <v/>
      </c>
      <c r="BF239" s="131" t="str">
        <f>IFERROR(VLOOKUP($BD239, '(勿動)組件目錄表'!$D$15:$R$1094, 5, FALSE),"")</f>
        <v/>
      </c>
      <c r="BG239" s="118"/>
      <c r="BH239" s="120"/>
      <c r="BI239" s="118"/>
      <c r="BJ239" s="120"/>
    </row>
    <row r="240" spans="1:62" ht="15.75" customHeight="1">
      <c r="A240" s="18" t="str">
        <f t="array" aca="1" ref="A240" ca="1">IFERROR(TRANSPOSE(INDIRECT('「(動工中勿使用!!)新版+舊版_Teaser」的副本'!$BB240)),"")</f>
        <v/>
      </c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80" t="b">
        <v>0</v>
      </c>
      <c r="AF240" s="111" t="str">
        <f t="shared" si="8"/>
        <v/>
      </c>
      <c r="AG240" s="112" t="str">
        <f t="shared" si="1"/>
        <v/>
      </c>
      <c r="AH240" s="126"/>
      <c r="AI240" s="114" t="str">
        <f ca="1">IFERROR(VLOOKUP($AH240, '(勿動)Component Label公版'!$D$1:$E$1000, 2, FALSE), "-")</f>
        <v>-</v>
      </c>
      <c r="AJ240" s="115"/>
      <c r="AK240" s="112"/>
      <c r="AL240" s="112"/>
      <c r="AM240" s="116" t="str">
        <f t="shared" si="2"/>
        <v/>
      </c>
      <c r="AN240" s="117" t="str">
        <f t="shared" si="3"/>
        <v/>
      </c>
      <c r="AO240" s="158"/>
      <c r="AP240" s="18"/>
      <c r="AQ240" s="18"/>
      <c r="AR240" s="18"/>
      <c r="AS240" s="18"/>
      <c r="AT240" s="18"/>
      <c r="AU240" s="54" t="b">
        <v>0</v>
      </c>
      <c r="AV240" s="54" t="b">
        <v>0</v>
      </c>
      <c r="AW240" s="123"/>
      <c r="AX240" s="124"/>
      <c r="AY240" s="124"/>
      <c r="AZ240" s="124"/>
      <c r="BA240" s="125"/>
      <c r="BB240" s="68"/>
      <c r="BC240" s="62"/>
      <c r="BD240" s="129" t="str">
        <f t="shared" si="4"/>
        <v>_</v>
      </c>
      <c r="BE240" s="130" t="str">
        <f>IFERROR(VLOOKUP($BD240,'(勿動)組件目錄表'!$D$15:$R$1094,2,FALSE),"")</f>
        <v/>
      </c>
      <c r="BF240" s="131" t="str">
        <f>IFERROR(VLOOKUP($BD240, '(勿動)組件目錄表'!$D$15:$R$1094, 5, FALSE),"")</f>
        <v/>
      </c>
      <c r="BG240" s="118"/>
      <c r="BH240" s="120"/>
      <c r="BI240" s="118"/>
      <c r="BJ240" s="120"/>
    </row>
    <row r="241" spans="1:62" ht="15.75" customHeight="1">
      <c r="A241" s="18" t="str">
        <f t="array" aca="1" ref="A241" ca="1">IFERROR(TRANSPOSE(INDIRECT('「(動工中勿使用!!)新版+舊版_Teaser」的副本'!$BB241)),"")</f>
        <v/>
      </c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80" t="b">
        <v>0</v>
      </c>
      <c r="AF241" s="111" t="str">
        <f t="shared" si="8"/>
        <v/>
      </c>
      <c r="AG241" s="112" t="str">
        <f t="shared" si="1"/>
        <v/>
      </c>
      <c r="AH241" s="126"/>
      <c r="AI241" s="114" t="str">
        <f ca="1">IFERROR(VLOOKUP($AH241, '(勿動)Component Label公版'!$D$1:$E$1000, 2, FALSE), "-")</f>
        <v>-</v>
      </c>
      <c r="AJ241" s="115"/>
      <c r="AK241" s="112"/>
      <c r="AL241" s="112"/>
      <c r="AM241" s="116" t="str">
        <f t="shared" si="2"/>
        <v/>
      </c>
      <c r="AN241" s="117" t="str">
        <f t="shared" si="3"/>
        <v/>
      </c>
      <c r="AO241" s="158"/>
      <c r="AP241" s="18"/>
      <c r="AQ241" s="18"/>
      <c r="AR241" s="18"/>
      <c r="AS241" s="18"/>
      <c r="AT241" s="18"/>
      <c r="AU241" s="54" t="b">
        <v>0</v>
      </c>
      <c r="AV241" s="54" t="b">
        <v>0</v>
      </c>
      <c r="AW241" s="123"/>
      <c r="AX241" s="124"/>
      <c r="AY241" s="124"/>
      <c r="AZ241" s="124"/>
      <c r="BA241" s="125"/>
      <c r="BB241" s="68"/>
      <c r="BC241" s="62"/>
      <c r="BD241" s="129" t="str">
        <f t="shared" si="4"/>
        <v>_</v>
      </c>
      <c r="BE241" s="130" t="str">
        <f>IFERROR(VLOOKUP($BD241,'(勿動)組件目錄表'!$D$15:$R$1094,2,FALSE),"")</f>
        <v/>
      </c>
      <c r="BF241" s="131" t="str">
        <f>IFERROR(VLOOKUP($BD241, '(勿動)組件目錄表'!$D$15:$R$1094, 5, FALSE),"")</f>
        <v/>
      </c>
      <c r="BG241" s="118"/>
      <c r="BH241" s="120"/>
      <c r="BI241" s="118"/>
      <c r="BJ241" s="120"/>
    </row>
    <row r="242" spans="1:62" ht="15.75" customHeight="1">
      <c r="A242" s="18" t="str">
        <f t="array" aca="1" ref="A242" ca="1">IFERROR(TRANSPOSE(INDIRECT('「(動工中勿使用!!)新版+舊版_Teaser」的副本'!$BB242)),"")</f>
        <v/>
      </c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80" t="b">
        <v>0</v>
      </c>
      <c r="AF242" s="111" t="str">
        <f t="shared" si="8"/>
        <v/>
      </c>
      <c r="AG242" s="112" t="str">
        <f t="shared" si="1"/>
        <v/>
      </c>
      <c r="AH242" s="126"/>
      <c r="AI242" s="114" t="str">
        <f ca="1">IFERROR(VLOOKUP($AH242, '(勿動)Component Label公版'!$D$1:$E$1000, 2, FALSE), "-")</f>
        <v>-</v>
      </c>
      <c r="AJ242" s="115"/>
      <c r="AK242" s="112"/>
      <c r="AL242" s="112"/>
      <c r="AM242" s="116" t="str">
        <f t="shared" si="2"/>
        <v/>
      </c>
      <c r="AN242" s="117" t="str">
        <f t="shared" si="3"/>
        <v/>
      </c>
      <c r="AO242" s="158"/>
      <c r="AP242" s="18"/>
      <c r="AQ242" s="18"/>
      <c r="AR242" s="18"/>
      <c r="AS242" s="18"/>
      <c r="AT242" s="18"/>
      <c r="AU242" s="54" t="b">
        <v>0</v>
      </c>
      <c r="AV242" s="54" t="b">
        <v>0</v>
      </c>
      <c r="AW242" s="123"/>
      <c r="AX242" s="124"/>
      <c r="AY242" s="124"/>
      <c r="AZ242" s="124"/>
      <c r="BA242" s="125"/>
      <c r="BB242" s="68"/>
      <c r="BC242" s="62"/>
      <c r="BD242" s="129" t="str">
        <f t="shared" si="4"/>
        <v>_</v>
      </c>
      <c r="BE242" s="130" t="str">
        <f>IFERROR(VLOOKUP($BD242,'(勿動)組件目錄表'!$D$15:$R$1094,2,FALSE),"")</f>
        <v/>
      </c>
      <c r="BF242" s="131" t="str">
        <f>IFERROR(VLOOKUP($BD242, '(勿動)組件目錄表'!$D$15:$R$1094, 5, FALSE),"")</f>
        <v/>
      </c>
      <c r="BG242" s="118"/>
      <c r="BH242" s="120"/>
      <c r="BI242" s="118"/>
      <c r="BJ242" s="120"/>
    </row>
    <row r="243" spans="1:62" ht="15.75" customHeight="1">
      <c r="A243" s="18" t="str">
        <f t="array" aca="1" ref="A243" ca="1">IFERROR(TRANSPOSE(INDIRECT('「(動工中勿使用!!)新版+舊版_Teaser」的副本'!$BB243)),"")</f>
        <v/>
      </c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80" t="b">
        <v>0</v>
      </c>
      <c r="AF243" s="111" t="str">
        <f t="shared" si="8"/>
        <v/>
      </c>
      <c r="AG243" s="112" t="str">
        <f t="shared" si="1"/>
        <v/>
      </c>
      <c r="AH243" s="126"/>
      <c r="AI243" s="114" t="str">
        <f ca="1">IFERROR(VLOOKUP($AH243, '(勿動)Component Label公版'!$D$1:$E$1000, 2, FALSE), "-")</f>
        <v>-</v>
      </c>
      <c r="AJ243" s="115"/>
      <c r="AK243" s="112"/>
      <c r="AL243" s="112"/>
      <c r="AM243" s="116" t="str">
        <f t="shared" si="2"/>
        <v/>
      </c>
      <c r="AN243" s="117" t="str">
        <f t="shared" si="3"/>
        <v/>
      </c>
      <c r="AO243" s="158"/>
      <c r="AP243" s="18"/>
      <c r="AQ243" s="18"/>
      <c r="AR243" s="18"/>
      <c r="AS243" s="18"/>
      <c r="AT243" s="18"/>
      <c r="AU243" s="54" t="b">
        <v>0</v>
      </c>
      <c r="AV243" s="54" t="b">
        <v>0</v>
      </c>
      <c r="AW243" s="123"/>
      <c r="AX243" s="124"/>
      <c r="AY243" s="124"/>
      <c r="AZ243" s="124"/>
      <c r="BA243" s="125"/>
      <c r="BB243" s="68"/>
      <c r="BC243" s="62"/>
      <c r="BD243" s="129" t="str">
        <f t="shared" si="4"/>
        <v>_</v>
      </c>
      <c r="BE243" s="130" t="str">
        <f>IFERROR(VLOOKUP($BD243,'(勿動)組件目錄表'!$D$15:$R$1094,2,FALSE),"")</f>
        <v/>
      </c>
      <c r="BF243" s="131" t="str">
        <f>IFERROR(VLOOKUP($BD243, '(勿動)組件目錄表'!$D$15:$R$1094, 5, FALSE),"")</f>
        <v/>
      </c>
      <c r="BG243" s="118"/>
      <c r="BH243" s="120"/>
      <c r="BI243" s="118"/>
      <c r="BJ243" s="120"/>
    </row>
    <row r="244" spans="1:62" ht="15.75" customHeight="1">
      <c r="A244" s="18" t="str">
        <f t="array" aca="1" ref="A244" ca="1">IFERROR(TRANSPOSE(INDIRECT('「(動工中勿使用!!)新版+舊版_Teaser」的副本'!$BB244)),"")</f>
        <v/>
      </c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80" t="b">
        <v>0</v>
      </c>
      <c r="AF244" s="111" t="str">
        <f t="shared" si="8"/>
        <v/>
      </c>
      <c r="AG244" s="112" t="str">
        <f t="shared" si="1"/>
        <v/>
      </c>
      <c r="AH244" s="126"/>
      <c r="AI244" s="114" t="str">
        <f ca="1">IFERROR(VLOOKUP($AH244, '(勿動)Component Label公版'!$D$1:$E$1000, 2, FALSE), "-")</f>
        <v>-</v>
      </c>
      <c r="AJ244" s="115"/>
      <c r="AK244" s="112"/>
      <c r="AL244" s="112"/>
      <c r="AM244" s="116" t="str">
        <f t="shared" si="2"/>
        <v/>
      </c>
      <c r="AN244" s="117" t="str">
        <f t="shared" si="3"/>
        <v/>
      </c>
      <c r="AO244" s="158"/>
      <c r="AP244" s="18"/>
      <c r="AQ244" s="18"/>
      <c r="AR244" s="18"/>
      <c r="AS244" s="18"/>
      <c r="AT244" s="18"/>
      <c r="AU244" s="54" t="b">
        <v>0</v>
      </c>
      <c r="AV244" s="54" t="b">
        <v>0</v>
      </c>
      <c r="AW244" s="123"/>
      <c r="AX244" s="124"/>
      <c r="AY244" s="124"/>
      <c r="AZ244" s="124"/>
      <c r="BA244" s="125"/>
      <c r="BB244" s="68"/>
      <c r="BC244" s="62"/>
      <c r="BD244" s="129" t="str">
        <f t="shared" si="4"/>
        <v>_</v>
      </c>
      <c r="BE244" s="130" t="str">
        <f>IFERROR(VLOOKUP($BD244,'(勿動)組件目錄表'!$D$15:$R$1094,2,FALSE),"")</f>
        <v/>
      </c>
      <c r="BF244" s="131" t="str">
        <f>IFERROR(VLOOKUP($BD244, '(勿動)組件目錄表'!$D$15:$R$1094, 5, FALSE),"")</f>
        <v/>
      </c>
      <c r="BG244" s="118"/>
      <c r="BH244" s="120"/>
      <c r="BI244" s="118"/>
      <c r="BJ244" s="120"/>
    </row>
    <row r="245" spans="1:62" ht="15.75" customHeight="1">
      <c r="A245" s="18" t="str">
        <f t="array" aca="1" ref="A245" ca="1">IFERROR(TRANSPOSE(INDIRECT('「(動工中勿使用!!)新版+舊版_Teaser」的副本'!$BB245)),"")</f>
        <v/>
      </c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80" t="b">
        <v>0</v>
      </c>
      <c r="AF245" s="111" t="str">
        <f t="shared" si="8"/>
        <v/>
      </c>
      <c r="AG245" s="112" t="str">
        <f t="shared" si="1"/>
        <v/>
      </c>
      <c r="AH245" s="126"/>
      <c r="AI245" s="114" t="str">
        <f ca="1">IFERROR(VLOOKUP($AH245, '(勿動)Component Label公版'!$D$1:$E$1000, 2, FALSE), "-")</f>
        <v>-</v>
      </c>
      <c r="AJ245" s="115"/>
      <c r="AK245" s="112"/>
      <c r="AL245" s="112"/>
      <c r="AM245" s="116" t="str">
        <f t="shared" si="2"/>
        <v/>
      </c>
      <c r="AN245" s="117" t="str">
        <f t="shared" si="3"/>
        <v/>
      </c>
      <c r="AO245" s="158"/>
      <c r="AP245" s="18"/>
      <c r="AQ245" s="18"/>
      <c r="AR245" s="18"/>
      <c r="AS245" s="18"/>
      <c r="AT245" s="18"/>
      <c r="AU245" s="54" t="b">
        <v>0</v>
      </c>
      <c r="AV245" s="54" t="b">
        <v>0</v>
      </c>
      <c r="AW245" s="123"/>
      <c r="AX245" s="124"/>
      <c r="AY245" s="124"/>
      <c r="AZ245" s="124"/>
      <c r="BA245" s="125"/>
      <c r="BB245" s="68"/>
      <c r="BC245" s="62"/>
      <c r="BD245" s="129" t="str">
        <f t="shared" si="4"/>
        <v>_</v>
      </c>
      <c r="BE245" s="130" t="str">
        <f>IFERROR(VLOOKUP($BD245,'(勿動)組件目錄表'!$D$15:$R$1094,2,FALSE),"")</f>
        <v/>
      </c>
      <c r="BF245" s="131" t="str">
        <f>IFERROR(VLOOKUP($BD245, '(勿動)組件目錄表'!$D$15:$R$1094, 5, FALSE),"")</f>
        <v/>
      </c>
      <c r="BG245" s="118"/>
      <c r="BH245" s="120"/>
      <c r="BI245" s="118"/>
      <c r="BJ245" s="120"/>
    </row>
    <row r="246" spans="1:62" ht="15.75" customHeight="1">
      <c r="A246" s="18" t="str">
        <f t="array" aca="1" ref="A246" ca="1">IFERROR(TRANSPOSE(INDIRECT('「(動工中勿使用!!)新版+舊版_Teaser」的副本'!$BB246)),"")</f>
        <v/>
      </c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80" t="b">
        <v>0</v>
      </c>
      <c r="AF246" s="111" t="str">
        <f t="shared" si="8"/>
        <v/>
      </c>
      <c r="AG246" s="112" t="str">
        <f t="shared" si="1"/>
        <v/>
      </c>
      <c r="AH246" s="126"/>
      <c r="AI246" s="114" t="str">
        <f ca="1">IFERROR(VLOOKUP($AH246, '(勿動)Component Label公版'!$D$1:$E$1000, 2, FALSE), "-")</f>
        <v>-</v>
      </c>
      <c r="AJ246" s="115"/>
      <c r="AK246" s="112"/>
      <c r="AL246" s="112"/>
      <c r="AM246" s="116" t="str">
        <f t="shared" si="2"/>
        <v/>
      </c>
      <c r="AN246" s="117" t="str">
        <f t="shared" si="3"/>
        <v/>
      </c>
      <c r="AO246" s="158"/>
      <c r="AP246" s="18"/>
      <c r="AQ246" s="18"/>
      <c r="AR246" s="18"/>
      <c r="AS246" s="18"/>
      <c r="AT246" s="18"/>
      <c r="AU246" s="54" t="b">
        <v>0</v>
      </c>
      <c r="AV246" s="54" t="b">
        <v>0</v>
      </c>
      <c r="AW246" s="123"/>
      <c r="AX246" s="124"/>
      <c r="AY246" s="124"/>
      <c r="AZ246" s="124"/>
      <c r="BA246" s="125"/>
      <c r="BB246" s="68"/>
      <c r="BC246" s="62"/>
      <c r="BD246" s="129" t="str">
        <f t="shared" si="4"/>
        <v>_</v>
      </c>
      <c r="BE246" s="130" t="str">
        <f>IFERROR(VLOOKUP($BD246,'(勿動)組件目錄表'!$D$15:$R$1094,2,FALSE),"")</f>
        <v/>
      </c>
      <c r="BF246" s="131" t="str">
        <f>IFERROR(VLOOKUP($BD246, '(勿動)組件目錄表'!$D$15:$R$1094, 5, FALSE),"")</f>
        <v/>
      </c>
      <c r="BG246" s="118"/>
      <c r="BH246" s="120"/>
      <c r="BI246" s="118"/>
      <c r="BJ246" s="120"/>
    </row>
    <row r="247" spans="1:62" ht="15.75" customHeight="1">
      <c r="A247" s="18" t="str">
        <f t="array" aca="1" ref="A247" ca="1">IFERROR(TRANSPOSE(INDIRECT('「(動工中勿使用!!)新版+舊版_Teaser」的副本'!$BB247)),"")</f>
        <v/>
      </c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80" t="b">
        <v>0</v>
      </c>
      <c r="AF247" s="111" t="str">
        <f t="shared" si="8"/>
        <v/>
      </c>
      <c r="AG247" s="112" t="str">
        <f t="shared" si="1"/>
        <v/>
      </c>
      <c r="AH247" s="126"/>
      <c r="AI247" s="114" t="str">
        <f ca="1">IFERROR(VLOOKUP($AH247, '(勿動)Component Label公版'!$D$1:$E$1000, 2, FALSE), "-")</f>
        <v>-</v>
      </c>
      <c r="AJ247" s="115"/>
      <c r="AK247" s="112"/>
      <c r="AL247" s="112"/>
      <c r="AM247" s="116" t="str">
        <f t="shared" si="2"/>
        <v/>
      </c>
      <c r="AN247" s="117" t="str">
        <f t="shared" si="3"/>
        <v/>
      </c>
      <c r="AO247" s="158"/>
      <c r="AP247" s="18"/>
      <c r="AQ247" s="18"/>
      <c r="AR247" s="18"/>
      <c r="AS247" s="18"/>
      <c r="AT247" s="18"/>
      <c r="AU247" s="54" t="b">
        <v>0</v>
      </c>
      <c r="AV247" s="54" t="b">
        <v>0</v>
      </c>
      <c r="AW247" s="123"/>
      <c r="AX247" s="124"/>
      <c r="AY247" s="124"/>
      <c r="AZ247" s="124"/>
      <c r="BA247" s="125"/>
      <c r="BB247" s="68"/>
      <c r="BC247" s="62"/>
      <c r="BD247" s="129" t="str">
        <f t="shared" si="4"/>
        <v>_</v>
      </c>
      <c r="BE247" s="130" t="str">
        <f>IFERROR(VLOOKUP($BD247,'(勿動)組件目錄表'!$D$15:$R$1094,2,FALSE),"")</f>
        <v/>
      </c>
      <c r="BF247" s="131" t="str">
        <f>IFERROR(VLOOKUP($BD247, '(勿動)組件目錄表'!$D$15:$R$1094, 5, FALSE),"")</f>
        <v/>
      </c>
      <c r="BG247" s="118"/>
      <c r="BH247" s="120"/>
      <c r="BI247" s="118"/>
      <c r="BJ247" s="120"/>
    </row>
    <row r="248" spans="1:62" ht="15.75" customHeight="1">
      <c r="A248" s="18" t="str">
        <f t="array" aca="1" ref="A248" ca="1">IFERROR(TRANSPOSE(INDIRECT('「(動工中勿使用!!)新版+舊版_Teaser」的副本'!$BB248)),"")</f>
        <v/>
      </c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80" t="b">
        <v>0</v>
      </c>
      <c r="AF248" s="111" t="str">
        <f t="shared" si="8"/>
        <v/>
      </c>
      <c r="AG248" s="112" t="str">
        <f t="shared" si="1"/>
        <v/>
      </c>
      <c r="AH248" s="126"/>
      <c r="AI248" s="114" t="str">
        <f ca="1">IFERROR(VLOOKUP($AH248, '(勿動)Component Label公版'!$D$1:$E$1000, 2, FALSE), "-")</f>
        <v>-</v>
      </c>
      <c r="AJ248" s="115"/>
      <c r="AK248" s="112"/>
      <c r="AL248" s="112"/>
      <c r="AM248" s="116" t="str">
        <f t="shared" si="2"/>
        <v/>
      </c>
      <c r="AN248" s="117" t="str">
        <f t="shared" si="3"/>
        <v/>
      </c>
      <c r="AO248" s="158"/>
      <c r="AP248" s="18"/>
      <c r="AQ248" s="18"/>
      <c r="AR248" s="18"/>
      <c r="AS248" s="18"/>
      <c r="AT248" s="18"/>
      <c r="AU248" s="54" t="b">
        <v>0</v>
      </c>
      <c r="AV248" s="54" t="b">
        <v>0</v>
      </c>
      <c r="AW248" s="123"/>
      <c r="AX248" s="124"/>
      <c r="AY248" s="124"/>
      <c r="AZ248" s="124"/>
      <c r="BA248" s="125"/>
      <c r="BB248" s="68"/>
      <c r="BC248" s="62"/>
      <c r="BD248" s="129" t="str">
        <f t="shared" si="4"/>
        <v>_</v>
      </c>
      <c r="BE248" s="130" t="str">
        <f>IFERROR(VLOOKUP($BD248,'(勿動)組件目錄表'!$D$15:$R$1094,2,FALSE),"")</f>
        <v/>
      </c>
      <c r="BF248" s="131" t="str">
        <f>IFERROR(VLOOKUP($BD248, '(勿動)組件目錄表'!$D$15:$R$1094, 5, FALSE),"")</f>
        <v/>
      </c>
      <c r="BG248" s="118"/>
      <c r="BH248" s="120"/>
      <c r="BI248" s="118"/>
      <c r="BJ248" s="120"/>
    </row>
    <row r="249" spans="1:62" ht="15.75" customHeight="1">
      <c r="A249" s="18" t="str">
        <f t="array" aca="1" ref="A249" ca="1">IFERROR(TRANSPOSE(INDIRECT('「(動工中勿使用!!)新版+舊版_Teaser」的副本'!$BB249)),"")</f>
        <v/>
      </c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80" t="b">
        <v>0</v>
      </c>
      <c r="AF249" s="111" t="str">
        <f t="shared" si="8"/>
        <v/>
      </c>
      <c r="AG249" s="112" t="str">
        <f t="shared" si="1"/>
        <v/>
      </c>
      <c r="AH249" s="126"/>
      <c r="AI249" s="114" t="str">
        <f ca="1">IFERROR(VLOOKUP($AH249, '(勿動)Component Label公版'!$D$1:$E$1000, 2, FALSE), "-")</f>
        <v>-</v>
      </c>
      <c r="AJ249" s="115"/>
      <c r="AK249" s="112"/>
      <c r="AL249" s="112"/>
      <c r="AM249" s="116" t="str">
        <f t="shared" si="2"/>
        <v/>
      </c>
      <c r="AN249" s="117" t="str">
        <f t="shared" si="3"/>
        <v/>
      </c>
      <c r="AO249" s="158"/>
      <c r="AP249" s="18"/>
      <c r="AQ249" s="18"/>
      <c r="AR249" s="18"/>
      <c r="AS249" s="18"/>
      <c r="AT249" s="18"/>
      <c r="AU249" s="54" t="b">
        <v>0</v>
      </c>
      <c r="AV249" s="54" t="b">
        <v>0</v>
      </c>
      <c r="AW249" s="123"/>
      <c r="AX249" s="124"/>
      <c r="AY249" s="124"/>
      <c r="AZ249" s="124"/>
      <c r="BA249" s="125"/>
      <c r="BB249" s="68"/>
      <c r="BC249" s="62"/>
      <c r="BD249" s="129" t="str">
        <f t="shared" si="4"/>
        <v>_</v>
      </c>
      <c r="BE249" s="130" t="str">
        <f>IFERROR(VLOOKUP($BD249,'(勿動)組件目錄表'!$D$15:$R$1094,2,FALSE),"")</f>
        <v/>
      </c>
      <c r="BF249" s="131" t="str">
        <f>IFERROR(VLOOKUP($BD249, '(勿動)組件目錄表'!$D$15:$R$1094, 5, FALSE),"")</f>
        <v/>
      </c>
      <c r="BG249" s="118"/>
      <c r="BH249" s="120"/>
      <c r="BI249" s="118"/>
      <c r="BJ249" s="120"/>
    </row>
    <row r="250" spans="1:62" ht="15.75" customHeight="1">
      <c r="A250" s="18" t="str">
        <f t="array" aca="1" ref="A250" ca="1">IFERROR(TRANSPOSE(INDIRECT('「(動工中勿使用!!)新版+舊版_Teaser」的副本'!$BB250)),"")</f>
        <v/>
      </c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80" t="b">
        <v>0</v>
      </c>
      <c r="AF250" s="111" t="str">
        <f t="shared" si="8"/>
        <v/>
      </c>
      <c r="AG250" s="112" t="str">
        <f t="shared" si="1"/>
        <v/>
      </c>
      <c r="AH250" s="126"/>
      <c r="AI250" s="114" t="str">
        <f ca="1">IFERROR(VLOOKUP($AH250, '(勿動)Component Label公版'!$D$1:$E$1000, 2, FALSE), "-")</f>
        <v>-</v>
      </c>
      <c r="AJ250" s="115"/>
      <c r="AK250" s="112"/>
      <c r="AL250" s="112"/>
      <c r="AM250" s="116" t="str">
        <f t="shared" si="2"/>
        <v/>
      </c>
      <c r="AN250" s="117" t="str">
        <f t="shared" si="3"/>
        <v/>
      </c>
      <c r="AO250" s="158"/>
      <c r="AP250" s="18"/>
      <c r="AQ250" s="18"/>
      <c r="AR250" s="18"/>
      <c r="AS250" s="18"/>
      <c r="AT250" s="18"/>
      <c r="AU250" s="54" t="b">
        <v>0</v>
      </c>
      <c r="AV250" s="54" t="b">
        <v>0</v>
      </c>
      <c r="AW250" s="123"/>
      <c r="AX250" s="124"/>
      <c r="AY250" s="124"/>
      <c r="AZ250" s="124"/>
      <c r="BA250" s="125"/>
      <c r="BB250" s="68"/>
      <c r="BC250" s="62"/>
      <c r="BD250" s="129" t="str">
        <f t="shared" si="4"/>
        <v>_</v>
      </c>
      <c r="BE250" s="130" t="str">
        <f>IFERROR(VLOOKUP($BD250,'(勿動)組件目錄表'!$D$15:$R$1094,2,FALSE),"")</f>
        <v/>
      </c>
      <c r="BF250" s="131" t="str">
        <f>IFERROR(VLOOKUP($BD250, '(勿動)組件目錄表'!$D$15:$R$1094, 5, FALSE),"")</f>
        <v/>
      </c>
      <c r="BG250" s="118"/>
      <c r="BH250" s="120"/>
      <c r="BI250" s="118"/>
      <c r="BJ250" s="120"/>
    </row>
    <row r="251" spans="1:62" ht="15.75" customHeight="1">
      <c r="A251" s="18" t="str">
        <f t="array" aca="1" ref="A251" ca="1">IFERROR(TRANSPOSE(INDIRECT('「(動工中勿使用!!)新版+舊版_Teaser」的副本'!$BB251)),"")</f>
        <v/>
      </c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80" t="b">
        <v>0</v>
      </c>
      <c r="AF251" s="111" t="str">
        <f t="shared" si="8"/>
        <v/>
      </c>
      <c r="AG251" s="112" t="str">
        <f t="shared" si="1"/>
        <v/>
      </c>
      <c r="AH251" s="126"/>
      <c r="AI251" s="114" t="str">
        <f ca="1">IFERROR(VLOOKUP($AH251, '(勿動)Component Label公版'!$D$1:$E$1000, 2, FALSE), "-")</f>
        <v>-</v>
      </c>
      <c r="AJ251" s="115"/>
      <c r="AK251" s="112"/>
      <c r="AL251" s="112"/>
      <c r="AM251" s="116" t="str">
        <f t="shared" si="2"/>
        <v/>
      </c>
      <c r="AN251" s="117" t="str">
        <f t="shared" si="3"/>
        <v/>
      </c>
      <c r="AO251" s="158"/>
      <c r="AP251" s="18"/>
      <c r="AQ251" s="18"/>
      <c r="AR251" s="18"/>
      <c r="AS251" s="18"/>
      <c r="AT251" s="18"/>
      <c r="AU251" s="54" t="b">
        <v>0</v>
      </c>
      <c r="AV251" s="54" t="b">
        <v>0</v>
      </c>
      <c r="AW251" s="123"/>
      <c r="AX251" s="124"/>
      <c r="AY251" s="124"/>
      <c r="AZ251" s="124"/>
      <c r="BA251" s="125"/>
      <c r="BB251" s="68"/>
      <c r="BC251" s="62"/>
      <c r="BD251" s="129" t="str">
        <f t="shared" si="4"/>
        <v>_</v>
      </c>
      <c r="BE251" s="130" t="str">
        <f>IFERROR(VLOOKUP($BD251,'(勿動)組件目錄表'!$D$15:$R$1094,2,FALSE),"")</f>
        <v/>
      </c>
      <c r="BF251" s="131" t="str">
        <f>IFERROR(VLOOKUP($BD251, '(勿動)組件目錄表'!$D$15:$R$1094, 5, FALSE),"")</f>
        <v/>
      </c>
      <c r="BG251" s="118"/>
      <c r="BH251" s="120"/>
      <c r="BI251" s="118"/>
      <c r="BJ251" s="120"/>
    </row>
    <row r="252" spans="1:62" ht="15.75" customHeight="1">
      <c r="A252" s="18" t="str">
        <f t="array" aca="1" ref="A252" ca="1">IFERROR(TRANSPOSE(INDIRECT('「(動工中勿使用!!)新版+舊版_Teaser」的副本'!$BB252)),"")</f>
        <v/>
      </c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80" t="b">
        <v>0</v>
      </c>
      <c r="AF252" s="111" t="str">
        <f t="shared" si="8"/>
        <v/>
      </c>
      <c r="AG252" s="112" t="str">
        <f t="shared" si="1"/>
        <v/>
      </c>
      <c r="AH252" s="126"/>
      <c r="AI252" s="114" t="str">
        <f ca="1">IFERROR(VLOOKUP($AH252, '(勿動)Component Label公版'!$D$1:$E$1000, 2, FALSE), "-")</f>
        <v>-</v>
      </c>
      <c r="AJ252" s="115"/>
      <c r="AK252" s="112"/>
      <c r="AL252" s="112"/>
      <c r="AM252" s="116" t="str">
        <f t="shared" si="2"/>
        <v/>
      </c>
      <c r="AN252" s="117" t="str">
        <f t="shared" si="3"/>
        <v/>
      </c>
      <c r="AO252" s="158"/>
      <c r="AP252" s="18"/>
      <c r="AQ252" s="18"/>
      <c r="AR252" s="18"/>
      <c r="AS252" s="18"/>
      <c r="AT252" s="18"/>
      <c r="AU252" s="54" t="b">
        <v>0</v>
      </c>
      <c r="AV252" s="54" t="b">
        <v>0</v>
      </c>
      <c r="AW252" s="123"/>
      <c r="AX252" s="124"/>
      <c r="AY252" s="124"/>
      <c r="AZ252" s="124"/>
      <c r="BA252" s="125"/>
      <c r="BB252" s="68"/>
      <c r="BC252" s="62"/>
      <c r="BD252" s="129" t="str">
        <f t="shared" si="4"/>
        <v>_</v>
      </c>
      <c r="BE252" s="130" t="str">
        <f>IFERROR(VLOOKUP($BD252,'(勿動)組件目錄表'!$D$15:$R$1094,2,FALSE),"")</f>
        <v/>
      </c>
      <c r="BF252" s="131" t="str">
        <f>IFERROR(VLOOKUP($BD252, '(勿動)組件目錄表'!$D$15:$R$1094, 5, FALSE),"")</f>
        <v/>
      </c>
      <c r="BG252" s="118"/>
      <c r="BH252" s="120"/>
      <c r="BI252" s="118"/>
      <c r="BJ252" s="120"/>
    </row>
    <row r="253" spans="1:62" ht="15.75" customHeight="1">
      <c r="A253" s="18" t="str">
        <f t="array" aca="1" ref="A253" ca="1">IFERROR(TRANSPOSE(INDIRECT('「(動工中勿使用!!)新版+舊版_Teaser」的副本'!$BB253)),"")</f>
        <v/>
      </c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80" t="b">
        <v>0</v>
      </c>
      <c r="AF253" s="111" t="str">
        <f t="shared" si="8"/>
        <v/>
      </c>
      <c r="AG253" s="112" t="str">
        <f t="shared" si="1"/>
        <v/>
      </c>
      <c r="AH253" s="126"/>
      <c r="AI253" s="114" t="str">
        <f ca="1">IFERROR(VLOOKUP($AH253, '(勿動)Component Label公版'!$D$1:$E$1000, 2, FALSE), "-")</f>
        <v>-</v>
      </c>
      <c r="AJ253" s="115"/>
      <c r="AK253" s="112"/>
      <c r="AL253" s="112"/>
      <c r="AM253" s="116" t="str">
        <f t="shared" si="2"/>
        <v/>
      </c>
      <c r="AN253" s="117" t="str">
        <f t="shared" si="3"/>
        <v/>
      </c>
      <c r="AO253" s="158"/>
      <c r="AP253" s="18"/>
      <c r="AQ253" s="18"/>
      <c r="AR253" s="18"/>
      <c r="AS253" s="18"/>
      <c r="AT253" s="18"/>
      <c r="AU253" s="54" t="b">
        <v>0</v>
      </c>
      <c r="AV253" s="54" t="b">
        <v>0</v>
      </c>
      <c r="AW253" s="123"/>
      <c r="AX253" s="124"/>
      <c r="AY253" s="124"/>
      <c r="AZ253" s="124"/>
      <c r="BA253" s="125"/>
      <c r="BB253" s="68"/>
      <c r="BC253" s="62"/>
      <c r="BD253" s="129" t="str">
        <f t="shared" si="4"/>
        <v>_</v>
      </c>
      <c r="BE253" s="130" t="str">
        <f>IFERROR(VLOOKUP($BD253,'(勿動)組件目錄表'!$D$15:$R$1094,2,FALSE),"")</f>
        <v/>
      </c>
      <c r="BF253" s="131" t="str">
        <f>IFERROR(VLOOKUP($BD253, '(勿動)組件目錄表'!$D$15:$R$1094, 5, FALSE),"")</f>
        <v/>
      </c>
      <c r="BG253" s="118"/>
      <c r="BH253" s="120"/>
      <c r="BI253" s="118"/>
      <c r="BJ253" s="120"/>
    </row>
    <row r="254" spans="1:62" ht="15.75" customHeight="1">
      <c r="A254" s="18" t="str">
        <f t="array" aca="1" ref="A254" ca="1">IFERROR(TRANSPOSE(INDIRECT('「(動工中勿使用!!)新版+舊版_Teaser」的副本'!$BB254)),"")</f>
        <v/>
      </c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80" t="b">
        <v>0</v>
      </c>
      <c r="AF254" s="111" t="str">
        <f t="shared" si="8"/>
        <v/>
      </c>
      <c r="AG254" s="112" t="str">
        <f t="shared" si="1"/>
        <v/>
      </c>
      <c r="AH254" s="126"/>
      <c r="AI254" s="114" t="str">
        <f ca="1">IFERROR(VLOOKUP($AH254, '(勿動)Component Label公版'!$D$1:$E$1000, 2, FALSE), "-")</f>
        <v>-</v>
      </c>
      <c r="AJ254" s="115"/>
      <c r="AK254" s="112"/>
      <c r="AL254" s="112"/>
      <c r="AM254" s="116" t="str">
        <f t="shared" si="2"/>
        <v/>
      </c>
      <c r="AN254" s="117" t="str">
        <f t="shared" si="3"/>
        <v/>
      </c>
      <c r="AO254" s="158"/>
      <c r="AP254" s="18"/>
      <c r="AQ254" s="18"/>
      <c r="AR254" s="18"/>
      <c r="AS254" s="18"/>
      <c r="AT254" s="18"/>
      <c r="AU254" s="54" t="b">
        <v>0</v>
      </c>
      <c r="AV254" s="54" t="b">
        <v>0</v>
      </c>
      <c r="AW254" s="123"/>
      <c r="AX254" s="124"/>
      <c r="AY254" s="124"/>
      <c r="AZ254" s="124"/>
      <c r="BA254" s="125"/>
      <c r="BB254" s="68"/>
      <c r="BC254" s="62"/>
      <c r="BD254" s="129" t="str">
        <f t="shared" si="4"/>
        <v>_</v>
      </c>
      <c r="BE254" s="130" t="str">
        <f>IFERROR(VLOOKUP($BD254,'(勿動)組件目錄表'!$D$15:$R$1094,2,FALSE),"")</f>
        <v/>
      </c>
      <c r="BF254" s="131" t="str">
        <f>IFERROR(VLOOKUP($BD254, '(勿動)組件目錄表'!$D$15:$R$1094, 5, FALSE),"")</f>
        <v/>
      </c>
      <c r="BG254" s="118"/>
      <c r="BH254" s="120"/>
      <c r="BI254" s="118"/>
      <c r="BJ254" s="120"/>
    </row>
    <row r="255" spans="1:62" ht="15.75" customHeight="1">
      <c r="A255" s="18" t="str">
        <f t="array" aca="1" ref="A255" ca="1">IFERROR(TRANSPOSE(INDIRECT('「(動工中勿使用!!)新版+舊版_Teaser」的副本'!$BB255)),"")</f>
        <v/>
      </c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80" t="b">
        <v>0</v>
      </c>
      <c r="AF255" s="111" t="str">
        <f t="shared" si="8"/>
        <v/>
      </c>
      <c r="AG255" s="112" t="str">
        <f t="shared" si="1"/>
        <v/>
      </c>
      <c r="AH255" s="126"/>
      <c r="AI255" s="114" t="str">
        <f ca="1">IFERROR(VLOOKUP($AH255, '(勿動)Component Label公版'!$D$1:$E$1000, 2, FALSE), "-")</f>
        <v>-</v>
      </c>
      <c r="AJ255" s="115"/>
      <c r="AK255" s="112"/>
      <c r="AL255" s="112"/>
      <c r="AM255" s="116" t="str">
        <f t="shared" si="2"/>
        <v/>
      </c>
      <c r="AN255" s="117" t="str">
        <f t="shared" si="3"/>
        <v/>
      </c>
      <c r="AO255" s="158"/>
      <c r="AP255" s="18"/>
      <c r="AQ255" s="18"/>
      <c r="AR255" s="18"/>
      <c r="AS255" s="18"/>
      <c r="AT255" s="18"/>
      <c r="AU255" s="54" t="b">
        <v>0</v>
      </c>
      <c r="AV255" s="54" t="b">
        <v>0</v>
      </c>
      <c r="AW255" s="123"/>
      <c r="AX255" s="124"/>
      <c r="AY255" s="124"/>
      <c r="AZ255" s="124"/>
      <c r="BA255" s="125"/>
      <c r="BB255" s="68"/>
      <c r="BC255" s="62"/>
      <c r="BD255" s="129" t="str">
        <f t="shared" si="4"/>
        <v>_</v>
      </c>
      <c r="BE255" s="130" t="str">
        <f>IFERROR(VLOOKUP($BD255,'(勿動)組件目錄表'!$D$15:$R$1094,2,FALSE),"")</f>
        <v/>
      </c>
      <c r="BF255" s="131" t="str">
        <f>IFERROR(VLOOKUP($BD255, '(勿動)組件目錄表'!$D$15:$R$1094, 5, FALSE),"")</f>
        <v/>
      </c>
      <c r="BG255" s="118"/>
      <c r="BH255" s="120"/>
      <c r="BI255" s="118"/>
      <c r="BJ255" s="120"/>
    </row>
    <row r="256" spans="1:62" ht="15.75" customHeight="1">
      <c r="A256" s="18" t="str">
        <f t="array" aca="1" ref="A256" ca="1">IFERROR(TRANSPOSE(INDIRECT('「(動工中勿使用!!)新版+舊版_Teaser」的副本'!$BB256)),"")</f>
        <v/>
      </c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80" t="b">
        <v>0</v>
      </c>
      <c r="AF256" s="111" t="str">
        <f t="shared" si="8"/>
        <v/>
      </c>
      <c r="AG256" s="112" t="str">
        <f t="shared" si="1"/>
        <v/>
      </c>
      <c r="AH256" s="126"/>
      <c r="AI256" s="114" t="str">
        <f ca="1">IFERROR(VLOOKUP($AH256, '(勿動)Component Label公版'!$D$1:$E$1000, 2, FALSE), "-")</f>
        <v>-</v>
      </c>
      <c r="AJ256" s="115"/>
      <c r="AK256" s="112"/>
      <c r="AL256" s="112"/>
      <c r="AM256" s="116" t="str">
        <f t="shared" si="2"/>
        <v/>
      </c>
      <c r="AN256" s="117" t="str">
        <f t="shared" si="3"/>
        <v/>
      </c>
      <c r="AO256" s="158"/>
      <c r="AP256" s="18"/>
      <c r="AQ256" s="18"/>
      <c r="AR256" s="18"/>
      <c r="AS256" s="18"/>
      <c r="AT256" s="18"/>
      <c r="AU256" s="54" t="b">
        <v>0</v>
      </c>
      <c r="AV256" s="54" t="b">
        <v>0</v>
      </c>
      <c r="AW256" s="123"/>
      <c r="AX256" s="124"/>
      <c r="AY256" s="124"/>
      <c r="AZ256" s="124"/>
      <c r="BA256" s="125"/>
      <c r="BB256" s="68"/>
      <c r="BC256" s="62"/>
      <c r="BD256" s="129" t="str">
        <f t="shared" si="4"/>
        <v>_</v>
      </c>
      <c r="BE256" s="130" t="str">
        <f>IFERROR(VLOOKUP($BD256,'(勿動)組件目錄表'!$D$15:$R$1094,2,FALSE),"")</f>
        <v/>
      </c>
      <c r="BF256" s="131" t="str">
        <f>IFERROR(VLOOKUP($BD256, '(勿動)組件目錄表'!$D$15:$R$1094, 5, FALSE),"")</f>
        <v/>
      </c>
      <c r="BG256" s="118"/>
      <c r="BH256" s="120"/>
      <c r="BI256" s="118"/>
      <c r="BJ256" s="120"/>
    </row>
    <row r="257" spans="1:62" ht="15.75" customHeight="1">
      <c r="A257" s="18" t="str">
        <f t="array" aca="1" ref="A257" ca="1">IFERROR(TRANSPOSE(INDIRECT('「(動工中勿使用!!)新版+舊版_Teaser」的副本'!$BB257)),"")</f>
        <v/>
      </c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80" t="b">
        <v>0</v>
      </c>
      <c r="AF257" s="111" t="str">
        <f t="shared" si="8"/>
        <v/>
      </c>
      <c r="AG257" s="112" t="str">
        <f t="shared" si="1"/>
        <v/>
      </c>
      <c r="AH257" s="126"/>
      <c r="AI257" s="114" t="str">
        <f ca="1">IFERROR(VLOOKUP($AH257, '(勿動)Component Label公版'!$D$1:$E$1000, 2, FALSE), "-")</f>
        <v>-</v>
      </c>
      <c r="AJ257" s="115"/>
      <c r="AK257" s="112"/>
      <c r="AL257" s="112"/>
      <c r="AM257" s="116" t="str">
        <f t="shared" si="2"/>
        <v/>
      </c>
      <c r="AN257" s="117" t="str">
        <f t="shared" si="3"/>
        <v/>
      </c>
      <c r="AO257" s="158"/>
      <c r="AP257" s="18"/>
      <c r="AQ257" s="18"/>
      <c r="AR257" s="18"/>
      <c r="AS257" s="18"/>
      <c r="AT257" s="18"/>
      <c r="AU257" s="54" t="b">
        <v>0</v>
      </c>
      <c r="AV257" s="54" t="b">
        <v>0</v>
      </c>
      <c r="AW257" s="123"/>
      <c r="AX257" s="124"/>
      <c r="AY257" s="124"/>
      <c r="AZ257" s="124"/>
      <c r="BA257" s="125"/>
      <c r="BB257" s="68"/>
      <c r="BC257" s="62"/>
      <c r="BD257" s="129" t="str">
        <f t="shared" si="4"/>
        <v>_</v>
      </c>
      <c r="BE257" s="130" t="str">
        <f>IFERROR(VLOOKUP($BD257,'(勿動)組件目錄表'!$D$15:$R$1094,2,FALSE),"")</f>
        <v/>
      </c>
      <c r="BF257" s="131" t="str">
        <f>IFERROR(VLOOKUP($BD257, '(勿動)組件目錄表'!$D$15:$R$1094, 5, FALSE),"")</f>
        <v/>
      </c>
      <c r="BG257" s="118"/>
      <c r="BH257" s="120"/>
      <c r="BI257" s="118"/>
      <c r="BJ257" s="120"/>
    </row>
    <row r="258" spans="1:62" ht="15.75" customHeight="1">
      <c r="A258" s="18" t="str">
        <f t="array" aca="1" ref="A258" ca="1">IFERROR(TRANSPOSE(INDIRECT('「(動工中勿使用!!)新版+舊版_Teaser」的副本'!$BB258)),"")</f>
        <v/>
      </c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80" t="b">
        <v>0</v>
      </c>
      <c r="AF258" s="111" t="str">
        <f t="shared" si="8"/>
        <v/>
      </c>
      <c r="AG258" s="112" t="str">
        <f t="shared" si="1"/>
        <v/>
      </c>
      <c r="AH258" s="126"/>
      <c r="AI258" s="114" t="str">
        <f ca="1">IFERROR(VLOOKUP($AH258, '(勿動)Component Label公版'!$D$1:$E$1000, 2, FALSE), "-")</f>
        <v>-</v>
      </c>
      <c r="AJ258" s="115"/>
      <c r="AK258" s="112"/>
      <c r="AL258" s="112"/>
      <c r="AM258" s="116" t="str">
        <f t="shared" si="2"/>
        <v/>
      </c>
      <c r="AN258" s="117" t="str">
        <f t="shared" si="3"/>
        <v/>
      </c>
      <c r="AO258" s="158"/>
      <c r="AP258" s="18"/>
      <c r="AQ258" s="18"/>
      <c r="AR258" s="18"/>
      <c r="AS258" s="18"/>
      <c r="AT258" s="18"/>
      <c r="AU258" s="54" t="b">
        <v>0</v>
      </c>
      <c r="AV258" s="54" t="b">
        <v>0</v>
      </c>
      <c r="AW258" s="123"/>
      <c r="AX258" s="124"/>
      <c r="AY258" s="124"/>
      <c r="AZ258" s="124"/>
      <c r="BA258" s="125"/>
      <c r="BB258" s="68"/>
      <c r="BC258" s="62"/>
      <c r="BD258" s="129" t="str">
        <f t="shared" si="4"/>
        <v>_</v>
      </c>
      <c r="BE258" s="130" t="str">
        <f>IFERROR(VLOOKUP($BD258,'(勿動)組件目錄表'!$D$15:$R$1094,2,FALSE),"")</f>
        <v/>
      </c>
      <c r="BF258" s="131" t="str">
        <f>IFERROR(VLOOKUP($BD258, '(勿動)組件目錄表'!$D$15:$R$1094, 5, FALSE),"")</f>
        <v/>
      </c>
      <c r="BG258" s="118"/>
      <c r="BH258" s="120"/>
      <c r="BI258" s="118"/>
      <c r="BJ258" s="120"/>
    </row>
    <row r="259" spans="1:62" ht="15.75" customHeight="1">
      <c r="A259" s="18" t="str">
        <f t="array" aca="1" ref="A259" ca="1">IFERROR(TRANSPOSE(INDIRECT('「(動工中勿使用!!)新版+舊版_Teaser」的副本'!$BB259)),"")</f>
        <v/>
      </c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80" t="b">
        <v>0</v>
      </c>
      <c r="AF259" s="111" t="str">
        <f t="shared" si="8"/>
        <v/>
      </c>
      <c r="AG259" s="112" t="str">
        <f t="shared" ref="AG259:AG451" si="9">IF(AF259="設隱形錨點","",IF(AE259=FALSE,"",IF(AE259=TRUE, SUBSTITUTE($AI259, "_", ""))))</f>
        <v/>
      </c>
      <c r="AH259" s="126"/>
      <c r="AI259" s="114" t="str">
        <f ca="1">IFERROR(VLOOKUP($AH259, '(勿動)Component Label公版'!$D$1:$E$1000, 2, FALSE), "-")</f>
        <v>-</v>
      </c>
      <c r="AJ259" s="115"/>
      <c r="AK259" s="112"/>
      <c r="AL259" s="112"/>
      <c r="AM259" s="116" t="str">
        <f t="shared" ref="AM259:AM451" si="10">IFERROR(
  IF(TRIM(AK259)="", "",
    TEXT(
      DATEVALUE("2025/" &amp; LEFT(TRIM(AK259), FIND(" ", TRIM(AK259)) - 1)) +
      TIMEVALUE(MID(TRIM(AK259), FIND(" ", TRIM(AK259)) + 1, LEN(TRIM(AK259)))),
      "yyyy-mm-dd hh:mm:ss"
    )
  ),
"")</f>
        <v/>
      </c>
      <c r="AN259" s="117" t="str">
        <f t="shared" ref="AN259:AN451" si="11">IFERROR(
  IF(TRIM(AL259)="", "",
    TEXT(
      DATEVALUE("2025/" &amp; LEFT(TRIM(AL259), FIND(" ", TRIM(AL259)) - 1)) +
      TIMEVALUE(MID(TRIM(AL259), FIND(" ", TRIM(AL259)) + 1, 5)) +
      TIME(0,0,59),
      "yyyy-mm-dd hh:mm:ss"
    )
  ),
"")</f>
        <v/>
      </c>
      <c r="AO259" s="158"/>
      <c r="AP259" s="18"/>
      <c r="AQ259" s="18"/>
      <c r="AR259" s="18"/>
      <c r="AS259" s="18"/>
      <c r="AT259" s="18"/>
      <c r="AU259" s="54" t="b">
        <v>0</v>
      </c>
      <c r="AV259" s="54" t="b">
        <v>0</v>
      </c>
      <c r="AW259" s="123"/>
      <c r="AX259" s="124"/>
      <c r="AY259" s="124"/>
      <c r="AZ259" s="124"/>
      <c r="BA259" s="125"/>
      <c r="BB259" s="68"/>
      <c r="BC259" s="62"/>
      <c r="BD259" s="129" t="str">
        <f t="shared" si="4"/>
        <v>_</v>
      </c>
      <c r="BE259" s="130" t="str">
        <f>IFERROR(VLOOKUP($BD259,'(勿動)組件目錄表'!$D$15:$R$1094,2,FALSE),"")</f>
        <v/>
      </c>
      <c r="BF259" s="131" t="str">
        <f>IFERROR(VLOOKUP($BD259, '(勿動)組件目錄表'!$D$15:$R$1094, 5, FALSE),"")</f>
        <v/>
      </c>
      <c r="BG259" s="118"/>
      <c r="BH259" s="120"/>
      <c r="BI259" s="118"/>
      <c r="BJ259" s="120"/>
    </row>
    <row r="260" spans="1:62" ht="15.75" customHeight="1">
      <c r="A260" s="18" t="str">
        <f t="array" aca="1" ref="A260" ca="1">IFERROR(TRANSPOSE(INDIRECT('「(動工中勿使用!!)新版+舊版_Teaser」的副本'!$BB260)),"")</f>
        <v/>
      </c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80" t="b">
        <v>0</v>
      </c>
      <c r="AF260" s="111" t="str">
        <f t="shared" si="8"/>
        <v/>
      </c>
      <c r="AG260" s="112" t="str">
        <f t="shared" si="9"/>
        <v/>
      </c>
      <c r="AH260" s="126"/>
      <c r="AI260" s="114" t="str">
        <f ca="1">IFERROR(VLOOKUP($AH260, '(勿動)Component Label公版'!$D$1:$E$1000, 2, FALSE), "-")</f>
        <v>-</v>
      </c>
      <c r="AJ260" s="115"/>
      <c r="AK260" s="112"/>
      <c r="AL260" s="112"/>
      <c r="AM260" s="116" t="str">
        <f t="shared" si="10"/>
        <v/>
      </c>
      <c r="AN260" s="117" t="str">
        <f t="shared" si="11"/>
        <v/>
      </c>
      <c r="AO260" s="158"/>
      <c r="AP260" s="18"/>
      <c r="AQ260" s="18"/>
      <c r="AR260" s="18"/>
      <c r="AS260" s="18"/>
      <c r="AT260" s="18"/>
      <c r="AU260" s="54" t="b">
        <v>0</v>
      </c>
      <c r="AV260" s="54" t="b">
        <v>0</v>
      </c>
      <c r="AW260" s="123"/>
      <c r="AX260" s="124"/>
      <c r="AY260" s="124"/>
      <c r="AZ260" s="124"/>
      <c r="BA260" s="125"/>
      <c r="BB260" s="68"/>
      <c r="BC260" s="62"/>
      <c r="BD260" s="129" t="str">
        <f t="shared" si="4"/>
        <v>_</v>
      </c>
      <c r="BE260" s="130" t="str">
        <f>IFERROR(VLOOKUP($BD260,'(勿動)組件目錄表'!$D$15:$R$1094,2,FALSE),"")</f>
        <v/>
      </c>
      <c r="BF260" s="131" t="str">
        <f>IFERROR(VLOOKUP($BD260, '(勿動)組件目錄表'!$D$15:$R$1094, 5, FALSE),"")</f>
        <v/>
      </c>
      <c r="BG260" s="118"/>
      <c r="BH260" s="120"/>
      <c r="BI260" s="118"/>
      <c r="BJ260" s="120"/>
    </row>
    <row r="261" spans="1:62" ht="15.75" customHeight="1">
      <c r="A261" s="18" t="str">
        <f t="array" aca="1" ref="A261" ca="1">IFERROR(TRANSPOSE(INDIRECT('「(動工中勿使用!!)新版+舊版_Teaser」的副本'!$BB261)),"")</f>
        <v/>
      </c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80" t="b">
        <v>0</v>
      </c>
      <c r="AF261" s="111" t="str">
        <f t="shared" si="8"/>
        <v/>
      </c>
      <c r="AG261" s="112" t="str">
        <f t="shared" si="9"/>
        <v/>
      </c>
      <c r="AH261" s="126"/>
      <c r="AI261" s="114" t="str">
        <f ca="1">IFERROR(VLOOKUP($AH261, '(勿動)Component Label公版'!$D$1:$E$1000, 2, FALSE), "-")</f>
        <v>-</v>
      </c>
      <c r="AJ261" s="115"/>
      <c r="AK261" s="112"/>
      <c r="AL261" s="112"/>
      <c r="AM261" s="116" t="str">
        <f t="shared" si="10"/>
        <v/>
      </c>
      <c r="AN261" s="117" t="str">
        <f t="shared" si="11"/>
        <v/>
      </c>
      <c r="AO261" s="158"/>
      <c r="AP261" s="18"/>
      <c r="AQ261" s="18"/>
      <c r="AR261" s="18"/>
      <c r="AS261" s="18"/>
      <c r="AT261" s="18"/>
      <c r="AU261" s="54" t="b">
        <v>0</v>
      </c>
      <c r="AV261" s="54" t="b">
        <v>0</v>
      </c>
      <c r="AW261" s="123"/>
      <c r="AX261" s="124"/>
      <c r="AY261" s="124"/>
      <c r="AZ261" s="124"/>
      <c r="BA261" s="125"/>
      <c r="BB261" s="68"/>
      <c r="BC261" s="62"/>
      <c r="BD261" s="129" t="str">
        <f t="shared" si="4"/>
        <v>_</v>
      </c>
      <c r="BE261" s="130" t="str">
        <f>IFERROR(VLOOKUP($BD261,'(勿動)組件目錄表'!$D$15:$R$1094,2,FALSE),"")</f>
        <v/>
      </c>
      <c r="BF261" s="131" t="str">
        <f>IFERROR(VLOOKUP($BD261, '(勿動)組件目錄表'!$D$15:$R$1094, 5, FALSE),"")</f>
        <v/>
      </c>
      <c r="BG261" s="118"/>
      <c r="BH261" s="120"/>
      <c r="BI261" s="118"/>
      <c r="BJ261" s="120"/>
    </row>
    <row r="262" spans="1:62" ht="15.75" customHeight="1">
      <c r="A262" s="18" t="str">
        <f t="array" aca="1" ref="A262" ca="1">IFERROR(TRANSPOSE(INDIRECT('「(動工中勿使用!!)新版+舊版_Teaser」的副本'!$BB262)),"")</f>
        <v/>
      </c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80" t="b">
        <v>0</v>
      </c>
      <c r="AF262" s="111" t="str">
        <f t="shared" si="8"/>
        <v/>
      </c>
      <c r="AG262" s="112" t="str">
        <f t="shared" si="9"/>
        <v/>
      </c>
      <c r="AH262" s="126"/>
      <c r="AI262" s="114" t="str">
        <f ca="1">IFERROR(VLOOKUP($AH262, '(勿動)Component Label公版'!$D$1:$E$1000, 2, FALSE), "-")</f>
        <v>-</v>
      </c>
      <c r="AJ262" s="115"/>
      <c r="AK262" s="112"/>
      <c r="AL262" s="112"/>
      <c r="AM262" s="116" t="str">
        <f t="shared" si="10"/>
        <v/>
      </c>
      <c r="AN262" s="117" t="str">
        <f t="shared" si="11"/>
        <v/>
      </c>
      <c r="AO262" s="158"/>
      <c r="AP262" s="18"/>
      <c r="AQ262" s="18"/>
      <c r="AR262" s="18"/>
      <c r="AS262" s="18"/>
      <c r="AT262" s="18"/>
      <c r="AU262" s="54" t="b">
        <v>0</v>
      </c>
      <c r="AV262" s="54" t="b">
        <v>0</v>
      </c>
      <c r="AW262" s="123"/>
      <c r="AX262" s="124"/>
      <c r="AY262" s="124"/>
      <c r="AZ262" s="124"/>
      <c r="BA262" s="125"/>
      <c r="BB262" s="68"/>
      <c r="BC262" s="62"/>
      <c r="BD262" s="129" t="str">
        <f t="shared" ref="BD262:BD451" si="12">$BB262&amp;"_"&amp;$BC262</f>
        <v>_</v>
      </c>
      <c r="BE262" s="130" t="str">
        <f>IFERROR(VLOOKUP($BD262,'(勿動)組件目錄表'!$D$15:$R$1094,2,FALSE),"")</f>
        <v/>
      </c>
      <c r="BF262" s="131" t="str">
        <f>IFERROR(VLOOKUP($BD262, '(勿動)組件目錄表'!$D$15:$R$1094, 5, FALSE),"")</f>
        <v/>
      </c>
      <c r="BG262" s="118"/>
      <c r="BH262" s="120"/>
      <c r="BI262" s="118"/>
      <c r="BJ262" s="120"/>
    </row>
    <row r="263" spans="1:62" ht="15.75" customHeight="1">
      <c r="A263" s="18" t="str">
        <f t="array" aca="1" ref="A263" ca="1">IFERROR(TRANSPOSE(INDIRECT('「(動工中勿使用!!)新版+舊版_Teaser」的副本'!$BB263)),"")</f>
        <v/>
      </c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80" t="b">
        <v>0</v>
      </c>
      <c r="AF263" s="111" t="str">
        <f t="shared" si="8"/>
        <v/>
      </c>
      <c r="AG263" s="112" t="str">
        <f t="shared" si="9"/>
        <v/>
      </c>
      <c r="AH263" s="126"/>
      <c r="AI263" s="114" t="str">
        <f ca="1">IFERROR(VLOOKUP($AH263, '(勿動)Component Label公版'!$D$1:$E$1000, 2, FALSE), "-")</f>
        <v>-</v>
      </c>
      <c r="AJ263" s="115"/>
      <c r="AK263" s="112"/>
      <c r="AL263" s="112"/>
      <c r="AM263" s="116" t="str">
        <f t="shared" si="10"/>
        <v/>
      </c>
      <c r="AN263" s="117" t="str">
        <f t="shared" si="11"/>
        <v/>
      </c>
      <c r="AO263" s="158"/>
      <c r="AP263" s="18"/>
      <c r="AQ263" s="18"/>
      <c r="AR263" s="18"/>
      <c r="AS263" s="18"/>
      <c r="AT263" s="18"/>
      <c r="AU263" s="54" t="b">
        <v>0</v>
      </c>
      <c r="AV263" s="54" t="b">
        <v>0</v>
      </c>
      <c r="AW263" s="123"/>
      <c r="AX263" s="124"/>
      <c r="AY263" s="124"/>
      <c r="AZ263" s="124"/>
      <c r="BA263" s="125"/>
      <c r="BB263" s="68"/>
      <c r="BC263" s="62"/>
      <c r="BD263" s="129" t="str">
        <f t="shared" si="12"/>
        <v>_</v>
      </c>
      <c r="BE263" s="130" t="str">
        <f>IFERROR(VLOOKUP($BD263,'(勿動)組件目錄表'!$D$15:$R$1094,2,FALSE),"")</f>
        <v/>
      </c>
      <c r="BF263" s="131" t="str">
        <f>IFERROR(VLOOKUP($BD263, '(勿動)組件目錄表'!$D$15:$R$1094, 5, FALSE),"")</f>
        <v/>
      </c>
      <c r="BG263" s="118"/>
      <c r="BH263" s="120"/>
      <c r="BI263" s="118"/>
      <c r="BJ263" s="120"/>
    </row>
    <row r="264" spans="1:62" ht="15.75" customHeight="1">
      <c r="A264" s="18" t="str">
        <f t="array" aca="1" ref="A264" ca="1">IFERROR(TRANSPOSE(INDIRECT('「(動工中勿使用!!)新版+舊版_Teaser」的副本'!$BB264)),"")</f>
        <v/>
      </c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80" t="b">
        <v>0</v>
      </c>
      <c r="AF264" s="111" t="str">
        <f t="shared" si="8"/>
        <v/>
      </c>
      <c r="AG264" s="112" t="str">
        <f t="shared" si="9"/>
        <v/>
      </c>
      <c r="AH264" s="126"/>
      <c r="AI264" s="114" t="str">
        <f ca="1">IFERROR(VLOOKUP($AH264, '(勿動)Component Label公版'!$D$1:$E$1000, 2, FALSE), "-")</f>
        <v>-</v>
      </c>
      <c r="AJ264" s="115"/>
      <c r="AK264" s="112"/>
      <c r="AL264" s="112"/>
      <c r="AM264" s="116" t="str">
        <f t="shared" si="10"/>
        <v/>
      </c>
      <c r="AN264" s="117" t="str">
        <f t="shared" si="11"/>
        <v/>
      </c>
      <c r="AO264" s="158"/>
      <c r="AP264" s="18"/>
      <c r="AQ264" s="18"/>
      <c r="AR264" s="18"/>
      <c r="AS264" s="18"/>
      <c r="AT264" s="18"/>
      <c r="AU264" s="54" t="b">
        <v>0</v>
      </c>
      <c r="AV264" s="54" t="b">
        <v>0</v>
      </c>
      <c r="AW264" s="123"/>
      <c r="AX264" s="124"/>
      <c r="AY264" s="124"/>
      <c r="AZ264" s="124"/>
      <c r="BA264" s="125"/>
      <c r="BB264" s="68"/>
      <c r="BC264" s="62"/>
      <c r="BD264" s="129" t="str">
        <f t="shared" si="12"/>
        <v>_</v>
      </c>
      <c r="BE264" s="130" t="str">
        <f>IFERROR(VLOOKUP($BD264,'(勿動)組件目錄表'!$D$15:$R$1094,2,FALSE),"")</f>
        <v/>
      </c>
      <c r="BF264" s="131" t="str">
        <f>IFERROR(VLOOKUP($BD264, '(勿動)組件目錄表'!$D$15:$R$1094, 5, FALSE),"")</f>
        <v/>
      </c>
      <c r="BG264" s="118"/>
      <c r="BH264" s="120"/>
      <c r="BI264" s="118"/>
      <c r="BJ264" s="120"/>
    </row>
    <row r="265" spans="1:62" ht="15.75" customHeight="1">
      <c r="A265" s="18" t="str">
        <f t="array" aca="1" ref="A265" ca="1">IFERROR(TRANSPOSE(INDIRECT('「(動工中勿使用!!)新版+舊版_Teaser」的副本'!$BB265)),"")</f>
        <v/>
      </c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80" t="b">
        <v>0</v>
      </c>
      <c r="AF265" s="111" t="str">
        <f t="shared" si="8"/>
        <v/>
      </c>
      <c r="AG265" s="112" t="str">
        <f t="shared" si="9"/>
        <v/>
      </c>
      <c r="AH265" s="126"/>
      <c r="AI265" s="114" t="str">
        <f ca="1">IFERROR(VLOOKUP($AH265, '(勿動)Component Label公版'!$D$1:$E$1000, 2, FALSE), "-")</f>
        <v>-</v>
      </c>
      <c r="AJ265" s="115"/>
      <c r="AK265" s="112"/>
      <c r="AL265" s="112"/>
      <c r="AM265" s="116" t="str">
        <f t="shared" si="10"/>
        <v/>
      </c>
      <c r="AN265" s="117" t="str">
        <f t="shared" si="11"/>
        <v/>
      </c>
      <c r="AO265" s="158"/>
      <c r="AP265" s="18"/>
      <c r="AQ265" s="18"/>
      <c r="AR265" s="18"/>
      <c r="AS265" s="18"/>
      <c r="AT265" s="18"/>
      <c r="AU265" s="54" t="b">
        <v>0</v>
      </c>
      <c r="AV265" s="54" t="b">
        <v>0</v>
      </c>
      <c r="AW265" s="123"/>
      <c r="AX265" s="124"/>
      <c r="AY265" s="124"/>
      <c r="AZ265" s="124"/>
      <c r="BA265" s="125"/>
      <c r="BB265" s="68"/>
      <c r="BC265" s="62"/>
      <c r="BD265" s="129" t="str">
        <f t="shared" si="12"/>
        <v>_</v>
      </c>
      <c r="BE265" s="130" t="str">
        <f>IFERROR(VLOOKUP($BD265,'(勿動)組件目錄表'!$D$15:$R$1094,2,FALSE),"")</f>
        <v/>
      </c>
      <c r="BF265" s="131" t="str">
        <f>IFERROR(VLOOKUP($BD265, '(勿動)組件目錄表'!$D$15:$R$1094, 5, FALSE),"")</f>
        <v/>
      </c>
      <c r="BG265" s="118"/>
      <c r="BH265" s="120"/>
      <c r="BI265" s="118"/>
      <c r="BJ265" s="120"/>
    </row>
    <row r="266" spans="1:62" ht="15.75" customHeight="1">
      <c r="A266" s="18" t="str">
        <f t="array" aca="1" ref="A266" ca="1">IFERROR(TRANSPOSE(INDIRECT('「(動工中勿使用!!)新版+舊版_Teaser」的副本'!$BB266)),"")</f>
        <v/>
      </c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80" t="b">
        <v>0</v>
      </c>
      <c r="AF266" s="111" t="str">
        <f t="shared" si="8"/>
        <v/>
      </c>
      <c r="AG266" s="112" t="str">
        <f t="shared" si="9"/>
        <v/>
      </c>
      <c r="AH266" s="126"/>
      <c r="AI266" s="114" t="str">
        <f ca="1">IFERROR(VLOOKUP($AH266, '(勿動)Component Label公版'!$D$1:$E$1000, 2, FALSE), "-")</f>
        <v>-</v>
      </c>
      <c r="AJ266" s="115"/>
      <c r="AK266" s="112"/>
      <c r="AL266" s="112"/>
      <c r="AM266" s="116" t="str">
        <f t="shared" si="10"/>
        <v/>
      </c>
      <c r="AN266" s="117" t="str">
        <f t="shared" si="11"/>
        <v/>
      </c>
      <c r="AO266" s="158"/>
      <c r="AP266" s="18"/>
      <c r="AQ266" s="18"/>
      <c r="AR266" s="18"/>
      <c r="AS266" s="18"/>
      <c r="AT266" s="18"/>
      <c r="AU266" s="54" t="b">
        <v>0</v>
      </c>
      <c r="AV266" s="54" t="b">
        <v>0</v>
      </c>
      <c r="AW266" s="123"/>
      <c r="AX266" s="124"/>
      <c r="AY266" s="124"/>
      <c r="AZ266" s="124"/>
      <c r="BA266" s="125"/>
      <c r="BB266" s="68"/>
      <c r="BC266" s="62"/>
      <c r="BD266" s="129" t="str">
        <f t="shared" si="12"/>
        <v>_</v>
      </c>
      <c r="BE266" s="130" t="str">
        <f>IFERROR(VLOOKUP($BD266,'(勿動)組件目錄表'!$D$15:$R$1094,2,FALSE),"")</f>
        <v/>
      </c>
      <c r="BF266" s="131" t="str">
        <f>IFERROR(VLOOKUP($BD266, '(勿動)組件目錄表'!$D$15:$R$1094, 5, FALSE),"")</f>
        <v/>
      </c>
      <c r="BG266" s="118"/>
      <c r="BH266" s="120"/>
      <c r="BI266" s="118"/>
      <c r="BJ266" s="120"/>
    </row>
    <row r="267" spans="1:62" ht="15.75" customHeight="1">
      <c r="A267" s="18" t="str">
        <f t="array" aca="1" ref="A267" ca="1">IFERROR(TRANSPOSE(INDIRECT('「(動工中勿使用!!)新版+舊版_Teaser」的副本'!$BB267)),"")</f>
        <v/>
      </c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80" t="b">
        <v>0</v>
      </c>
      <c r="AF267" s="111" t="str">
        <f t="shared" si="8"/>
        <v/>
      </c>
      <c r="AG267" s="112" t="str">
        <f t="shared" si="9"/>
        <v/>
      </c>
      <c r="AH267" s="126"/>
      <c r="AI267" s="114" t="str">
        <f ca="1">IFERROR(VLOOKUP($AH267, '(勿動)Component Label公版'!$D$1:$E$1000, 2, FALSE), "-")</f>
        <v>-</v>
      </c>
      <c r="AJ267" s="115"/>
      <c r="AK267" s="112"/>
      <c r="AL267" s="112"/>
      <c r="AM267" s="116" t="str">
        <f t="shared" si="10"/>
        <v/>
      </c>
      <c r="AN267" s="117" t="str">
        <f t="shared" si="11"/>
        <v/>
      </c>
      <c r="AO267" s="158"/>
      <c r="AP267" s="18"/>
      <c r="AQ267" s="18"/>
      <c r="AR267" s="18"/>
      <c r="AS267" s="18"/>
      <c r="AT267" s="18"/>
      <c r="AU267" s="54" t="b">
        <v>0</v>
      </c>
      <c r="AV267" s="54" t="b">
        <v>0</v>
      </c>
      <c r="AW267" s="123"/>
      <c r="AX267" s="124"/>
      <c r="AY267" s="124"/>
      <c r="AZ267" s="124"/>
      <c r="BA267" s="125"/>
      <c r="BB267" s="68"/>
      <c r="BC267" s="62"/>
      <c r="BD267" s="129" t="str">
        <f t="shared" si="12"/>
        <v>_</v>
      </c>
      <c r="BE267" s="130" t="str">
        <f>IFERROR(VLOOKUP($BD267,'(勿動)組件目錄表'!$D$15:$R$1094,2,FALSE),"")</f>
        <v/>
      </c>
      <c r="BF267" s="131" t="str">
        <f>IFERROR(VLOOKUP($BD267, '(勿動)組件目錄表'!$D$15:$R$1094, 5, FALSE),"")</f>
        <v/>
      </c>
      <c r="BG267" s="118"/>
      <c r="BH267" s="120"/>
      <c r="BI267" s="118"/>
      <c r="BJ267" s="120"/>
    </row>
    <row r="268" spans="1:62" ht="15.75" customHeight="1">
      <c r="A268" s="18" t="str">
        <f t="array" aca="1" ref="A268" ca="1">IFERROR(TRANSPOSE(INDIRECT('「(動工中勿使用!!)新版+舊版_Teaser」的副本'!$BB268)),"")</f>
        <v/>
      </c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80" t="b">
        <v>0</v>
      </c>
      <c r="AF268" s="111" t="str">
        <f t="shared" si="8"/>
        <v/>
      </c>
      <c r="AG268" s="112" t="str">
        <f t="shared" si="9"/>
        <v/>
      </c>
      <c r="AH268" s="126"/>
      <c r="AI268" s="114" t="str">
        <f ca="1">IFERROR(VLOOKUP($AH268, '(勿動)Component Label公版'!$D$1:$E$1000, 2, FALSE), "-")</f>
        <v>-</v>
      </c>
      <c r="AJ268" s="115"/>
      <c r="AK268" s="112"/>
      <c r="AL268" s="112"/>
      <c r="AM268" s="116" t="str">
        <f t="shared" si="10"/>
        <v/>
      </c>
      <c r="AN268" s="117" t="str">
        <f t="shared" si="11"/>
        <v/>
      </c>
      <c r="AO268" s="158"/>
      <c r="AP268" s="18"/>
      <c r="AQ268" s="18"/>
      <c r="AR268" s="18"/>
      <c r="AS268" s="18"/>
      <c r="AT268" s="18"/>
      <c r="AU268" s="54" t="b">
        <v>0</v>
      </c>
      <c r="AV268" s="54" t="b">
        <v>0</v>
      </c>
      <c r="AW268" s="123"/>
      <c r="AX268" s="124"/>
      <c r="AY268" s="124"/>
      <c r="AZ268" s="124"/>
      <c r="BA268" s="125"/>
      <c r="BB268" s="68"/>
      <c r="BC268" s="62"/>
      <c r="BD268" s="129" t="str">
        <f t="shared" si="12"/>
        <v>_</v>
      </c>
      <c r="BE268" s="130" t="str">
        <f>IFERROR(VLOOKUP($BD268,'(勿動)組件目錄表'!$D$15:$R$1094,2,FALSE),"")</f>
        <v/>
      </c>
      <c r="BF268" s="131" t="str">
        <f>IFERROR(VLOOKUP($BD268, '(勿動)組件目錄表'!$D$15:$R$1094, 5, FALSE),"")</f>
        <v/>
      </c>
      <c r="BG268" s="118"/>
      <c r="BH268" s="120"/>
      <c r="BI268" s="118"/>
      <c r="BJ268" s="120"/>
    </row>
    <row r="269" spans="1:62" ht="15.75" customHeight="1">
      <c r="A269" s="18" t="str">
        <f t="array" aca="1" ref="A269" ca="1">IFERROR(TRANSPOSE(INDIRECT('「(動工中勿使用!!)新版+舊版_Teaser」的副本'!$BB269)),"")</f>
        <v/>
      </c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80" t="b">
        <v>0</v>
      </c>
      <c r="AF269" s="111" t="str">
        <f t="shared" si="8"/>
        <v/>
      </c>
      <c r="AG269" s="112" t="str">
        <f t="shared" si="9"/>
        <v/>
      </c>
      <c r="AH269" s="126"/>
      <c r="AI269" s="114" t="str">
        <f ca="1">IFERROR(VLOOKUP($AH269, '(勿動)Component Label公版'!$D$1:$E$1000, 2, FALSE), "-")</f>
        <v>-</v>
      </c>
      <c r="AJ269" s="115"/>
      <c r="AK269" s="112"/>
      <c r="AL269" s="112"/>
      <c r="AM269" s="116" t="str">
        <f t="shared" si="10"/>
        <v/>
      </c>
      <c r="AN269" s="117" t="str">
        <f t="shared" si="11"/>
        <v/>
      </c>
      <c r="AO269" s="158"/>
      <c r="AP269" s="18"/>
      <c r="AQ269" s="18"/>
      <c r="AR269" s="18"/>
      <c r="AS269" s="18"/>
      <c r="AT269" s="18"/>
      <c r="AU269" s="54" t="b">
        <v>0</v>
      </c>
      <c r="AV269" s="54" t="b">
        <v>0</v>
      </c>
      <c r="AW269" s="123"/>
      <c r="AX269" s="124"/>
      <c r="AY269" s="124"/>
      <c r="AZ269" s="124"/>
      <c r="BA269" s="125"/>
      <c r="BB269" s="68"/>
      <c r="BC269" s="62"/>
      <c r="BD269" s="129" t="str">
        <f t="shared" si="12"/>
        <v>_</v>
      </c>
      <c r="BE269" s="130" t="str">
        <f>IFERROR(VLOOKUP($BD269,'(勿動)組件目錄表'!$D$15:$R$1094,2,FALSE),"")</f>
        <v/>
      </c>
      <c r="BF269" s="131" t="str">
        <f>IFERROR(VLOOKUP($BD269, '(勿動)組件目錄表'!$D$15:$R$1094, 5, FALSE),"")</f>
        <v/>
      </c>
      <c r="BG269" s="118"/>
      <c r="BH269" s="120"/>
      <c r="BI269" s="118"/>
      <c r="BJ269" s="120"/>
    </row>
    <row r="270" spans="1:62" ht="15.75" customHeight="1">
      <c r="A270" s="18" t="str">
        <f t="array" aca="1" ref="A270" ca="1">IFERROR(TRANSPOSE(INDIRECT('「(動工中勿使用!!)新版+舊版_Teaser」的副本'!$BB270)),"")</f>
        <v/>
      </c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80" t="b">
        <v>0</v>
      </c>
      <c r="AF270" s="111" t="str">
        <f t="shared" si="8"/>
        <v/>
      </c>
      <c r="AG270" s="112" t="str">
        <f t="shared" si="9"/>
        <v/>
      </c>
      <c r="AH270" s="126"/>
      <c r="AI270" s="114" t="str">
        <f ca="1">IFERROR(VLOOKUP($AH270, '(勿動)Component Label公版'!$D$1:$E$1000, 2, FALSE), "-")</f>
        <v>-</v>
      </c>
      <c r="AJ270" s="115"/>
      <c r="AK270" s="112"/>
      <c r="AL270" s="112"/>
      <c r="AM270" s="116" t="str">
        <f t="shared" si="10"/>
        <v/>
      </c>
      <c r="AN270" s="117" t="str">
        <f t="shared" si="11"/>
        <v/>
      </c>
      <c r="AO270" s="158"/>
      <c r="AP270" s="18"/>
      <c r="AQ270" s="18"/>
      <c r="AR270" s="18"/>
      <c r="AS270" s="18"/>
      <c r="AT270" s="18"/>
      <c r="AU270" s="54" t="b">
        <v>0</v>
      </c>
      <c r="AV270" s="54" t="b">
        <v>0</v>
      </c>
      <c r="AW270" s="123"/>
      <c r="AX270" s="124"/>
      <c r="AY270" s="124"/>
      <c r="AZ270" s="124"/>
      <c r="BA270" s="125"/>
      <c r="BB270" s="68"/>
      <c r="BC270" s="62"/>
      <c r="BD270" s="129" t="str">
        <f t="shared" si="12"/>
        <v>_</v>
      </c>
      <c r="BE270" s="130" t="str">
        <f>IFERROR(VLOOKUP($BD270,'(勿動)組件目錄表'!$D$15:$R$1094,2,FALSE),"")</f>
        <v/>
      </c>
      <c r="BF270" s="131" t="str">
        <f>IFERROR(VLOOKUP($BD270, '(勿動)組件目錄表'!$D$15:$R$1094, 5, FALSE),"")</f>
        <v/>
      </c>
      <c r="BG270" s="118"/>
      <c r="BH270" s="120"/>
      <c r="BI270" s="118"/>
      <c r="BJ270" s="120"/>
    </row>
    <row r="271" spans="1:62" ht="15.75" customHeight="1">
      <c r="A271" s="18" t="str">
        <f t="array" aca="1" ref="A271" ca="1">IFERROR(TRANSPOSE(INDIRECT('「(動工中勿使用!!)新版+舊版_Teaser」的副本'!$BB271)),"")</f>
        <v/>
      </c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80" t="b">
        <v>0</v>
      </c>
      <c r="AF271" s="111" t="str">
        <f t="shared" si="8"/>
        <v/>
      </c>
      <c r="AG271" s="112" t="str">
        <f t="shared" si="9"/>
        <v/>
      </c>
      <c r="AH271" s="126"/>
      <c r="AI271" s="114" t="str">
        <f ca="1">IFERROR(VLOOKUP($AH271, '(勿動)Component Label公版'!$D$1:$E$1000, 2, FALSE), "-")</f>
        <v>-</v>
      </c>
      <c r="AJ271" s="115"/>
      <c r="AK271" s="112"/>
      <c r="AL271" s="112"/>
      <c r="AM271" s="116" t="str">
        <f t="shared" si="10"/>
        <v/>
      </c>
      <c r="AN271" s="117" t="str">
        <f t="shared" si="11"/>
        <v/>
      </c>
      <c r="AO271" s="158"/>
      <c r="AP271" s="18"/>
      <c r="AQ271" s="18"/>
      <c r="AR271" s="18"/>
      <c r="AS271" s="18"/>
      <c r="AT271" s="18"/>
      <c r="AU271" s="54" t="b">
        <v>0</v>
      </c>
      <c r="AV271" s="54" t="b">
        <v>0</v>
      </c>
      <c r="AW271" s="123"/>
      <c r="AX271" s="124"/>
      <c r="AY271" s="124"/>
      <c r="AZ271" s="124"/>
      <c r="BA271" s="125"/>
      <c r="BB271" s="68"/>
      <c r="BC271" s="62"/>
      <c r="BD271" s="129" t="str">
        <f t="shared" si="12"/>
        <v>_</v>
      </c>
      <c r="BE271" s="130" t="str">
        <f>IFERROR(VLOOKUP($BD271,'(勿動)組件目錄表'!$D$15:$R$1094,2,FALSE),"")</f>
        <v/>
      </c>
      <c r="BF271" s="131" t="str">
        <f>IFERROR(VLOOKUP($BD271, '(勿動)組件目錄表'!$D$15:$R$1094, 5, FALSE),"")</f>
        <v/>
      </c>
      <c r="BG271" s="118"/>
      <c r="BH271" s="120"/>
      <c r="BI271" s="118"/>
      <c r="BJ271" s="120"/>
    </row>
    <row r="272" spans="1:62" ht="15.75" customHeight="1">
      <c r="A272" s="18" t="str">
        <f t="array" aca="1" ref="A272" ca="1">IFERROR(TRANSPOSE(INDIRECT('「(動工中勿使用!!)新版+舊版_Teaser」的副本'!$BB272)),"")</f>
        <v/>
      </c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80" t="b">
        <v>0</v>
      </c>
      <c r="AF272" s="111" t="str">
        <f t="shared" si="8"/>
        <v/>
      </c>
      <c r="AG272" s="112" t="str">
        <f t="shared" si="9"/>
        <v/>
      </c>
      <c r="AH272" s="126"/>
      <c r="AI272" s="114" t="str">
        <f ca="1">IFERROR(VLOOKUP($AH272, '(勿動)Component Label公版'!$D$1:$E$1000, 2, FALSE), "-")</f>
        <v>-</v>
      </c>
      <c r="AJ272" s="115"/>
      <c r="AK272" s="112"/>
      <c r="AL272" s="112"/>
      <c r="AM272" s="116" t="str">
        <f t="shared" si="10"/>
        <v/>
      </c>
      <c r="AN272" s="117" t="str">
        <f t="shared" si="11"/>
        <v/>
      </c>
      <c r="AO272" s="158"/>
      <c r="AP272" s="18"/>
      <c r="AQ272" s="18"/>
      <c r="AR272" s="18"/>
      <c r="AS272" s="18"/>
      <c r="AT272" s="18"/>
      <c r="AU272" s="54" t="b">
        <v>0</v>
      </c>
      <c r="AV272" s="54" t="b">
        <v>0</v>
      </c>
      <c r="AW272" s="123"/>
      <c r="AX272" s="124"/>
      <c r="AY272" s="124"/>
      <c r="AZ272" s="124"/>
      <c r="BA272" s="125"/>
      <c r="BB272" s="68"/>
      <c r="BC272" s="62"/>
      <c r="BD272" s="129" t="str">
        <f t="shared" si="12"/>
        <v>_</v>
      </c>
      <c r="BE272" s="130" t="str">
        <f>IFERROR(VLOOKUP($BD272,'(勿動)組件目錄表'!$D$15:$R$1094,2,FALSE),"")</f>
        <v/>
      </c>
      <c r="BF272" s="131" t="str">
        <f>IFERROR(VLOOKUP($BD272, '(勿動)組件目錄表'!$D$15:$R$1094, 5, FALSE),"")</f>
        <v/>
      </c>
      <c r="BG272" s="118"/>
      <c r="BH272" s="120"/>
      <c r="BI272" s="118"/>
      <c r="BJ272" s="120"/>
    </row>
    <row r="273" spans="1:62" ht="15.75" customHeight="1">
      <c r="A273" s="18" t="str">
        <f t="array" aca="1" ref="A273" ca="1">IFERROR(TRANSPOSE(INDIRECT('「(動工中勿使用!!)新版+舊版_Teaser」的副本'!$BB273)),"")</f>
        <v/>
      </c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80" t="b">
        <v>0</v>
      </c>
      <c r="AF273" s="111" t="str">
        <f t="shared" si="8"/>
        <v/>
      </c>
      <c r="AG273" s="112" t="str">
        <f t="shared" si="9"/>
        <v/>
      </c>
      <c r="AH273" s="126"/>
      <c r="AI273" s="114" t="str">
        <f ca="1">IFERROR(VLOOKUP($AH273, '(勿動)Component Label公版'!$D$1:$E$1000, 2, FALSE), "-")</f>
        <v>-</v>
      </c>
      <c r="AJ273" s="115"/>
      <c r="AK273" s="112"/>
      <c r="AL273" s="112"/>
      <c r="AM273" s="116" t="str">
        <f t="shared" si="10"/>
        <v/>
      </c>
      <c r="AN273" s="117" t="str">
        <f t="shared" si="11"/>
        <v/>
      </c>
      <c r="AO273" s="158"/>
      <c r="AP273" s="18"/>
      <c r="AQ273" s="18"/>
      <c r="AR273" s="18"/>
      <c r="AS273" s="18"/>
      <c r="AT273" s="18"/>
      <c r="AU273" s="54" t="b">
        <v>0</v>
      </c>
      <c r="AV273" s="54" t="b">
        <v>0</v>
      </c>
      <c r="AW273" s="123"/>
      <c r="AX273" s="124"/>
      <c r="AY273" s="124"/>
      <c r="AZ273" s="124"/>
      <c r="BA273" s="125"/>
      <c r="BB273" s="68"/>
      <c r="BC273" s="62"/>
      <c r="BD273" s="129" t="str">
        <f t="shared" si="12"/>
        <v>_</v>
      </c>
      <c r="BE273" s="130" t="str">
        <f>IFERROR(VLOOKUP($BD273,'(勿動)組件目錄表'!$D$15:$R$1094,2,FALSE),"")</f>
        <v/>
      </c>
      <c r="BF273" s="131" t="str">
        <f>IFERROR(VLOOKUP($BD273, '(勿動)組件目錄表'!$D$15:$R$1094, 5, FALSE),"")</f>
        <v/>
      </c>
      <c r="BG273" s="118"/>
      <c r="BH273" s="120"/>
      <c r="BI273" s="118"/>
      <c r="BJ273" s="120"/>
    </row>
    <row r="274" spans="1:62" ht="15.75" customHeight="1">
      <c r="A274" s="18" t="str">
        <f t="array" aca="1" ref="A274" ca="1">IFERROR(TRANSPOSE(INDIRECT('「(動工中勿使用!!)新版+舊版_Teaser」的副本'!$BB274)),"")</f>
        <v/>
      </c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80" t="b">
        <v>0</v>
      </c>
      <c r="AF274" s="111" t="str">
        <f t="shared" si="8"/>
        <v/>
      </c>
      <c r="AG274" s="112" t="str">
        <f t="shared" si="9"/>
        <v/>
      </c>
      <c r="AH274" s="126"/>
      <c r="AI274" s="114" t="str">
        <f ca="1">IFERROR(VLOOKUP($AH274, '(勿動)Component Label公版'!$D$1:$E$1000, 2, FALSE), "-")</f>
        <v>-</v>
      </c>
      <c r="AJ274" s="115"/>
      <c r="AK274" s="112"/>
      <c r="AL274" s="112"/>
      <c r="AM274" s="116" t="str">
        <f t="shared" si="10"/>
        <v/>
      </c>
      <c r="AN274" s="117" t="str">
        <f t="shared" si="11"/>
        <v/>
      </c>
      <c r="AO274" s="158"/>
      <c r="AP274" s="18"/>
      <c r="AQ274" s="18"/>
      <c r="AR274" s="18"/>
      <c r="AS274" s="18"/>
      <c r="AT274" s="18"/>
      <c r="AU274" s="54" t="b">
        <v>0</v>
      </c>
      <c r="AV274" s="54" t="b">
        <v>0</v>
      </c>
      <c r="AW274" s="123"/>
      <c r="AX274" s="124"/>
      <c r="AY274" s="124"/>
      <c r="AZ274" s="124"/>
      <c r="BA274" s="125"/>
      <c r="BB274" s="68"/>
      <c r="BC274" s="62"/>
      <c r="BD274" s="129" t="str">
        <f t="shared" si="12"/>
        <v>_</v>
      </c>
      <c r="BE274" s="130" t="str">
        <f>IFERROR(VLOOKUP($BD274,'(勿動)組件目錄表'!$D$15:$R$1094,2,FALSE),"")</f>
        <v/>
      </c>
      <c r="BF274" s="131" t="str">
        <f>IFERROR(VLOOKUP($BD274, '(勿動)組件目錄表'!$D$15:$R$1094, 5, FALSE),"")</f>
        <v/>
      </c>
      <c r="BG274" s="118"/>
      <c r="BH274" s="120"/>
      <c r="BI274" s="118"/>
      <c r="BJ274" s="120"/>
    </row>
    <row r="275" spans="1:62" ht="15.75" customHeight="1">
      <c r="A275" s="18" t="str">
        <f t="array" aca="1" ref="A275" ca="1">IFERROR(TRANSPOSE(INDIRECT('「(動工中勿使用!!)新版+舊版_Teaser」的副本'!$BB275)),"")</f>
        <v/>
      </c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80" t="b">
        <v>0</v>
      </c>
      <c r="AF275" s="111" t="str">
        <f t="shared" si="8"/>
        <v/>
      </c>
      <c r="AG275" s="112" t="str">
        <f t="shared" si="9"/>
        <v/>
      </c>
      <c r="AH275" s="126"/>
      <c r="AI275" s="114" t="str">
        <f ca="1">IFERROR(VLOOKUP($AH275, '(勿動)Component Label公版'!$D$1:$E$1000, 2, FALSE), "-")</f>
        <v>-</v>
      </c>
      <c r="AJ275" s="115"/>
      <c r="AK275" s="112"/>
      <c r="AL275" s="112"/>
      <c r="AM275" s="116" t="str">
        <f t="shared" si="10"/>
        <v/>
      </c>
      <c r="AN275" s="117" t="str">
        <f t="shared" si="11"/>
        <v/>
      </c>
      <c r="AO275" s="158"/>
      <c r="AP275" s="18"/>
      <c r="AQ275" s="18"/>
      <c r="AR275" s="18"/>
      <c r="AS275" s="18"/>
      <c r="AT275" s="18"/>
      <c r="AU275" s="54" t="b">
        <v>0</v>
      </c>
      <c r="AV275" s="54" t="b">
        <v>0</v>
      </c>
      <c r="AW275" s="123"/>
      <c r="AX275" s="124"/>
      <c r="AY275" s="124"/>
      <c r="AZ275" s="124"/>
      <c r="BA275" s="125"/>
      <c r="BB275" s="68"/>
      <c r="BC275" s="62"/>
      <c r="BD275" s="129" t="str">
        <f t="shared" si="12"/>
        <v>_</v>
      </c>
      <c r="BE275" s="130" t="str">
        <f>IFERROR(VLOOKUP($BD275,'(勿動)組件目錄表'!$D$15:$R$1094,2,FALSE),"")</f>
        <v/>
      </c>
      <c r="BF275" s="131" t="str">
        <f>IFERROR(VLOOKUP($BD275, '(勿動)組件目錄表'!$D$15:$R$1094, 5, FALSE),"")</f>
        <v/>
      </c>
      <c r="BG275" s="118"/>
      <c r="BH275" s="120"/>
      <c r="BI275" s="118"/>
      <c r="BJ275" s="120"/>
    </row>
    <row r="276" spans="1:62" ht="15.75" customHeight="1">
      <c r="A276" s="18" t="str">
        <f t="array" aca="1" ref="A276" ca="1">IFERROR(TRANSPOSE(INDIRECT('「(動工中勿使用!!)新版+舊版_Teaser」的副本'!$BB276)),"")</f>
        <v/>
      </c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80" t="b">
        <v>0</v>
      </c>
      <c r="AF276" s="111" t="str">
        <f t="shared" si="8"/>
        <v/>
      </c>
      <c r="AG276" s="112" t="str">
        <f t="shared" si="9"/>
        <v/>
      </c>
      <c r="AH276" s="126"/>
      <c r="AI276" s="114" t="str">
        <f ca="1">IFERROR(VLOOKUP($AH276, '(勿動)Component Label公版'!$D$1:$E$1000, 2, FALSE), "-")</f>
        <v>-</v>
      </c>
      <c r="AJ276" s="115"/>
      <c r="AK276" s="112"/>
      <c r="AL276" s="112"/>
      <c r="AM276" s="116" t="str">
        <f t="shared" si="10"/>
        <v/>
      </c>
      <c r="AN276" s="117" t="str">
        <f t="shared" si="11"/>
        <v/>
      </c>
      <c r="AO276" s="158"/>
      <c r="AP276" s="18"/>
      <c r="AQ276" s="18"/>
      <c r="AR276" s="18"/>
      <c r="AS276" s="18"/>
      <c r="AT276" s="18"/>
      <c r="AU276" s="54" t="b">
        <v>0</v>
      </c>
      <c r="AV276" s="54" t="b">
        <v>0</v>
      </c>
      <c r="AW276" s="123"/>
      <c r="AX276" s="124"/>
      <c r="AY276" s="124"/>
      <c r="AZ276" s="124"/>
      <c r="BA276" s="125"/>
      <c r="BB276" s="68"/>
      <c r="BC276" s="62"/>
      <c r="BD276" s="129" t="str">
        <f t="shared" si="12"/>
        <v>_</v>
      </c>
      <c r="BE276" s="130" t="str">
        <f>IFERROR(VLOOKUP($BD276,'(勿動)組件目錄表'!$D$15:$R$1094,2,FALSE),"")</f>
        <v/>
      </c>
      <c r="BF276" s="131" t="str">
        <f>IFERROR(VLOOKUP($BD276, '(勿動)組件目錄表'!$D$15:$R$1094, 5, FALSE),"")</f>
        <v/>
      </c>
      <c r="BG276" s="118"/>
      <c r="BH276" s="120"/>
      <c r="BI276" s="118"/>
      <c r="BJ276" s="120"/>
    </row>
    <row r="277" spans="1:62" ht="15.75" customHeight="1">
      <c r="A277" s="18" t="str">
        <f t="array" aca="1" ref="A277" ca="1">IFERROR(TRANSPOSE(INDIRECT('「(動工中勿使用!!)新版+舊版_Teaser」的副本'!$BB277)),"")</f>
        <v/>
      </c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80" t="b">
        <v>0</v>
      </c>
      <c r="AF277" s="111" t="str">
        <f t="shared" si="8"/>
        <v/>
      </c>
      <c r="AG277" s="112" t="str">
        <f t="shared" si="9"/>
        <v/>
      </c>
      <c r="AH277" s="126"/>
      <c r="AI277" s="114" t="str">
        <f ca="1">IFERROR(VLOOKUP($AH277, '(勿動)Component Label公版'!$D$1:$E$1000, 2, FALSE), "-")</f>
        <v>-</v>
      </c>
      <c r="AJ277" s="115"/>
      <c r="AK277" s="112"/>
      <c r="AL277" s="112"/>
      <c r="AM277" s="116" t="str">
        <f t="shared" si="10"/>
        <v/>
      </c>
      <c r="AN277" s="117" t="str">
        <f t="shared" si="11"/>
        <v/>
      </c>
      <c r="AO277" s="158"/>
      <c r="AP277" s="18"/>
      <c r="AQ277" s="18"/>
      <c r="AR277" s="18"/>
      <c r="AS277" s="18"/>
      <c r="AT277" s="18"/>
      <c r="AU277" s="54" t="b">
        <v>0</v>
      </c>
      <c r="AV277" s="54" t="b">
        <v>0</v>
      </c>
      <c r="AW277" s="123"/>
      <c r="AX277" s="124"/>
      <c r="AY277" s="124"/>
      <c r="AZ277" s="124"/>
      <c r="BA277" s="125"/>
      <c r="BB277" s="68"/>
      <c r="BC277" s="62"/>
      <c r="BD277" s="129" t="str">
        <f t="shared" si="12"/>
        <v>_</v>
      </c>
      <c r="BE277" s="130" t="str">
        <f>IFERROR(VLOOKUP($BD277,'(勿動)組件目錄表'!$D$15:$R$1094,2,FALSE),"")</f>
        <v/>
      </c>
      <c r="BF277" s="131" t="str">
        <f>IFERROR(VLOOKUP($BD277, '(勿動)組件目錄表'!$D$15:$R$1094, 5, FALSE),"")</f>
        <v/>
      </c>
      <c r="BG277" s="118"/>
      <c r="BH277" s="120"/>
      <c r="BI277" s="118"/>
      <c r="BJ277" s="120"/>
    </row>
    <row r="278" spans="1:62" ht="15.75" customHeight="1">
      <c r="A278" s="18" t="str">
        <f t="array" aca="1" ref="A278" ca="1">IFERROR(TRANSPOSE(INDIRECT('「(動工中勿使用!!)新版+舊版_Teaser」的副本'!$BB278)),"")</f>
        <v/>
      </c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80" t="b">
        <v>0</v>
      </c>
      <c r="AF278" s="111" t="str">
        <f t="shared" si="8"/>
        <v/>
      </c>
      <c r="AG278" s="112" t="str">
        <f t="shared" si="9"/>
        <v/>
      </c>
      <c r="AH278" s="126"/>
      <c r="AI278" s="114" t="str">
        <f ca="1">IFERROR(VLOOKUP($AH278, '(勿動)Component Label公版'!$D$1:$E$1000, 2, FALSE), "-")</f>
        <v>-</v>
      </c>
      <c r="AJ278" s="115"/>
      <c r="AK278" s="112"/>
      <c r="AL278" s="112"/>
      <c r="AM278" s="116" t="str">
        <f t="shared" si="10"/>
        <v/>
      </c>
      <c r="AN278" s="117" t="str">
        <f t="shared" si="11"/>
        <v/>
      </c>
      <c r="AO278" s="158"/>
      <c r="AP278" s="18"/>
      <c r="AQ278" s="18"/>
      <c r="AR278" s="18"/>
      <c r="AS278" s="18"/>
      <c r="AT278" s="18"/>
      <c r="AU278" s="54" t="b">
        <v>0</v>
      </c>
      <c r="AV278" s="54" t="b">
        <v>0</v>
      </c>
      <c r="AW278" s="123"/>
      <c r="AX278" s="124"/>
      <c r="AY278" s="124"/>
      <c r="AZ278" s="124"/>
      <c r="BA278" s="125"/>
      <c r="BB278" s="68"/>
      <c r="BC278" s="62"/>
      <c r="BD278" s="129" t="str">
        <f t="shared" si="12"/>
        <v>_</v>
      </c>
      <c r="BE278" s="130" t="str">
        <f>IFERROR(VLOOKUP($BD278,'(勿動)組件目錄表'!$D$15:$R$1094,2,FALSE),"")</f>
        <v/>
      </c>
      <c r="BF278" s="131" t="str">
        <f>IFERROR(VLOOKUP($BD278, '(勿動)組件目錄表'!$D$15:$R$1094, 5, FALSE),"")</f>
        <v/>
      </c>
      <c r="BG278" s="118"/>
      <c r="BH278" s="120"/>
      <c r="BI278" s="118"/>
      <c r="BJ278" s="120"/>
    </row>
    <row r="279" spans="1:62" ht="15.75" customHeight="1">
      <c r="A279" s="18" t="str">
        <f t="array" aca="1" ref="A279" ca="1">IFERROR(TRANSPOSE(INDIRECT('「(動工中勿使用!!)新版+舊版_Teaser」的副本'!$BB279)),"")</f>
        <v/>
      </c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80" t="b">
        <v>0</v>
      </c>
      <c r="AF279" s="111" t="str">
        <f t="shared" si="8"/>
        <v/>
      </c>
      <c r="AG279" s="112" t="str">
        <f t="shared" si="9"/>
        <v/>
      </c>
      <c r="AH279" s="126"/>
      <c r="AI279" s="114" t="str">
        <f ca="1">IFERROR(VLOOKUP($AH279, '(勿動)Component Label公版'!$D$1:$E$1000, 2, FALSE), "-")</f>
        <v>-</v>
      </c>
      <c r="AJ279" s="115"/>
      <c r="AK279" s="112"/>
      <c r="AL279" s="112"/>
      <c r="AM279" s="116" t="str">
        <f t="shared" si="10"/>
        <v/>
      </c>
      <c r="AN279" s="117" t="str">
        <f t="shared" si="11"/>
        <v/>
      </c>
      <c r="AO279" s="158"/>
      <c r="AP279" s="18"/>
      <c r="AQ279" s="18"/>
      <c r="AR279" s="18"/>
      <c r="AS279" s="18"/>
      <c r="AT279" s="18"/>
      <c r="AU279" s="54" t="b">
        <v>0</v>
      </c>
      <c r="AV279" s="54" t="b">
        <v>0</v>
      </c>
      <c r="AW279" s="123"/>
      <c r="AX279" s="124"/>
      <c r="AY279" s="124"/>
      <c r="AZ279" s="124"/>
      <c r="BA279" s="125"/>
      <c r="BB279" s="68"/>
      <c r="BC279" s="62"/>
      <c r="BD279" s="129" t="str">
        <f t="shared" si="12"/>
        <v>_</v>
      </c>
      <c r="BE279" s="130" t="str">
        <f>IFERROR(VLOOKUP($BD279,'(勿動)組件目錄表'!$D$15:$R$1094,2,FALSE),"")</f>
        <v/>
      </c>
      <c r="BF279" s="131" t="str">
        <f>IFERROR(VLOOKUP($BD279, '(勿動)組件目錄表'!$D$15:$R$1094, 5, FALSE),"")</f>
        <v/>
      </c>
      <c r="BG279" s="118"/>
      <c r="BH279" s="120"/>
      <c r="BI279" s="118"/>
      <c r="BJ279" s="120"/>
    </row>
    <row r="280" spans="1:62" ht="15.75" customHeight="1">
      <c r="A280" s="18" t="str">
        <f t="array" aca="1" ref="A280" ca="1">IFERROR(TRANSPOSE(INDIRECT('「(動工中勿使用!!)新版+舊版_Teaser」的副本'!$BB280)),"")</f>
        <v/>
      </c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80" t="b">
        <v>0</v>
      </c>
      <c r="AF280" s="111" t="str">
        <f t="shared" si="8"/>
        <v/>
      </c>
      <c r="AG280" s="112" t="str">
        <f t="shared" si="9"/>
        <v/>
      </c>
      <c r="AH280" s="126"/>
      <c r="AI280" s="114" t="str">
        <f ca="1">IFERROR(VLOOKUP($AH280, '(勿動)Component Label公版'!$D$1:$E$1000, 2, FALSE), "-")</f>
        <v>-</v>
      </c>
      <c r="AJ280" s="115"/>
      <c r="AK280" s="112"/>
      <c r="AL280" s="112"/>
      <c r="AM280" s="116" t="str">
        <f t="shared" si="10"/>
        <v/>
      </c>
      <c r="AN280" s="117" t="str">
        <f t="shared" si="11"/>
        <v/>
      </c>
      <c r="AO280" s="158"/>
      <c r="AP280" s="18"/>
      <c r="AQ280" s="18"/>
      <c r="AR280" s="18"/>
      <c r="AS280" s="18"/>
      <c r="AT280" s="18"/>
      <c r="AU280" s="54" t="b">
        <v>0</v>
      </c>
      <c r="AV280" s="54" t="b">
        <v>0</v>
      </c>
      <c r="AW280" s="123"/>
      <c r="AX280" s="124"/>
      <c r="AY280" s="124"/>
      <c r="AZ280" s="124"/>
      <c r="BA280" s="125"/>
      <c r="BB280" s="68"/>
      <c r="BC280" s="62"/>
      <c r="BD280" s="129" t="str">
        <f t="shared" si="12"/>
        <v>_</v>
      </c>
      <c r="BE280" s="130" t="str">
        <f>IFERROR(VLOOKUP($BD280,'(勿動)組件目錄表'!$D$15:$R$1094,2,FALSE),"")</f>
        <v/>
      </c>
      <c r="BF280" s="131" t="str">
        <f>IFERROR(VLOOKUP($BD280, '(勿動)組件目錄表'!$D$15:$R$1094, 5, FALSE),"")</f>
        <v/>
      </c>
      <c r="BG280" s="118"/>
      <c r="BH280" s="120"/>
      <c r="BI280" s="118"/>
      <c r="BJ280" s="120"/>
    </row>
    <row r="281" spans="1:62" ht="15.75" customHeight="1">
      <c r="A281" s="18" t="str">
        <f t="array" aca="1" ref="A281" ca="1">IFERROR(TRANSPOSE(INDIRECT('「(動工中勿使用!!)新版+舊版_Teaser」的副本'!$BB281)),"")</f>
        <v/>
      </c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80" t="b">
        <v>0</v>
      </c>
      <c r="AF281" s="111" t="str">
        <f t="shared" si="8"/>
        <v/>
      </c>
      <c r="AG281" s="112" t="str">
        <f t="shared" si="9"/>
        <v/>
      </c>
      <c r="AH281" s="126"/>
      <c r="AI281" s="114" t="str">
        <f ca="1">IFERROR(VLOOKUP($AH281, '(勿動)Component Label公版'!$D$1:$E$1000, 2, FALSE), "-")</f>
        <v>-</v>
      </c>
      <c r="AJ281" s="115"/>
      <c r="AK281" s="112"/>
      <c r="AL281" s="112"/>
      <c r="AM281" s="116" t="str">
        <f t="shared" si="10"/>
        <v/>
      </c>
      <c r="AN281" s="117" t="str">
        <f t="shared" si="11"/>
        <v/>
      </c>
      <c r="AO281" s="158"/>
      <c r="AP281" s="18"/>
      <c r="AQ281" s="18"/>
      <c r="AR281" s="18"/>
      <c r="AS281" s="18"/>
      <c r="AT281" s="18"/>
      <c r="AU281" s="54" t="b">
        <v>0</v>
      </c>
      <c r="AV281" s="54" t="b">
        <v>0</v>
      </c>
      <c r="AW281" s="123"/>
      <c r="AX281" s="124"/>
      <c r="AY281" s="124"/>
      <c r="AZ281" s="124"/>
      <c r="BA281" s="125"/>
      <c r="BB281" s="68"/>
      <c r="BC281" s="62"/>
      <c r="BD281" s="129" t="str">
        <f t="shared" si="12"/>
        <v>_</v>
      </c>
      <c r="BE281" s="130" t="str">
        <f>IFERROR(VLOOKUP($BD281,'(勿動)組件目錄表'!$D$15:$R$1094,2,FALSE),"")</f>
        <v/>
      </c>
      <c r="BF281" s="131" t="str">
        <f>IFERROR(VLOOKUP($BD281, '(勿動)組件目錄表'!$D$15:$R$1094, 5, FALSE),"")</f>
        <v/>
      </c>
      <c r="BG281" s="118"/>
      <c r="BH281" s="120"/>
      <c r="BI281" s="118"/>
      <c r="BJ281" s="120"/>
    </row>
    <row r="282" spans="1:62" ht="15.75" customHeight="1">
      <c r="A282" s="18" t="str">
        <f t="array" aca="1" ref="A282" ca="1">IFERROR(TRANSPOSE(INDIRECT('「(動工中勿使用!!)新版+舊版_Teaser」的副本'!$BB282)),"")</f>
        <v/>
      </c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80" t="b">
        <v>0</v>
      </c>
      <c r="AF282" s="111" t="str">
        <f t="shared" si="8"/>
        <v/>
      </c>
      <c r="AG282" s="112" t="str">
        <f t="shared" si="9"/>
        <v/>
      </c>
      <c r="AH282" s="126"/>
      <c r="AI282" s="114" t="str">
        <f ca="1">IFERROR(VLOOKUP($AH282, '(勿動)Component Label公版'!$D$1:$E$1000, 2, FALSE), "-")</f>
        <v>-</v>
      </c>
      <c r="AJ282" s="115"/>
      <c r="AK282" s="112"/>
      <c r="AL282" s="112"/>
      <c r="AM282" s="116" t="str">
        <f t="shared" si="10"/>
        <v/>
      </c>
      <c r="AN282" s="117" t="str">
        <f t="shared" si="11"/>
        <v/>
      </c>
      <c r="AO282" s="158"/>
      <c r="AP282" s="18"/>
      <c r="AQ282" s="18"/>
      <c r="AR282" s="18"/>
      <c r="AS282" s="18"/>
      <c r="AT282" s="18"/>
      <c r="AU282" s="54" t="b">
        <v>0</v>
      </c>
      <c r="AV282" s="54" t="b">
        <v>0</v>
      </c>
      <c r="AW282" s="123"/>
      <c r="AX282" s="124"/>
      <c r="AY282" s="124"/>
      <c r="AZ282" s="124"/>
      <c r="BA282" s="125"/>
      <c r="BB282" s="68"/>
      <c r="BC282" s="62"/>
      <c r="BD282" s="129" t="str">
        <f t="shared" si="12"/>
        <v>_</v>
      </c>
      <c r="BE282" s="130" t="str">
        <f>IFERROR(VLOOKUP($BD282,'(勿動)組件目錄表'!$D$15:$R$1094,2,FALSE),"")</f>
        <v/>
      </c>
      <c r="BF282" s="131" t="str">
        <f>IFERROR(VLOOKUP($BD282, '(勿動)組件目錄表'!$D$15:$R$1094, 5, FALSE),"")</f>
        <v/>
      </c>
      <c r="BG282" s="118"/>
      <c r="BH282" s="120"/>
      <c r="BI282" s="118"/>
      <c r="BJ282" s="120"/>
    </row>
    <row r="283" spans="1:62" ht="15.75" customHeight="1">
      <c r="A283" s="18" t="str">
        <f t="array" aca="1" ref="A283" ca="1">IFERROR(TRANSPOSE(INDIRECT('「(動工中勿使用!!)新版+舊版_Teaser」的副本'!$BB283)),"")</f>
        <v/>
      </c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80" t="b">
        <v>0</v>
      </c>
      <c r="AF283" s="111" t="str">
        <f t="shared" si="8"/>
        <v/>
      </c>
      <c r="AG283" s="112" t="str">
        <f t="shared" si="9"/>
        <v/>
      </c>
      <c r="AH283" s="126"/>
      <c r="AI283" s="114" t="str">
        <f ca="1">IFERROR(VLOOKUP($AH283, '(勿動)Component Label公版'!$D$1:$E$1000, 2, FALSE), "-")</f>
        <v>-</v>
      </c>
      <c r="AJ283" s="115"/>
      <c r="AK283" s="112"/>
      <c r="AL283" s="112"/>
      <c r="AM283" s="116" t="str">
        <f t="shared" si="10"/>
        <v/>
      </c>
      <c r="AN283" s="117" t="str">
        <f t="shared" si="11"/>
        <v/>
      </c>
      <c r="AO283" s="158"/>
      <c r="AP283" s="18"/>
      <c r="AQ283" s="18"/>
      <c r="AR283" s="18"/>
      <c r="AS283" s="18"/>
      <c r="AT283" s="18"/>
      <c r="AU283" s="54" t="b">
        <v>0</v>
      </c>
      <c r="AV283" s="54" t="b">
        <v>0</v>
      </c>
      <c r="AW283" s="123"/>
      <c r="AX283" s="124"/>
      <c r="AY283" s="124"/>
      <c r="AZ283" s="124"/>
      <c r="BA283" s="125"/>
      <c r="BB283" s="68"/>
      <c r="BC283" s="62"/>
      <c r="BD283" s="129" t="str">
        <f t="shared" si="12"/>
        <v>_</v>
      </c>
      <c r="BE283" s="130" t="str">
        <f>IFERROR(VLOOKUP($BD283,'(勿動)組件目錄表'!$D$15:$R$1094,2,FALSE),"")</f>
        <v/>
      </c>
      <c r="BF283" s="131" t="str">
        <f>IFERROR(VLOOKUP($BD283, '(勿動)組件目錄表'!$D$15:$R$1094, 5, FALSE),"")</f>
        <v/>
      </c>
      <c r="BG283" s="118"/>
      <c r="BH283" s="120"/>
      <c r="BI283" s="118"/>
      <c r="BJ283" s="120"/>
    </row>
    <row r="284" spans="1:62" ht="15.75" customHeight="1">
      <c r="A284" s="18" t="str">
        <f t="array" aca="1" ref="A284" ca="1">IFERROR(TRANSPOSE(INDIRECT('「(動工中勿使用!!)新版+舊版_Teaser」的副本'!$BB284)),"")</f>
        <v/>
      </c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80" t="b">
        <v>0</v>
      </c>
      <c r="AF284" s="111" t="str">
        <f t="shared" si="8"/>
        <v/>
      </c>
      <c r="AG284" s="112" t="str">
        <f t="shared" si="9"/>
        <v/>
      </c>
      <c r="AH284" s="126"/>
      <c r="AI284" s="114" t="str">
        <f ca="1">IFERROR(VLOOKUP($AH284, '(勿動)Component Label公版'!$D$1:$E$1000, 2, FALSE), "-")</f>
        <v>-</v>
      </c>
      <c r="AJ284" s="115"/>
      <c r="AK284" s="112"/>
      <c r="AL284" s="112"/>
      <c r="AM284" s="116" t="str">
        <f t="shared" si="10"/>
        <v/>
      </c>
      <c r="AN284" s="117" t="str">
        <f t="shared" si="11"/>
        <v/>
      </c>
      <c r="AO284" s="158"/>
      <c r="AP284" s="18"/>
      <c r="AQ284" s="18"/>
      <c r="AR284" s="18"/>
      <c r="AS284" s="18"/>
      <c r="AT284" s="18"/>
      <c r="AU284" s="54" t="b">
        <v>0</v>
      </c>
      <c r="AV284" s="54" t="b">
        <v>0</v>
      </c>
      <c r="AW284" s="123"/>
      <c r="AX284" s="124"/>
      <c r="AY284" s="124"/>
      <c r="AZ284" s="124"/>
      <c r="BA284" s="125"/>
      <c r="BB284" s="68"/>
      <c r="BC284" s="62"/>
      <c r="BD284" s="129" t="str">
        <f t="shared" si="12"/>
        <v>_</v>
      </c>
      <c r="BE284" s="130" t="str">
        <f>IFERROR(VLOOKUP($BD284,'(勿動)組件目錄表'!$D$15:$R$1094,2,FALSE),"")</f>
        <v/>
      </c>
      <c r="BF284" s="131" t="str">
        <f>IFERROR(VLOOKUP($BD284, '(勿動)組件目錄表'!$D$15:$R$1094, 5, FALSE),"")</f>
        <v/>
      </c>
      <c r="BG284" s="118"/>
      <c r="BH284" s="120"/>
      <c r="BI284" s="118"/>
      <c r="BJ284" s="120"/>
    </row>
    <row r="285" spans="1:62" ht="15.75" customHeight="1">
      <c r="A285" s="18" t="str">
        <f t="array" aca="1" ref="A285" ca="1">IFERROR(TRANSPOSE(INDIRECT('「(動工中勿使用!!)新版+舊版_Teaser」的副本'!$BB285)),"")</f>
        <v/>
      </c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80" t="b">
        <v>0</v>
      </c>
      <c r="AF285" s="111" t="str">
        <f t="shared" si="8"/>
        <v/>
      </c>
      <c r="AG285" s="112" t="str">
        <f t="shared" si="9"/>
        <v/>
      </c>
      <c r="AH285" s="126"/>
      <c r="AI285" s="114" t="str">
        <f ca="1">IFERROR(VLOOKUP($AH285, '(勿動)Component Label公版'!$D$1:$E$1000, 2, FALSE), "-")</f>
        <v>-</v>
      </c>
      <c r="AJ285" s="115"/>
      <c r="AK285" s="112"/>
      <c r="AL285" s="112"/>
      <c r="AM285" s="116" t="str">
        <f t="shared" si="10"/>
        <v/>
      </c>
      <c r="AN285" s="117" t="str">
        <f t="shared" si="11"/>
        <v/>
      </c>
      <c r="AO285" s="158"/>
      <c r="AP285" s="18"/>
      <c r="AQ285" s="18"/>
      <c r="AR285" s="18"/>
      <c r="AS285" s="18"/>
      <c r="AT285" s="18"/>
      <c r="AU285" s="54" t="b">
        <v>0</v>
      </c>
      <c r="AV285" s="54" t="b">
        <v>0</v>
      </c>
      <c r="AW285" s="123"/>
      <c r="AX285" s="124"/>
      <c r="AY285" s="124"/>
      <c r="AZ285" s="124"/>
      <c r="BA285" s="125"/>
      <c r="BB285" s="68"/>
      <c r="BC285" s="62"/>
      <c r="BD285" s="129" t="str">
        <f t="shared" si="12"/>
        <v>_</v>
      </c>
      <c r="BE285" s="130" t="str">
        <f>IFERROR(VLOOKUP($BD285,'(勿動)組件目錄表'!$D$15:$R$1094,2,FALSE),"")</f>
        <v/>
      </c>
      <c r="BF285" s="131" t="str">
        <f>IFERROR(VLOOKUP($BD285, '(勿動)組件目錄表'!$D$15:$R$1094, 5, FALSE),"")</f>
        <v/>
      </c>
      <c r="BG285" s="118"/>
      <c r="BH285" s="120"/>
      <c r="BI285" s="118"/>
      <c r="BJ285" s="120"/>
    </row>
    <row r="286" spans="1:62" ht="15.75" customHeight="1">
      <c r="A286" s="18" t="str">
        <f t="array" aca="1" ref="A286" ca="1">IFERROR(TRANSPOSE(INDIRECT('「(動工中勿使用!!)新版+舊版_Teaser」的副本'!$BB286)),"")</f>
        <v/>
      </c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80" t="b">
        <v>0</v>
      </c>
      <c r="AF286" s="111" t="str">
        <f t="shared" si="8"/>
        <v/>
      </c>
      <c r="AG286" s="112" t="str">
        <f t="shared" si="9"/>
        <v/>
      </c>
      <c r="AH286" s="126"/>
      <c r="AI286" s="114" t="str">
        <f ca="1">IFERROR(VLOOKUP($AH286, '(勿動)Component Label公版'!$D$1:$E$1000, 2, FALSE), "-")</f>
        <v>-</v>
      </c>
      <c r="AJ286" s="115"/>
      <c r="AK286" s="112"/>
      <c r="AL286" s="112"/>
      <c r="AM286" s="116" t="str">
        <f t="shared" si="10"/>
        <v/>
      </c>
      <c r="AN286" s="117" t="str">
        <f t="shared" si="11"/>
        <v/>
      </c>
      <c r="AO286" s="158"/>
      <c r="AP286" s="18"/>
      <c r="AQ286" s="18"/>
      <c r="AR286" s="18"/>
      <c r="AS286" s="18"/>
      <c r="AT286" s="18"/>
      <c r="AU286" s="54" t="b">
        <v>0</v>
      </c>
      <c r="AV286" s="54" t="b">
        <v>0</v>
      </c>
      <c r="AW286" s="123"/>
      <c r="AX286" s="124"/>
      <c r="AY286" s="124"/>
      <c r="AZ286" s="124"/>
      <c r="BA286" s="125"/>
      <c r="BB286" s="68"/>
      <c r="BC286" s="62"/>
      <c r="BD286" s="129" t="str">
        <f t="shared" si="12"/>
        <v>_</v>
      </c>
      <c r="BE286" s="130" t="str">
        <f>IFERROR(VLOOKUP($BD286,'(勿動)組件目錄表'!$D$15:$R$1094,2,FALSE),"")</f>
        <v/>
      </c>
      <c r="BF286" s="131" t="str">
        <f>IFERROR(VLOOKUP($BD286, '(勿動)組件目錄表'!$D$15:$R$1094, 5, FALSE),"")</f>
        <v/>
      </c>
      <c r="BG286" s="118"/>
      <c r="BH286" s="120"/>
      <c r="BI286" s="118"/>
      <c r="BJ286" s="120"/>
    </row>
    <row r="287" spans="1:62" ht="15.75" customHeight="1">
      <c r="A287" s="18" t="str">
        <f t="array" aca="1" ref="A287" ca="1">IFERROR(TRANSPOSE(INDIRECT('「(動工中勿使用!!)新版+舊版_Teaser」的副本'!$BB287)),"")</f>
        <v/>
      </c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80" t="b">
        <v>0</v>
      </c>
      <c r="AF287" s="111" t="str">
        <f t="shared" si="8"/>
        <v/>
      </c>
      <c r="AG287" s="112" t="str">
        <f t="shared" si="9"/>
        <v/>
      </c>
      <c r="AH287" s="126"/>
      <c r="AI287" s="114" t="str">
        <f ca="1">IFERROR(VLOOKUP($AH287, '(勿動)Component Label公版'!$D$1:$E$1000, 2, FALSE), "-")</f>
        <v>-</v>
      </c>
      <c r="AJ287" s="115"/>
      <c r="AK287" s="112"/>
      <c r="AL287" s="112"/>
      <c r="AM287" s="116" t="str">
        <f t="shared" si="10"/>
        <v/>
      </c>
      <c r="AN287" s="117" t="str">
        <f t="shared" si="11"/>
        <v/>
      </c>
      <c r="AO287" s="158"/>
      <c r="AP287" s="18"/>
      <c r="AQ287" s="18"/>
      <c r="AR287" s="18"/>
      <c r="AS287" s="18"/>
      <c r="AT287" s="18"/>
      <c r="AU287" s="54" t="b">
        <v>0</v>
      </c>
      <c r="AV287" s="54" t="b">
        <v>0</v>
      </c>
      <c r="AW287" s="123"/>
      <c r="AX287" s="124"/>
      <c r="AY287" s="124"/>
      <c r="AZ287" s="124"/>
      <c r="BA287" s="125"/>
      <c r="BB287" s="68"/>
      <c r="BC287" s="62"/>
      <c r="BD287" s="129" t="str">
        <f t="shared" si="12"/>
        <v>_</v>
      </c>
      <c r="BE287" s="130" t="str">
        <f>IFERROR(VLOOKUP($BD287,'(勿動)組件目錄表'!$D$15:$R$1094,2,FALSE),"")</f>
        <v/>
      </c>
      <c r="BF287" s="131" t="str">
        <f>IFERROR(VLOOKUP($BD287, '(勿動)組件目錄表'!$D$15:$R$1094, 5, FALSE),"")</f>
        <v/>
      </c>
      <c r="BG287" s="118"/>
      <c r="BH287" s="120"/>
      <c r="BI287" s="118"/>
      <c r="BJ287" s="120"/>
    </row>
    <row r="288" spans="1:62" ht="15.75" customHeight="1">
      <c r="A288" s="18" t="str">
        <f t="array" aca="1" ref="A288" ca="1">IFERROR(TRANSPOSE(INDIRECT('「(動工中勿使用!!)新版+舊版_Teaser」的副本'!$BB288)),"")</f>
        <v/>
      </c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80" t="b">
        <v>0</v>
      </c>
      <c r="AF288" s="111" t="str">
        <f t="shared" ref="AF288:AF451" si="13">IF(AE288=TRUE,"若有勾選則必填，隱藏錨點請填寫&lt;設隱形錨點&gt;","")</f>
        <v/>
      </c>
      <c r="AG288" s="112" t="str">
        <f t="shared" si="9"/>
        <v/>
      </c>
      <c r="AH288" s="126"/>
      <c r="AI288" s="114" t="str">
        <f ca="1">IFERROR(VLOOKUP($AH288, '(勿動)Component Label公版'!$D$1:$E$1000, 2, FALSE), "-")</f>
        <v>-</v>
      </c>
      <c r="AJ288" s="115"/>
      <c r="AK288" s="112"/>
      <c r="AL288" s="112"/>
      <c r="AM288" s="116" t="str">
        <f t="shared" si="10"/>
        <v/>
      </c>
      <c r="AN288" s="117" t="str">
        <f t="shared" si="11"/>
        <v/>
      </c>
      <c r="AO288" s="158"/>
      <c r="AP288" s="18"/>
      <c r="AQ288" s="18"/>
      <c r="AR288" s="18"/>
      <c r="AS288" s="18"/>
      <c r="AT288" s="18"/>
      <c r="AU288" s="54" t="b">
        <v>0</v>
      </c>
      <c r="AV288" s="54" t="b">
        <v>0</v>
      </c>
      <c r="AW288" s="123"/>
      <c r="AX288" s="124"/>
      <c r="AY288" s="124"/>
      <c r="AZ288" s="124"/>
      <c r="BA288" s="125"/>
      <c r="BB288" s="68"/>
      <c r="BC288" s="62"/>
      <c r="BD288" s="129" t="str">
        <f t="shared" si="12"/>
        <v>_</v>
      </c>
      <c r="BE288" s="130" t="str">
        <f>IFERROR(VLOOKUP($BD288,'(勿動)組件目錄表'!$D$15:$R$1094,2,FALSE),"")</f>
        <v/>
      </c>
      <c r="BF288" s="131" t="str">
        <f>IFERROR(VLOOKUP($BD288, '(勿動)組件目錄表'!$D$15:$R$1094, 5, FALSE),"")</f>
        <v/>
      </c>
      <c r="BG288" s="118"/>
      <c r="BH288" s="120"/>
      <c r="BI288" s="118"/>
      <c r="BJ288" s="120"/>
    </row>
    <row r="289" spans="1:62" ht="15.75" customHeight="1">
      <c r="A289" s="18" t="str">
        <f t="array" aca="1" ref="A289" ca="1">IFERROR(TRANSPOSE(INDIRECT('「(動工中勿使用!!)新版+舊版_Teaser」的副本'!$BB289)),"")</f>
        <v/>
      </c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80" t="b">
        <v>0</v>
      </c>
      <c r="AF289" s="111" t="str">
        <f t="shared" si="13"/>
        <v/>
      </c>
      <c r="AG289" s="112" t="str">
        <f t="shared" si="9"/>
        <v/>
      </c>
      <c r="AH289" s="126"/>
      <c r="AI289" s="114" t="str">
        <f ca="1">IFERROR(VLOOKUP($AH289, '(勿動)Component Label公版'!$D$1:$E$1000, 2, FALSE), "-")</f>
        <v>-</v>
      </c>
      <c r="AJ289" s="115"/>
      <c r="AK289" s="112"/>
      <c r="AL289" s="112"/>
      <c r="AM289" s="116" t="str">
        <f t="shared" si="10"/>
        <v/>
      </c>
      <c r="AN289" s="117" t="str">
        <f t="shared" si="11"/>
        <v/>
      </c>
      <c r="AO289" s="158"/>
      <c r="AP289" s="18"/>
      <c r="AQ289" s="18"/>
      <c r="AR289" s="18"/>
      <c r="AS289" s="18"/>
      <c r="AT289" s="18"/>
      <c r="AU289" s="54" t="b">
        <v>0</v>
      </c>
      <c r="AV289" s="54" t="b">
        <v>0</v>
      </c>
      <c r="AW289" s="123"/>
      <c r="AX289" s="124"/>
      <c r="AY289" s="124"/>
      <c r="AZ289" s="124"/>
      <c r="BA289" s="125"/>
      <c r="BB289" s="68"/>
      <c r="BC289" s="62"/>
      <c r="BD289" s="129" t="str">
        <f t="shared" si="12"/>
        <v>_</v>
      </c>
      <c r="BE289" s="130" t="str">
        <f>IFERROR(VLOOKUP($BD289,'(勿動)組件目錄表'!$D$15:$R$1094,2,FALSE),"")</f>
        <v/>
      </c>
      <c r="BF289" s="131" t="str">
        <f>IFERROR(VLOOKUP($BD289, '(勿動)組件目錄表'!$D$15:$R$1094, 5, FALSE),"")</f>
        <v/>
      </c>
      <c r="BG289" s="118"/>
      <c r="BH289" s="120"/>
      <c r="BI289" s="118"/>
      <c r="BJ289" s="120"/>
    </row>
    <row r="290" spans="1:62" ht="15.75" customHeight="1">
      <c r="A290" s="18" t="str">
        <f t="array" aca="1" ref="A290" ca="1">IFERROR(TRANSPOSE(INDIRECT('「(動工中勿使用!!)新版+舊版_Teaser」的副本'!$BB290)),"")</f>
        <v/>
      </c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80" t="b">
        <v>0</v>
      </c>
      <c r="AF290" s="111" t="str">
        <f t="shared" si="13"/>
        <v/>
      </c>
      <c r="AG290" s="112" t="str">
        <f t="shared" si="9"/>
        <v/>
      </c>
      <c r="AH290" s="126"/>
      <c r="AI290" s="114" t="str">
        <f ca="1">IFERROR(VLOOKUP($AH290, '(勿動)Component Label公版'!$D$1:$E$1000, 2, FALSE), "-")</f>
        <v>-</v>
      </c>
      <c r="AJ290" s="115"/>
      <c r="AK290" s="112"/>
      <c r="AL290" s="112"/>
      <c r="AM290" s="116" t="str">
        <f t="shared" si="10"/>
        <v/>
      </c>
      <c r="AN290" s="117" t="str">
        <f t="shared" si="11"/>
        <v/>
      </c>
      <c r="AO290" s="158"/>
      <c r="AP290" s="18"/>
      <c r="AQ290" s="18"/>
      <c r="AR290" s="18"/>
      <c r="AS290" s="18"/>
      <c r="AT290" s="18"/>
      <c r="AU290" s="54" t="b">
        <v>0</v>
      </c>
      <c r="AV290" s="54" t="b">
        <v>0</v>
      </c>
      <c r="AW290" s="123"/>
      <c r="AX290" s="124"/>
      <c r="AY290" s="124"/>
      <c r="AZ290" s="124"/>
      <c r="BA290" s="125"/>
      <c r="BB290" s="68"/>
      <c r="BC290" s="62"/>
      <c r="BD290" s="129" t="str">
        <f t="shared" si="12"/>
        <v>_</v>
      </c>
      <c r="BE290" s="130" t="str">
        <f>IFERROR(VLOOKUP($BD290,'(勿動)組件目錄表'!$D$15:$R$1094,2,FALSE),"")</f>
        <v/>
      </c>
      <c r="BF290" s="131" t="str">
        <f>IFERROR(VLOOKUP($BD290, '(勿動)組件目錄表'!$D$15:$R$1094, 5, FALSE),"")</f>
        <v/>
      </c>
      <c r="BG290" s="118"/>
      <c r="BH290" s="120"/>
      <c r="BI290" s="118"/>
      <c r="BJ290" s="120"/>
    </row>
    <row r="291" spans="1:62" ht="15.75" customHeight="1">
      <c r="A291" s="18" t="str">
        <f t="array" aca="1" ref="A291" ca="1">IFERROR(TRANSPOSE(INDIRECT('「(動工中勿使用!!)新版+舊版_Teaser」的副本'!$BB291)),"")</f>
        <v/>
      </c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80" t="b">
        <v>0</v>
      </c>
      <c r="AF291" s="111" t="str">
        <f t="shared" si="13"/>
        <v/>
      </c>
      <c r="AG291" s="112" t="str">
        <f t="shared" si="9"/>
        <v/>
      </c>
      <c r="AH291" s="126"/>
      <c r="AI291" s="114" t="str">
        <f ca="1">IFERROR(VLOOKUP($AH291, '(勿動)Component Label公版'!$D$1:$E$1000, 2, FALSE), "-")</f>
        <v>-</v>
      </c>
      <c r="AJ291" s="115"/>
      <c r="AK291" s="112"/>
      <c r="AL291" s="112"/>
      <c r="AM291" s="116" t="str">
        <f t="shared" si="10"/>
        <v/>
      </c>
      <c r="AN291" s="117" t="str">
        <f t="shared" si="11"/>
        <v/>
      </c>
      <c r="AO291" s="158"/>
      <c r="AP291" s="18"/>
      <c r="AQ291" s="18"/>
      <c r="AR291" s="18"/>
      <c r="AS291" s="18"/>
      <c r="AT291" s="18"/>
      <c r="AU291" s="54" t="b">
        <v>0</v>
      </c>
      <c r="AV291" s="54" t="b">
        <v>0</v>
      </c>
      <c r="AW291" s="123"/>
      <c r="AX291" s="124"/>
      <c r="AY291" s="124"/>
      <c r="AZ291" s="124"/>
      <c r="BA291" s="125"/>
      <c r="BB291" s="68"/>
      <c r="BC291" s="62"/>
      <c r="BD291" s="129" t="str">
        <f t="shared" si="12"/>
        <v>_</v>
      </c>
      <c r="BE291" s="130" t="str">
        <f>IFERROR(VLOOKUP($BD291,'(勿動)組件目錄表'!$D$15:$R$1094,2,FALSE),"")</f>
        <v/>
      </c>
      <c r="BF291" s="131" t="str">
        <f>IFERROR(VLOOKUP($BD291, '(勿動)組件目錄表'!$D$15:$R$1094, 5, FALSE),"")</f>
        <v/>
      </c>
      <c r="BG291" s="118"/>
      <c r="BH291" s="120"/>
      <c r="BI291" s="118"/>
      <c r="BJ291" s="120"/>
    </row>
    <row r="292" spans="1:62" ht="15.75" customHeight="1">
      <c r="A292" s="18" t="str">
        <f t="array" aca="1" ref="A292" ca="1">IFERROR(TRANSPOSE(INDIRECT('「(動工中勿使用!!)新版+舊版_Teaser」的副本'!$BB292)),"")</f>
        <v/>
      </c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80" t="b">
        <v>0</v>
      </c>
      <c r="AF292" s="111" t="str">
        <f t="shared" si="13"/>
        <v/>
      </c>
      <c r="AG292" s="112" t="str">
        <f t="shared" si="9"/>
        <v/>
      </c>
      <c r="AH292" s="126"/>
      <c r="AI292" s="114" t="str">
        <f ca="1">IFERROR(VLOOKUP($AH292, '(勿動)Component Label公版'!$D$1:$E$1000, 2, FALSE), "-")</f>
        <v>-</v>
      </c>
      <c r="AJ292" s="115"/>
      <c r="AK292" s="112"/>
      <c r="AL292" s="112"/>
      <c r="AM292" s="116" t="str">
        <f t="shared" si="10"/>
        <v/>
      </c>
      <c r="AN292" s="117" t="str">
        <f t="shared" si="11"/>
        <v/>
      </c>
      <c r="AO292" s="158"/>
      <c r="AP292" s="18"/>
      <c r="AQ292" s="18"/>
      <c r="AR292" s="18"/>
      <c r="AS292" s="18"/>
      <c r="AT292" s="18"/>
      <c r="AU292" s="54" t="b">
        <v>0</v>
      </c>
      <c r="AV292" s="54" t="b">
        <v>0</v>
      </c>
      <c r="AW292" s="123"/>
      <c r="AX292" s="124"/>
      <c r="AY292" s="124"/>
      <c r="AZ292" s="124"/>
      <c r="BA292" s="125"/>
      <c r="BB292" s="68"/>
      <c r="BC292" s="62"/>
      <c r="BD292" s="129" t="str">
        <f t="shared" si="12"/>
        <v>_</v>
      </c>
      <c r="BE292" s="130" t="str">
        <f>IFERROR(VLOOKUP($BD292,'(勿動)組件目錄表'!$D$15:$R$1094,2,FALSE),"")</f>
        <v/>
      </c>
      <c r="BF292" s="131" t="str">
        <f>IFERROR(VLOOKUP($BD292, '(勿動)組件目錄表'!$D$15:$R$1094, 5, FALSE),"")</f>
        <v/>
      </c>
      <c r="BG292" s="118"/>
      <c r="BH292" s="120"/>
      <c r="BI292" s="118"/>
      <c r="BJ292" s="120"/>
    </row>
    <row r="293" spans="1:62" ht="15.75" customHeight="1">
      <c r="A293" s="18" t="str">
        <f t="array" aca="1" ref="A293" ca="1">IFERROR(TRANSPOSE(INDIRECT('「(動工中勿使用!!)新版+舊版_Teaser」的副本'!$BB293)),"")</f>
        <v/>
      </c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80" t="b">
        <v>0</v>
      </c>
      <c r="AF293" s="111" t="str">
        <f t="shared" si="13"/>
        <v/>
      </c>
      <c r="AG293" s="112" t="str">
        <f t="shared" si="9"/>
        <v/>
      </c>
      <c r="AH293" s="126"/>
      <c r="AI293" s="114" t="str">
        <f ca="1">IFERROR(VLOOKUP($AH293, '(勿動)Component Label公版'!$D$1:$E$1000, 2, FALSE), "-")</f>
        <v>-</v>
      </c>
      <c r="AJ293" s="115"/>
      <c r="AK293" s="112"/>
      <c r="AL293" s="112"/>
      <c r="AM293" s="116" t="str">
        <f t="shared" si="10"/>
        <v/>
      </c>
      <c r="AN293" s="117" t="str">
        <f t="shared" si="11"/>
        <v/>
      </c>
      <c r="AO293" s="158"/>
      <c r="AP293" s="18"/>
      <c r="AQ293" s="18"/>
      <c r="AR293" s="18"/>
      <c r="AS293" s="18"/>
      <c r="AT293" s="18"/>
      <c r="AU293" s="54" t="b">
        <v>0</v>
      </c>
      <c r="AV293" s="54" t="b">
        <v>0</v>
      </c>
      <c r="AW293" s="123"/>
      <c r="AX293" s="124"/>
      <c r="AY293" s="124"/>
      <c r="AZ293" s="124"/>
      <c r="BA293" s="125"/>
      <c r="BB293" s="68"/>
      <c r="BC293" s="62"/>
      <c r="BD293" s="129" t="str">
        <f t="shared" si="12"/>
        <v>_</v>
      </c>
      <c r="BE293" s="130" t="str">
        <f>IFERROR(VLOOKUP($BD293,'(勿動)組件目錄表'!$D$15:$R$1094,2,FALSE),"")</f>
        <v/>
      </c>
      <c r="BF293" s="131" t="str">
        <f>IFERROR(VLOOKUP($BD293, '(勿動)組件目錄表'!$D$15:$R$1094, 5, FALSE),"")</f>
        <v/>
      </c>
      <c r="BG293" s="118"/>
      <c r="BH293" s="120"/>
      <c r="BI293" s="118"/>
      <c r="BJ293" s="120"/>
    </row>
    <row r="294" spans="1:62" ht="15.75" customHeight="1">
      <c r="A294" s="18" t="str">
        <f t="array" aca="1" ref="A294" ca="1">IFERROR(TRANSPOSE(INDIRECT('「(動工中勿使用!!)新版+舊版_Teaser」的副本'!$BB294)),"")</f>
        <v/>
      </c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80" t="b">
        <v>0</v>
      </c>
      <c r="AF294" s="111" t="str">
        <f t="shared" si="13"/>
        <v/>
      </c>
      <c r="AG294" s="112" t="str">
        <f t="shared" si="9"/>
        <v/>
      </c>
      <c r="AH294" s="126"/>
      <c r="AI294" s="114" t="str">
        <f ca="1">IFERROR(VLOOKUP($AH294, '(勿動)Component Label公版'!$D$1:$E$1000, 2, FALSE), "-")</f>
        <v>-</v>
      </c>
      <c r="AJ294" s="115"/>
      <c r="AK294" s="112"/>
      <c r="AL294" s="112"/>
      <c r="AM294" s="116" t="str">
        <f t="shared" si="10"/>
        <v/>
      </c>
      <c r="AN294" s="117" t="str">
        <f t="shared" si="11"/>
        <v/>
      </c>
      <c r="AO294" s="158"/>
      <c r="AP294" s="18"/>
      <c r="AQ294" s="18"/>
      <c r="AR294" s="18"/>
      <c r="AS294" s="18"/>
      <c r="AT294" s="18"/>
      <c r="AU294" s="54" t="b">
        <v>0</v>
      </c>
      <c r="AV294" s="54" t="b">
        <v>0</v>
      </c>
      <c r="AW294" s="123"/>
      <c r="AX294" s="124"/>
      <c r="AY294" s="124"/>
      <c r="AZ294" s="124"/>
      <c r="BA294" s="125"/>
      <c r="BB294" s="68"/>
      <c r="BC294" s="62"/>
      <c r="BD294" s="129" t="str">
        <f t="shared" si="12"/>
        <v>_</v>
      </c>
      <c r="BE294" s="130" t="str">
        <f>IFERROR(VLOOKUP($BD294,'(勿動)組件目錄表'!$D$15:$R$1094,2,FALSE),"")</f>
        <v/>
      </c>
      <c r="BF294" s="131" t="str">
        <f>IFERROR(VLOOKUP($BD294, '(勿動)組件目錄表'!$D$15:$R$1094, 5, FALSE),"")</f>
        <v/>
      </c>
      <c r="BG294" s="118"/>
      <c r="BH294" s="120"/>
      <c r="BI294" s="118"/>
      <c r="BJ294" s="120"/>
    </row>
    <row r="295" spans="1:62" ht="15.75" customHeight="1">
      <c r="A295" s="18" t="str">
        <f t="array" aca="1" ref="A295" ca="1">IFERROR(TRANSPOSE(INDIRECT('「(動工中勿使用!!)新版+舊版_Teaser」的副本'!$BB295)),"")</f>
        <v/>
      </c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80" t="b">
        <v>0</v>
      </c>
      <c r="AF295" s="111" t="str">
        <f t="shared" si="13"/>
        <v/>
      </c>
      <c r="AG295" s="112" t="str">
        <f t="shared" si="9"/>
        <v/>
      </c>
      <c r="AH295" s="126"/>
      <c r="AI295" s="114" t="str">
        <f ca="1">IFERROR(VLOOKUP($AH295, '(勿動)Component Label公版'!$D$1:$E$1000, 2, FALSE), "-")</f>
        <v>-</v>
      </c>
      <c r="AJ295" s="115"/>
      <c r="AK295" s="112"/>
      <c r="AL295" s="112"/>
      <c r="AM295" s="116" t="str">
        <f t="shared" si="10"/>
        <v/>
      </c>
      <c r="AN295" s="117" t="str">
        <f t="shared" si="11"/>
        <v/>
      </c>
      <c r="AO295" s="158"/>
      <c r="AP295" s="18"/>
      <c r="AQ295" s="18"/>
      <c r="AR295" s="18"/>
      <c r="AS295" s="18"/>
      <c r="AT295" s="18"/>
      <c r="AU295" s="54" t="b">
        <v>0</v>
      </c>
      <c r="AV295" s="54" t="b">
        <v>0</v>
      </c>
      <c r="AW295" s="123"/>
      <c r="AX295" s="124"/>
      <c r="AY295" s="124"/>
      <c r="AZ295" s="124"/>
      <c r="BA295" s="125"/>
      <c r="BB295" s="68"/>
      <c r="BC295" s="62"/>
      <c r="BD295" s="129" t="str">
        <f t="shared" si="12"/>
        <v>_</v>
      </c>
      <c r="BE295" s="130" t="str">
        <f>IFERROR(VLOOKUP($BD295,'(勿動)組件目錄表'!$D$15:$R$1094,2,FALSE),"")</f>
        <v/>
      </c>
      <c r="BF295" s="131" t="str">
        <f>IFERROR(VLOOKUP($BD295, '(勿動)組件目錄表'!$D$15:$R$1094, 5, FALSE),"")</f>
        <v/>
      </c>
      <c r="BG295" s="118"/>
      <c r="BH295" s="120"/>
      <c r="BI295" s="118"/>
      <c r="BJ295" s="120"/>
    </row>
    <row r="296" spans="1:62" ht="15.75" customHeight="1">
      <c r="A296" s="18" t="str">
        <f t="array" aca="1" ref="A296" ca="1">IFERROR(TRANSPOSE(INDIRECT('「(動工中勿使用!!)新版+舊版_Teaser」的副本'!$BB296)),"")</f>
        <v/>
      </c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80" t="b">
        <v>0</v>
      </c>
      <c r="AF296" s="111" t="str">
        <f t="shared" si="13"/>
        <v/>
      </c>
      <c r="AG296" s="112" t="str">
        <f t="shared" si="9"/>
        <v/>
      </c>
      <c r="AH296" s="126"/>
      <c r="AI296" s="114" t="str">
        <f ca="1">IFERROR(VLOOKUP($AH296, '(勿動)Component Label公版'!$D$1:$E$1000, 2, FALSE), "-")</f>
        <v>-</v>
      </c>
      <c r="AJ296" s="115"/>
      <c r="AK296" s="112"/>
      <c r="AL296" s="112"/>
      <c r="AM296" s="116" t="str">
        <f t="shared" si="10"/>
        <v/>
      </c>
      <c r="AN296" s="117" t="str">
        <f t="shared" si="11"/>
        <v/>
      </c>
      <c r="AO296" s="158"/>
      <c r="AP296" s="18"/>
      <c r="AQ296" s="18"/>
      <c r="AR296" s="18"/>
      <c r="AS296" s="18"/>
      <c r="AT296" s="18"/>
      <c r="AU296" s="54" t="b">
        <v>0</v>
      </c>
      <c r="AV296" s="54" t="b">
        <v>0</v>
      </c>
      <c r="AW296" s="123"/>
      <c r="AX296" s="124"/>
      <c r="AY296" s="124"/>
      <c r="AZ296" s="124"/>
      <c r="BA296" s="125"/>
      <c r="BB296" s="68"/>
      <c r="BC296" s="62"/>
      <c r="BD296" s="129" t="str">
        <f t="shared" si="12"/>
        <v>_</v>
      </c>
      <c r="BE296" s="130" t="str">
        <f>IFERROR(VLOOKUP($BD296,'(勿動)組件目錄表'!$D$15:$R$1094,2,FALSE),"")</f>
        <v/>
      </c>
      <c r="BF296" s="131" t="str">
        <f>IFERROR(VLOOKUP($BD296, '(勿動)組件目錄表'!$D$15:$R$1094, 5, FALSE),"")</f>
        <v/>
      </c>
      <c r="BG296" s="118"/>
      <c r="BH296" s="120"/>
      <c r="BI296" s="118"/>
      <c r="BJ296" s="120"/>
    </row>
    <row r="297" spans="1:62" ht="15.75" customHeight="1">
      <c r="A297" s="18" t="str">
        <f t="array" aca="1" ref="A297" ca="1">IFERROR(TRANSPOSE(INDIRECT('「(動工中勿使用!!)新版+舊版_Teaser」的副本'!$BB297)),"")</f>
        <v/>
      </c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80" t="b">
        <v>0</v>
      </c>
      <c r="AF297" s="111" t="str">
        <f t="shared" si="13"/>
        <v/>
      </c>
      <c r="AG297" s="112" t="str">
        <f t="shared" si="9"/>
        <v/>
      </c>
      <c r="AH297" s="126"/>
      <c r="AI297" s="114" t="str">
        <f ca="1">IFERROR(VLOOKUP($AH297, '(勿動)Component Label公版'!$D$1:$E$1000, 2, FALSE), "-")</f>
        <v>-</v>
      </c>
      <c r="AJ297" s="115"/>
      <c r="AK297" s="112"/>
      <c r="AL297" s="112"/>
      <c r="AM297" s="116" t="str">
        <f t="shared" si="10"/>
        <v/>
      </c>
      <c r="AN297" s="117" t="str">
        <f t="shared" si="11"/>
        <v/>
      </c>
      <c r="AO297" s="158"/>
      <c r="AP297" s="18"/>
      <c r="AQ297" s="18"/>
      <c r="AR297" s="18"/>
      <c r="AS297" s="18"/>
      <c r="AT297" s="18"/>
      <c r="AU297" s="54" t="b">
        <v>0</v>
      </c>
      <c r="AV297" s="54" t="b">
        <v>0</v>
      </c>
      <c r="AW297" s="123"/>
      <c r="AX297" s="124"/>
      <c r="AY297" s="124"/>
      <c r="AZ297" s="124"/>
      <c r="BA297" s="125"/>
      <c r="BB297" s="68"/>
      <c r="BC297" s="62"/>
      <c r="BD297" s="129" t="str">
        <f t="shared" si="12"/>
        <v>_</v>
      </c>
      <c r="BE297" s="130" t="str">
        <f>IFERROR(VLOOKUP($BD297,'(勿動)組件目錄表'!$D$15:$R$1094,2,FALSE),"")</f>
        <v/>
      </c>
      <c r="BF297" s="131" t="str">
        <f>IFERROR(VLOOKUP($BD297, '(勿動)組件目錄表'!$D$15:$R$1094, 5, FALSE),"")</f>
        <v/>
      </c>
      <c r="BG297" s="118"/>
      <c r="BH297" s="120"/>
      <c r="BI297" s="118"/>
      <c r="BJ297" s="120"/>
    </row>
    <row r="298" spans="1:62" ht="15.75" customHeight="1">
      <c r="A298" s="18" t="str">
        <f t="array" aca="1" ref="A298" ca="1">IFERROR(TRANSPOSE(INDIRECT('「(動工中勿使用!!)新版+舊版_Teaser」的副本'!$BB298)),"")</f>
        <v/>
      </c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80" t="b">
        <v>0</v>
      </c>
      <c r="AF298" s="111" t="str">
        <f t="shared" si="13"/>
        <v/>
      </c>
      <c r="AG298" s="112" t="str">
        <f t="shared" si="9"/>
        <v/>
      </c>
      <c r="AH298" s="126"/>
      <c r="AI298" s="114" t="str">
        <f ca="1">IFERROR(VLOOKUP($AH298, '(勿動)Component Label公版'!$D$1:$E$1000, 2, FALSE), "-")</f>
        <v>-</v>
      </c>
      <c r="AJ298" s="115"/>
      <c r="AK298" s="112"/>
      <c r="AL298" s="112"/>
      <c r="AM298" s="116" t="str">
        <f t="shared" si="10"/>
        <v/>
      </c>
      <c r="AN298" s="117" t="str">
        <f t="shared" si="11"/>
        <v/>
      </c>
      <c r="AO298" s="158"/>
      <c r="AP298" s="18"/>
      <c r="AQ298" s="18"/>
      <c r="AR298" s="18"/>
      <c r="AS298" s="18"/>
      <c r="AT298" s="18"/>
      <c r="AU298" s="54" t="b">
        <v>0</v>
      </c>
      <c r="AV298" s="54" t="b">
        <v>0</v>
      </c>
      <c r="AW298" s="123"/>
      <c r="AX298" s="124"/>
      <c r="AY298" s="124"/>
      <c r="AZ298" s="124"/>
      <c r="BA298" s="125"/>
      <c r="BB298" s="68"/>
      <c r="BC298" s="62"/>
      <c r="BD298" s="129" t="str">
        <f t="shared" si="12"/>
        <v>_</v>
      </c>
      <c r="BE298" s="130" t="str">
        <f>IFERROR(VLOOKUP($BD298,'(勿動)組件目錄表'!$D$15:$R$1094,2,FALSE),"")</f>
        <v/>
      </c>
      <c r="BF298" s="131" t="str">
        <f>IFERROR(VLOOKUP($BD298, '(勿動)組件目錄表'!$D$15:$R$1094, 5, FALSE),"")</f>
        <v/>
      </c>
      <c r="BG298" s="118"/>
      <c r="BH298" s="120"/>
      <c r="BI298" s="118"/>
      <c r="BJ298" s="120"/>
    </row>
    <row r="299" spans="1:62" ht="15.75" customHeight="1">
      <c r="A299" s="18" t="str">
        <f t="array" aca="1" ref="A299" ca="1">IFERROR(TRANSPOSE(INDIRECT('「(動工中勿使用!!)新版+舊版_Teaser」的副本'!$BB299)),"")</f>
        <v/>
      </c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80" t="b">
        <v>0</v>
      </c>
      <c r="AF299" s="111" t="str">
        <f t="shared" si="13"/>
        <v/>
      </c>
      <c r="AG299" s="112" t="str">
        <f t="shared" si="9"/>
        <v/>
      </c>
      <c r="AH299" s="126"/>
      <c r="AI299" s="114" t="str">
        <f ca="1">IFERROR(VLOOKUP($AH299, '(勿動)Component Label公版'!$D$1:$E$1000, 2, FALSE), "-")</f>
        <v>-</v>
      </c>
      <c r="AJ299" s="115"/>
      <c r="AK299" s="112"/>
      <c r="AL299" s="112"/>
      <c r="AM299" s="116" t="str">
        <f t="shared" si="10"/>
        <v/>
      </c>
      <c r="AN299" s="117" t="str">
        <f t="shared" si="11"/>
        <v/>
      </c>
      <c r="AO299" s="158"/>
      <c r="AP299" s="18"/>
      <c r="AQ299" s="18"/>
      <c r="AR299" s="18"/>
      <c r="AS299" s="18"/>
      <c r="AT299" s="18"/>
      <c r="AU299" s="54" t="b">
        <v>0</v>
      </c>
      <c r="AV299" s="54" t="b">
        <v>0</v>
      </c>
      <c r="AW299" s="123"/>
      <c r="AX299" s="124"/>
      <c r="AY299" s="124"/>
      <c r="AZ299" s="124"/>
      <c r="BA299" s="125"/>
      <c r="BB299" s="68"/>
      <c r="BC299" s="62"/>
      <c r="BD299" s="129" t="str">
        <f t="shared" si="12"/>
        <v>_</v>
      </c>
      <c r="BE299" s="130" t="str">
        <f>IFERROR(VLOOKUP($BD299,'(勿動)組件目錄表'!$D$15:$R$1094,2,FALSE),"")</f>
        <v/>
      </c>
      <c r="BF299" s="131" t="str">
        <f>IFERROR(VLOOKUP($BD299, '(勿動)組件目錄表'!$D$15:$R$1094, 5, FALSE),"")</f>
        <v/>
      </c>
      <c r="BG299" s="118"/>
      <c r="BH299" s="120"/>
      <c r="BI299" s="118"/>
      <c r="BJ299" s="120"/>
    </row>
    <row r="300" spans="1:62" ht="15.75" customHeight="1">
      <c r="A300" s="18" t="str">
        <f t="array" aca="1" ref="A300" ca="1">IFERROR(TRANSPOSE(INDIRECT('「(動工中勿使用!!)新版+舊版_Teaser」的副本'!$BB300)),"")</f>
        <v/>
      </c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80" t="b">
        <v>0</v>
      </c>
      <c r="AF300" s="111" t="str">
        <f t="shared" si="13"/>
        <v/>
      </c>
      <c r="AG300" s="112" t="str">
        <f t="shared" si="9"/>
        <v/>
      </c>
      <c r="AH300" s="126"/>
      <c r="AI300" s="114" t="str">
        <f ca="1">IFERROR(VLOOKUP($AH300, '(勿動)Component Label公版'!$D$1:$E$1000, 2, FALSE), "-")</f>
        <v>-</v>
      </c>
      <c r="AJ300" s="115"/>
      <c r="AK300" s="112"/>
      <c r="AL300" s="112"/>
      <c r="AM300" s="116" t="str">
        <f t="shared" si="10"/>
        <v/>
      </c>
      <c r="AN300" s="117" t="str">
        <f t="shared" si="11"/>
        <v/>
      </c>
      <c r="AO300" s="158"/>
      <c r="AP300" s="18"/>
      <c r="AQ300" s="18"/>
      <c r="AR300" s="18"/>
      <c r="AS300" s="18"/>
      <c r="AT300" s="18"/>
      <c r="AU300" s="54" t="b">
        <v>0</v>
      </c>
      <c r="AV300" s="54" t="b">
        <v>0</v>
      </c>
      <c r="AW300" s="123"/>
      <c r="AX300" s="124"/>
      <c r="AY300" s="124"/>
      <c r="AZ300" s="124"/>
      <c r="BA300" s="125"/>
      <c r="BB300" s="68"/>
      <c r="BC300" s="62"/>
      <c r="BD300" s="129" t="str">
        <f t="shared" si="12"/>
        <v>_</v>
      </c>
      <c r="BE300" s="130" t="str">
        <f>IFERROR(VLOOKUP($BD300,'(勿動)組件目錄表'!$D$15:$R$1094,2,FALSE),"")</f>
        <v/>
      </c>
      <c r="BF300" s="131" t="str">
        <f>IFERROR(VLOOKUP($BD300, '(勿動)組件目錄表'!$D$15:$R$1094, 5, FALSE),"")</f>
        <v/>
      </c>
      <c r="BG300" s="118"/>
      <c r="BH300" s="120"/>
      <c r="BI300" s="118"/>
      <c r="BJ300" s="120"/>
    </row>
    <row r="301" spans="1:62" ht="15.75" customHeight="1">
      <c r="A301" s="18" t="str">
        <f t="array" aca="1" ref="A301" ca="1">IFERROR(TRANSPOSE(INDIRECT('「(動工中勿使用!!)新版+舊版_Teaser」的副本'!$BB301)),"")</f>
        <v/>
      </c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80" t="b">
        <v>0</v>
      </c>
      <c r="AF301" s="111" t="str">
        <f t="shared" si="13"/>
        <v/>
      </c>
      <c r="AG301" s="112" t="str">
        <f t="shared" si="9"/>
        <v/>
      </c>
      <c r="AH301" s="126"/>
      <c r="AI301" s="114" t="str">
        <f ca="1">IFERROR(VLOOKUP($AH301, '(勿動)Component Label公版'!$D$1:$E$1000, 2, FALSE), "-")</f>
        <v>-</v>
      </c>
      <c r="AJ301" s="115"/>
      <c r="AK301" s="112"/>
      <c r="AL301" s="112"/>
      <c r="AM301" s="116" t="str">
        <f t="shared" si="10"/>
        <v/>
      </c>
      <c r="AN301" s="117" t="str">
        <f t="shared" si="11"/>
        <v/>
      </c>
      <c r="AO301" s="158"/>
      <c r="AP301" s="18"/>
      <c r="AQ301" s="18"/>
      <c r="AR301" s="18"/>
      <c r="AS301" s="18"/>
      <c r="AT301" s="18"/>
      <c r="AU301" s="54" t="b">
        <v>0</v>
      </c>
      <c r="AV301" s="54" t="b">
        <v>0</v>
      </c>
      <c r="AW301" s="123"/>
      <c r="AX301" s="124"/>
      <c r="AY301" s="124"/>
      <c r="AZ301" s="124"/>
      <c r="BA301" s="125"/>
      <c r="BB301" s="68"/>
      <c r="BC301" s="62"/>
      <c r="BD301" s="129" t="str">
        <f t="shared" si="12"/>
        <v>_</v>
      </c>
      <c r="BE301" s="130" t="str">
        <f>IFERROR(VLOOKUP($BD301,'(勿動)組件目錄表'!$D$15:$R$1094,2,FALSE),"")</f>
        <v/>
      </c>
      <c r="BF301" s="131" t="str">
        <f>IFERROR(VLOOKUP($BD301, '(勿動)組件目錄表'!$D$15:$R$1094, 5, FALSE),"")</f>
        <v/>
      </c>
      <c r="BG301" s="118"/>
      <c r="BH301" s="120"/>
      <c r="BI301" s="118"/>
      <c r="BJ301" s="120"/>
    </row>
    <row r="302" spans="1:62" ht="15.75" customHeight="1">
      <c r="A302" s="18" t="str">
        <f t="array" aca="1" ref="A302" ca="1">IFERROR(TRANSPOSE(INDIRECT('「(動工中勿使用!!)新版+舊版_Teaser」的副本'!$BB302)),"")</f>
        <v/>
      </c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80" t="b">
        <v>0</v>
      </c>
      <c r="AF302" s="111" t="str">
        <f t="shared" si="13"/>
        <v/>
      </c>
      <c r="AG302" s="112" t="str">
        <f t="shared" si="9"/>
        <v/>
      </c>
      <c r="AH302" s="126"/>
      <c r="AI302" s="114" t="str">
        <f ca="1">IFERROR(VLOOKUP($AH302, '(勿動)Component Label公版'!$D$1:$E$1000, 2, FALSE), "-")</f>
        <v>-</v>
      </c>
      <c r="AJ302" s="115"/>
      <c r="AK302" s="112"/>
      <c r="AL302" s="112"/>
      <c r="AM302" s="116" t="str">
        <f t="shared" si="10"/>
        <v/>
      </c>
      <c r="AN302" s="117" t="str">
        <f t="shared" si="11"/>
        <v/>
      </c>
      <c r="AO302" s="158"/>
      <c r="AP302" s="18"/>
      <c r="AQ302" s="18"/>
      <c r="AR302" s="18"/>
      <c r="AS302" s="18"/>
      <c r="AT302" s="18"/>
      <c r="AU302" s="54" t="b">
        <v>0</v>
      </c>
      <c r="AV302" s="54" t="b">
        <v>0</v>
      </c>
      <c r="AW302" s="123"/>
      <c r="AX302" s="124"/>
      <c r="AY302" s="124"/>
      <c r="AZ302" s="124"/>
      <c r="BA302" s="125"/>
      <c r="BB302" s="68"/>
      <c r="BC302" s="62"/>
      <c r="BD302" s="129" t="str">
        <f t="shared" si="12"/>
        <v>_</v>
      </c>
      <c r="BE302" s="130" t="str">
        <f>IFERROR(VLOOKUP($BD302,'(勿動)組件目錄表'!$D$15:$R$1094,2,FALSE),"")</f>
        <v/>
      </c>
      <c r="BF302" s="131" t="str">
        <f>IFERROR(VLOOKUP($BD302, '(勿動)組件目錄表'!$D$15:$R$1094, 5, FALSE),"")</f>
        <v/>
      </c>
      <c r="BG302" s="118"/>
      <c r="BH302" s="120"/>
      <c r="BI302" s="118"/>
      <c r="BJ302" s="120"/>
    </row>
    <row r="303" spans="1:62" ht="15.75" customHeight="1">
      <c r="A303" s="18" t="str">
        <f t="array" aca="1" ref="A303" ca="1">IFERROR(TRANSPOSE(INDIRECT('「(動工中勿使用!!)新版+舊版_Teaser」的副本'!$BB303)),"")</f>
        <v/>
      </c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80" t="b">
        <v>0</v>
      </c>
      <c r="AF303" s="111" t="str">
        <f t="shared" si="13"/>
        <v/>
      </c>
      <c r="AG303" s="112" t="str">
        <f t="shared" si="9"/>
        <v/>
      </c>
      <c r="AH303" s="126"/>
      <c r="AI303" s="114" t="str">
        <f ca="1">IFERROR(VLOOKUP($AH303, '(勿動)Component Label公版'!$D$1:$E$1000, 2, FALSE), "-")</f>
        <v>-</v>
      </c>
      <c r="AJ303" s="115"/>
      <c r="AK303" s="112"/>
      <c r="AL303" s="112"/>
      <c r="AM303" s="116" t="str">
        <f t="shared" si="10"/>
        <v/>
      </c>
      <c r="AN303" s="117" t="str">
        <f t="shared" si="11"/>
        <v/>
      </c>
      <c r="AO303" s="158"/>
      <c r="AP303" s="18"/>
      <c r="AQ303" s="18"/>
      <c r="AR303" s="18"/>
      <c r="AS303" s="18"/>
      <c r="AT303" s="18"/>
      <c r="AU303" s="54" t="b">
        <v>0</v>
      </c>
      <c r="AV303" s="54" t="b">
        <v>0</v>
      </c>
      <c r="AW303" s="123"/>
      <c r="AX303" s="124"/>
      <c r="AY303" s="124"/>
      <c r="AZ303" s="124"/>
      <c r="BA303" s="125"/>
      <c r="BB303" s="68"/>
      <c r="BC303" s="62"/>
      <c r="BD303" s="129" t="str">
        <f t="shared" si="12"/>
        <v>_</v>
      </c>
      <c r="BE303" s="130" t="str">
        <f>IFERROR(VLOOKUP($BD303,'(勿動)組件目錄表'!$D$15:$R$1094,2,FALSE),"")</f>
        <v/>
      </c>
      <c r="BF303" s="131" t="str">
        <f>IFERROR(VLOOKUP($BD303, '(勿動)組件目錄表'!$D$15:$R$1094, 5, FALSE),"")</f>
        <v/>
      </c>
      <c r="BG303" s="118"/>
      <c r="BH303" s="120"/>
      <c r="BI303" s="118"/>
      <c r="BJ303" s="120"/>
    </row>
    <row r="304" spans="1:62" ht="15.75" customHeight="1">
      <c r="A304" s="18" t="str">
        <f t="array" aca="1" ref="A304" ca="1">IFERROR(TRANSPOSE(INDIRECT('「(動工中勿使用!!)新版+舊版_Teaser」的副本'!$BB304)),"")</f>
        <v/>
      </c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80" t="b">
        <v>0</v>
      </c>
      <c r="AF304" s="111" t="str">
        <f t="shared" si="13"/>
        <v/>
      </c>
      <c r="AG304" s="112" t="str">
        <f t="shared" si="9"/>
        <v/>
      </c>
      <c r="AH304" s="126"/>
      <c r="AI304" s="114" t="str">
        <f ca="1">IFERROR(VLOOKUP($AH304, '(勿動)Component Label公版'!$D$1:$E$1000, 2, FALSE), "-")</f>
        <v>-</v>
      </c>
      <c r="AJ304" s="115"/>
      <c r="AK304" s="112"/>
      <c r="AL304" s="112"/>
      <c r="AM304" s="116" t="str">
        <f t="shared" si="10"/>
        <v/>
      </c>
      <c r="AN304" s="117" t="str">
        <f t="shared" si="11"/>
        <v/>
      </c>
      <c r="AO304" s="158"/>
      <c r="AP304" s="18"/>
      <c r="AQ304" s="18"/>
      <c r="AR304" s="18"/>
      <c r="AS304" s="18"/>
      <c r="AT304" s="18"/>
      <c r="AU304" s="54" t="b">
        <v>0</v>
      </c>
      <c r="AV304" s="54" t="b">
        <v>0</v>
      </c>
      <c r="AW304" s="123"/>
      <c r="AX304" s="124"/>
      <c r="AY304" s="124"/>
      <c r="AZ304" s="124"/>
      <c r="BA304" s="125"/>
      <c r="BB304" s="68"/>
      <c r="BC304" s="62"/>
      <c r="BD304" s="129" t="str">
        <f t="shared" si="12"/>
        <v>_</v>
      </c>
      <c r="BE304" s="130" t="str">
        <f>IFERROR(VLOOKUP($BD304,'(勿動)組件目錄表'!$D$15:$R$1094,2,FALSE),"")</f>
        <v/>
      </c>
      <c r="BF304" s="131" t="str">
        <f>IFERROR(VLOOKUP($BD304, '(勿動)組件目錄表'!$D$15:$R$1094, 5, FALSE),"")</f>
        <v/>
      </c>
      <c r="BG304" s="118"/>
      <c r="BH304" s="120"/>
      <c r="BI304" s="118"/>
      <c r="BJ304" s="120"/>
    </row>
    <row r="305" spans="1:62" ht="15.75" customHeight="1">
      <c r="A305" s="18" t="str">
        <f t="array" aca="1" ref="A305" ca="1">IFERROR(TRANSPOSE(INDIRECT('「(動工中勿使用!!)新版+舊版_Teaser」的副本'!$BB305)),"")</f>
        <v/>
      </c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80" t="b">
        <v>0</v>
      </c>
      <c r="AF305" s="111" t="str">
        <f t="shared" si="13"/>
        <v/>
      </c>
      <c r="AG305" s="112" t="str">
        <f t="shared" si="9"/>
        <v/>
      </c>
      <c r="AH305" s="126"/>
      <c r="AI305" s="114" t="str">
        <f ca="1">IFERROR(VLOOKUP($AH305, '(勿動)Component Label公版'!$D$1:$E$1000, 2, FALSE), "-")</f>
        <v>-</v>
      </c>
      <c r="AJ305" s="115"/>
      <c r="AK305" s="112"/>
      <c r="AL305" s="112"/>
      <c r="AM305" s="116" t="str">
        <f t="shared" si="10"/>
        <v/>
      </c>
      <c r="AN305" s="117" t="str">
        <f t="shared" si="11"/>
        <v/>
      </c>
      <c r="AO305" s="158"/>
      <c r="AP305" s="18"/>
      <c r="AQ305" s="18"/>
      <c r="AR305" s="18"/>
      <c r="AS305" s="18"/>
      <c r="AT305" s="18"/>
      <c r="AU305" s="54" t="b">
        <v>0</v>
      </c>
      <c r="AV305" s="54" t="b">
        <v>0</v>
      </c>
      <c r="AW305" s="123"/>
      <c r="AX305" s="124"/>
      <c r="AY305" s="124"/>
      <c r="AZ305" s="124"/>
      <c r="BA305" s="125"/>
      <c r="BB305" s="68"/>
      <c r="BC305" s="62"/>
      <c r="BD305" s="129" t="str">
        <f t="shared" si="12"/>
        <v>_</v>
      </c>
      <c r="BE305" s="130" t="str">
        <f>IFERROR(VLOOKUP($BD305,'(勿動)組件目錄表'!$D$15:$R$1094,2,FALSE),"")</f>
        <v/>
      </c>
      <c r="BF305" s="131" t="str">
        <f>IFERROR(VLOOKUP($BD305, '(勿動)組件目錄表'!$D$15:$R$1094, 5, FALSE),"")</f>
        <v/>
      </c>
      <c r="BG305" s="118"/>
      <c r="BH305" s="120"/>
      <c r="BI305" s="118"/>
      <c r="BJ305" s="120"/>
    </row>
    <row r="306" spans="1:62" ht="15.75" customHeight="1">
      <c r="A306" s="18" t="str">
        <f t="array" aca="1" ref="A306" ca="1">IFERROR(TRANSPOSE(INDIRECT('「(動工中勿使用!!)新版+舊版_Teaser」的副本'!$BB306)),"")</f>
        <v/>
      </c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80" t="b">
        <v>0</v>
      </c>
      <c r="AF306" s="111" t="str">
        <f t="shared" si="13"/>
        <v/>
      </c>
      <c r="AG306" s="112" t="str">
        <f t="shared" si="9"/>
        <v/>
      </c>
      <c r="AH306" s="126"/>
      <c r="AI306" s="114" t="str">
        <f ca="1">IFERROR(VLOOKUP($AH306, '(勿動)Component Label公版'!$D$1:$E$1000, 2, FALSE), "-")</f>
        <v>-</v>
      </c>
      <c r="AJ306" s="115"/>
      <c r="AK306" s="112"/>
      <c r="AL306" s="112"/>
      <c r="AM306" s="116" t="str">
        <f t="shared" si="10"/>
        <v/>
      </c>
      <c r="AN306" s="117" t="str">
        <f t="shared" si="11"/>
        <v/>
      </c>
      <c r="AO306" s="158"/>
      <c r="AP306" s="18"/>
      <c r="AQ306" s="18"/>
      <c r="AR306" s="18"/>
      <c r="AS306" s="18"/>
      <c r="AT306" s="18"/>
      <c r="AU306" s="54" t="b">
        <v>0</v>
      </c>
      <c r="AV306" s="54" t="b">
        <v>0</v>
      </c>
      <c r="AW306" s="123"/>
      <c r="AX306" s="124"/>
      <c r="AY306" s="124"/>
      <c r="AZ306" s="124"/>
      <c r="BA306" s="125"/>
      <c r="BB306" s="68"/>
      <c r="BC306" s="62"/>
      <c r="BD306" s="129" t="str">
        <f t="shared" si="12"/>
        <v>_</v>
      </c>
      <c r="BE306" s="130" t="str">
        <f>IFERROR(VLOOKUP($BD306,'(勿動)組件目錄表'!$D$15:$R$1094,2,FALSE),"")</f>
        <v/>
      </c>
      <c r="BF306" s="131" t="str">
        <f>IFERROR(VLOOKUP($BD306, '(勿動)組件目錄表'!$D$15:$R$1094, 5, FALSE),"")</f>
        <v/>
      </c>
      <c r="BG306" s="118"/>
      <c r="BH306" s="120"/>
      <c r="BI306" s="118"/>
      <c r="BJ306" s="120"/>
    </row>
    <row r="307" spans="1:62" ht="15.75" customHeight="1">
      <c r="A307" s="18" t="str">
        <f t="array" aca="1" ref="A307" ca="1">IFERROR(TRANSPOSE(INDIRECT('「(動工中勿使用!!)新版+舊版_Teaser」的副本'!$BB307)),"")</f>
        <v/>
      </c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80" t="b">
        <v>0</v>
      </c>
      <c r="AF307" s="111" t="str">
        <f t="shared" si="13"/>
        <v/>
      </c>
      <c r="AG307" s="112" t="str">
        <f t="shared" si="9"/>
        <v/>
      </c>
      <c r="AH307" s="126"/>
      <c r="AI307" s="114" t="str">
        <f ca="1">IFERROR(VLOOKUP($AH307, '(勿動)Component Label公版'!$D$1:$E$1000, 2, FALSE), "-")</f>
        <v>-</v>
      </c>
      <c r="AJ307" s="115"/>
      <c r="AK307" s="112"/>
      <c r="AL307" s="112"/>
      <c r="AM307" s="116" t="str">
        <f t="shared" si="10"/>
        <v/>
      </c>
      <c r="AN307" s="117" t="str">
        <f t="shared" si="11"/>
        <v/>
      </c>
      <c r="AO307" s="158"/>
      <c r="AP307" s="18"/>
      <c r="AQ307" s="18"/>
      <c r="AR307" s="18"/>
      <c r="AS307" s="18"/>
      <c r="AT307" s="18"/>
      <c r="AU307" s="54" t="b">
        <v>0</v>
      </c>
      <c r="AV307" s="54" t="b">
        <v>0</v>
      </c>
      <c r="AW307" s="123"/>
      <c r="AX307" s="124"/>
      <c r="AY307" s="124"/>
      <c r="AZ307" s="124"/>
      <c r="BA307" s="125"/>
      <c r="BB307" s="68"/>
      <c r="BC307" s="62"/>
      <c r="BD307" s="129" t="str">
        <f t="shared" si="12"/>
        <v>_</v>
      </c>
      <c r="BE307" s="130" t="str">
        <f>IFERROR(VLOOKUP($BD307,'(勿動)組件目錄表'!$D$15:$R$1094,2,FALSE),"")</f>
        <v/>
      </c>
      <c r="BF307" s="131" t="str">
        <f>IFERROR(VLOOKUP($BD307, '(勿動)組件目錄表'!$D$15:$R$1094, 5, FALSE),"")</f>
        <v/>
      </c>
      <c r="BG307" s="118"/>
      <c r="BH307" s="120"/>
      <c r="BI307" s="118"/>
      <c r="BJ307" s="120"/>
    </row>
    <row r="308" spans="1:62" ht="15.75" customHeight="1">
      <c r="A308" s="18" t="str">
        <f t="array" aca="1" ref="A308" ca="1">IFERROR(TRANSPOSE(INDIRECT('「(動工中勿使用!!)新版+舊版_Teaser」的副本'!$BB308)),"")</f>
        <v/>
      </c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80" t="b">
        <v>0</v>
      </c>
      <c r="AF308" s="111" t="str">
        <f t="shared" si="13"/>
        <v/>
      </c>
      <c r="AG308" s="112" t="str">
        <f t="shared" si="9"/>
        <v/>
      </c>
      <c r="AH308" s="126"/>
      <c r="AI308" s="114" t="str">
        <f ca="1">IFERROR(VLOOKUP($AH308, '(勿動)Component Label公版'!$D$1:$E$1000, 2, FALSE), "-")</f>
        <v>-</v>
      </c>
      <c r="AJ308" s="115"/>
      <c r="AK308" s="112"/>
      <c r="AL308" s="112"/>
      <c r="AM308" s="116" t="str">
        <f t="shared" si="10"/>
        <v/>
      </c>
      <c r="AN308" s="117" t="str">
        <f t="shared" si="11"/>
        <v/>
      </c>
      <c r="AO308" s="158"/>
      <c r="AP308" s="18"/>
      <c r="AQ308" s="18"/>
      <c r="AR308" s="18"/>
      <c r="AS308" s="18"/>
      <c r="AT308" s="18"/>
      <c r="AU308" s="54" t="b">
        <v>0</v>
      </c>
      <c r="AV308" s="54" t="b">
        <v>0</v>
      </c>
      <c r="AW308" s="123"/>
      <c r="AX308" s="124"/>
      <c r="AY308" s="124"/>
      <c r="AZ308" s="124"/>
      <c r="BA308" s="125"/>
      <c r="BB308" s="68"/>
      <c r="BC308" s="62"/>
      <c r="BD308" s="129" t="str">
        <f t="shared" si="12"/>
        <v>_</v>
      </c>
      <c r="BE308" s="130" t="str">
        <f>IFERROR(VLOOKUP($BD308,'(勿動)組件目錄表'!$D$15:$R$1094,2,FALSE),"")</f>
        <v/>
      </c>
      <c r="BF308" s="131" t="str">
        <f>IFERROR(VLOOKUP($BD308, '(勿動)組件目錄表'!$D$15:$R$1094, 5, FALSE),"")</f>
        <v/>
      </c>
      <c r="BG308" s="118"/>
      <c r="BH308" s="120"/>
      <c r="BI308" s="118"/>
      <c r="BJ308" s="120"/>
    </row>
    <row r="309" spans="1:62" ht="15.75" customHeight="1">
      <c r="A309" s="18" t="str">
        <f t="array" aca="1" ref="A309" ca="1">IFERROR(TRANSPOSE(INDIRECT('「(動工中勿使用!!)新版+舊版_Teaser」的副本'!$BB309)),"")</f>
        <v/>
      </c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80" t="b">
        <v>0</v>
      </c>
      <c r="AF309" s="111" t="str">
        <f t="shared" si="13"/>
        <v/>
      </c>
      <c r="AG309" s="112" t="str">
        <f t="shared" si="9"/>
        <v/>
      </c>
      <c r="AH309" s="126"/>
      <c r="AI309" s="114" t="str">
        <f ca="1">IFERROR(VLOOKUP($AH309, '(勿動)Component Label公版'!$D$1:$E$1000, 2, FALSE), "-")</f>
        <v>-</v>
      </c>
      <c r="AJ309" s="115"/>
      <c r="AK309" s="112"/>
      <c r="AL309" s="112"/>
      <c r="AM309" s="116" t="str">
        <f t="shared" si="10"/>
        <v/>
      </c>
      <c r="AN309" s="117" t="str">
        <f t="shared" si="11"/>
        <v/>
      </c>
      <c r="AO309" s="158"/>
      <c r="AP309" s="18"/>
      <c r="AQ309" s="18"/>
      <c r="AR309" s="18"/>
      <c r="AS309" s="18"/>
      <c r="AT309" s="18"/>
      <c r="AU309" s="54" t="b">
        <v>0</v>
      </c>
      <c r="AV309" s="54" t="b">
        <v>0</v>
      </c>
      <c r="AW309" s="123"/>
      <c r="AX309" s="124"/>
      <c r="AY309" s="124"/>
      <c r="AZ309" s="124"/>
      <c r="BA309" s="125"/>
      <c r="BB309" s="68"/>
      <c r="BC309" s="62"/>
      <c r="BD309" s="129" t="str">
        <f t="shared" si="12"/>
        <v>_</v>
      </c>
      <c r="BE309" s="130" t="str">
        <f>IFERROR(VLOOKUP($BD309,'(勿動)組件目錄表'!$D$15:$R$1094,2,FALSE),"")</f>
        <v/>
      </c>
      <c r="BF309" s="131" t="str">
        <f>IFERROR(VLOOKUP($BD309, '(勿動)組件目錄表'!$D$15:$R$1094, 5, FALSE),"")</f>
        <v/>
      </c>
      <c r="BG309" s="118"/>
      <c r="BH309" s="120"/>
      <c r="BI309" s="118"/>
      <c r="BJ309" s="120"/>
    </row>
    <row r="310" spans="1:62" ht="15.75" customHeight="1">
      <c r="A310" s="18" t="str">
        <f t="array" aca="1" ref="A310" ca="1">IFERROR(TRANSPOSE(INDIRECT('「(動工中勿使用!!)新版+舊版_Teaser」的副本'!$BB310)),"")</f>
        <v/>
      </c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80" t="b">
        <v>0</v>
      </c>
      <c r="AF310" s="111" t="str">
        <f t="shared" si="13"/>
        <v/>
      </c>
      <c r="AG310" s="112" t="str">
        <f t="shared" si="9"/>
        <v/>
      </c>
      <c r="AH310" s="126"/>
      <c r="AI310" s="114" t="str">
        <f ca="1">IFERROR(VLOOKUP($AH310, '(勿動)Component Label公版'!$D$1:$E$1000, 2, FALSE), "-")</f>
        <v>-</v>
      </c>
      <c r="AJ310" s="115"/>
      <c r="AK310" s="112"/>
      <c r="AL310" s="112"/>
      <c r="AM310" s="116" t="str">
        <f t="shared" si="10"/>
        <v/>
      </c>
      <c r="AN310" s="117" t="str">
        <f t="shared" si="11"/>
        <v/>
      </c>
      <c r="AO310" s="158"/>
      <c r="AP310" s="18"/>
      <c r="AQ310" s="18"/>
      <c r="AR310" s="18"/>
      <c r="AS310" s="18"/>
      <c r="AT310" s="18"/>
      <c r="AU310" s="54" t="b">
        <v>0</v>
      </c>
      <c r="AV310" s="54" t="b">
        <v>0</v>
      </c>
      <c r="AW310" s="123"/>
      <c r="AX310" s="124"/>
      <c r="AY310" s="124"/>
      <c r="AZ310" s="124"/>
      <c r="BA310" s="125"/>
      <c r="BB310" s="68"/>
      <c r="BC310" s="62"/>
      <c r="BD310" s="129" t="str">
        <f t="shared" si="12"/>
        <v>_</v>
      </c>
      <c r="BE310" s="130" t="str">
        <f>IFERROR(VLOOKUP($BD310,'(勿動)組件目錄表'!$D$15:$R$1094,2,FALSE),"")</f>
        <v/>
      </c>
      <c r="BF310" s="131" t="str">
        <f>IFERROR(VLOOKUP($BD310, '(勿動)組件目錄表'!$D$15:$R$1094, 5, FALSE),"")</f>
        <v/>
      </c>
      <c r="BG310" s="118"/>
      <c r="BH310" s="120"/>
      <c r="BI310" s="118"/>
      <c r="BJ310" s="120"/>
    </row>
    <row r="311" spans="1:62" ht="15.75" customHeight="1">
      <c r="A311" s="18" t="str">
        <f t="array" aca="1" ref="A311" ca="1">IFERROR(TRANSPOSE(INDIRECT('「(動工中勿使用!!)新版+舊版_Teaser」的副本'!$BB311)),"")</f>
        <v/>
      </c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80" t="b">
        <v>0</v>
      </c>
      <c r="AF311" s="111" t="str">
        <f t="shared" si="13"/>
        <v/>
      </c>
      <c r="AG311" s="112" t="str">
        <f t="shared" si="9"/>
        <v/>
      </c>
      <c r="AH311" s="126"/>
      <c r="AI311" s="114" t="str">
        <f ca="1">IFERROR(VLOOKUP($AH311, '(勿動)Component Label公版'!$D$1:$E$1000, 2, FALSE), "-")</f>
        <v>-</v>
      </c>
      <c r="AJ311" s="115"/>
      <c r="AK311" s="112"/>
      <c r="AL311" s="112"/>
      <c r="AM311" s="116" t="str">
        <f t="shared" si="10"/>
        <v/>
      </c>
      <c r="AN311" s="117" t="str">
        <f t="shared" si="11"/>
        <v/>
      </c>
      <c r="AO311" s="158"/>
      <c r="AP311" s="18"/>
      <c r="AQ311" s="18"/>
      <c r="AR311" s="18"/>
      <c r="AS311" s="18"/>
      <c r="AT311" s="18"/>
      <c r="AU311" s="54" t="b">
        <v>0</v>
      </c>
      <c r="AV311" s="54" t="b">
        <v>0</v>
      </c>
      <c r="AW311" s="123"/>
      <c r="AX311" s="124"/>
      <c r="AY311" s="124"/>
      <c r="AZ311" s="124"/>
      <c r="BA311" s="125"/>
      <c r="BB311" s="68"/>
      <c r="BC311" s="62"/>
      <c r="BD311" s="129" t="str">
        <f t="shared" si="12"/>
        <v>_</v>
      </c>
      <c r="BE311" s="130" t="str">
        <f>IFERROR(VLOOKUP($BD311,'(勿動)組件目錄表'!$D$15:$R$1094,2,FALSE),"")</f>
        <v/>
      </c>
      <c r="BF311" s="131" t="str">
        <f>IFERROR(VLOOKUP($BD311, '(勿動)組件目錄表'!$D$15:$R$1094, 5, FALSE),"")</f>
        <v/>
      </c>
      <c r="BG311" s="118"/>
      <c r="BH311" s="120"/>
      <c r="BI311" s="118"/>
      <c r="BJ311" s="120"/>
    </row>
    <row r="312" spans="1:62" ht="15.75" customHeight="1">
      <c r="A312" s="18" t="str">
        <f t="array" aca="1" ref="A312" ca="1">IFERROR(TRANSPOSE(INDIRECT('「(動工中勿使用!!)新版+舊版_Teaser」的副本'!$BB312)),"")</f>
        <v/>
      </c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80" t="b">
        <v>0</v>
      </c>
      <c r="AF312" s="111" t="str">
        <f t="shared" si="13"/>
        <v/>
      </c>
      <c r="AG312" s="112" t="str">
        <f t="shared" si="9"/>
        <v/>
      </c>
      <c r="AH312" s="126"/>
      <c r="AI312" s="114" t="str">
        <f ca="1">IFERROR(VLOOKUP($AH312, '(勿動)Component Label公版'!$D$1:$E$1000, 2, FALSE), "-")</f>
        <v>-</v>
      </c>
      <c r="AJ312" s="115"/>
      <c r="AK312" s="112"/>
      <c r="AL312" s="112"/>
      <c r="AM312" s="116" t="str">
        <f t="shared" si="10"/>
        <v/>
      </c>
      <c r="AN312" s="117" t="str">
        <f t="shared" si="11"/>
        <v/>
      </c>
      <c r="AO312" s="158"/>
      <c r="AP312" s="18"/>
      <c r="AQ312" s="18"/>
      <c r="AR312" s="18"/>
      <c r="AS312" s="18"/>
      <c r="AT312" s="18"/>
      <c r="AU312" s="54" t="b">
        <v>0</v>
      </c>
      <c r="AV312" s="54" t="b">
        <v>0</v>
      </c>
      <c r="AW312" s="123"/>
      <c r="AX312" s="124"/>
      <c r="AY312" s="124"/>
      <c r="AZ312" s="124"/>
      <c r="BA312" s="125"/>
      <c r="BB312" s="68"/>
      <c r="BC312" s="62"/>
      <c r="BD312" s="129" t="str">
        <f t="shared" si="12"/>
        <v>_</v>
      </c>
      <c r="BE312" s="130" t="str">
        <f>IFERROR(VLOOKUP($BD312,'(勿動)組件目錄表'!$D$15:$R$1094,2,FALSE),"")</f>
        <v/>
      </c>
      <c r="BF312" s="131" t="str">
        <f>IFERROR(VLOOKUP($BD312, '(勿動)組件目錄表'!$D$15:$R$1094, 5, FALSE),"")</f>
        <v/>
      </c>
      <c r="BG312" s="118"/>
      <c r="BH312" s="120"/>
      <c r="BI312" s="118"/>
      <c r="BJ312" s="120"/>
    </row>
    <row r="313" spans="1:62" ht="15.75" customHeight="1">
      <c r="A313" s="18" t="str">
        <f t="array" aca="1" ref="A313" ca="1">IFERROR(TRANSPOSE(INDIRECT('「(動工中勿使用!!)新版+舊版_Teaser」的副本'!$BB313)),"")</f>
        <v/>
      </c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80" t="b">
        <v>0</v>
      </c>
      <c r="AF313" s="111" t="str">
        <f t="shared" si="13"/>
        <v/>
      </c>
      <c r="AG313" s="112" t="str">
        <f t="shared" si="9"/>
        <v/>
      </c>
      <c r="AH313" s="126"/>
      <c r="AI313" s="114" t="str">
        <f ca="1">IFERROR(VLOOKUP($AH313, '(勿動)Component Label公版'!$D$1:$E$1000, 2, FALSE), "-")</f>
        <v>-</v>
      </c>
      <c r="AJ313" s="115"/>
      <c r="AK313" s="112"/>
      <c r="AL313" s="112"/>
      <c r="AM313" s="116" t="str">
        <f t="shared" si="10"/>
        <v/>
      </c>
      <c r="AN313" s="117" t="str">
        <f t="shared" si="11"/>
        <v/>
      </c>
      <c r="AO313" s="158"/>
      <c r="AP313" s="18"/>
      <c r="AQ313" s="18"/>
      <c r="AR313" s="18"/>
      <c r="AS313" s="18"/>
      <c r="AT313" s="18"/>
      <c r="AU313" s="54" t="b">
        <v>0</v>
      </c>
      <c r="AV313" s="54" t="b">
        <v>0</v>
      </c>
      <c r="AW313" s="123"/>
      <c r="AX313" s="124"/>
      <c r="AY313" s="124"/>
      <c r="AZ313" s="124"/>
      <c r="BA313" s="125"/>
      <c r="BB313" s="68"/>
      <c r="BC313" s="62"/>
      <c r="BD313" s="129" t="str">
        <f t="shared" si="12"/>
        <v>_</v>
      </c>
      <c r="BE313" s="130" t="str">
        <f>IFERROR(VLOOKUP($BD313,'(勿動)組件目錄表'!$D$15:$R$1094,2,FALSE),"")</f>
        <v/>
      </c>
      <c r="BF313" s="131" t="str">
        <f>IFERROR(VLOOKUP($BD313, '(勿動)組件目錄表'!$D$15:$R$1094, 5, FALSE),"")</f>
        <v/>
      </c>
      <c r="BG313" s="118"/>
      <c r="BH313" s="120"/>
      <c r="BI313" s="118"/>
      <c r="BJ313" s="120"/>
    </row>
    <row r="314" spans="1:62" ht="15.75" customHeight="1">
      <c r="A314" s="18" t="str">
        <f t="array" aca="1" ref="A314" ca="1">IFERROR(TRANSPOSE(INDIRECT('「(動工中勿使用!!)新版+舊版_Teaser」的副本'!$BB314)),"")</f>
        <v/>
      </c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80" t="b">
        <v>0</v>
      </c>
      <c r="AF314" s="111" t="str">
        <f t="shared" si="13"/>
        <v/>
      </c>
      <c r="AG314" s="112" t="str">
        <f t="shared" si="9"/>
        <v/>
      </c>
      <c r="AH314" s="126"/>
      <c r="AI314" s="114" t="str">
        <f ca="1">IFERROR(VLOOKUP($AH314, '(勿動)Component Label公版'!$D$1:$E$1000, 2, FALSE), "-")</f>
        <v>-</v>
      </c>
      <c r="AJ314" s="115"/>
      <c r="AK314" s="112"/>
      <c r="AL314" s="112"/>
      <c r="AM314" s="116" t="str">
        <f t="shared" si="10"/>
        <v/>
      </c>
      <c r="AN314" s="117" t="str">
        <f t="shared" si="11"/>
        <v/>
      </c>
      <c r="AO314" s="158"/>
      <c r="AP314" s="18"/>
      <c r="AQ314" s="18"/>
      <c r="AR314" s="18"/>
      <c r="AS314" s="18"/>
      <c r="AT314" s="18"/>
      <c r="AU314" s="54" t="b">
        <v>0</v>
      </c>
      <c r="AV314" s="54" t="b">
        <v>0</v>
      </c>
      <c r="AW314" s="123"/>
      <c r="AX314" s="124"/>
      <c r="AY314" s="124"/>
      <c r="AZ314" s="124"/>
      <c r="BA314" s="125"/>
      <c r="BB314" s="68"/>
      <c r="BC314" s="62"/>
      <c r="BD314" s="129" t="str">
        <f t="shared" si="12"/>
        <v>_</v>
      </c>
      <c r="BE314" s="130" t="str">
        <f>IFERROR(VLOOKUP($BD314,'(勿動)組件目錄表'!$D$15:$R$1094,2,FALSE),"")</f>
        <v/>
      </c>
      <c r="BF314" s="131" t="str">
        <f>IFERROR(VLOOKUP($BD314, '(勿動)組件目錄表'!$D$15:$R$1094, 5, FALSE),"")</f>
        <v/>
      </c>
      <c r="BG314" s="118"/>
      <c r="BH314" s="120"/>
      <c r="BI314" s="118"/>
      <c r="BJ314" s="120"/>
    </row>
    <row r="315" spans="1:62" ht="15.75" customHeight="1">
      <c r="A315" s="18" t="str">
        <f t="array" aca="1" ref="A315" ca="1">IFERROR(TRANSPOSE(INDIRECT('「(動工中勿使用!!)新版+舊版_Teaser」的副本'!$BB315)),"")</f>
        <v/>
      </c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80" t="b">
        <v>0</v>
      </c>
      <c r="AF315" s="111" t="str">
        <f t="shared" si="13"/>
        <v/>
      </c>
      <c r="AG315" s="112" t="str">
        <f t="shared" si="9"/>
        <v/>
      </c>
      <c r="AH315" s="126"/>
      <c r="AI315" s="114" t="str">
        <f ca="1">IFERROR(VLOOKUP($AH315, '(勿動)Component Label公版'!$D$1:$E$1000, 2, FALSE), "-")</f>
        <v>-</v>
      </c>
      <c r="AJ315" s="115"/>
      <c r="AK315" s="112"/>
      <c r="AL315" s="112"/>
      <c r="AM315" s="116" t="str">
        <f t="shared" si="10"/>
        <v/>
      </c>
      <c r="AN315" s="117" t="str">
        <f t="shared" si="11"/>
        <v/>
      </c>
      <c r="AO315" s="158"/>
      <c r="AP315" s="18"/>
      <c r="AQ315" s="18"/>
      <c r="AR315" s="18"/>
      <c r="AS315" s="18"/>
      <c r="AT315" s="18"/>
      <c r="AU315" s="54" t="b">
        <v>0</v>
      </c>
      <c r="AV315" s="54" t="b">
        <v>0</v>
      </c>
      <c r="AW315" s="123"/>
      <c r="AX315" s="124"/>
      <c r="AY315" s="124"/>
      <c r="AZ315" s="124"/>
      <c r="BA315" s="125"/>
      <c r="BB315" s="68"/>
      <c r="BC315" s="62"/>
      <c r="BD315" s="129" t="str">
        <f t="shared" si="12"/>
        <v>_</v>
      </c>
      <c r="BE315" s="130" t="str">
        <f>IFERROR(VLOOKUP($BD315,'(勿動)組件目錄表'!$D$15:$R$1094,2,FALSE),"")</f>
        <v/>
      </c>
      <c r="BF315" s="131" t="str">
        <f>IFERROR(VLOOKUP($BD315, '(勿動)組件目錄表'!$D$15:$R$1094, 5, FALSE),"")</f>
        <v/>
      </c>
      <c r="BG315" s="118"/>
      <c r="BH315" s="120"/>
      <c r="BI315" s="118"/>
      <c r="BJ315" s="120"/>
    </row>
    <row r="316" spans="1:62" ht="15.75" customHeight="1">
      <c r="A316" s="18" t="str">
        <f t="array" aca="1" ref="A316" ca="1">IFERROR(TRANSPOSE(INDIRECT('「(動工中勿使用!!)新版+舊版_Teaser」的副本'!$BB316)),"")</f>
        <v/>
      </c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80" t="b">
        <v>0</v>
      </c>
      <c r="AF316" s="111" t="str">
        <f t="shared" si="13"/>
        <v/>
      </c>
      <c r="AG316" s="112" t="str">
        <f t="shared" si="9"/>
        <v/>
      </c>
      <c r="AH316" s="126"/>
      <c r="AI316" s="114" t="str">
        <f ca="1">IFERROR(VLOOKUP($AH316, '(勿動)Component Label公版'!$D$1:$E$1000, 2, FALSE), "-")</f>
        <v>-</v>
      </c>
      <c r="AJ316" s="115"/>
      <c r="AK316" s="112"/>
      <c r="AL316" s="112"/>
      <c r="AM316" s="116" t="str">
        <f t="shared" si="10"/>
        <v/>
      </c>
      <c r="AN316" s="117" t="str">
        <f t="shared" si="11"/>
        <v/>
      </c>
      <c r="AO316" s="158"/>
      <c r="AP316" s="18"/>
      <c r="AQ316" s="18"/>
      <c r="AR316" s="18"/>
      <c r="AS316" s="18"/>
      <c r="AT316" s="18"/>
      <c r="AU316" s="54" t="b">
        <v>0</v>
      </c>
      <c r="AV316" s="54" t="b">
        <v>0</v>
      </c>
      <c r="AW316" s="123"/>
      <c r="AX316" s="124"/>
      <c r="AY316" s="124"/>
      <c r="AZ316" s="124"/>
      <c r="BA316" s="125"/>
      <c r="BB316" s="68"/>
      <c r="BC316" s="62"/>
      <c r="BD316" s="129" t="str">
        <f t="shared" si="12"/>
        <v>_</v>
      </c>
      <c r="BE316" s="130" t="str">
        <f>IFERROR(VLOOKUP($BD316,'(勿動)組件目錄表'!$D$15:$R$1094,2,FALSE),"")</f>
        <v/>
      </c>
      <c r="BF316" s="131" t="str">
        <f>IFERROR(VLOOKUP($BD316, '(勿動)組件目錄表'!$D$15:$R$1094, 5, FALSE),"")</f>
        <v/>
      </c>
      <c r="BG316" s="118"/>
      <c r="BH316" s="120"/>
      <c r="BI316" s="118"/>
      <c r="BJ316" s="120"/>
    </row>
    <row r="317" spans="1:62" ht="15.75" customHeight="1">
      <c r="A317" s="18" t="str">
        <f t="array" aca="1" ref="A317" ca="1">IFERROR(TRANSPOSE(INDIRECT('「(動工中勿使用!!)新版+舊版_Teaser」的副本'!$BB317)),"")</f>
        <v/>
      </c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80" t="b">
        <v>0</v>
      </c>
      <c r="AF317" s="111" t="str">
        <f t="shared" si="13"/>
        <v/>
      </c>
      <c r="AG317" s="112" t="str">
        <f t="shared" si="9"/>
        <v/>
      </c>
      <c r="AH317" s="126"/>
      <c r="AI317" s="114" t="str">
        <f ca="1">IFERROR(VLOOKUP($AH317, '(勿動)Component Label公版'!$D$1:$E$1000, 2, FALSE), "-")</f>
        <v>-</v>
      </c>
      <c r="AJ317" s="115"/>
      <c r="AK317" s="112"/>
      <c r="AL317" s="112"/>
      <c r="AM317" s="116" t="str">
        <f t="shared" si="10"/>
        <v/>
      </c>
      <c r="AN317" s="117" t="str">
        <f t="shared" si="11"/>
        <v/>
      </c>
      <c r="AO317" s="158"/>
      <c r="AP317" s="18"/>
      <c r="AQ317" s="18"/>
      <c r="AR317" s="18"/>
      <c r="AS317" s="18"/>
      <c r="AT317" s="18"/>
      <c r="AU317" s="54" t="b">
        <v>0</v>
      </c>
      <c r="AV317" s="54" t="b">
        <v>0</v>
      </c>
      <c r="AW317" s="123"/>
      <c r="AX317" s="124"/>
      <c r="AY317" s="124"/>
      <c r="AZ317" s="124"/>
      <c r="BA317" s="125"/>
      <c r="BB317" s="68"/>
      <c r="BC317" s="62"/>
      <c r="BD317" s="129" t="str">
        <f t="shared" si="12"/>
        <v>_</v>
      </c>
      <c r="BE317" s="130" t="str">
        <f>IFERROR(VLOOKUP($BD317,'(勿動)組件目錄表'!$D$15:$R$1094,2,FALSE),"")</f>
        <v/>
      </c>
      <c r="BF317" s="131" t="str">
        <f>IFERROR(VLOOKUP($BD317, '(勿動)組件目錄表'!$D$15:$R$1094, 5, FALSE),"")</f>
        <v/>
      </c>
      <c r="BG317" s="118"/>
      <c r="BH317" s="120"/>
      <c r="BI317" s="118"/>
      <c r="BJ317" s="120"/>
    </row>
    <row r="318" spans="1:62" ht="15.75" customHeight="1">
      <c r="A318" s="18" t="str">
        <f t="array" aca="1" ref="A318" ca="1">IFERROR(TRANSPOSE(INDIRECT('「(動工中勿使用!!)新版+舊版_Teaser」的副本'!$BB318)),"")</f>
        <v/>
      </c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80" t="b">
        <v>0</v>
      </c>
      <c r="AF318" s="111" t="str">
        <f t="shared" si="13"/>
        <v/>
      </c>
      <c r="AG318" s="112" t="str">
        <f t="shared" si="9"/>
        <v/>
      </c>
      <c r="AH318" s="126"/>
      <c r="AI318" s="114" t="str">
        <f ca="1">IFERROR(VLOOKUP($AH318, '(勿動)Component Label公版'!$D$1:$E$1000, 2, FALSE), "-")</f>
        <v>-</v>
      </c>
      <c r="AJ318" s="115"/>
      <c r="AK318" s="112"/>
      <c r="AL318" s="112"/>
      <c r="AM318" s="116" t="str">
        <f t="shared" si="10"/>
        <v/>
      </c>
      <c r="AN318" s="117" t="str">
        <f t="shared" si="11"/>
        <v/>
      </c>
      <c r="AO318" s="158"/>
      <c r="AP318" s="18"/>
      <c r="AQ318" s="18"/>
      <c r="AR318" s="18"/>
      <c r="AS318" s="18"/>
      <c r="AT318" s="18"/>
      <c r="AU318" s="54" t="b">
        <v>0</v>
      </c>
      <c r="AV318" s="54" t="b">
        <v>0</v>
      </c>
      <c r="AW318" s="123"/>
      <c r="AX318" s="124"/>
      <c r="AY318" s="124"/>
      <c r="AZ318" s="124"/>
      <c r="BA318" s="125"/>
      <c r="BB318" s="68"/>
      <c r="BC318" s="62"/>
      <c r="BD318" s="129" t="str">
        <f t="shared" si="12"/>
        <v>_</v>
      </c>
      <c r="BE318" s="130" t="str">
        <f>IFERROR(VLOOKUP($BD318,'(勿動)組件目錄表'!$D$15:$R$1094,2,FALSE),"")</f>
        <v/>
      </c>
      <c r="BF318" s="131" t="str">
        <f>IFERROR(VLOOKUP($BD318, '(勿動)組件目錄表'!$D$15:$R$1094, 5, FALSE),"")</f>
        <v/>
      </c>
      <c r="BG318" s="118"/>
      <c r="BH318" s="120"/>
      <c r="BI318" s="118"/>
      <c r="BJ318" s="120"/>
    </row>
    <row r="319" spans="1:62" ht="15.75" customHeight="1">
      <c r="A319" s="18" t="str">
        <f t="array" aca="1" ref="A319" ca="1">IFERROR(TRANSPOSE(INDIRECT('「(動工中勿使用!!)新版+舊版_Teaser」的副本'!$BB319)),"")</f>
        <v/>
      </c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80" t="b">
        <v>0</v>
      </c>
      <c r="AF319" s="111" t="str">
        <f t="shared" si="13"/>
        <v/>
      </c>
      <c r="AG319" s="112" t="str">
        <f t="shared" si="9"/>
        <v/>
      </c>
      <c r="AH319" s="126"/>
      <c r="AI319" s="114" t="str">
        <f ca="1">IFERROR(VLOOKUP($AH319, '(勿動)Component Label公版'!$D$1:$E$1000, 2, FALSE), "-")</f>
        <v>-</v>
      </c>
      <c r="AJ319" s="115"/>
      <c r="AK319" s="112"/>
      <c r="AL319" s="112"/>
      <c r="AM319" s="116" t="str">
        <f t="shared" si="10"/>
        <v/>
      </c>
      <c r="AN319" s="117" t="str">
        <f t="shared" si="11"/>
        <v/>
      </c>
      <c r="AO319" s="158"/>
      <c r="AP319" s="18"/>
      <c r="AQ319" s="18"/>
      <c r="AR319" s="18"/>
      <c r="AS319" s="18"/>
      <c r="AT319" s="18"/>
      <c r="AU319" s="54" t="b">
        <v>0</v>
      </c>
      <c r="AV319" s="54" t="b">
        <v>0</v>
      </c>
      <c r="AW319" s="123"/>
      <c r="AX319" s="124"/>
      <c r="AY319" s="124"/>
      <c r="AZ319" s="124"/>
      <c r="BA319" s="125"/>
      <c r="BB319" s="68"/>
      <c r="BC319" s="62"/>
      <c r="BD319" s="129" t="str">
        <f t="shared" si="12"/>
        <v>_</v>
      </c>
      <c r="BE319" s="130" t="str">
        <f>IFERROR(VLOOKUP($BD319,'(勿動)組件目錄表'!$D$15:$R$1094,2,FALSE),"")</f>
        <v/>
      </c>
      <c r="BF319" s="131" t="str">
        <f>IFERROR(VLOOKUP($BD319, '(勿動)組件目錄表'!$D$15:$R$1094, 5, FALSE),"")</f>
        <v/>
      </c>
      <c r="BG319" s="118"/>
      <c r="BH319" s="120"/>
      <c r="BI319" s="118"/>
      <c r="BJ319" s="120"/>
    </row>
    <row r="320" spans="1:62" ht="15.75" customHeight="1">
      <c r="A320" s="18" t="str">
        <f t="array" aca="1" ref="A320" ca="1">IFERROR(TRANSPOSE(INDIRECT('「(動工中勿使用!!)新版+舊版_Teaser」的副本'!$BB320)),"")</f>
        <v/>
      </c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80" t="b">
        <v>0</v>
      </c>
      <c r="AF320" s="111" t="str">
        <f t="shared" si="13"/>
        <v/>
      </c>
      <c r="AG320" s="112" t="str">
        <f t="shared" si="9"/>
        <v/>
      </c>
      <c r="AH320" s="126"/>
      <c r="AI320" s="114" t="str">
        <f ca="1">IFERROR(VLOOKUP($AH320, '(勿動)Component Label公版'!$D$1:$E$1000, 2, FALSE), "-")</f>
        <v>-</v>
      </c>
      <c r="AJ320" s="115"/>
      <c r="AK320" s="112"/>
      <c r="AL320" s="112"/>
      <c r="AM320" s="116" t="str">
        <f t="shared" si="10"/>
        <v/>
      </c>
      <c r="AN320" s="117" t="str">
        <f t="shared" si="11"/>
        <v/>
      </c>
      <c r="AO320" s="158"/>
      <c r="AP320" s="18"/>
      <c r="AQ320" s="18"/>
      <c r="AR320" s="18"/>
      <c r="AS320" s="18"/>
      <c r="AT320" s="18"/>
      <c r="AU320" s="54" t="b">
        <v>0</v>
      </c>
      <c r="AV320" s="54" t="b">
        <v>0</v>
      </c>
      <c r="AW320" s="123"/>
      <c r="AX320" s="124"/>
      <c r="AY320" s="124"/>
      <c r="AZ320" s="124"/>
      <c r="BA320" s="125"/>
      <c r="BB320" s="68"/>
      <c r="BC320" s="62"/>
      <c r="BD320" s="129" t="str">
        <f t="shared" si="12"/>
        <v>_</v>
      </c>
      <c r="BE320" s="130" t="str">
        <f>IFERROR(VLOOKUP($BD320,'(勿動)組件目錄表'!$D$15:$R$1094,2,FALSE),"")</f>
        <v/>
      </c>
      <c r="BF320" s="131" t="str">
        <f>IFERROR(VLOOKUP($BD320, '(勿動)組件目錄表'!$D$15:$R$1094, 5, FALSE),"")</f>
        <v/>
      </c>
      <c r="BG320" s="118"/>
      <c r="BH320" s="120"/>
      <c r="BI320" s="118"/>
      <c r="BJ320" s="120"/>
    </row>
    <row r="321" spans="1:62" ht="15.75" customHeight="1">
      <c r="A321" s="18" t="str">
        <f t="array" aca="1" ref="A321" ca="1">IFERROR(TRANSPOSE(INDIRECT('「(動工中勿使用!!)新版+舊版_Teaser」的副本'!$BB321)),"")</f>
        <v/>
      </c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80" t="b">
        <v>0</v>
      </c>
      <c r="AF321" s="111" t="str">
        <f t="shared" si="13"/>
        <v/>
      </c>
      <c r="AG321" s="112" t="str">
        <f t="shared" si="9"/>
        <v/>
      </c>
      <c r="AH321" s="126"/>
      <c r="AI321" s="114" t="str">
        <f ca="1">IFERROR(VLOOKUP($AH321, '(勿動)Component Label公版'!$D$1:$E$1000, 2, FALSE), "-")</f>
        <v>-</v>
      </c>
      <c r="AJ321" s="115"/>
      <c r="AK321" s="112"/>
      <c r="AL321" s="112"/>
      <c r="AM321" s="116" t="str">
        <f t="shared" si="10"/>
        <v/>
      </c>
      <c r="AN321" s="117" t="str">
        <f t="shared" si="11"/>
        <v/>
      </c>
      <c r="AO321" s="158"/>
      <c r="AP321" s="18"/>
      <c r="AQ321" s="18"/>
      <c r="AR321" s="18"/>
      <c r="AS321" s="18"/>
      <c r="AT321" s="18"/>
      <c r="AU321" s="54" t="b">
        <v>0</v>
      </c>
      <c r="AV321" s="54" t="b">
        <v>0</v>
      </c>
      <c r="AW321" s="123"/>
      <c r="AX321" s="124"/>
      <c r="AY321" s="124"/>
      <c r="AZ321" s="124"/>
      <c r="BA321" s="125"/>
      <c r="BB321" s="68"/>
      <c r="BC321" s="62"/>
      <c r="BD321" s="129" t="str">
        <f t="shared" si="12"/>
        <v>_</v>
      </c>
      <c r="BE321" s="130" t="str">
        <f>IFERROR(VLOOKUP($BD321,'(勿動)組件目錄表'!$D$15:$R$1094,2,FALSE),"")</f>
        <v/>
      </c>
      <c r="BF321" s="131" t="str">
        <f>IFERROR(VLOOKUP($BD321, '(勿動)組件目錄表'!$D$15:$R$1094, 5, FALSE),"")</f>
        <v/>
      </c>
      <c r="BG321" s="118"/>
      <c r="BH321" s="120"/>
      <c r="BI321" s="118"/>
      <c r="BJ321" s="120"/>
    </row>
    <row r="322" spans="1:62" ht="15.75" customHeight="1">
      <c r="A322" s="18" t="str">
        <f t="array" aca="1" ref="A322" ca="1">IFERROR(TRANSPOSE(INDIRECT('「(動工中勿使用!!)新版+舊版_Teaser」的副本'!$BB322)),"")</f>
        <v/>
      </c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80" t="b">
        <v>0</v>
      </c>
      <c r="AF322" s="111" t="str">
        <f t="shared" si="13"/>
        <v/>
      </c>
      <c r="AG322" s="112" t="str">
        <f t="shared" si="9"/>
        <v/>
      </c>
      <c r="AH322" s="126"/>
      <c r="AI322" s="114" t="str">
        <f ca="1">IFERROR(VLOOKUP($AH322, '(勿動)Component Label公版'!$D$1:$E$1000, 2, FALSE), "-")</f>
        <v>-</v>
      </c>
      <c r="AJ322" s="115"/>
      <c r="AK322" s="112"/>
      <c r="AL322" s="112"/>
      <c r="AM322" s="116" t="str">
        <f t="shared" si="10"/>
        <v/>
      </c>
      <c r="AN322" s="117" t="str">
        <f t="shared" si="11"/>
        <v/>
      </c>
      <c r="AO322" s="158"/>
      <c r="AP322" s="18"/>
      <c r="AQ322" s="18"/>
      <c r="AR322" s="18"/>
      <c r="AS322" s="18"/>
      <c r="AT322" s="18"/>
      <c r="AU322" s="54" t="b">
        <v>0</v>
      </c>
      <c r="AV322" s="54" t="b">
        <v>0</v>
      </c>
      <c r="AW322" s="123"/>
      <c r="AX322" s="124"/>
      <c r="AY322" s="124"/>
      <c r="AZ322" s="124"/>
      <c r="BA322" s="125"/>
      <c r="BB322" s="68"/>
      <c r="BC322" s="62"/>
      <c r="BD322" s="129" t="str">
        <f t="shared" si="12"/>
        <v>_</v>
      </c>
      <c r="BE322" s="130" t="str">
        <f>IFERROR(VLOOKUP($BD322,'(勿動)組件目錄表'!$D$15:$R$1094,2,FALSE),"")</f>
        <v/>
      </c>
      <c r="BF322" s="131" t="str">
        <f>IFERROR(VLOOKUP($BD322, '(勿動)組件目錄表'!$D$15:$R$1094, 5, FALSE),"")</f>
        <v/>
      </c>
      <c r="BG322" s="118"/>
      <c r="BH322" s="120"/>
      <c r="BI322" s="118"/>
      <c r="BJ322" s="120"/>
    </row>
    <row r="323" spans="1:62" ht="15.75" customHeight="1">
      <c r="A323" s="18" t="str">
        <f t="array" aca="1" ref="A323" ca="1">IFERROR(TRANSPOSE(INDIRECT('「(動工中勿使用!!)新版+舊版_Teaser」的副本'!$BB323)),"")</f>
        <v/>
      </c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80" t="b">
        <v>0</v>
      </c>
      <c r="AF323" s="111" t="str">
        <f t="shared" si="13"/>
        <v/>
      </c>
      <c r="AG323" s="112" t="str">
        <f t="shared" si="9"/>
        <v/>
      </c>
      <c r="AH323" s="126"/>
      <c r="AI323" s="114" t="str">
        <f ca="1">IFERROR(VLOOKUP($AH323, '(勿動)Component Label公版'!$D$1:$E$1000, 2, FALSE), "-")</f>
        <v>-</v>
      </c>
      <c r="AJ323" s="115"/>
      <c r="AK323" s="112"/>
      <c r="AL323" s="112"/>
      <c r="AM323" s="116" t="str">
        <f t="shared" si="10"/>
        <v/>
      </c>
      <c r="AN323" s="117" t="str">
        <f t="shared" si="11"/>
        <v/>
      </c>
      <c r="AO323" s="158"/>
      <c r="AP323" s="18"/>
      <c r="AQ323" s="18"/>
      <c r="AR323" s="18"/>
      <c r="AS323" s="18"/>
      <c r="AT323" s="18"/>
      <c r="AU323" s="54" t="b">
        <v>0</v>
      </c>
      <c r="AV323" s="54" t="b">
        <v>0</v>
      </c>
      <c r="AW323" s="123"/>
      <c r="AX323" s="124"/>
      <c r="AY323" s="124"/>
      <c r="AZ323" s="124"/>
      <c r="BA323" s="125"/>
      <c r="BB323" s="68"/>
      <c r="BC323" s="62"/>
      <c r="BD323" s="129" t="str">
        <f t="shared" si="12"/>
        <v>_</v>
      </c>
      <c r="BE323" s="130" t="str">
        <f>IFERROR(VLOOKUP($BD323,'(勿動)組件目錄表'!$D$15:$R$1094,2,FALSE),"")</f>
        <v/>
      </c>
      <c r="BF323" s="131" t="str">
        <f>IFERROR(VLOOKUP($BD323, '(勿動)組件目錄表'!$D$15:$R$1094, 5, FALSE),"")</f>
        <v/>
      </c>
      <c r="BG323" s="118"/>
      <c r="BH323" s="120"/>
      <c r="BI323" s="118"/>
      <c r="BJ323" s="120"/>
    </row>
    <row r="324" spans="1:62" ht="15.75" customHeight="1">
      <c r="A324" s="18" t="str">
        <f t="array" aca="1" ref="A324" ca="1">IFERROR(TRANSPOSE(INDIRECT('「(動工中勿使用!!)新版+舊版_Teaser」的副本'!$BB324)),"")</f>
        <v/>
      </c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80" t="b">
        <v>0</v>
      </c>
      <c r="AF324" s="111" t="str">
        <f t="shared" si="13"/>
        <v/>
      </c>
      <c r="AG324" s="112" t="str">
        <f t="shared" si="9"/>
        <v/>
      </c>
      <c r="AH324" s="126"/>
      <c r="AI324" s="114" t="str">
        <f ca="1">IFERROR(VLOOKUP($AH324, '(勿動)Component Label公版'!$D$1:$E$1000, 2, FALSE), "-")</f>
        <v>-</v>
      </c>
      <c r="AJ324" s="115"/>
      <c r="AK324" s="112"/>
      <c r="AL324" s="112"/>
      <c r="AM324" s="116" t="str">
        <f t="shared" si="10"/>
        <v/>
      </c>
      <c r="AN324" s="117" t="str">
        <f t="shared" si="11"/>
        <v/>
      </c>
      <c r="AO324" s="158"/>
      <c r="AP324" s="18"/>
      <c r="AQ324" s="18"/>
      <c r="AR324" s="18"/>
      <c r="AS324" s="18"/>
      <c r="AT324" s="18"/>
      <c r="AU324" s="54" t="b">
        <v>0</v>
      </c>
      <c r="AV324" s="54" t="b">
        <v>0</v>
      </c>
      <c r="AW324" s="123"/>
      <c r="AX324" s="124"/>
      <c r="AY324" s="124"/>
      <c r="AZ324" s="124"/>
      <c r="BA324" s="125"/>
      <c r="BB324" s="68"/>
      <c r="BC324" s="62"/>
      <c r="BD324" s="129" t="str">
        <f t="shared" si="12"/>
        <v>_</v>
      </c>
      <c r="BE324" s="130" t="str">
        <f>IFERROR(VLOOKUP($BD324,'(勿動)組件目錄表'!$D$15:$R$1094,2,FALSE),"")</f>
        <v/>
      </c>
      <c r="BF324" s="131" t="str">
        <f>IFERROR(VLOOKUP($BD324, '(勿動)組件目錄表'!$D$15:$R$1094, 5, FALSE),"")</f>
        <v/>
      </c>
      <c r="BG324" s="118"/>
      <c r="BH324" s="120"/>
      <c r="BI324" s="118"/>
      <c r="BJ324" s="120"/>
    </row>
    <row r="325" spans="1:62" ht="15.75" customHeight="1">
      <c r="A325" s="18" t="str">
        <f t="array" aca="1" ref="A325" ca="1">IFERROR(TRANSPOSE(INDIRECT('「(動工中勿使用!!)新版+舊版_Teaser」的副本'!$BB325)),"")</f>
        <v/>
      </c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80" t="b">
        <v>0</v>
      </c>
      <c r="AF325" s="111" t="str">
        <f t="shared" si="13"/>
        <v/>
      </c>
      <c r="AG325" s="112" t="str">
        <f t="shared" si="9"/>
        <v/>
      </c>
      <c r="AH325" s="126"/>
      <c r="AI325" s="114" t="str">
        <f ca="1">IFERROR(VLOOKUP($AH325, '(勿動)Component Label公版'!$D$1:$E$1000, 2, FALSE), "-")</f>
        <v>-</v>
      </c>
      <c r="AJ325" s="115"/>
      <c r="AK325" s="112"/>
      <c r="AL325" s="112"/>
      <c r="AM325" s="116" t="str">
        <f t="shared" si="10"/>
        <v/>
      </c>
      <c r="AN325" s="117" t="str">
        <f t="shared" si="11"/>
        <v/>
      </c>
      <c r="AO325" s="158"/>
      <c r="AP325" s="18"/>
      <c r="AQ325" s="18"/>
      <c r="AR325" s="18"/>
      <c r="AS325" s="18"/>
      <c r="AT325" s="18"/>
      <c r="AU325" s="54" t="b">
        <v>0</v>
      </c>
      <c r="AV325" s="54" t="b">
        <v>0</v>
      </c>
      <c r="AW325" s="123"/>
      <c r="AX325" s="124"/>
      <c r="AY325" s="124"/>
      <c r="AZ325" s="124"/>
      <c r="BA325" s="125"/>
      <c r="BB325" s="68"/>
      <c r="BC325" s="62"/>
      <c r="BD325" s="129" t="str">
        <f t="shared" si="12"/>
        <v>_</v>
      </c>
      <c r="BE325" s="130" t="str">
        <f>IFERROR(VLOOKUP($BD325,'(勿動)組件目錄表'!$D$15:$R$1094,2,FALSE),"")</f>
        <v/>
      </c>
      <c r="BF325" s="131" t="str">
        <f>IFERROR(VLOOKUP($BD325, '(勿動)組件目錄表'!$D$15:$R$1094, 5, FALSE),"")</f>
        <v/>
      </c>
      <c r="BG325" s="118"/>
      <c r="BH325" s="120"/>
      <c r="BI325" s="118"/>
      <c r="BJ325" s="120"/>
    </row>
    <row r="326" spans="1:62" ht="15.75" customHeight="1">
      <c r="A326" s="18" t="str">
        <f t="array" aca="1" ref="A326" ca="1">IFERROR(TRANSPOSE(INDIRECT('「(動工中勿使用!!)新版+舊版_Teaser」的副本'!$BB326)),"")</f>
        <v/>
      </c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80" t="b">
        <v>0</v>
      </c>
      <c r="AF326" s="111" t="str">
        <f t="shared" si="13"/>
        <v/>
      </c>
      <c r="AG326" s="112" t="str">
        <f t="shared" si="9"/>
        <v/>
      </c>
      <c r="AH326" s="126"/>
      <c r="AI326" s="114" t="str">
        <f ca="1">IFERROR(VLOOKUP($AH326, '(勿動)Component Label公版'!$D$1:$E$1000, 2, FALSE), "-")</f>
        <v>-</v>
      </c>
      <c r="AJ326" s="115"/>
      <c r="AK326" s="112"/>
      <c r="AL326" s="112"/>
      <c r="AM326" s="116" t="str">
        <f t="shared" si="10"/>
        <v/>
      </c>
      <c r="AN326" s="117" t="str">
        <f t="shared" si="11"/>
        <v/>
      </c>
      <c r="AO326" s="158"/>
      <c r="AP326" s="18"/>
      <c r="AQ326" s="18"/>
      <c r="AR326" s="18"/>
      <c r="AS326" s="18"/>
      <c r="AT326" s="18"/>
      <c r="AU326" s="54" t="b">
        <v>0</v>
      </c>
      <c r="AV326" s="54" t="b">
        <v>0</v>
      </c>
      <c r="AW326" s="123"/>
      <c r="AX326" s="124"/>
      <c r="AY326" s="124"/>
      <c r="AZ326" s="124"/>
      <c r="BA326" s="125"/>
      <c r="BB326" s="68"/>
      <c r="BC326" s="62"/>
      <c r="BD326" s="129" t="str">
        <f t="shared" si="12"/>
        <v>_</v>
      </c>
      <c r="BE326" s="130" t="str">
        <f>IFERROR(VLOOKUP($BD326,'(勿動)組件目錄表'!$D$15:$R$1094,2,FALSE),"")</f>
        <v/>
      </c>
      <c r="BF326" s="131" t="str">
        <f>IFERROR(VLOOKUP($BD326, '(勿動)組件目錄表'!$D$15:$R$1094, 5, FALSE),"")</f>
        <v/>
      </c>
      <c r="BG326" s="118"/>
      <c r="BH326" s="120"/>
      <c r="BI326" s="118"/>
      <c r="BJ326" s="120"/>
    </row>
    <row r="327" spans="1:62" ht="15.75" customHeight="1">
      <c r="A327" s="18" t="str">
        <f t="array" aca="1" ref="A327" ca="1">IFERROR(TRANSPOSE(INDIRECT('「(動工中勿使用!!)新版+舊版_Teaser」的副本'!$BB327)),"")</f>
        <v/>
      </c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80" t="b">
        <v>0</v>
      </c>
      <c r="AF327" s="111" t="str">
        <f t="shared" si="13"/>
        <v/>
      </c>
      <c r="AG327" s="112" t="str">
        <f t="shared" si="9"/>
        <v/>
      </c>
      <c r="AH327" s="126"/>
      <c r="AI327" s="114" t="str">
        <f ca="1">IFERROR(VLOOKUP($AH327, '(勿動)Component Label公版'!$D$1:$E$1000, 2, FALSE), "-")</f>
        <v>-</v>
      </c>
      <c r="AJ327" s="115"/>
      <c r="AK327" s="112"/>
      <c r="AL327" s="112"/>
      <c r="AM327" s="116" t="str">
        <f t="shared" si="10"/>
        <v/>
      </c>
      <c r="AN327" s="117" t="str">
        <f t="shared" si="11"/>
        <v/>
      </c>
      <c r="AO327" s="158"/>
      <c r="AP327" s="18"/>
      <c r="AQ327" s="18"/>
      <c r="AR327" s="18"/>
      <c r="AS327" s="18"/>
      <c r="AT327" s="18"/>
      <c r="AU327" s="54" t="b">
        <v>0</v>
      </c>
      <c r="AV327" s="54" t="b">
        <v>0</v>
      </c>
      <c r="AW327" s="123"/>
      <c r="AX327" s="124"/>
      <c r="AY327" s="124"/>
      <c r="AZ327" s="124"/>
      <c r="BA327" s="125"/>
      <c r="BB327" s="68"/>
      <c r="BC327" s="62"/>
      <c r="BD327" s="129" t="str">
        <f t="shared" si="12"/>
        <v>_</v>
      </c>
      <c r="BE327" s="130" t="str">
        <f>IFERROR(VLOOKUP($BD327,'(勿動)組件目錄表'!$D$15:$R$1094,2,FALSE),"")</f>
        <v/>
      </c>
      <c r="BF327" s="131" t="str">
        <f>IFERROR(VLOOKUP($BD327, '(勿動)組件目錄表'!$D$15:$R$1094, 5, FALSE),"")</f>
        <v/>
      </c>
      <c r="BG327" s="118"/>
      <c r="BH327" s="120"/>
      <c r="BI327" s="118"/>
      <c r="BJ327" s="120"/>
    </row>
    <row r="328" spans="1:62" ht="15.75" customHeight="1">
      <c r="A328" s="18" t="str">
        <f t="array" aca="1" ref="A328" ca="1">IFERROR(TRANSPOSE(INDIRECT('「(動工中勿使用!!)新版+舊版_Teaser」的副本'!$BB328)),"")</f>
        <v/>
      </c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80" t="b">
        <v>0</v>
      </c>
      <c r="AF328" s="111" t="str">
        <f t="shared" si="13"/>
        <v/>
      </c>
      <c r="AG328" s="112" t="str">
        <f t="shared" si="9"/>
        <v/>
      </c>
      <c r="AH328" s="126"/>
      <c r="AI328" s="114" t="str">
        <f ca="1">IFERROR(VLOOKUP($AH328, '(勿動)Component Label公版'!$D$1:$E$1000, 2, FALSE), "-")</f>
        <v>-</v>
      </c>
      <c r="AJ328" s="115"/>
      <c r="AK328" s="112"/>
      <c r="AL328" s="112"/>
      <c r="AM328" s="116" t="str">
        <f t="shared" si="10"/>
        <v/>
      </c>
      <c r="AN328" s="117" t="str">
        <f t="shared" si="11"/>
        <v/>
      </c>
      <c r="AO328" s="158"/>
      <c r="AP328" s="18"/>
      <c r="AQ328" s="18"/>
      <c r="AR328" s="18"/>
      <c r="AS328" s="18"/>
      <c r="AT328" s="18"/>
      <c r="AU328" s="54" t="b">
        <v>0</v>
      </c>
      <c r="AV328" s="54" t="b">
        <v>0</v>
      </c>
      <c r="AW328" s="123"/>
      <c r="AX328" s="124"/>
      <c r="AY328" s="124"/>
      <c r="AZ328" s="124"/>
      <c r="BA328" s="125"/>
      <c r="BB328" s="68"/>
      <c r="BC328" s="62"/>
      <c r="BD328" s="129" t="str">
        <f t="shared" si="12"/>
        <v>_</v>
      </c>
      <c r="BE328" s="130" t="str">
        <f>IFERROR(VLOOKUP($BD328,'(勿動)組件目錄表'!$D$15:$R$1094,2,FALSE),"")</f>
        <v/>
      </c>
      <c r="BF328" s="131" t="str">
        <f>IFERROR(VLOOKUP($BD328, '(勿動)組件目錄表'!$D$15:$R$1094, 5, FALSE),"")</f>
        <v/>
      </c>
      <c r="BG328" s="118"/>
      <c r="BH328" s="120"/>
      <c r="BI328" s="118"/>
      <c r="BJ328" s="120"/>
    </row>
    <row r="329" spans="1:62" ht="15.75" customHeight="1">
      <c r="A329" s="18" t="str">
        <f t="array" aca="1" ref="A329" ca="1">IFERROR(TRANSPOSE(INDIRECT('「(動工中勿使用!!)新版+舊版_Teaser」的副本'!$BB329)),"")</f>
        <v/>
      </c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80" t="b">
        <v>0</v>
      </c>
      <c r="AF329" s="111" t="str">
        <f t="shared" si="13"/>
        <v/>
      </c>
      <c r="AG329" s="112" t="str">
        <f t="shared" si="9"/>
        <v/>
      </c>
      <c r="AH329" s="126"/>
      <c r="AI329" s="114" t="str">
        <f ca="1">IFERROR(VLOOKUP($AH329, '(勿動)Component Label公版'!$D$1:$E$1000, 2, FALSE), "-")</f>
        <v>-</v>
      </c>
      <c r="AJ329" s="115"/>
      <c r="AK329" s="112"/>
      <c r="AL329" s="112"/>
      <c r="AM329" s="116" t="str">
        <f t="shared" si="10"/>
        <v/>
      </c>
      <c r="AN329" s="117" t="str">
        <f t="shared" si="11"/>
        <v/>
      </c>
      <c r="AO329" s="158"/>
      <c r="AP329" s="18"/>
      <c r="AQ329" s="18"/>
      <c r="AR329" s="18"/>
      <c r="AS329" s="18"/>
      <c r="AT329" s="18"/>
      <c r="AU329" s="54" t="b">
        <v>0</v>
      </c>
      <c r="AV329" s="54" t="b">
        <v>0</v>
      </c>
      <c r="AW329" s="123"/>
      <c r="AX329" s="124"/>
      <c r="AY329" s="124"/>
      <c r="AZ329" s="124"/>
      <c r="BA329" s="125"/>
      <c r="BB329" s="68"/>
      <c r="BC329" s="62"/>
      <c r="BD329" s="129" t="str">
        <f t="shared" si="12"/>
        <v>_</v>
      </c>
      <c r="BE329" s="130" t="str">
        <f>IFERROR(VLOOKUP($BD329,'(勿動)組件目錄表'!$D$15:$R$1094,2,FALSE),"")</f>
        <v/>
      </c>
      <c r="BF329" s="131" t="str">
        <f>IFERROR(VLOOKUP($BD329, '(勿動)組件目錄表'!$D$15:$R$1094, 5, FALSE),"")</f>
        <v/>
      </c>
      <c r="BG329" s="118"/>
      <c r="BH329" s="120"/>
      <c r="BI329" s="118"/>
      <c r="BJ329" s="120"/>
    </row>
    <row r="330" spans="1:62" ht="15.75" customHeight="1">
      <c r="A330" s="18" t="str">
        <f t="array" aca="1" ref="A330" ca="1">IFERROR(TRANSPOSE(INDIRECT('「(動工中勿使用!!)新版+舊版_Teaser」的副本'!$BB330)),"")</f>
        <v/>
      </c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80" t="b">
        <v>0</v>
      </c>
      <c r="AF330" s="111" t="str">
        <f t="shared" si="13"/>
        <v/>
      </c>
      <c r="AG330" s="112" t="str">
        <f t="shared" si="9"/>
        <v/>
      </c>
      <c r="AH330" s="126"/>
      <c r="AI330" s="114" t="str">
        <f ca="1">IFERROR(VLOOKUP($AH330, '(勿動)Component Label公版'!$D$1:$E$1000, 2, FALSE), "-")</f>
        <v>-</v>
      </c>
      <c r="AJ330" s="115"/>
      <c r="AK330" s="112"/>
      <c r="AL330" s="112"/>
      <c r="AM330" s="116" t="str">
        <f t="shared" si="10"/>
        <v/>
      </c>
      <c r="AN330" s="117" t="str">
        <f t="shared" si="11"/>
        <v/>
      </c>
      <c r="AO330" s="158"/>
      <c r="AP330" s="18"/>
      <c r="AQ330" s="18"/>
      <c r="AR330" s="18"/>
      <c r="AS330" s="18"/>
      <c r="AT330" s="18"/>
      <c r="AU330" s="54" t="b">
        <v>0</v>
      </c>
      <c r="AV330" s="54" t="b">
        <v>0</v>
      </c>
      <c r="AW330" s="123"/>
      <c r="AX330" s="124"/>
      <c r="AY330" s="124"/>
      <c r="AZ330" s="124"/>
      <c r="BA330" s="125"/>
      <c r="BB330" s="68"/>
      <c r="BC330" s="62"/>
      <c r="BD330" s="129" t="str">
        <f t="shared" si="12"/>
        <v>_</v>
      </c>
      <c r="BE330" s="130" t="str">
        <f>IFERROR(VLOOKUP($BD330,'(勿動)組件目錄表'!$D$15:$R$1094,2,FALSE),"")</f>
        <v/>
      </c>
      <c r="BF330" s="131" t="str">
        <f>IFERROR(VLOOKUP($BD330, '(勿動)組件目錄表'!$D$15:$R$1094, 5, FALSE),"")</f>
        <v/>
      </c>
      <c r="BG330" s="118"/>
      <c r="BH330" s="120"/>
      <c r="BI330" s="118"/>
      <c r="BJ330" s="120"/>
    </row>
    <row r="331" spans="1:62" ht="15.75" customHeight="1">
      <c r="A331" s="18" t="str">
        <f t="array" aca="1" ref="A331" ca="1">IFERROR(TRANSPOSE(INDIRECT('「(動工中勿使用!!)新版+舊版_Teaser」的副本'!$BB331)),"")</f>
        <v/>
      </c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80" t="b">
        <v>0</v>
      </c>
      <c r="AF331" s="111" t="str">
        <f t="shared" si="13"/>
        <v/>
      </c>
      <c r="AG331" s="112" t="str">
        <f t="shared" si="9"/>
        <v/>
      </c>
      <c r="AH331" s="126"/>
      <c r="AI331" s="114" t="str">
        <f ca="1">IFERROR(VLOOKUP($AH331, '(勿動)Component Label公版'!$D$1:$E$1000, 2, FALSE), "-")</f>
        <v>-</v>
      </c>
      <c r="AJ331" s="115"/>
      <c r="AK331" s="112"/>
      <c r="AL331" s="112"/>
      <c r="AM331" s="116" t="str">
        <f t="shared" si="10"/>
        <v/>
      </c>
      <c r="AN331" s="117" t="str">
        <f t="shared" si="11"/>
        <v/>
      </c>
      <c r="AO331" s="158"/>
      <c r="AP331" s="18"/>
      <c r="AQ331" s="18"/>
      <c r="AR331" s="18"/>
      <c r="AS331" s="18"/>
      <c r="AT331" s="18"/>
      <c r="AU331" s="54" t="b">
        <v>0</v>
      </c>
      <c r="AV331" s="54" t="b">
        <v>0</v>
      </c>
      <c r="AW331" s="123"/>
      <c r="AX331" s="124"/>
      <c r="AY331" s="124"/>
      <c r="AZ331" s="124"/>
      <c r="BA331" s="125"/>
      <c r="BB331" s="68"/>
      <c r="BC331" s="62"/>
      <c r="BD331" s="129" t="str">
        <f t="shared" si="12"/>
        <v>_</v>
      </c>
      <c r="BE331" s="130" t="str">
        <f>IFERROR(VLOOKUP($BD331,'(勿動)組件目錄表'!$D$15:$R$1094,2,FALSE),"")</f>
        <v/>
      </c>
      <c r="BF331" s="131" t="str">
        <f>IFERROR(VLOOKUP($BD331, '(勿動)組件目錄表'!$D$15:$R$1094, 5, FALSE),"")</f>
        <v/>
      </c>
      <c r="BG331" s="118"/>
      <c r="BH331" s="120"/>
      <c r="BI331" s="118"/>
      <c r="BJ331" s="120"/>
    </row>
    <row r="332" spans="1:62" ht="15.75" customHeight="1">
      <c r="A332" s="18" t="str">
        <f t="array" aca="1" ref="A332" ca="1">IFERROR(TRANSPOSE(INDIRECT('「(動工中勿使用!!)新版+舊版_Teaser」的副本'!$BB332)),"")</f>
        <v/>
      </c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80" t="b">
        <v>0</v>
      </c>
      <c r="AF332" s="111" t="str">
        <f t="shared" si="13"/>
        <v/>
      </c>
      <c r="AG332" s="112" t="str">
        <f t="shared" si="9"/>
        <v/>
      </c>
      <c r="AH332" s="126"/>
      <c r="AI332" s="114" t="str">
        <f ca="1">IFERROR(VLOOKUP($AH332, '(勿動)Component Label公版'!$D$1:$E$1000, 2, FALSE), "-")</f>
        <v>-</v>
      </c>
      <c r="AJ332" s="115"/>
      <c r="AK332" s="112"/>
      <c r="AL332" s="112"/>
      <c r="AM332" s="116" t="str">
        <f t="shared" si="10"/>
        <v/>
      </c>
      <c r="AN332" s="117" t="str">
        <f t="shared" si="11"/>
        <v/>
      </c>
      <c r="AO332" s="158"/>
      <c r="AP332" s="18"/>
      <c r="AQ332" s="18"/>
      <c r="AR332" s="18"/>
      <c r="AS332" s="18"/>
      <c r="AT332" s="18"/>
      <c r="AU332" s="54" t="b">
        <v>0</v>
      </c>
      <c r="AV332" s="54" t="b">
        <v>0</v>
      </c>
      <c r="AW332" s="123"/>
      <c r="AX332" s="124"/>
      <c r="AY332" s="124"/>
      <c r="AZ332" s="124"/>
      <c r="BA332" s="125"/>
      <c r="BB332" s="68"/>
      <c r="BC332" s="62"/>
      <c r="BD332" s="129" t="str">
        <f t="shared" si="12"/>
        <v>_</v>
      </c>
      <c r="BE332" s="130" t="str">
        <f>IFERROR(VLOOKUP($BD332,'(勿動)組件目錄表'!$D$15:$R$1094,2,FALSE),"")</f>
        <v/>
      </c>
      <c r="BF332" s="131" t="str">
        <f>IFERROR(VLOOKUP($BD332, '(勿動)組件目錄表'!$D$15:$R$1094, 5, FALSE),"")</f>
        <v/>
      </c>
      <c r="BG332" s="118"/>
      <c r="BH332" s="120"/>
      <c r="BI332" s="118"/>
      <c r="BJ332" s="120"/>
    </row>
    <row r="333" spans="1:62" ht="15.75" customHeight="1">
      <c r="A333" s="18" t="str">
        <f t="array" aca="1" ref="A333" ca="1">IFERROR(TRANSPOSE(INDIRECT('「(動工中勿使用!!)新版+舊版_Teaser」的副本'!$BB333)),"")</f>
        <v/>
      </c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80" t="b">
        <v>0</v>
      </c>
      <c r="AF333" s="111" t="str">
        <f t="shared" si="13"/>
        <v/>
      </c>
      <c r="AG333" s="112" t="str">
        <f t="shared" si="9"/>
        <v/>
      </c>
      <c r="AH333" s="126"/>
      <c r="AI333" s="114" t="str">
        <f ca="1">IFERROR(VLOOKUP($AH333, '(勿動)Component Label公版'!$D$1:$E$1000, 2, FALSE), "-")</f>
        <v>-</v>
      </c>
      <c r="AJ333" s="115"/>
      <c r="AK333" s="112"/>
      <c r="AL333" s="112"/>
      <c r="AM333" s="116" t="str">
        <f t="shared" si="10"/>
        <v/>
      </c>
      <c r="AN333" s="117" t="str">
        <f t="shared" si="11"/>
        <v/>
      </c>
      <c r="AO333" s="158"/>
      <c r="AP333" s="18"/>
      <c r="AQ333" s="18"/>
      <c r="AR333" s="18"/>
      <c r="AS333" s="18"/>
      <c r="AT333" s="18"/>
      <c r="AU333" s="54" t="b">
        <v>0</v>
      </c>
      <c r="AV333" s="54" t="b">
        <v>0</v>
      </c>
      <c r="AW333" s="123"/>
      <c r="AX333" s="124"/>
      <c r="AY333" s="124"/>
      <c r="AZ333" s="124"/>
      <c r="BA333" s="125"/>
      <c r="BB333" s="68"/>
      <c r="BC333" s="62"/>
      <c r="BD333" s="129" t="str">
        <f t="shared" si="12"/>
        <v>_</v>
      </c>
      <c r="BE333" s="130" t="str">
        <f>IFERROR(VLOOKUP($BD333,'(勿動)組件目錄表'!$D$15:$R$1094,2,FALSE),"")</f>
        <v/>
      </c>
      <c r="BF333" s="131" t="str">
        <f>IFERROR(VLOOKUP($BD333, '(勿動)組件目錄表'!$D$15:$R$1094, 5, FALSE),"")</f>
        <v/>
      </c>
      <c r="BG333" s="118"/>
      <c r="BH333" s="120"/>
      <c r="BI333" s="118"/>
      <c r="BJ333" s="120"/>
    </row>
    <row r="334" spans="1:62" ht="15.75" customHeight="1">
      <c r="A334" s="18" t="str">
        <f t="array" aca="1" ref="A334" ca="1">IFERROR(TRANSPOSE(INDIRECT('「(動工中勿使用!!)新版+舊版_Teaser」的副本'!$BB334)),"")</f>
        <v/>
      </c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80" t="b">
        <v>0</v>
      </c>
      <c r="AF334" s="111" t="str">
        <f t="shared" si="13"/>
        <v/>
      </c>
      <c r="AG334" s="112" t="str">
        <f t="shared" si="9"/>
        <v/>
      </c>
      <c r="AH334" s="126"/>
      <c r="AI334" s="114" t="str">
        <f ca="1">IFERROR(VLOOKUP($AH334, '(勿動)Component Label公版'!$D$1:$E$1000, 2, FALSE), "-")</f>
        <v>-</v>
      </c>
      <c r="AJ334" s="115"/>
      <c r="AK334" s="112"/>
      <c r="AL334" s="112"/>
      <c r="AM334" s="116" t="str">
        <f t="shared" si="10"/>
        <v/>
      </c>
      <c r="AN334" s="117" t="str">
        <f t="shared" si="11"/>
        <v/>
      </c>
      <c r="AO334" s="158"/>
      <c r="AP334" s="18"/>
      <c r="AQ334" s="18"/>
      <c r="AR334" s="18"/>
      <c r="AS334" s="18"/>
      <c r="AT334" s="18"/>
      <c r="AU334" s="54" t="b">
        <v>0</v>
      </c>
      <c r="AV334" s="54" t="b">
        <v>0</v>
      </c>
      <c r="AW334" s="123"/>
      <c r="AX334" s="124"/>
      <c r="AY334" s="124"/>
      <c r="AZ334" s="124"/>
      <c r="BA334" s="125"/>
      <c r="BB334" s="68"/>
      <c r="BC334" s="62"/>
      <c r="BD334" s="129" t="str">
        <f t="shared" si="12"/>
        <v>_</v>
      </c>
      <c r="BE334" s="130" t="str">
        <f>IFERROR(VLOOKUP($BD334,'(勿動)組件目錄表'!$D$15:$R$1094,2,FALSE),"")</f>
        <v/>
      </c>
      <c r="BF334" s="131" t="str">
        <f>IFERROR(VLOOKUP($BD334, '(勿動)組件目錄表'!$D$15:$R$1094, 5, FALSE),"")</f>
        <v/>
      </c>
      <c r="BG334" s="118"/>
      <c r="BH334" s="120"/>
      <c r="BI334" s="118"/>
      <c r="BJ334" s="120"/>
    </row>
    <row r="335" spans="1:62" ht="15.75" customHeight="1">
      <c r="A335" s="18" t="str">
        <f t="array" aca="1" ref="A335" ca="1">IFERROR(TRANSPOSE(INDIRECT('「(動工中勿使用!!)新版+舊版_Teaser」的副本'!$BB335)),"")</f>
        <v/>
      </c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80" t="b">
        <v>0</v>
      </c>
      <c r="AF335" s="111" t="str">
        <f t="shared" si="13"/>
        <v/>
      </c>
      <c r="AG335" s="112" t="str">
        <f t="shared" si="9"/>
        <v/>
      </c>
      <c r="AH335" s="126"/>
      <c r="AI335" s="114" t="str">
        <f ca="1">IFERROR(VLOOKUP($AH335, '(勿動)Component Label公版'!$D$1:$E$1000, 2, FALSE), "-")</f>
        <v>-</v>
      </c>
      <c r="AJ335" s="115"/>
      <c r="AK335" s="112"/>
      <c r="AL335" s="112"/>
      <c r="AM335" s="116" t="str">
        <f t="shared" si="10"/>
        <v/>
      </c>
      <c r="AN335" s="117" t="str">
        <f t="shared" si="11"/>
        <v/>
      </c>
      <c r="AO335" s="158"/>
      <c r="AP335" s="18"/>
      <c r="AQ335" s="18"/>
      <c r="AR335" s="18"/>
      <c r="AS335" s="18"/>
      <c r="AT335" s="18"/>
      <c r="AU335" s="54" t="b">
        <v>0</v>
      </c>
      <c r="AV335" s="54" t="b">
        <v>0</v>
      </c>
      <c r="AW335" s="123"/>
      <c r="AX335" s="124"/>
      <c r="AY335" s="124"/>
      <c r="AZ335" s="124"/>
      <c r="BA335" s="125"/>
      <c r="BB335" s="68"/>
      <c r="BC335" s="62"/>
      <c r="BD335" s="129" t="str">
        <f t="shared" si="12"/>
        <v>_</v>
      </c>
      <c r="BE335" s="130" t="str">
        <f>IFERROR(VLOOKUP($BD335,'(勿動)組件目錄表'!$D$15:$R$1094,2,FALSE),"")</f>
        <v/>
      </c>
      <c r="BF335" s="131" t="str">
        <f>IFERROR(VLOOKUP($BD335, '(勿動)組件目錄表'!$D$15:$R$1094, 5, FALSE),"")</f>
        <v/>
      </c>
      <c r="BG335" s="118"/>
      <c r="BH335" s="120"/>
      <c r="BI335" s="118"/>
      <c r="BJ335" s="120"/>
    </row>
    <row r="336" spans="1:62" ht="15.75" customHeight="1">
      <c r="A336" s="18" t="str">
        <f t="array" aca="1" ref="A336" ca="1">IFERROR(TRANSPOSE(INDIRECT('「(動工中勿使用!!)新版+舊版_Teaser」的副本'!$BB336)),"")</f>
        <v/>
      </c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80" t="b">
        <v>0</v>
      </c>
      <c r="AF336" s="111" t="str">
        <f t="shared" si="13"/>
        <v/>
      </c>
      <c r="AG336" s="112" t="str">
        <f t="shared" si="9"/>
        <v/>
      </c>
      <c r="AH336" s="126"/>
      <c r="AI336" s="114" t="str">
        <f ca="1">IFERROR(VLOOKUP($AH336, '(勿動)Component Label公版'!$D$1:$E$1000, 2, FALSE), "-")</f>
        <v>-</v>
      </c>
      <c r="AJ336" s="115"/>
      <c r="AK336" s="112"/>
      <c r="AL336" s="112"/>
      <c r="AM336" s="116" t="str">
        <f t="shared" si="10"/>
        <v/>
      </c>
      <c r="AN336" s="117" t="str">
        <f t="shared" si="11"/>
        <v/>
      </c>
      <c r="AO336" s="158"/>
      <c r="AP336" s="18"/>
      <c r="AQ336" s="18"/>
      <c r="AR336" s="18"/>
      <c r="AS336" s="18"/>
      <c r="AT336" s="18"/>
      <c r="AU336" s="54" t="b">
        <v>0</v>
      </c>
      <c r="AV336" s="54" t="b">
        <v>0</v>
      </c>
      <c r="AW336" s="123"/>
      <c r="AX336" s="124"/>
      <c r="AY336" s="124"/>
      <c r="AZ336" s="124"/>
      <c r="BA336" s="125"/>
      <c r="BB336" s="68"/>
      <c r="BC336" s="62"/>
      <c r="BD336" s="129" t="str">
        <f t="shared" si="12"/>
        <v>_</v>
      </c>
      <c r="BE336" s="130" t="str">
        <f>IFERROR(VLOOKUP($BD336,'(勿動)組件目錄表'!$D$15:$R$1094,2,FALSE),"")</f>
        <v/>
      </c>
      <c r="BF336" s="131" t="str">
        <f>IFERROR(VLOOKUP($BD336, '(勿動)組件目錄表'!$D$15:$R$1094, 5, FALSE),"")</f>
        <v/>
      </c>
      <c r="BG336" s="118"/>
      <c r="BH336" s="120"/>
      <c r="BI336" s="118"/>
      <c r="BJ336" s="120"/>
    </row>
    <row r="337" spans="1:62" ht="15.75" customHeight="1">
      <c r="A337" s="18" t="str">
        <f t="array" aca="1" ref="A337" ca="1">IFERROR(TRANSPOSE(INDIRECT('「(動工中勿使用!!)新版+舊版_Teaser」的副本'!$BB337)),"")</f>
        <v/>
      </c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80" t="b">
        <v>0</v>
      </c>
      <c r="AF337" s="111" t="str">
        <f t="shared" si="13"/>
        <v/>
      </c>
      <c r="AG337" s="112" t="str">
        <f t="shared" si="9"/>
        <v/>
      </c>
      <c r="AH337" s="126"/>
      <c r="AI337" s="114" t="str">
        <f ca="1">IFERROR(VLOOKUP($AH337, '(勿動)Component Label公版'!$D$1:$E$1000, 2, FALSE), "-")</f>
        <v>-</v>
      </c>
      <c r="AJ337" s="115"/>
      <c r="AK337" s="112"/>
      <c r="AL337" s="112"/>
      <c r="AM337" s="116" t="str">
        <f t="shared" si="10"/>
        <v/>
      </c>
      <c r="AN337" s="117" t="str">
        <f t="shared" si="11"/>
        <v/>
      </c>
      <c r="AO337" s="158"/>
      <c r="AP337" s="18"/>
      <c r="AQ337" s="18"/>
      <c r="AR337" s="18"/>
      <c r="AS337" s="18"/>
      <c r="AT337" s="18"/>
      <c r="AU337" s="54" t="b">
        <v>0</v>
      </c>
      <c r="AV337" s="54" t="b">
        <v>0</v>
      </c>
      <c r="AW337" s="123"/>
      <c r="AX337" s="124"/>
      <c r="AY337" s="124"/>
      <c r="AZ337" s="124"/>
      <c r="BA337" s="125"/>
      <c r="BB337" s="68"/>
      <c r="BC337" s="62"/>
      <c r="BD337" s="129" t="str">
        <f t="shared" si="12"/>
        <v>_</v>
      </c>
      <c r="BE337" s="130" t="str">
        <f>IFERROR(VLOOKUP($BD337,'(勿動)組件目錄表'!$D$15:$R$1094,2,FALSE),"")</f>
        <v/>
      </c>
      <c r="BF337" s="131" t="str">
        <f>IFERROR(VLOOKUP($BD337, '(勿動)組件目錄表'!$D$15:$R$1094, 5, FALSE),"")</f>
        <v/>
      </c>
      <c r="BG337" s="118"/>
      <c r="BH337" s="120"/>
      <c r="BI337" s="118"/>
      <c r="BJ337" s="120"/>
    </row>
    <row r="338" spans="1:62" ht="15.75" customHeight="1">
      <c r="A338" s="18" t="str">
        <f t="array" aca="1" ref="A338" ca="1">IFERROR(TRANSPOSE(INDIRECT('「(動工中勿使用!!)新版+舊版_Teaser」的副本'!$BB338)),"")</f>
        <v/>
      </c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80" t="b">
        <v>0</v>
      </c>
      <c r="AF338" s="111" t="str">
        <f t="shared" si="13"/>
        <v/>
      </c>
      <c r="AG338" s="112" t="str">
        <f t="shared" si="9"/>
        <v/>
      </c>
      <c r="AH338" s="126"/>
      <c r="AI338" s="114" t="str">
        <f ca="1">IFERROR(VLOOKUP($AH338, '(勿動)Component Label公版'!$D$1:$E$1000, 2, FALSE), "-")</f>
        <v>-</v>
      </c>
      <c r="AJ338" s="115"/>
      <c r="AK338" s="112"/>
      <c r="AL338" s="112"/>
      <c r="AM338" s="116" t="str">
        <f t="shared" si="10"/>
        <v/>
      </c>
      <c r="AN338" s="117" t="str">
        <f t="shared" si="11"/>
        <v/>
      </c>
      <c r="AO338" s="158"/>
      <c r="AP338" s="18"/>
      <c r="AQ338" s="18"/>
      <c r="AR338" s="18"/>
      <c r="AS338" s="18"/>
      <c r="AT338" s="18"/>
      <c r="AU338" s="54" t="b">
        <v>0</v>
      </c>
      <c r="AV338" s="54" t="b">
        <v>0</v>
      </c>
      <c r="AW338" s="123"/>
      <c r="AX338" s="124"/>
      <c r="AY338" s="124"/>
      <c r="AZ338" s="124"/>
      <c r="BA338" s="125"/>
      <c r="BB338" s="68"/>
      <c r="BC338" s="62"/>
      <c r="BD338" s="129" t="str">
        <f t="shared" si="12"/>
        <v>_</v>
      </c>
      <c r="BE338" s="130" t="str">
        <f>IFERROR(VLOOKUP($BD338,'(勿動)組件目錄表'!$D$15:$R$1094,2,FALSE),"")</f>
        <v/>
      </c>
      <c r="BF338" s="131" t="str">
        <f>IFERROR(VLOOKUP($BD338, '(勿動)組件目錄表'!$D$15:$R$1094, 5, FALSE),"")</f>
        <v/>
      </c>
      <c r="BG338" s="118"/>
      <c r="BH338" s="120"/>
      <c r="BI338" s="118"/>
      <c r="BJ338" s="120"/>
    </row>
    <row r="339" spans="1:62" ht="15.75" customHeight="1">
      <c r="A339" s="18" t="str">
        <f t="array" aca="1" ref="A339" ca="1">IFERROR(TRANSPOSE(INDIRECT('「(動工中勿使用!!)新版+舊版_Teaser」的副本'!$BB339)),"")</f>
        <v/>
      </c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80" t="b">
        <v>0</v>
      </c>
      <c r="AF339" s="111" t="str">
        <f t="shared" si="13"/>
        <v/>
      </c>
      <c r="AG339" s="112" t="str">
        <f t="shared" si="9"/>
        <v/>
      </c>
      <c r="AH339" s="126"/>
      <c r="AI339" s="114" t="str">
        <f ca="1">IFERROR(VLOOKUP($AH339, '(勿動)Component Label公版'!$D$1:$E$1000, 2, FALSE), "-")</f>
        <v>-</v>
      </c>
      <c r="AJ339" s="115"/>
      <c r="AK339" s="112"/>
      <c r="AL339" s="112"/>
      <c r="AM339" s="116" t="str">
        <f t="shared" si="10"/>
        <v/>
      </c>
      <c r="AN339" s="117" t="str">
        <f t="shared" si="11"/>
        <v/>
      </c>
      <c r="AO339" s="158"/>
      <c r="AP339" s="18"/>
      <c r="AQ339" s="18"/>
      <c r="AR339" s="18"/>
      <c r="AS339" s="18"/>
      <c r="AT339" s="18"/>
      <c r="AU339" s="54" t="b">
        <v>0</v>
      </c>
      <c r="AV339" s="54" t="b">
        <v>0</v>
      </c>
      <c r="AW339" s="123"/>
      <c r="AX339" s="124"/>
      <c r="AY339" s="124"/>
      <c r="AZ339" s="124"/>
      <c r="BA339" s="125"/>
      <c r="BB339" s="68"/>
      <c r="BC339" s="62"/>
      <c r="BD339" s="129" t="str">
        <f t="shared" si="12"/>
        <v>_</v>
      </c>
      <c r="BE339" s="130" t="str">
        <f>IFERROR(VLOOKUP($BD339,'(勿動)組件目錄表'!$D$15:$R$1094,2,FALSE),"")</f>
        <v/>
      </c>
      <c r="BF339" s="131" t="str">
        <f>IFERROR(VLOOKUP($BD339, '(勿動)組件目錄表'!$D$15:$R$1094, 5, FALSE),"")</f>
        <v/>
      </c>
      <c r="BG339" s="118"/>
      <c r="BH339" s="120"/>
      <c r="BI339" s="118"/>
      <c r="BJ339" s="120"/>
    </row>
    <row r="340" spans="1:62" ht="15.75" customHeight="1">
      <c r="A340" s="18" t="str">
        <f t="array" aca="1" ref="A340" ca="1">IFERROR(TRANSPOSE(INDIRECT('「(動工中勿使用!!)新版+舊版_Teaser」的副本'!$BB340)),"")</f>
        <v/>
      </c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80" t="b">
        <v>0</v>
      </c>
      <c r="AF340" s="111" t="str">
        <f t="shared" si="13"/>
        <v/>
      </c>
      <c r="AG340" s="112" t="str">
        <f t="shared" si="9"/>
        <v/>
      </c>
      <c r="AH340" s="126"/>
      <c r="AI340" s="114" t="str">
        <f ca="1">IFERROR(VLOOKUP($AH340, '(勿動)Component Label公版'!$D$1:$E$1000, 2, FALSE), "-")</f>
        <v>-</v>
      </c>
      <c r="AJ340" s="115"/>
      <c r="AK340" s="112"/>
      <c r="AL340" s="112"/>
      <c r="AM340" s="116" t="str">
        <f t="shared" si="10"/>
        <v/>
      </c>
      <c r="AN340" s="117" t="str">
        <f t="shared" si="11"/>
        <v/>
      </c>
      <c r="AO340" s="158"/>
      <c r="AP340" s="18"/>
      <c r="AQ340" s="18"/>
      <c r="AR340" s="18"/>
      <c r="AS340" s="18"/>
      <c r="AT340" s="18"/>
      <c r="AU340" s="54" t="b">
        <v>0</v>
      </c>
      <c r="AV340" s="54" t="b">
        <v>0</v>
      </c>
      <c r="AW340" s="123"/>
      <c r="AX340" s="124"/>
      <c r="AY340" s="124"/>
      <c r="AZ340" s="124"/>
      <c r="BA340" s="125"/>
      <c r="BB340" s="68"/>
      <c r="BC340" s="62"/>
      <c r="BD340" s="129" t="str">
        <f t="shared" si="12"/>
        <v>_</v>
      </c>
      <c r="BE340" s="130" t="str">
        <f>IFERROR(VLOOKUP($BD340,'(勿動)組件目錄表'!$D$15:$R$1094,2,FALSE),"")</f>
        <v/>
      </c>
      <c r="BF340" s="131" t="str">
        <f>IFERROR(VLOOKUP($BD340, '(勿動)組件目錄表'!$D$15:$R$1094, 5, FALSE),"")</f>
        <v/>
      </c>
      <c r="BG340" s="118"/>
      <c r="BH340" s="120"/>
      <c r="BI340" s="118"/>
      <c r="BJ340" s="120"/>
    </row>
    <row r="341" spans="1:62" ht="15.75" customHeight="1">
      <c r="A341" s="18" t="str">
        <f t="array" aca="1" ref="A341" ca="1">IFERROR(TRANSPOSE(INDIRECT('「(動工中勿使用!!)新版+舊版_Teaser」的副本'!$BB341)),"")</f>
        <v/>
      </c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80" t="b">
        <v>0</v>
      </c>
      <c r="AF341" s="111" t="str">
        <f t="shared" si="13"/>
        <v/>
      </c>
      <c r="AG341" s="112" t="str">
        <f t="shared" si="9"/>
        <v/>
      </c>
      <c r="AH341" s="126"/>
      <c r="AI341" s="114" t="str">
        <f ca="1">IFERROR(VLOOKUP($AH341, '(勿動)Component Label公版'!$D$1:$E$1000, 2, FALSE), "-")</f>
        <v>-</v>
      </c>
      <c r="AJ341" s="115"/>
      <c r="AK341" s="112"/>
      <c r="AL341" s="112"/>
      <c r="AM341" s="116" t="str">
        <f t="shared" si="10"/>
        <v/>
      </c>
      <c r="AN341" s="117" t="str">
        <f t="shared" si="11"/>
        <v/>
      </c>
      <c r="AO341" s="158"/>
      <c r="AP341" s="18"/>
      <c r="AQ341" s="18"/>
      <c r="AR341" s="18"/>
      <c r="AS341" s="18"/>
      <c r="AT341" s="18"/>
      <c r="AU341" s="54" t="b">
        <v>0</v>
      </c>
      <c r="AV341" s="54" t="b">
        <v>0</v>
      </c>
      <c r="AW341" s="123"/>
      <c r="AX341" s="124"/>
      <c r="AY341" s="124"/>
      <c r="AZ341" s="124"/>
      <c r="BA341" s="125"/>
      <c r="BB341" s="68"/>
      <c r="BC341" s="62"/>
      <c r="BD341" s="129" t="str">
        <f t="shared" si="12"/>
        <v>_</v>
      </c>
      <c r="BE341" s="130" t="str">
        <f>IFERROR(VLOOKUP($BD341,'(勿動)組件目錄表'!$D$15:$R$1094,2,FALSE),"")</f>
        <v/>
      </c>
      <c r="BF341" s="131" t="str">
        <f>IFERROR(VLOOKUP($BD341, '(勿動)組件目錄表'!$D$15:$R$1094, 5, FALSE),"")</f>
        <v/>
      </c>
      <c r="BG341" s="118"/>
      <c r="BH341" s="120"/>
      <c r="BI341" s="118"/>
      <c r="BJ341" s="120"/>
    </row>
    <row r="342" spans="1:62" ht="15.75" customHeight="1">
      <c r="A342" s="18" t="str">
        <f t="array" aca="1" ref="A342" ca="1">IFERROR(TRANSPOSE(INDIRECT('「(動工中勿使用!!)新版+舊版_Teaser」的副本'!$BB342)),"")</f>
        <v/>
      </c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80" t="b">
        <v>0</v>
      </c>
      <c r="AF342" s="111" t="str">
        <f t="shared" si="13"/>
        <v/>
      </c>
      <c r="AG342" s="112" t="str">
        <f t="shared" si="9"/>
        <v/>
      </c>
      <c r="AH342" s="126"/>
      <c r="AI342" s="114" t="str">
        <f ca="1">IFERROR(VLOOKUP($AH342, '(勿動)Component Label公版'!$D$1:$E$1000, 2, FALSE), "-")</f>
        <v>-</v>
      </c>
      <c r="AJ342" s="115"/>
      <c r="AK342" s="112"/>
      <c r="AL342" s="112"/>
      <c r="AM342" s="116" t="str">
        <f t="shared" si="10"/>
        <v/>
      </c>
      <c r="AN342" s="117" t="str">
        <f t="shared" si="11"/>
        <v/>
      </c>
      <c r="AO342" s="158"/>
      <c r="AP342" s="18"/>
      <c r="AQ342" s="18"/>
      <c r="AR342" s="18"/>
      <c r="AS342" s="18"/>
      <c r="AT342" s="18"/>
      <c r="AU342" s="54" t="b">
        <v>0</v>
      </c>
      <c r="AV342" s="54" t="b">
        <v>0</v>
      </c>
      <c r="AW342" s="123"/>
      <c r="AX342" s="124"/>
      <c r="AY342" s="124"/>
      <c r="AZ342" s="124"/>
      <c r="BA342" s="125"/>
      <c r="BB342" s="68"/>
      <c r="BC342" s="62"/>
      <c r="BD342" s="129" t="str">
        <f t="shared" si="12"/>
        <v>_</v>
      </c>
      <c r="BE342" s="130" t="str">
        <f>IFERROR(VLOOKUP($BD342,'(勿動)組件目錄表'!$D$15:$R$1094,2,FALSE),"")</f>
        <v/>
      </c>
      <c r="BF342" s="131" t="str">
        <f>IFERROR(VLOOKUP($BD342, '(勿動)組件目錄表'!$D$15:$R$1094, 5, FALSE),"")</f>
        <v/>
      </c>
      <c r="BG342" s="118"/>
      <c r="BH342" s="120"/>
      <c r="BI342" s="118"/>
      <c r="BJ342" s="120"/>
    </row>
    <row r="343" spans="1:62" ht="15.75" customHeight="1">
      <c r="A343" s="18" t="str">
        <f t="array" aca="1" ref="A343" ca="1">IFERROR(TRANSPOSE(INDIRECT('「(動工中勿使用!!)新版+舊版_Teaser」的副本'!$BB343)),"")</f>
        <v/>
      </c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80" t="b">
        <v>0</v>
      </c>
      <c r="AF343" s="111" t="str">
        <f t="shared" si="13"/>
        <v/>
      </c>
      <c r="AG343" s="112" t="str">
        <f t="shared" si="9"/>
        <v/>
      </c>
      <c r="AH343" s="126"/>
      <c r="AI343" s="114" t="str">
        <f ca="1">IFERROR(VLOOKUP($AH343, '(勿動)Component Label公版'!$D$1:$E$1000, 2, FALSE), "-")</f>
        <v>-</v>
      </c>
      <c r="AJ343" s="115"/>
      <c r="AK343" s="112"/>
      <c r="AL343" s="112"/>
      <c r="AM343" s="116" t="str">
        <f t="shared" si="10"/>
        <v/>
      </c>
      <c r="AN343" s="117" t="str">
        <f t="shared" si="11"/>
        <v/>
      </c>
      <c r="AO343" s="158"/>
      <c r="AP343" s="18"/>
      <c r="AQ343" s="18"/>
      <c r="AR343" s="18"/>
      <c r="AS343" s="18"/>
      <c r="AT343" s="18"/>
      <c r="AU343" s="54" t="b">
        <v>0</v>
      </c>
      <c r="AV343" s="54" t="b">
        <v>0</v>
      </c>
      <c r="AW343" s="123"/>
      <c r="AX343" s="124"/>
      <c r="AY343" s="124"/>
      <c r="AZ343" s="124"/>
      <c r="BA343" s="125"/>
      <c r="BB343" s="68"/>
      <c r="BC343" s="62"/>
      <c r="BD343" s="129" t="str">
        <f t="shared" si="12"/>
        <v>_</v>
      </c>
      <c r="BE343" s="130" t="str">
        <f>IFERROR(VLOOKUP($BD343,'(勿動)組件目錄表'!$D$15:$R$1094,2,FALSE),"")</f>
        <v/>
      </c>
      <c r="BF343" s="131" t="str">
        <f>IFERROR(VLOOKUP($BD343, '(勿動)組件目錄表'!$D$15:$R$1094, 5, FALSE),"")</f>
        <v/>
      </c>
      <c r="BG343" s="118"/>
      <c r="BH343" s="120"/>
      <c r="BI343" s="118"/>
      <c r="BJ343" s="120"/>
    </row>
    <row r="344" spans="1:62" ht="15.75" customHeight="1">
      <c r="A344" s="18" t="str">
        <f t="array" aca="1" ref="A344" ca="1">IFERROR(TRANSPOSE(INDIRECT('「(動工中勿使用!!)新版+舊版_Teaser」的副本'!$BB344)),"")</f>
        <v/>
      </c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80" t="b">
        <v>0</v>
      </c>
      <c r="AF344" s="111" t="str">
        <f t="shared" si="13"/>
        <v/>
      </c>
      <c r="AG344" s="112" t="str">
        <f t="shared" si="9"/>
        <v/>
      </c>
      <c r="AH344" s="126"/>
      <c r="AI344" s="114" t="str">
        <f ca="1">IFERROR(VLOOKUP($AH344, '(勿動)Component Label公版'!$D$1:$E$1000, 2, FALSE), "-")</f>
        <v>-</v>
      </c>
      <c r="AJ344" s="115"/>
      <c r="AK344" s="112"/>
      <c r="AL344" s="112"/>
      <c r="AM344" s="116" t="str">
        <f t="shared" si="10"/>
        <v/>
      </c>
      <c r="AN344" s="117" t="str">
        <f t="shared" si="11"/>
        <v/>
      </c>
      <c r="AO344" s="158"/>
      <c r="AP344" s="18"/>
      <c r="AQ344" s="18"/>
      <c r="AR344" s="18"/>
      <c r="AS344" s="18"/>
      <c r="AT344" s="18"/>
      <c r="AU344" s="54" t="b">
        <v>0</v>
      </c>
      <c r="AV344" s="54" t="b">
        <v>0</v>
      </c>
      <c r="AW344" s="123"/>
      <c r="AX344" s="124"/>
      <c r="AY344" s="124"/>
      <c r="AZ344" s="124"/>
      <c r="BA344" s="125"/>
      <c r="BB344" s="68"/>
      <c r="BC344" s="62"/>
      <c r="BD344" s="129" t="str">
        <f t="shared" si="12"/>
        <v>_</v>
      </c>
      <c r="BE344" s="130" t="str">
        <f>IFERROR(VLOOKUP($BD344,'(勿動)組件目錄表'!$D$15:$R$1094,2,FALSE),"")</f>
        <v/>
      </c>
      <c r="BF344" s="131" t="str">
        <f>IFERROR(VLOOKUP($BD344, '(勿動)組件目錄表'!$D$15:$R$1094, 5, FALSE),"")</f>
        <v/>
      </c>
      <c r="BG344" s="118"/>
      <c r="BH344" s="120"/>
      <c r="BI344" s="118"/>
      <c r="BJ344" s="120"/>
    </row>
    <row r="345" spans="1:62" ht="15.75" customHeight="1">
      <c r="A345" s="18" t="str">
        <f t="array" aca="1" ref="A345" ca="1">IFERROR(TRANSPOSE(INDIRECT('「(動工中勿使用!!)新版+舊版_Teaser」的副本'!$BB345)),"")</f>
        <v/>
      </c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80" t="b">
        <v>0</v>
      </c>
      <c r="AF345" s="111" t="str">
        <f t="shared" si="13"/>
        <v/>
      </c>
      <c r="AG345" s="112" t="str">
        <f t="shared" si="9"/>
        <v/>
      </c>
      <c r="AH345" s="126"/>
      <c r="AI345" s="114" t="str">
        <f ca="1">IFERROR(VLOOKUP($AH345, '(勿動)Component Label公版'!$D$1:$E$1000, 2, FALSE), "-")</f>
        <v>-</v>
      </c>
      <c r="AJ345" s="115"/>
      <c r="AK345" s="112"/>
      <c r="AL345" s="112"/>
      <c r="AM345" s="116" t="str">
        <f t="shared" si="10"/>
        <v/>
      </c>
      <c r="AN345" s="117" t="str">
        <f t="shared" si="11"/>
        <v/>
      </c>
      <c r="AO345" s="158"/>
      <c r="AP345" s="18"/>
      <c r="AQ345" s="18"/>
      <c r="AR345" s="18"/>
      <c r="AS345" s="18"/>
      <c r="AT345" s="18"/>
      <c r="AU345" s="54" t="b">
        <v>0</v>
      </c>
      <c r="AV345" s="54" t="b">
        <v>0</v>
      </c>
      <c r="AW345" s="123"/>
      <c r="AX345" s="124"/>
      <c r="AY345" s="124"/>
      <c r="AZ345" s="124"/>
      <c r="BA345" s="125"/>
      <c r="BB345" s="68"/>
      <c r="BC345" s="62"/>
      <c r="BD345" s="129" t="str">
        <f t="shared" si="12"/>
        <v>_</v>
      </c>
      <c r="BE345" s="130" t="str">
        <f>IFERROR(VLOOKUP($BD345,'(勿動)組件目錄表'!$D$15:$R$1094,2,FALSE),"")</f>
        <v/>
      </c>
      <c r="BF345" s="131" t="str">
        <f>IFERROR(VLOOKUP($BD345, '(勿動)組件目錄表'!$D$15:$R$1094, 5, FALSE),"")</f>
        <v/>
      </c>
      <c r="BG345" s="118"/>
      <c r="BH345" s="120"/>
      <c r="BI345" s="118"/>
      <c r="BJ345" s="120"/>
    </row>
    <row r="346" spans="1:62" ht="15.75" customHeight="1">
      <c r="A346" s="18" t="str">
        <f t="array" aca="1" ref="A346" ca="1">IFERROR(TRANSPOSE(INDIRECT('「(動工中勿使用!!)新版+舊版_Teaser」的副本'!$BB346)),"")</f>
        <v/>
      </c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80" t="b">
        <v>0</v>
      </c>
      <c r="AF346" s="111" t="str">
        <f t="shared" si="13"/>
        <v/>
      </c>
      <c r="AG346" s="112" t="str">
        <f t="shared" si="9"/>
        <v/>
      </c>
      <c r="AH346" s="126"/>
      <c r="AI346" s="114" t="str">
        <f ca="1">IFERROR(VLOOKUP($AH346, '(勿動)Component Label公版'!$D$1:$E$1000, 2, FALSE), "-")</f>
        <v>-</v>
      </c>
      <c r="AJ346" s="115"/>
      <c r="AK346" s="112"/>
      <c r="AL346" s="112"/>
      <c r="AM346" s="116" t="str">
        <f t="shared" si="10"/>
        <v/>
      </c>
      <c r="AN346" s="117" t="str">
        <f t="shared" si="11"/>
        <v/>
      </c>
      <c r="AO346" s="158"/>
      <c r="AP346" s="18"/>
      <c r="AQ346" s="18"/>
      <c r="AR346" s="18"/>
      <c r="AS346" s="18"/>
      <c r="AT346" s="18"/>
      <c r="AU346" s="54" t="b">
        <v>0</v>
      </c>
      <c r="AV346" s="54" t="b">
        <v>0</v>
      </c>
      <c r="AW346" s="123"/>
      <c r="AX346" s="124"/>
      <c r="AY346" s="124"/>
      <c r="AZ346" s="124"/>
      <c r="BA346" s="125"/>
      <c r="BB346" s="68"/>
      <c r="BC346" s="62"/>
      <c r="BD346" s="129" t="str">
        <f t="shared" si="12"/>
        <v>_</v>
      </c>
      <c r="BE346" s="130" t="str">
        <f>IFERROR(VLOOKUP($BD346,'(勿動)組件目錄表'!$D$15:$R$1094,2,FALSE),"")</f>
        <v/>
      </c>
      <c r="BF346" s="131" t="str">
        <f>IFERROR(VLOOKUP($BD346, '(勿動)組件目錄表'!$D$15:$R$1094, 5, FALSE),"")</f>
        <v/>
      </c>
      <c r="BG346" s="118"/>
      <c r="BH346" s="120"/>
      <c r="BI346" s="118"/>
      <c r="BJ346" s="120"/>
    </row>
    <row r="347" spans="1:62" ht="15.75" customHeight="1">
      <c r="A347" s="18" t="str">
        <f t="array" aca="1" ref="A347" ca="1">IFERROR(TRANSPOSE(INDIRECT('「(動工中勿使用!!)新版+舊版_Teaser」的副本'!$BB347)),"")</f>
        <v/>
      </c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80" t="b">
        <v>0</v>
      </c>
      <c r="AF347" s="111" t="str">
        <f t="shared" si="13"/>
        <v/>
      </c>
      <c r="AG347" s="112" t="str">
        <f t="shared" si="9"/>
        <v/>
      </c>
      <c r="AH347" s="126"/>
      <c r="AI347" s="114" t="str">
        <f ca="1">IFERROR(VLOOKUP($AH347, '(勿動)Component Label公版'!$D$1:$E$1000, 2, FALSE), "-")</f>
        <v>-</v>
      </c>
      <c r="AJ347" s="115"/>
      <c r="AK347" s="112"/>
      <c r="AL347" s="112"/>
      <c r="AM347" s="116" t="str">
        <f t="shared" si="10"/>
        <v/>
      </c>
      <c r="AN347" s="117" t="str">
        <f t="shared" si="11"/>
        <v/>
      </c>
      <c r="AO347" s="158"/>
      <c r="AP347" s="18"/>
      <c r="AQ347" s="18"/>
      <c r="AR347" s="18"/>
      <c r="AS347" s="18"/>
      <c r="AT347" s="18"/>
      <c r="AU347" s="54" t="b">
        <v>0</v>
      </c>
      <c r="AV347" s="54" t="b">
        <v>0</v>
      </c>
      <c r="AW347" s="123"/>
      <c r="AX347" s="124"/>
      <c r="AY347" s="124"/>
      <c r="AZ347" s="124"/>
      <c r="BA347" s="125"/>
      <c r="BB347" s="68"/>
      <c r="BC347" s="62"/>
      <c r="BD347" s="129" t="str">
        <f t="shared" si="12"/>
        <v>_</v>
      </c>
      <c r="BE347" s="130" t="str">
        <f>IFERROR(VLOOKUP($BD347,'(勿動)組件目錄表'!$D$15:$R$1094,2,FALSE),"")</f>
        <v/>
      </c>
      <c r="BF347" s="131" t="str">
        <f>IFERROR(VLOOKUP($BD347, '(勿動)組件目錄表'!$D$15:$R$1094, 5, FALSE),"")</f>
        <v/>
      </c>
      <c r="BG347" s="118"/>
      <c r="BH347" s="120"/>
      <c r="BI347" s="118"/>
      <c r="BJ347" s="120"/>
    </row>
    <row r="348" spans="1:62" ht="15.75" customHeight="1">
      <c r="A348" s="18" t="str">
        <f t="array" aca="1" ref="A348" ca="1">IFERROR(TRANSPOSE(INDIRECT('「(動工中勿使用!!)新版+舊版_Teaser」的副本'!$BB348)),"")</f>
        <v/>
      </c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80" t="b">
        <v>0</v>
      </c>
      <c r="AF348" s="111" t="str">
        <f t="shared" si="13"/>
        <v/>
      </c>
      <c r="AG348" s="112" t="str">
        <f t="shared" si="9"/>
        <v/>
      </c>
      <c r="AH348" s="126"/>
      <c r="AI348" s="114" t="str">
        <f ca="1">IFERROR(VLOOKUP($AH348, '(勿動)Component Label公版'!$D$1:$E$1000, 2, FALSE), "-")</f>
        <v>-</v>
      </c>
      <c r="AJ348" s="115"/>
      <c r="AK348" s="112"/>
      <c r="AL348" s="112"/>
      <c r="AM348" s="116" t="str">
        <f t="shared" si="10"/>
        <v/>
      </c>
      <c r="AN348" s="117" t="str">
        <f t="shared" si="11"/>
        <v/>
      </c>
      <c r="AO348" s="158"/>
      <c r="AP348" s="18"/>
      <c r="AQ348" s="18"/>
      <c r="AR348" s="18"/>
      <c r="AS348" s="18"/>
      <c r="AT348" s="18"/>
      <c r="AU348" s="54" t="b">
        <v>0</v>
      </c>
      <c r="AV348" s="54" t="b">
        <v>0</v>
      </c>
      <c r="AW348" s="123"/>
      <c r="AX348" s="124"/>
      <c r="AY348" s="124"/>
      <c r="AZ348" s="124"/>
      <c r="BA348" s="125"/>
      <c r="BB348" s="68"/>
      <c r="BC348" s="62"/>
      <c r="BD348" s="129" t="str">
        <f t="shared" si="12"/>
        <v>_</v>
      </c>
      <c r="BE348" s="130" t="str">
        <f>IFERROR(VLOOKUP($BD348,'(勿動)組件目錄表'!$D$15:$R$1094,2,FALSE),"")</f>
        <v/>
      </c>
      <c r="BF348" s="131" t="str">
        <f>IFERROR(VLOOKUP($BD348, '(勿動)組件目錄表'!$D$15:$R$1094, 5, FALSE),"")</f>
        <v/>
      </c>
      <c r="BG348" s="118"/>
      <c r="BH348" s="120"/>
      <c r="BI348" s="118"/>
      <c r="BJ348" s="120"/>
    </row>
    <row r="349" spans="1:62" ht="15.75" customHeight="1">
      <c r="A349" s="18" t="str">
        <f t="array" aca="1" ref="A349" ca="1">IFERROR(TRANSPOSE(INDIRECT('「(動工中勿使用!!)新版+舊版_Teaser」的副本'!$BB349)),"")</f>
        <v/>
      </c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80" t="b">
        <v>0</v>
      </c>
      <c r="AF349" s="111" t="str">
        <f t="shared" si="13"/>
        <v/>
      </c>
      <c r="AG349" s="112" t="str">
        <f t="shared" si="9"/>
        <v/>
      </c>
      <c r="AH349" s="126"/>
      <c r="AI349" s="114" t="str">
        <f ca="1">IFERROR(VLOOKUP($AH349, '(勿動)Component Label公版'!$D$1:$E$1000, 2, FALSE), "-")</f>
        <v>-</v>
      </c>
      <c r="AJ349" s="115"/>
      <c r="AK349" s="112"/>
      <c r="AL349" s="112"/>
      <c r="AM349" s="116" t="str">
        <f t="shared" si="10"/>
        <v/>
      </c>
      <c r="AN349" s="117" t="str">
        <f t="shared" si="11"/>
        <v/>
      </c>
      <c r="AO349" s="158"/>
      <c r="AP349" s="18"/>
      <c r="AQ349" s="18"/>
      <c r="AR349" s="18"/>
      <c r="AS349" s="18"/>
      <c r="AT349" s="18"/>
      <c r="AU349" s="54" t="b">
        <v>0</v>
      </c>
      <c r="AV349" s="54" t="b">
        <v>0</v>
      </c>
      <c r="AW349" s="123"/>
      <c r="AX349" s="124"/>
      <c r="AY349" s="124"/>
      <c r="AZ349" s="124"/>
      <c r="BA349" s="125"/>
      <c r="BB349" s="68"/>
      <c r="BC349" s="62"/>
      <c r="BD349" s="129" t="str">
        <f t="shared" si="12"/>
        <v>_</v>
      </c>
      <c r="BE349" s="130" t="str">
        <f>IFERROR(VLOOKUP($BD349,'(勿動)組件目錄表'!$D$15:$R$1094,2,FALSE),"")</f>
        <v/>
      </c>
      <c r="BF349" s="131" t="str">
        <f>IFERROR(VLOOKUP($BD349, '(勿動)組件目錄表'!$D$15:$R$1094, 5, FALSE),"")</f>
        <v/>
      </c>
      <c r="BG349" s="118"/>
      <c r="BH349" s="120"/>
      <c r="BI349" s="118"/>
      <c r="BJ349" s="120"/>
    </row>
    <row r="350" spans="1:62" ht="15.75" customHeight="1">
      <c r="A350" s="18" t="str">
        <f t="array" aca="1" ref="A350" ca="1">IFERROR(TRANSPOSE(INDIRECT('「(動工中勿使用!!)新版+舊版_Teaser」的副本'!$BB350)),"")</f>
        <v/>
      </c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80" t="b">
        <v>0</v>
      </c>
      <c r="AF350" s="111" t="str">
        <f t="shared" si="13"/>
        <v/>
      </c>
      <c r="AG350" s="112" t="str">
        <f t="shared" si="9"/>
        <v/>
      </c>
      <c r="AH350" s="126"/>
      <c r="AI350" s="114" t="str">
        <f ca="1">IFERROR(VLOOKUP($AH350, '(勿動)Component Label公版'!$D$1:$E$1000, 2, FALSE), "-")</f>
        <v>-</v>
      </c>
      <c r="AJ350" s="115"/>
      <c r="AK350" s="112"/>
      <c r="AL350" s="112"/>
      <c r="AM350" s="116" t="str">
        <f t="shared" si="10"/>
        <v/>
      </c>
      <c r="AN350" s="117" t="str">
        <f t="shared" si="11"/>
        <v/>
      </c>
      <c r="AO350" s="158"/>
      <c r="AP350" s="18"/>
      <c r="AQ350" s="18"/>
      <c r="AR350" s="18"/>
      <c r="AS350" s="18"/>
      <c r="AT350" s="18"/>
      <c r="AU350" s="54" t="b">
        <v>0</v>
      </c>
      <c r="AV350" s="54" t="b">
        <v>0</v>
      </c>
      <c r="AW350" s="123"/>
      <c r="AX350" s="124"/>
      <c r="AY350" s="124"/>
      <c r="AZ350" s="124"/>
      <c r="BA350" s="125"/>
      <c r="BB350" s="68"/>
      <c r="BC350" s="62"/>
      <c r="BD350" s="129" t="str">
        <f t="shared" si="12"/>
        <v>_</v>
      </c>
      <c r="BE350" s="130" t="str">
        <f>IFERROR(VLOOKUP($BD350,'(勿動)組件目錄表'!$D$15:$R$1094,2,FALSE),"")</f>
        <v/>
      </c>
      <c r="BF350" s="131" t="str">
        <f>IFERROR(VLOOKUP($BD350, '(勿動)組件目錄表'!$D$15:$R$1094, 5, FALSE),"")</f>
        <v/>
      </c>
      <c r="BG350" s="118"/>
      <c r="BH350" s="120"/>
      <c r="BI350" s="118"/>
      <c r="BJ350" s="120"/>
    </row>
    <row r="351" spans="1:62" ht="15.75" customHeight="1">
      <c r="A351" s="18" t="str">
        <f t="array" aca="1" ref="A351" ca="1">IFERROR(TRANSPOSE(INDIRECT('「(動工中勿使用!!)新版+舊版_Teaser」的副本'!$BB351)),"")</f>
        <v/>
      </c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80" t="b">
        <v>0</v>
      </c>
      <c r="AF351" s="111" t="str">
        <f t="shared" si="13"/>
        <v/>
      </c>
      <c r="AG351" s="112" t="str">
        <f t="shared" si="9"/>
        <v/>
      </c>
      <c r="AH351" s="126"/>
      <c r="AI351" s="114" t="str">
        <f ca="1">IFERROR(VLOOKUP($AH351, '(勿動)Component Label公版'!$D$1:$E$1000, 2, FALSE), "-")</f>
        <v>-</v>
      </c>
      <c r="AJ351" s="115"/>
      <c r="AK351" s="112"/>
      <c r="AL351" s="112"/>
      <c r="AM351" s="116" t="str">
        <f t="shared" si="10"/>
        <v/>
      </c>
      <c r="AN351" s="117" t="str">
        <f t="shared" si="11"/>
        <v/>
      </c>
      <c r="AO351" s="158"/>
      <c r="AP351" s="18"/>
      <c r="AQ351" s="18"/>
      <c r="AR351" s="18"/>
      <c r="AS351" s="18"/>
      <c r="AT351" s="18"/>
      <c r="AU351" s="54" t="b">
        <v>0</v>
      </c>
      <c r="AV351" s="54" t="b">
        <v>0</v>
      </c>
      <c r="AW351" s="123"/>
      <c r="AX351" s="124"/>
      <c r="AY351" s="124"/>
      <c r="AZ351" s="124"/>
      <c r="BA351" s="125"/>
      <c r="BB351" s="68"/>
      <c r="BC351" s="62"/>
      <c r="BD351" s="129" t="str">
        <f t="shared" si="12"/>
        <v>_</v>
      </c>
      <c r="BE351" s="130" t="str">
        <f>IFERROR(VLOOKUP($BD351,'(勿動)組件目錄表'!$D$15:$R$1094,2,FALSE),"")</f>
        <v/>
      </c>
      <c r="BF351" s="131" t="str">
        <f>IFERROR(VLOOKUP($BD351, '(勿動)組件目錄表'!$D$15:$R$1094, 5, FALSE),"")</f>
        <v/>
      </c>
      <c r="BG351" s="118"/>
      <c r="BH351" s="120"/>
      <c r="BI351" s="118"/>
      <c r="BJ351" s="120"/>
    </row>
    <row r="352" spans="1:62" ht="15.75" customHeight="1">
      <c r="A352" s="18" t="str">
        <f t="array" aca="1" ref="A352" ca="1">IFERROR(TRANSPOSE(INDIRECT('「(動工中勿使用!!)新版+舊版_Teaser」的副本'!$BB352)),"")</f>
        <v/>
      </c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80" t="b">
        <v>0</v>
      </c>
      <c r="AF352" s="111" t="str">
        <f t="shared" si="13"/>
        <v/>
      </c>
      <c r="AG352" s="112" t="str">
        <f t="shared" si="9"/>
        <v/>
      </c>
      <c r="AH352" s="126"/>
      <c r="AI352" s="114" t="str">
        <f ca="1">IFERROR(VLOOKUP($AH352, '(勿動)Component Label公版'!$D$1:$E$1000, 2, FALSE), "-")</f>
        <v>-</v>
      </c>
      <c r="AJ352" s="115"/>
      <c r="AK352" s="112"/>
      <c r="AL352" s="112"/>
      <c r="AM352" s="116" t="str">
        <f t="shared" si="10"/>
        <v/>
      </c>
      <c r="AN352" s="117" t="str">
        <f t="shared" si="11"/>
        <v/>
      </c>
      <c r="AO352" s="158"/>
      <c r="AP352" s="18"/>
      <c r="AQ352" s="18"/>
      <c r="AR352" s="18"/>
      <c r="AS352" s="18"/>
      <c r="AT352" s="18"/>
      <c r="AU352" s="54" t="b">
        <v>0</v>
      </c>
      <c r="AV352" s="54" t="b">
        <v>0</v>
      </c>
      <c r="AW352" s="123"/>
      <c r="AX352" s="124"/>
      <c r="AY352" s="124"/>
      <c r="AZ352" s="124"/>
      <c r="BA352" s="125"/>
      <c r="BB352" s="68"/>
      <c r="BC352" s="62"/>
      <c r="BD352" s="129" t="str">
        <f t="shared" si="12"/>
        <v>_</v>
      </c>
      <c r="BE352" s="130" t="str">
        <f>IFERROR(VLOOKUP($BD352,'(勿動)組件目錄表'!$D$15:$R$1094,2,FALSE),"")</f>
        <v/>
      </c>
      <c r="BF352" s="131" t="str">
        <f>IFERROR(VLOOKUP($BD352, '(勿動)組件目錄表'!$D$15:$R$1094, 5, FALSE),"")</f>
        <v/>
      </c>
      <c r="BG352" s="118"/>
      <c r="BH352" s="120"/>
      <c r="BI352" s="118"/>
      <c r="BJ352" s="120"/>
    </row>
    <row r="353" spans="1:62" ht="15.75" customHeight="1">
      <c r="A353" s="18" t="str">
        <f t="array" aca="1" ref="A353" ca="1">IFERROR(TRANSPOSE(INDIRECT('「(動工中勿使用!!)新版+舊版_Teaser」的副本'!$BB353)),"")</f>
        <v/>
      </c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80" t="b">
        <v>0</v>
      </c>
      <c r="AF353" s="111" t="str">
        <f t="shared" si="13"/>
        <v/>
      </c>
      <c r="AG353" s="112" t="str">
        <f t="shared" si="9"/>
        <v/>
      </c>
      <c r="AH353" s="126"/>
      <c r="AI353" s="114" t="str">
        <f ca="1">IFERROR(VLOOKUP($AH353, '(勿動)Component Label公版'!$D$1:$E$1000, 2, FALSE), "-")</f>
        <v>-</v>
      </c>
      <c r="AJ353" s="115"/>
      <c r="AK353" s="112"/>
      <c r="AL353" s="112"/>
      <c r="AM353" s="116" t="str">
        <f t="shared" si="10"/>
        <v/>
      </c>
      <c r="AN353" s="117" t="str">
        <f t="shared" si="11"/>
        <v/>
      </c>
      <c r="AO353" s="158"/>
      <c r="AP353" s="18"/>
      <c r="AQ353" s="18"/>
      <c r="AR353" s="18"/>
      <c r="AS353" s="18"/>
      <c r="AT353" s="18"/>
      <c r="AU353" s="54" t="b">
        <v>0</v>
      </c>
      <c r="AV353" s="54" t="b">
        <v>0</v>
      </c>
      <c r="AW353" s="123"/>
      <c r="AX353" s="124"/>
      <c r="AY353" s="124"/>
      <c r="AZ353" s="124"/>
      <c r="BA353" s="125"/>
      <c r="BB353" s="68"/>
      <c r="BC353" s="62"/>
      <c r="BD353" s="129" t="str">
        <f t="shared" si="12"/>
        <v>_</v>
      </c>
      <c r="BE353" s="130" t="str">
        <f>IFERROR(VLOOKUP($BD353,'(勿動)組件目錄表'!$D$15:$R$1094,2,FALSE),"")</f>
        <v/>
      </c>
      <c r="BF353" s="131" t="str">
        <f>IFERROR(VLOOKUP($BD353, '(勿動)組件目錄表'!$D$15:$R$1094, 5, FALSE),"")</f>
        <v/>
      </c>
      <c r="BG353" s="118"/>
      <c r="BH353" s="120"/>
      <c r="BI353" s="118"/>
      <c r="BJ353" s="120"/>
    </row>
    <row r="354" spans="1:62" ht="15.75" customHeight="1">
      <c r="A354" s="18" t="str">
        <f t="array" aca="1" ref="A354" ca="1">IFERROR(TRANSPOSE(INDIRECT('「(動工中勿使用!!)新版+舊版_Teaser」的副本'!$BB354)),"")</f>
        <v/>
      </c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80" t="b">
        <v>0</v>
      </c>
      <c r="AF354" s="111" t="str">
        <f t="shared" si="13"/>
        <v/>
      </c>
      <c r="AG354" s="112" t="str">
        <f t="shared" si="9"/>
        <v/>
      </c>
      <c r="AH354" s="126"/>
      <c r="AI354" s="114" t="str">
        <f ca="1">IFERROR(VLOOKUP($AH354, '(勿動)Component Label公版'!$D$1:$E$1000, 2, FALSE), "-")</f>
        <v>-</v>
      </c>
      <c r="AJ354" s="115"/>
      <c r="AK354" s="112"/>
      <c r="AL354" s="112"/>
      <c r="AM354" s="116" t="str">
        <f t="shared" si="10"/>
        <v/>
      </c>
      <c r="AN354" s="117" t="str">
        <f t="shared" si="11"/>
        <v/>
      </c>
      <c r="AO354" s="158"/>
      <c r="AP354" s="18"/>
      <c r="AQ354" s="18"/>
      <c r="AR354" s="18"/>
      <c r="AS354" s="18"/>
      <c r="AT354" s="18"/>
      <c r="AU354" s="54" t="b">
        <v>0</v>
      </c>
      <c r="AV354" s="54" t="b">
        <v>0</v>
      </c>
      <c r="AW354" s="123"/>
      <c r="AX354" s="124"/>
      <c r="AY354" s="124"/>
      <c r="AZ354" s="124"/>
      <c r="BA354" s="125"/>
      <c r="BB354" s="68"/>
      <c r="BC354" s="62"/>
      <c r="BD354" s="129" t="str">
        <f t="shared" si="12"/>
        <v>_</v>
      </c>
      <c r="BE354" s="130" t="str">
        <f>IFERROR(VLOOKUP($BD354,'(勿動)組件目錄表'!$D$15:$R$1094,2,FALSE),"")</f>
        <v/>
      </c>
      <c r="BF354" s="131" t="str">
        <f>IFERROR(VLOOKUP($BD354, '(勿動)組件目錄表'!$D$15:$R$1094, 5, FALSE),"")</f>
        <v/>
      </c>
      <c r="BG354" s="118"/>
      <c r="BH354" s="120"/>
      <c r="BI354" s="118"/>
      <c r="BJ354" s="120"/>
    </row>
    <row r="355" spans="1:62" ht="15.75" customHeight="1">
      <c r="A355" s="18" t="str">
        <f t="array" aca="1" ref="A355" ca="1">IFERROR(TRANSPOSE(INDIRECT('「(動工中勿使用!!)新版+舊版_Teaser」的副本'!$BB355)),"")</f>
        <v/>
      </c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80" t="b">
        <v>0</v>
      </c>
      <c r="AF355" s="111" t="str">
        <f t="shared" si="13"/>
        <v/>
      </c>
      <c r="AG355" s="112" t="str">
        <f t="shared" si="9"/>
        <v/>
      </c>
      <c r="AH355" s="126"/>
      <c r="AI355" s="114" t="str">
        <f ca="1">IFERROR(VLOOKUP($AH355, '(勿動)Component Label公版'!$D$1:$E$1000, 2, FALSE), "-")</f>
        <v>-</v>
      </c>
      <c r="AJ355" s="115"/>
      <c r="AK355" s="112"/>
      <c r="AL355" s="112"/>
      <c r="AM355" s="116" t="str">
        <f t="shared" si="10"/>
        <v/>
      </c>
      <c r="AN355" s="117" t="str">
        <f t="shared" si="11"/>
        <v/>
      </c>
      <c r="AO355" s="158"/>
      <c r="AP355" s="18"/>
      <c r="AQ355" s="18"/>
      <c r="AR355" s="18"/>
      <c r="AS355" s="18"/>
      <c r="AT355" s="18"/>
      <c r="AU355" s="54" t="b">
        <v>0</v>
      </c>
      <c r="AV355" s="54" t="b">
        <v>0</v>
      </c>
      <c r="AW355" s="123"/>
      <c r="AX355" s="124"/>
      <c r="AY355" s="124"/>
      <c r="AZ355" s="124"/>
      <c r="BA355" s="125"/>
      <c r="BB355" s="68"/>
      <c r="BC355" s="62"/>
      <c r="BD355" s="129" t="str">
        <f t="shared" si="12"/>
        <v>_</v>
      </c>
      <c r="BE355" s="130" t="str">
        <f>IFERROR(VLOOKUP($BD355,'(勿動)組件目錄表'!$D$15:$R$1094,2,FALSE),"")</f>
        <v/>
      </c>
      <c r="BF355" s="131" t="str">
        <f>IFERROR(VLOOKUP($BD355, '(勿動)組件目錄表'!$D$15:$R$1094, 5, FALSE),"")</f>
        <v/>
      </c>
      <c r="BG355" s="118"/>
      <c r="BH355" s="120"/>
      <c r="BI355" s="118"/>
      <c r="BJ355" s="120"/>
    </row>
    <row r="356" spans="1:62" ht="15.75" customHeight="1">
      <c r="A356" s="18" t="str">
        <f t="array" aca="1" ref="A356" ca="1">IFERROR(TRANSPOSE(INDIRECT('「(動工中勿使用!!)新版+舊版_Teaser」的副本'!$BB356)),"")</f>
        <v/>
      </c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80" t="b">
        <v>0</v>
      </c>
      <c r="AF356" s="111" t="str">
        <f t="shared" si="13"/>
        <v/>
      </c>
      <c r="AG356" s="112" t="str">
        <f t="shared" si="9"/>
        <v/>
      </c>
      <c r="AH356" s="126"/>
      <c r="AI356" s="114" t="str">
        <f ca="1">IFERROR(VLOOKUP($AH356, '(勿動)Component Label公版'!$D$1:$E$1000, 2, FALSE), "-")</f>
        <v>-</v>
      </c>
      <c r="AJ356" s="115"/>
      <c r="AK356" s="112"/>
      <c r="AL356" s="112"/>
      <c r="AM356" s="116" t="str">
        <f t="shared" si="10"/>
        <v/>
      </c>
      <c r="AN356" s="117" t="str">
        <f t="shared" si="11"/>
        <v/>
      </c>
      <c r="AO356" s="158"/>
      <c r="AP356" s="18"/>
      <c r="AQ356" s="18"/>
      <c r="AR356" s="18"/>
      <c r="AS356" s="18"/>
      <c r="AT356" s="18"/>
      <c r="AU356" s="54" t="b">
        <v>0</v>
      </c>
      <c r="AV356" s="54" t="b">
        <v>0</v>
      </c>
      <c r="AW356" s="123"/>
      <c r="AX356" s="124"/>
      <c r="AY356" s="124"/>
      <c r="AZ356" s="124"/>
      <c r="BA356" s="125"/>
      <c r="BB356" s="68"/>
      <c r="BC356" s="62"/>
      <c r="BD356" s="129" t="str">
        <f t="shared" si="12"/>
        <v>_</v>
      </c>
      <c r="BE356" s="130" t="str">
        <f>IFERROR(VLOOKUP($BD356,'(勿動)組件目錄表'!$D$15:$R$1094,2,FALSE),"")</f>
        <v/>
      </c>
      <c r="BF356" s="131" t="str">
        <f>IFERROR(VLOOKUP($BD356, '(勿動)組件目錄表'!$D$15:$R$1094, 5, FALSE),"")</f>
        <v/>
      </c>
      <c r="BG356" s="118"/>
      <c r="BH356" s="120"/>
      <c r="BI356" s="118"/>
      <c r="BJ356" s="120"/>
    </row>
    <row r="357" spans="1:62" ht="15.75" customHeight="1">
      <c r="A357" s="18" t="str">
        <f t="array" aca="1" ref="A357" ca="1">IFERROR(TRANSPOSE(INDIRECT('「(動工中勿使用!!)新版+舊版_Teaser」的副本'!$BB357)),"")</f>
        <v/>
      </c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80" t="b">
        <v>0</v>
      </c>
      <c r="AF357" s="111" t="str">
        <f t="shared" si="13"/>
        <v/>
      </c>
      <c r="AG357" s="112" t="str">
        <f t="shared" si="9"/>
        <v/>
      </c>
      <c r="AH357" s="126"/>
      <c r="AI357" s="114" t="str">
        <f ca="1">IFERROR(VLOOKUP($AH357, '(勿動)Component Label公版'!$D$1:$E$1000, 2, FALSE), "-")</f>
        <v>-</v>
      </c>
      <c r="AJ357" s="115"/>
      <c r="AK357" s="112"/>
      <c r="AL357" s="112"/>
      <c r="AM357" s="116" t="str">
        <f t="shared" si="10"/>
        <v/>
      </c>
      <c r="AN357" s="117" t="str">
        <f t="shared" si="11"/>
        <v/>
      </c>
      <c r="AO357" s="158"/>
      <c r="AP357" s="18"/>
      <c r="AQ357" s="18"/>
      <c r="AR357" s="18"/>
      <c r="AS357" s="18"/>
      <c r="AT357" s="18"/>
      <c r="AU357" s="54" t="b">
        <v>0</v>
      </c>
      <c r="AV357" s="54" t="b">
        <v>0</v>
      </c>
      <c r="AW357" s="123"/>
      <c r="AX357" s="124"/>
      <c r="AY357" s="124"/>
      <c r="AZ357" s="124"/>
      <c r="BA357" s="125"/>
      <c r="BB357" s="68"/>
      <c r="BC357" s="62"/>
      <c r="BD357" s="129" t="str">
        <f t="shared" si="12"/>
        <v>_</v>
      </c>
      <c r="BE357" s="130" t="str">
        <f>IFERROR(VLOOKUP($BD357,'(勿動)組件目錄表'!$D$15:$R$1094,2,FALSE),"")</f>
        <v/>
      </c>
      <c r="BF357" s="131" t="str">
        <f>IFERROR(VLOOKUP($BD357, '(勿動)組件目錄表'!$D$15:$R$1094, 5, FALSE),"")</f>
        <v/>
      </c>
      <c r="BG357" s="118"/>
      <c r="BH357" s="120"/>
      <c r="BI357" s="118"/>
      <c r="BJ357" s="120"/>
    </row>
    <row r="358" spans="1:62" ht="15.75" customHeight="1">
      <c r="A358" s="18" t="str">
        <f t="array" aca="1" ref="A358" ca="1">IFERROR(TRANSPOSE(INDIRECT('「(動工中勿使用!!)新版+舊版_Teaser」的副本'!$BB358)),"")</f>
        <v/>
      </c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80" t="b">
        <v>0</v>
      </c>
      <c r="AF358" s="111" t="str">
        <f t="shared" si="13"/>
        <v/>
      </c>
      <c r="AG358" s="112" t="str">
        <f t="shared" si="9"/>
        <v/>
      </c>
      <c r="AH358" s="126"/>
      <c r="AI358" s="114" t="str">
        <f ca="1">IFERROR(VLOOKUP($AH358, '(勿動)Component Label公版'!$D$1:$E$1000, 2, FALSE), "-")</f>
        <v>-</v>
      </c>
      <c r="AJ358" s="115"/>
      <c r="AK358" s="112"/>
      <c r="AL358" s="112"/>
      <c r="AM358" s="116" t="str">
        <f t="shared" si="10"/>
        <v/>
      </c>
      <c r="AN358" s="117" t="str">
        <f t="shared" si="11"/>
        <v/>
      </c>
      <c r="AO358" s="158"/>
      <c r="AP358" s="18"/>
      <c r="AQ358" s="18"/>
      <c r="AR358" s="18"/>
      <c r="AS358" s="18"/>
      <c r="AT358" s="18"/>
      <c r="AU358" s="54" t="b">
        <v>0</v>
      </c>
      <c r="AV358" s="54" t="b">
        <v>0</v>
      </c>
      <c r="AW358" s="123"/>
      <c r="AX358" s="124"/>
      <c r="AY358" s="124"/>
      <c r="AZ358" s="124"/>
      <c r="BA358" s="125"/>
      <c r="BB358" s="68"/>
      <c r="BC358" s="62"/>
      <c r="BD358" s="129" t="str">
        <f t="shared" si="12"/>
        <v>_</v>
      </c>
      <c r="BE358" s="130" t="str">
        <f>IFERROR(VLOOKUP($BD358,'(勿動)組件目錄表'!$D$15:$R$1094,2,FALSE),"")</f>
        <v/>
      </c>
      <c r="BF358" s="131" t="str">
        <f>IFERROR(VLOOKUP($BD358, '(勿動)組件目錄表'!$D$15:$R$1094, 5, FALSE),"")</f>
        <v/>
      </c>
      <c r="BG358" s="118"/>
      <c r="BH358" s="120"/>
      <c r="BI358" s="118"/>
      <c r="BJ358" s="120"/>
    </row>
    <row r="359" spans="1:62" ht="15.75" customHeight="1">
      <c r="A359" s="18" t="str">
        <f t="array" aca="1" ref="A359" ca="1">IFERROR(TRANSPOSE(INDIRECT('「(動工中勿使用!!)新版+舊版_Teaser」的副本'!$BB359)),"")</f>
        <v/>
      </c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80" t="b">
        <v>0</v>
      </c>
      <c r="AF359" s="111" t="str">
        <f t="shared" si="13"/>
        <v/>
      </c>
      <c r="AG359" s="112" t="str">
        <f t="shared" si="9"/>
        <v/>
      </c>
      <c r="AH359" s="126"/>
      <c r="AI359" s="114" t="str">
        <f ca="1">IFERROR(VLOOKUP($AH359, '(勿動)Component Label公版'!$D$1:$E$1000, 2, FALSE), "-")</f>
        <v>-</v>
      </c>
      <c r="AJ359" s="115"/>
      <c r="AK359" s="112"/>
      <c r="AL359" s="112"/>
      <c r="AM359" s="116" t="str">
        <f t="shared" si="10"/>
        <v/>
      </c>
      <c r="AN359" s="117" t="str">
        <f t="shared" si="11"/>
        <v/>
      </c>
      <c r="AO359" s="158"/>
      <c r="AP359" s="18"/>
      <c r="AQ359" s="18"/>
      <c r="AR359" s="18"/>
      <c r="AS359" s="18"/>
      <c r="AT359" s="18"/>
      <c r="AU359" s="54" t="b">
        <v>0</v>
      </c>
      <c r="AV359" s="54" t="b">
        <v>0</v>
      </c>
      <c r="AW359" s="123"/>
      <c r="AX359" s="124"/>
      <c r="AY359" s="124"/>
      <c r="AZ359" s="124"/>
      <c r="BA359" s="125"/>
      <c r="BB359" s="68"/>
      <c r="BC359" s="62"/>
      <c r="BD359" s="129" t="str">
        <f t="shared" si="12"/>
        <v>_</v>
      </c>
      <c r="BE359" s="130" t="str">
        <f>IFERROR(VLOOKUP($BD359,'(勿動)組件目錄表'!$D$15:$R$1094,2,FALSE),"")</f>
        <v/>
      </c>
      <c r="BF359" s="131" t="str">
        <f>IFERROR(VLOOKUP($BD359, '(勿動)組件目錄表'!$D$15:$R$1094, 5, FALSE),"")</f>
        <v/>
      </c>
      <c r="BG359" s="118"/>
      <c r="BH359" s="120"/>
      <c r="BI359" s="118"/>
      <c r="BJ359" s="120"/>
    </row>
    <row r="360" spans="1:62" ht="15.75" customHeight="1">
      <c r="A360" s="18" t="str">
        <f t="array" aca="1" ref="A360" ca="1">IFERROR(TRANSPOSE(INDIRECT('「(動工中勿使用!!)新版+舊版_Teaser」的副本'!$BB360)),"")</f>
        <v/>
      </c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80" t="b">
        <v>0</v>
      </c>
      <c r="AF360" s="111" t="str">
        <f t="shared" si="13"/>
        <v/>
      </c>
      <c r="AG360" s="112" t="str">
        <f t="shared" si="9"/>
        <v/>
      </c>
      <c r="AH360" s="126"/>
      <c r="AI360" s="114" t="str">
        <f ca="1">IFERROR(VLOOKUP($AH360, '(勿動)Component Label公版'!$D$1:$E$1000, 2, FALSE), "-")</f>
        <v>-</v>
      </c>
      <c r="AJ360" s="115"/>
      <c r="AK360" s="112"/>
      <c r="AL360" s="112"/>
      <c r="AM360" s="116" t="str">
        <f t="shared" si="10"/>
        <v/>
      </c>
      <c r="AN360" s="117" t="str">
        <f t="shared" si="11"/>
        <v/>
      </c>
      <c r="AO360" s="158"/>
      <c r="AP360" s="18"/>
      <c r="AQ360" s="18"/>
      <c r="AR360" s="18"/>
      <c r="AS360" s="18"/>
      <c r="AT360" s="18"/>
      <c r="AU360" s="54" t="b">
        <v>0</v>
      </c>
      <c r="AV360" s="54" t="b">
        <v>0</v>
      </c>
      <c r="AW360" s="123"/>
      <c r="AX360" s="124"/>
      <c r="AY360" s="124"/>
      <c r="AZ360" s="124"/>
      <c r="BA360" s="125"/>
      <c r="BB360" s="68"/>
      <c r="BC360" s="62"/>
      <c r="BD360" s="129" t="str">
        <f t="shared" si="12"/>
        <v>_</v>
      </c>
      <c r="BE360" s="130" t="str">
        <f>IFERROR(VLOOKUP($BD360,'(勿動)組件目錄表'!$D$15:$R$1094,2,FALSE),"")</f>
        <v/>
      </c>
      <c r="BF360" s="131" t="str">
        <f>IFERROR(VLOOKUP($BD360, '(勿動)組件目錄表'!$D$15:$R$1094, 5, FALSE),"")</f>
        <v/>
      </c>
      <c r="BG360" s="118"/>
      <c r="BH360" s="120"/>
      <c r="BI360" s="118"/>
      <c r="BJ360" s="120"/>
    </row>
    <row r="361" spans="1:62" ht="15.75" customHeight="1">
      <c r="A361" s="18" t="str">
        <f t="array" aca="1" ref="A361" ca="1">IFERROR(TRANSPOSE(INDIRECT('「(動工中勿使用!!)新版+舊版_Teaser」的副本'!$BB361)),"")</f>
        <v/>
      </c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80" t="b">
        <v>0</v>
      </c>
      <c r="AF361" s="111" t="str">
        <f t="shared" si="13"/>
        <v/>
      </c>
      <c r="AG361" s="112" t="str">
        <f t="shared" si="9"/>
        <v/>
      </c>
      <c r="AH361" s="126"/>
      <c r="AI361" s="114" t="str">
        <f ca="1">IFERROR(VLOOKUP($AH361, '(勿動)Component Label公版'!$D$1:$E$1000, 2, FALSE), "-")</f>
        <v>-</v>
      </c>
      <c r="AJ361" s="115"/>
      <c r="AK361" s="112"/>
      <c r="AL361" s="112"/>
      <c r="AM361" s="116" t="str">
        <f t="shared" si="10"/>
        <v/>
      </c>
      <c r="AN361" s="117" t="str">
        <f t="shared" si="11"/>
        <v/>
      </c>
      <c r="AO361" s="158"/>
      <c r="AP361" s="18"/>
      <c r="AQ361" s="18"/>
      <c r="AR361" s="18"/>
      <c r="AS361" s="18"/>
      <c r="AT361" s="18"/>
      <c r="AU361" s="54" t="b">
        <v>0</v>
      </c>
      <c r="AV361" s="54" t="b">
        <v>0</v>
      </c>
      <c r="AW361" s="123"/>
      <c r="AX361" s="124"/>
      <c r="AY361" s="124"/>
      <c r="AZ361" s="124"/>
      <c r="BA361" s="125"/>
      <c r="BB361" s="68"/>
      <c r="BC361" s="62"/>
      <c r="BD361" s="129" t="str">
        <f t="shared" si="12"/>
        <v>_</v>
      </c>
      <c r="BE361" s="130" t="str">
        <f>IFERROR(VLOOKUP($BD361,'(勿動)組件目錄表'!$D$15:$R$1094,2,FALSE),"")</f>
        <v/>
      </c>
      <c r="BF361" s="131" t="str">
        <f>IFERROR(VLOOKUP($BD361, '(勿動)組件目錄表'!$D$15:$R$1094, 5, FALSE),"")</f>
        <v/>
      </c>
      <c r="BG361" s="118"/>
      <c r="BH361" s="120"/>
      <c r="BI361" s="118"/>
      <c r="BJ361" s="120"/>
    </row>
    <row r="362" spans="1:62" ht="15.75" customHeight="1">
      <c r="A362" s="18" t="str">
        <f t="array" aca="1" ref="A362" ca="1">IFERROR(TRANSPOSE(INDIRECT('「(動工中勿使用!!)新版+舊版_Teaser」的副本'!$BB362)),"")</f>
        <v/>
      </c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80" t="b">
        <v>0</v>
      </c>
      <c r="AF362" s="111" t="str">
        <f t="shared" si="13"/>
        <v/>
      </c>
      <c r="AG362" s="112" t="str">
        <f t="shared" si="9"/>
        <v/>
      </c>
      <c r="AH362" s="126"/>
      <c r="AI362" s="114" t="str">
        <f ca="1">IFERROR(VLOOKUP($AH362, '(勿動)Component Label公版'!$D$1:$E$1000, 2, FALSE), "-")</f>
        <v>-</v>
      </c>
      <c r="AJ362" s="115"/>
      <c r="AK362" s="112"/>
      <c r="AL362" s="112"/>
      <c r="AM362" s="116" t="str">
        <f t="shared" si="10"/>
        <v/>
      </c>
      <c r="AN362" s="117" t="str">
        <f t="shared" si="11"/>
        <v/>
      </c>
      <c r="AO362" s="158"/>
      <c r="AP362" s="18"/>
      <c r="AQ362" s="18"/>
      <c r="AR362" s="18"/>
      <c r="AS362" s="18"/>
      <c r="AT362" s="18"/>
      <c r="AU362" s="54" t="b">
        <v>0</v>
      </c>
      <c r="AV362" s="54" t="b">
        <v>0</v>
      </c>
      <c r="AW362" s="123"/>
      <c r="AX362" s="124"/>
      <c r="AY362" s="124"/>
      <c r="AZ362" s="124"/>
      <c r="BA362" s="125"/>
      <c r="BB362" s="68"/>
      <c r="BC362" s="62"/>
      <c r="BD362" s="129" t="str">
        <f t="shared" si="12"/>
        <v>_</v>
      </c>
      <c r="BE362" s="130" t="str">
        <f>IFERROR(VLOOKUP($BD362,'(勿動)組件目錄表'!$D$15:$R$1094,2,FALSE),"")</f>
        <v/>
      </c>
      <c r="BF362" s="131" t="str">
        <f>IFERROR(VLOOKUP($BD362, '(勿動)組件目錄表'!$D$15:$R$1094, 5, FALSE),"")</f>
        <v/>
      </c>
      <c r="BG362" s="118"/>
      <c r="BH362" s="120"/>
      <c r="BI362" s="118"/>
      <c r="BJ362" s="120"/>
    </row>
    <row r="363" spans="1:62" ht="15.75" customHeight="1">
      <c r="A363" s="18" t="str">
        <f t="array" aca="1" ref="A363" ca="1">IFERROR(TRANSPOSE(INDIRECT('「(動工中勿使用!!)新版+舊版_Teaser」的副本'!$BB363)),"")</f>
        <v/>
      </c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80" t="b">
        <v>0</v>
      </c>
      <c r="AF363" s="111" t="str">
        <f t="shared" si="13"/>
        <v/>
      </c>
      <c r="AG363" s="112" t="str">
        <f t="shared" si="9"/>
        <v/>
      </c>
      <c r="AH363" s="126"/>
      <c r="AI363" s="114" t="str">
        <f ca="1">IFERROR(VLOOKUP($AH363, '(勿動)Component Label公版'!$D$1:$E$1000, 2, FALSE), "-")</f>
        <v>-</v>
      </c>
      <c r="AJ363" s="115"/>
      <c r="AK363" s="112"/>
      <c r="AL363" s="112"/>
      <c r="AM363" s="116" t="str">
        <f t="shared" si="10"/>
        <v/>
      </c>
      <c r="AN363" s="117" t="str">
        <f t="shared" si="11"/>
        <v/>
      </c>
      <c r="AO363" s="158"/>
      <c r="AP363" s="18"/>
      <c r="AQ363" s="18"/>
      <c r="AR363" s="18"/>
      <c r="AS363" s="18"/>
      <c r="AT363" s="18"/>
      <c r="AU363" s="54" t="b">
        <v>0</v>
      </c>
      <c r="AV363" s="54" t="b">
        <v>0</v>
      </c>
      <c r="AW363" s="123"/>
      <c r="AX363" s="124"/>
      <c r="AY363" s="124"/>
      <c r="AZ363" s="124"/>
      <c r="BA363" s="125"/>
      <c r="BB363" s="68"/>
      <c r="BC363" s="62"/>
      <c r="BD363" s="129" t="str">
        <f t="shared" si="12"/>
        <v>_</v>
      </c>
      <c r="BE363" s="130" t="str">
        <f>IFERROR(VLOOKUP($BD363,'(勿動)組件目錄表'!$D$15:$R$1094,2,FALSE),"")</f>
        <v/>
      </c>
      <c r="BF363" s="131" t="str">
        <f>IFERROR(VLOOKUP($BD363, '(勿動)組件目錄表'!$D$15:$R$1094, 5, FALSE),"")</f>
        <v/>
      </c>
      <c r="BG363" s="118"/>
      <c r="BH363" s="120"/>
      <c r="BI363" s="118"/>
      <c r="BJ363" s="120"/>
    </row>
    <row r="364" spans="1:62" ht="15.75" customHeight="1">
      <c r="A364" s="18" t="str">
        <f t="array" aca="1" ref="A364" ca="1">IFERROR(TRANSPOSE(INDIRECT('「(動工中勿使用!!)新版+舊版_Teaser」的副本'!$BB364)),"")</f>
        <v/>
      </c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80" t="b">
        <v>0</v>
      </c>
      <c r="AF364" s="111" t="str">
        <f t="shared" si="13"/>
        <v/>
      </c>
      <c r="AG364" s="112" t="str">
        <f t="shared" si="9"/>
        <v/>
      </c>
      <c r="AH364" s="126"/>
      <c r="AI364" s="114" t="str">
        <f ca="1">IFERROR(VLOOKUP($AH364, '(勿動)Component Label公版'!$D$1:$E$1000, 2, FALSE), "-")</f>
        <v>-</v>
      </c>
      <c r="AJ364" s="115"/>
      <c r="AK364" s="112"/>
      <c r="AL364" s="112"/>
      <c r="AM364" s="116" t="str">
        <f t="shared" si="10"/>
        <v/>
      </c>
      <c r="AN364" s="117" t="str">
        <f t="shared" si="11"/>
        <v/>
      </c>
      <c r="AO364" s="158"/>
      <c r="AP364" s="18"/>
      <c r="AQ364" s="18"/>
      <c r="AR364" s="18"/>
      <c r="AS364" s="18"/>
      <c r="AT364" s="18"/>
      <c r="AU364" s="54" t="b">
        <v>0</v>
      </c>
      <c r="AV364" s="54" t="b">
        <v>0</v>
      </c>
      <c r="AW364" s="123"/>
      <c r="AX364" s="124"/>
      <c r="AY364" s="124"/>
      <c r="AZ364" s="124"/>
      <c r="BA364" s="125"/>
      <c r="BB364" s="68"/>
      <c r="BC364" s="62"/>
      <c r="BD364" s="129" t="str">
        <f t="shared" si="12"/>
        <v>_</v>
      </c>
      <c r="BE364" s="130" t="str">
        <f>IFERROR(VLOOKUP($BD364,'(勿動)組件目錄表'!$D$15:$R$1094,2,FALSE),"")</f>
        <v/>
      </c>
      <c r="BF364" s="131" t="str">
        <f>IFERROR(VLOOKUP($BD364, '(勿動)組件目錄表'!$D$15:$R$1094, 5, FALSE),"")</f>
        <v/>
      </c>
      <c r="BG364" s="118"/>
      <c r="BH364" s="120"/>
      <c r="BI364" s="118"/>
      <c r="BJ364" s="120"/>
    </row>
    <row r="365" spans="1:62" ht="15.75" customHeight="1">
      <c r="A365" s="18" t="str">
        <f t="array" aca="1" ref="A365" ca="1">IFERROR(TRANSPOSE(INDIRECT('「(動工中勿使用!!)新版+舊版_Teaser」的副本'!$BB365)),"")</f>
        <v/>
      </c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80" t="b">
        <v>0</v>
      </c>
      <c r="AF365" s="111" t="str">
        <f t="shared" si="13"/>
        <v/>
      </c>
      <c r="AG365" s="112" t="str">
        <f t="shared" si="9"/>
        <v/>
      </c>
      <c r="AH365" s="126"/>
      <c r="AI365" s="114" t="str">
        <f ca="1">IFERROR(VLOOKUP($AH365, '(勿動)Component Label公版'!$D$1:$E$1000, 2, FALSE), "-")</f>
        <v>-</v>
      </c>
      <c r="AJ365" s="115"/>
      <c r="AK365" s="112"/>
      <c r="AL365" s="112"/>
      <c r="AM365" s="116" t="str">
        <f t="shared" si="10"/>
        <v/>
      </c>
      <c r="AN365" s="117" t="str">
        <f t="shared" si="11"/>
        <v/>
      </c>
      <c r="AO365" s="158"/>
      <c r="AP365" s="18"/>
      <c r="AQ365" s="18"/>
      <c r="AR365" s="18"/>
      <c r="AS365" s="18"/>
      <c r="AT365" s="18"/>
      <c r="AU365" s="54" t="b">
        <v>0</v>
      </c>
      <c r="AV365" s="54" t="b">
        <v>0</v>
      </c>
      <c r="AW365" s="123"/>
      <c r="AX365" s="124"/>
      <c r="AY365" s="124"/>
      <c r="AZ365" s="124"/>
      <c r="BA365" s="125"/>
      <c r="BB365" s="68"/>
      <c r="BC365" s="62"/>
      <c r="BD365" s="129" t="str">
        <f t="shared" si="12"/>
        <v>_</v>
      </c>
      <c r="BE365" s="130" t="str">
        <f>IFERROR(VLOOKUP($BD365,'(勿動)組件目錄表'!$D$15:$R$1094,2,FALSE),"")</f>
        <v/>
      </c>
      <c r="BF365" s="131" t="str">
        <f>IFERROR(VLOOKUP($BD365, '(勿動)組件目錄表'!$D$15:$R$1094, 5, FALSE),"")</f>
        <v/>
      </c>
      <c r="BG365" s="118"/>
      <c r="BH365" s="120"/>
      <c r="BI365" s="118"/>
      <c r="BJ365" s="120"/>
    </row>
    <row r="366" spans="1:62" ht="15.75" customHeight="1">
      <c r="A366" s="18" t="str">
        <f t="array" aca="1" ref="A366" ca="1">IFERROR(TRANSPOSE(INDIRECT('「(動工中勿使用!!)新版+舊版_Teaser」的副本'!$BB366)),"")</f>
        <v/>
      </c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80" t="b">
        <v>0</v>
      </c>
      <c r="AF366" s="111" t="str">
        <f t="shared" si="13"/>
        <v/>
      </c>
      <c r="AG366" s="112" t="str">
        <f t="shared" si="9"/>
        <v/>
      </c>
      <c r="AH366" s="126"/>
      <c r="AI366" s="114" t="str">
        <f ca="1">IFERROR(VLOOKUP($AH366, '(勿動)Component Label公版'!$D$1:$E$1000, 2, FALSE), "-")</f>
        <v>-</v>
      </c>
      <c r="AJ366" s="115"/>
      <c r="AK366" s="112"/>
      <c r="AL366" s="112"/>
      <c r="AM366" s="116" t="str">
        <f t="shared" si="10"/>
        <v/>
      </c>
      <c r="AN366" s="117" t="str">
        <f t="shared" si="11"/>
        <v/>
      </c>
      <c r="AO366" s="158"/>
      <c r="AP366" s="18"/>
      <c r="AQ366" s="18"/>
      <c r="AR366" s="18"/>
      <c r="AS366" s="18"/>
      <c r="AT366" s="18"/>
      <c r="AU366" s="54" t="b">
        <v>0</v>
      </c>
      <c r="AV366" s="54" t="b">
        <v>0</v>
      </c>
      <c r="AW366" s="123"/>
      <c r="AX366" s="124"/>
      <c r="AY366" s="124"/>
      <c r="AZ366" s="124"/>
      <c r="BA366" s="125"/>
      <c r="BB366" s="68"/>
      <c r="BC366" s="62"/>
      <c r="BD366" s="129" t="str">
        <f t="shared" si="12"/>
        <v>_</v>
      </c>
      <c r="BE366" s="130" t="str">
        <f>IFERROR(VLOOKUP($BD366,'(勿動)組件目錄表'!$D$15:$R$1094,2,FALSE),"")</f>
        <v/>
      </c>
      <c r="BF366" s="131" t="str">
        <f>IFERROR(VLOOKUP($BD366, '(勿動)組件目錄表'!$D$15:$R$1094, 5, FALSE),"")</f>
        <v/>
      </c>
      <c r="BG366" s="118"/>
      <c r="BH366" s="120"/>
      <c r="BI366" s="118"/>
      <c r="BJ366" s="120"/>
    </row>
    <row r="367" spans="1:62" ht="15.75" customHeight="1">
      <c r="A367" s="18" t="str">
        <f t="array" aca="1" ref="A367" ca="1">IFERROR(TRANSPOSE(INDIRECT('「(動工中勿使用!!)新版+舊版_Teaser」的副本'!$BB367)),"")</f>
        <v/>
      </c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80" t="b">
        <v>0</v>
      </c>
      <c r="AF367" s="111" t="str">
        <f t="shared" si="13"/>
        <v/>
      </c>
      <c r="AG367" s="112" t="str">
        <f t="shared" si="9"/>
        <v/>
      </c>
      <c r="AH367" s="126"/>
      <c r="AI367" s="114" t="str">
        <f ca="1">IFERROR(VLOOKUP($AH367, '(勿動)Component Label公版'!$D$1:$E$1000, 2, FALSE), "-")</f>
        <v>-</v>
      </c>
      <c r="AJ367" s="115"/>
      <c r="AK367" s="112"/>
      <c r="AL367" s="112"/>
      <c r="AM367" s="116" t="str">
        <f t="shared" si="10"/>
        <v/>
      </c>
      <c r="AN367" s="117" t="str">
        <f t="shared" si="11"/>
        <v/>
      </c>
      <c r="AO367" s="158"/>
      <c r="AP367" s="18"/>
      <c r="AQ367" s="18"/>
      <c r="AR367" s="18"/>
      <c r="AS367" s="18"/>
      <c r="AT367" s="18"/>
      <c r="AU367" s="54" t="b">
        <v>0</v>
      </c>
      <c r="AV367" s="54" t="b">
        <v>0</v>
      </c>
      <c r="AW367" s="123"/>
      <c r="AX367" s="124"/>
      <c r="AY367" s="124"/>
      <c r="AZ367" s="124"/>
      <c r="BA367" s="125"/>
      <c r="BB367" s="68"/>
      <c r="BC367" s="62"/>
      <c r="BD367" s="129" t="str">
        <f t="shared" si="12"/>
        <v>_</v>
      </c>
      <c r="BE367" s="130" t="str">
        <f>IFERROR(VLOOKUP($BD367,'(勿動)組件目錄表'!$D$15:$R$1094,2,FALSE),"")</f>
        <v/>
      </c>
      <c r="BF367" s="131" t="str">
        <f>IFERROR(VLOOKUP($BD367, '(勿動)組件目錄表'!$D$15:$R$1094, 5, FALSE),"")</f>
        <v/>
      </c>
      <c r="BG367" s="118"/>
      <c r="BH367" s="120"/>
      <c r="BI367" s="118"/>
      <c r="BJ367" s="120"/>
    </row>
    <row r="368" spans="1:62" ht="15.75" customHeight="1">
      <c r="A368" s="18" t="str">
        <f t="array" aca="1" ref="A368" ca="1">IFERROR(TRANSPOSE(INDIRECT('「(動工中勿使用!!)新版+舊版_Teaser」的副本'!$BB368)),"")</f>
        <v/>
      </c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80" t="b">
        <v>0</v>
      </c>
      <c r="AF368" s="111" t="str">
        <f t="shared" si="13"/>
        <v/>
      </c>
      <c r="AG368" s="112" t="str">
        <f t="shared" si="9"/>
        <v/>
      </c>
      <c r="AH368" s="126"/>
      <c r="AI368" s="114" t="str">
        <f ca="1">IFERROR(VLOOKUP($AH368, '(勿動)Component Label公版'!$D$1:$E$1000, 2, FALSE), "-")</f>
        <v>-</v>
      </c>
      <c r="AJ368" s="115"/>
      <c r="AK368" s="112"/>
      <c r="AL368" s="112"/>
      <c r="AM368" s="116" t="str">
        <f t="shared" si="10"/>
        <v/>
      </c>
      <c r="AN368" s="117" t="str">
        <f t="shared" si="11"/>
        <v/>
      </c>
      <c r="AO368" s="158"/>
      <c r="AP368" s="18"/>
      <c r="AQ368" s="18"/>
      <c r="AR368" s="18"/>
      <c r="AS368" s="18"/>
      <c r="AT368" s="18"/>
      <c r="AU368" s="54" t="b">
        <v>0</v>
      </c>
      <c r="AV368" s="54" t="b">
        <v>0</v>
      </c>
      <c r="AW368" s="123"/>
      <c r="AX368" s="124"/>
      <c r="AY368" s="124"/>
      <c r="AZ368" s="124"/>
      <c r="BA368" s="125"/>
      <c r="BB368" s="68"/>
      <c r="BC368" s="62"/>
      <c r="BD368" s="129" t="str">
        <f t="shared" si="12"/>
        <v>_</v>
      </c>
      <c r="BE368" s="130" t="str">
        <f>IFERROR(VLOOKUP($BD368,'(勿動)組件目錄表'!$D$15:$R$1094,2,FALSE),"")</f>
        <v/>
      </c>
      <c r="BF368" s="131" t="str">
        <f>IFERROR(VLOOKUP($BD368, '(勿動)組件目錄表'!$D$15:$R$1094, 5, FALSE),"")</f>
        <v/>
      </c>
      <c r="BG368" s="118"/>
      <c r="BH368" s="120"/>
      <c r="BI368" s="118"/>
      <c r="BJ368" s="120"/>
    </row>
    <row r="369" spans="1:62" ht="15.75" customHeight="1">
      <c r="A369" s="18" t="str">
        <f t="array" aca="1" ref="A369" ca="1">IFERROR(TRANSPOSE(INDIRECT('「(動工中勿使用!!)新版+舊版_Teaser」的副本'!$BB369)),"")</f>
        <v/>
      </c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80" t="b">
        <v>0</v>
      </c>
      <c r="AF369" s="111" t="str">
        <f t="shared" si="13"/>
        <v/>
      </c>
      <c r="AG369" s="112" t="str">
        <f t="shared" si="9"/>
        <v/>
      </c>
      <c r="AH369" s="126"/>
      <c r="AI369" s="114" t="str">
        <f ca="1">IFERROR(VLOOKUP($AH369, '(勿動)Component Label公版'!$D$1:$E$1000, 2, FALSE), "-")</f>
        <v>-</v>
      </c>
      <c r="AJ369" s="115"/>
      <c r="AK369" s="112"/>
      <c r="AL369" s="112"/>
      <c r="AM369" s="116" t="str">
        <f t="shared" si="10"/>
        <v/>
      </c>
      <c r="AN369" s="117" t="str">
        <f t="shared" si="11"/>
        <v/>
      </c>
      <c r="AO369" s="158"/>
      <c r="AP369" s="18"/>
      <c r="AQ369" s="18"/>
      <c r="AR369" s="18"/>
      <c r="AS369" s="18"/>
      <c r="AT369" s="18"/>
      <c r="AU369" s="54" t="b">
        <v>0</v>
      </c>
      <c r="AV369" s="54" t="b">
        <v>0</v>
      </c>
      <c r="AW369" s="123"/>
      <c r="AX369" s="124"/>
      <c r="AY369" s="124"/>
      <c r="AZ369" s="124"/>
      <c r="BA369" s="125"/>
      <c r="BB369" s="68"/>
      <c r="BC369" s="62"/>
      <c r="BD369" s="129" t="str">
        <f t="shared" si="12"/>
        <v>_</v>
      </c>
      <c r="BE369" s="130" t="str">
        <f>IFERROR(VLOOKUP($BD369,'(勿動)組件目錄表'!$D$15:$R$1094,2,FALSE),"")</f>
        <v/>
      </c>
      <c r="BF369" s="131" t="str">
        <f>IFERROR(VLOOKUP($BD369, '(勿動)組件目錄表'!$D$15:$R$1094, 5, FALSE),"")</f>
        <v/>
      </c>
      <c r="BG369" s="118"/>
      <c r="BH369" s="120"/>
      <c r="BI369" s="118"/>
      <c r="BJ369" s="120"/>
    </row>
    <row r="370" spans="1:62" ht="15.75" customHeight="1">
      <c r="A370" s="18" t="str">
        <f t="array" aca="1" ref="A370" ca="1">IFERROR(TRANSPOSE(INDIRECT('「(動工中勿使用!!)新版+舊版_Teaser」的副本'!$BB370)),"")</f>
        <v/>
      </c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80" t="b">
        <v>0</v>
      </c>
      <c r="AF370" s="111" t="str">
        <f t="shared" si="13"/>
        <v/>
      </c>
      <c r="AG370" s="112" t="str">
        <f t="shared" si="9"/>
        <v/>
      </c>
      <c r="AH370" s="126"/>
      <c r="AI370" s="114" t="str">
        <f ca="1">IFERROR(VLOOKUP($AH370, '(勿動)Component Label公版'!$D$1:$E$1000, 2, FALSE), "-")</f>
        <v>-</v>
      </c>
      <c r="AJ370" s="115"/>
      <c r="AK370" s="112"/>
      <c r="AL370" s="112"/>
      <c r="AM370" s="116" t="str">
        <f t="shared" si="10"/>
        <v/>
      </c>
      <c r="AN370" s="117" t="str">
        <f t="shared" si="11"/>
        <v/>
      </c>
      <c r="AO370" s="158"/>
      <c r="AP370" s="18"/>
      <c r="AQ370" s="18"/>
      <c r="AR370" s="18"/>
      <c r="AS370" s="18"/>
      <c r="AT370" s="18"/>
      <c r="AU370" s="54" t="b">
        <v>0</v>
      </c>
      <c r="AV370" s="54" t="b">
        <v>0</v>
      </c>
      <c r="AW370" s="123"/>
      <c r="AX370" s="124"/>
      <c r="AY370" s="124"/>
      <c r="AZ370" s="124"/>
      <c r="BA370" s="125"/>
      <c r="BB370" s="68"/>
      <c r="BC370" s="62"/>
      <c r="BD370" s="129" t="str">
        <f t="shared" si="12"/>
        <v>_</v>
      </c>
      <c r="BE370" s="130" t="str">
        <f>IFERROR(VLOOKUP($BD370,'(勿動)組件目錄表'!$D$15:$R$1094,2,FALSE),"")</f>
        <v/>
      </c>
      <c r="BF370" s="131" t="str">
        <f>IFERROR(VLOOKUP($BD370, '(勿動)組件目錄表'!$D$15:$R$1094, 5, FALSE),"")</f>
        <v/>
      </c>
      <c r="BG370" s="118"/>
      <c r="BH370" s="120"/>
      <c r="BI370" s="118"/>
      <c r="BJ370" s="120"/>
    </row>
    <row r="371" spans="1:62" ht="15.75" customHeight="1">
      <c r="A371" s="18" t="str">
        <f t="array" aca="1" ref="A371" ca="1">IFERROR(TRANSPOSE(INDIRECT('「(動工中勿使用!!)新版+舊版_Teaser」的副本'!$BB371)),"")</f>
        <v/>
      </c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80" t="b">
        <v>0</v>
      </c>
      <c r="AF371" s="111" t="str">
        <f t="shared" si="13"/>
        <v/>
      </c>
      <c r="AG371" s="112" t="str">
        <f t="shared" si="9"/>
        <v/>
      </c>
      <c r="AH371" s="126"/>
      <c r="AI371" s="114" t="str">
        <f ca="1">IFERROR(VLOOKUP($AH371, '(勿動)Component Label公版'!$D$1:$E$1000, 2, FALSE), "-")</f>
        <v>-</v>
      </c>
      <c r="AJ371" s="115"/>
      <c r="AK371" s="112"/>
      <c r="AL371" s="112"/>
      <c r="AM371" s="116" t="str">
        <f t="shared" si="10"/>
        <v/>
      </c>
      <c r="AN371" s="117" t="str">
        <f t="shared" si="11"/>
        <v/>
      </c>
      <c r="AO371" s="158"/>
      <c r="AP371" s="18"/>
      <c r="AQ371" s="18"/>
      <c r="AR371" s="18"/>
      <c r="AS371" s="18"/>
      <c r="AT371" s="18"/>
      <c r="AU371" s="54" t="b">
        <v>0</v>
      </c>
      <c r="AV371" s="54" t="b">
        <v>0</v>
      </c>
      <c r="AW371" s="123"/>
      <c r="AX371" s="124"/>
      <c r="AY371" s="124"/>
      <c r="AZ371" s="124"/>
      <c r="BA371" s="125"/>
      <c r="BB371" s="68"/>
      <c r="BC371" s="62"/>
      <c r="BD371" s="129" t="str">
        <f t="shared" si="12"/>
        <v>_</v>
      </c>
      <c r="BE371" s="130" t="str">
        <f>IFERROR(VLOOKUP($BD371,'(勿動)組件目錄表'!$D$15:$R$1094,2,FALSE),"")</f>
        <v/>
      </c>
      <c r="BF371" s="131" t="str">
        <f>IFERROR(VLOOKUP($BD371, '(勿動)組件目錄表'!$D$15:$R$1094, 5, FALSE),"")</f>
        <v/>
      </c>
      <c r="BG371" s="118"/>
      <c r="BH371" s="120"/>
      <c r="BI371" s="118"/>
      <c r="BJ371" s="120"/>
    </row>
    <row r="372" spans="1:62" ht="15.75" customHeight="1">
      <c r="A372" s="18" t="str">
        <f t="array" aca="1" ref="A372" ca="1">IFERROR(TRANSPOSE(INDIRECT('「(動工中勿使用!!)新版+舊版_Teaser」的副本'!$BB372)),"")</f>
        <v/>
      </c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80" t="b">
        <v>0</v>
      </c>
      <c r="AF372" s="111" t="str">
        <f t="shared" si="13"/>
        <v/>
      </c>
      <c r="AG372" s="112" t="str">
        <f t="shared" si="9"/>
        <v/>
      </c>
      <c r="AH372" s="126"/>
      <c r="AI372" s="114" t="str">
        <f ca="1">IFERROR(VLOOKUP($AH372, '(勿動)Component Label公版'!$D$1:$E$1000, 2, FALSE), "-")</f>
        <v>-</v>
      </c>
      <c r="AJ372" s="115"/>
      <c r="AK372" s="112"/>
      <c r="AL372" s="112"/>
      <c r="AM372" s="116" t="str">
        <f t="shared" si="10"/>
        <v/>
      </c>
      <c r="AN372" s="117" t="str">
        <f t="shared" si="11"/>
        <v/>
      </c>
      <c r="AO372" s="158"/>
      <c r="AP372" s="18"/>
      <c r="AQ372" s="18"/>
      <c r="AR372" s="18"/>
      <c r="AS372" s="18"/>
      <c r="AT372" s="18"/>
      <c r="AU372" s="54" t="b">
        <v>0</v>
      </c>
      <c r="AV372" s="54" t="b">
        <v>0</v>
      </c>
      <c r="AW372" s="123"/>
      <c r="AX372" s="124"/>
      <c r="AY372" s="124"/>
      <c r="AZ372" s="124"/>
      <c r="BA372" s="125"/>
      <c r="BB372" s="68"/>
      <c r="BC372" s="62"/>
      <c r="BD372" s="129" t="str">
        <f t="shared" si="12"/>
        <v>_</v>
      </c>
      <c r="BE372" s="130" t="str">
        <f>IFERROR(VLOOKUP($BD372,'(勿動)組件目錄表'!$D$15:$R$1094,2,FALSE),"")</f>
        <v/>
      </c>
      <c r="BF372" s="131" t="str">
        <f>IFERROR(VLOOKUP($BD372, '(勿動)組件目錄表'!$D$15:$R$1094, 5, FALSE),"")</f>
        <v/>
      </c>
      <c r="BG372" s="118"/>
      <c r="BH372" s="120"/>
      <c r="BI372" s="118"/>
      <c r="BJ372" s="120"/>
    </row>
    <row r="373" spans="1:62" ht="15.75" customHeight="1">
      <c r="A373" s="18" t="str">
        <f t="array" aca="1" ref="A373" ca="1">IFERROR(TRANSPOSE(INDIRECT('「(動工中勿使用!!)新版+舊版_Teaser」的副本'!$BB373)),"")</f>
        <v/>
      </c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80" t="b">
        <v>0</v>
      </c>
      <c r="AF373" s="111" t="str">
        <f t="shared" si="13"/>
        <v/>
      </c>
      <c r="AG373" s="112" t="str">
        <f t="shared" si="9"/>
        <v/>
      </c>
      <c r="AH373" s="126"/>
      <c r="AI373" s="114" t="str">
        <f ca="1">IFERROR(VLOOKUP($AH373, '(勿動)Component Label公版'!$D$1:$E$1000, 2, FALSE), "-")</f>
        <v>-</v>
      </c>
      <c r="AJ373" s="115"/>
      <c r="AK373" s="112"/>
      <c r="AL373" s="112"/>
      <c r="AM373" s="116" t="str">
        <f t="shared" si="10"/>
        <v/>
      </c>
      <c r="AN373" s="117" t="str">
        <f t="shared" si="11"/>
        <v/>
      </c>
      <c r="AO373" s="158"/>
      <c r="AP373" s="18"/>
      <c r="AQ373" s="18"/>
      <c r="AR373" s="18"/>
      <c r="AS373" s="18"/>
      <c r="AT373" s="18"/>
      <c r="AU373" s="54" t="b">
        <v>0</v>
      </c>
      <c r="AV373" s="54" t="b">
        <v>0</v>
      </c>
      <c r="AW373" s="123"/>
      <c r="AX373" s="124"/>
      <c r="AY373" s="124"/>
      <c r="AZ373" s="124"/>
      <c r="BA373" s="125"/>
      <c r="BB373" s="68"/>
      <c r="BC373" s="62"/>
      <c r="BD373" s="129" t="str">
        <f t="shared" si="12"/>
        <v>_</v>
      </c>
      <c r="BE373" s="130" t="str">
        <f>IFERROR(VLOOKUP($BD373,'(勿動)組件目錄表'!$D$15:$R$1094,2,FALSE),"")</f>
        <v/>
      </c>
      <c r="BF373" s="131" t="str">
        <f>IFERROR(VLOOKUP($BD373, '(勿動)組件目錄表'!$D$15:$R$1094, 5, FALSE),"")</f>
        <v/>
      </c>
      <c r="BG373" s="118"/>
      <c r="BH373" s="120"/>
      <c r="BI373" s="118"/>
      <c r="BJ373" s="120"/>
    </row>
    <row r="374" spans="1:62" ht="15.75" customHeight="1">
      <c r="A374" s="18" t="str">
        <f t="array" aca="1" ref="A374" ca="1">IFERROR(TRANSPOSE(INDIRECT('「(動工中勿使用!!)新版+舊版_Teaser」的副本'!$BB374)),"")</f>
        <v/>
      </c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80" t="b">
        <v>0</v>
      </c>
      <c r="AF374" s="111" t="str">
        <f t="shared" si="13"/>
        <v/>
      </c>
      <c r="AG374" s="112" t="str">
        <f t="shared" si="9"/>
        <v/>
      </c>
      <c r="AH374" s="126"/>
      <c r="AI374" s="114" t="str">
        <f ca="1">IFERROR(VLOOKUP($AH374, '(勿動)Component Label公版'!$D$1:$E$1000, 2, FALSE), "-")</f>
        <v>-</v>
      </c>
      <c r="AJ374" s="115"/>
      <c r="AK374" s="112"/>
      <c r="AL374" s="112"/>
      <c r="AM374" s="116" t="str">
        <f t="shared" si="10"/>
        <v/>
      </c>
      <c r="AN374" s="117" t="str">
        <f t="shared" si="11"/>
        <v/>
      </c>
      <c r="AO374" s="158"/>
      <c r="AP374" s="18"/>
      <c r="AQ374" s="18"/>
      <c r="AR374" s="18"/>
      <c r="AS374" s="18"/>
      <c r="AT374" s="18"/>
      <c r="AU374" s="54" t="b">
        <v>0</v>
      </c>
      <c r="AV374" s="54" t="b">
        <v>0</v>
      </c>
      <c r="AW374" s="123"/>
      <c r="AX374" s="124"/>
      <c r="AY374" s="124"/>
      <c r="AZ374" s="124"/>
      <c r="BA374" s="125"/>
      <c r="BB374" s="68"/>
      <c r="BC374" s="62"/>
      <c r="BD374" s="129" t="str">
        <f t="shared" si="12"/>
        <v>_</v>
      </c>
      <c r="BE374" s="130" t="str">
        <f>IFERROR(VLOOKUP($BD374,'(勿動)組件目錄表'!$D$15:$R$1094,2,FALSE),"")</f>
        <v/>
      </c>
      <c r="BF374" s="131" t="str">
        <f>IFERROR(VLOOKUP($BD374, '(勿動)組件目錄表'!$D$15:$R$1094, 5, FALSE),"")</f>
        <v/>
      </c>
      <c r="BG374" s="118"/>
      <c r="BH374" s="120"/>
      <c r="BI374" s="118"/>
      <c r="BJ374" s="120"/>
    </row>
    <row r="375" spans="1:62" ht="15.75" customHeight="1">
      <c r="A375" s="18" t="str">
        <f t="array" aca="1" ref="A375" ca="1">IFERROR(TRANSPOSE(INDIRECT('「(動工中勿使用!!)新版+舊版_Teaser」的副本'!$BB375)),"")</f>
        <v/>
      </c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80" t="b">
        <v>0</v>
      </c>
      <c r="AF375" s="111" t="str">
        <f t="shared" si="13"/>
        <v/>
      </c>
      <c r="AG375" s="112" t="str">
        <f t="shared" si="9"/>
        <v/>
      </c>
      <c r="AH375" s="126"/>
      <c r="AI375" s="114" t="str">
        <f ca="1">IFERROR(VLOOKUP($AH375, '(勿動)Component Label公版'!$D$1:$E$1000, 2, FALSE), "-")</f>
        <v>-</v>
      </c>
      <c r="AJ375" s="115"/>
      <c r="AK375" s="112"/>
      <c r="AL375" s="112"/>
      <c r="AM375" s="116" t="str">
        <f t="shared" si="10"/>
        <v/>
      </c>
      <c r="AN375" s="117" t="str">
        <f t="shared" si="11"/>
        <v/>
      </c>
      <c r="AO375" s="158"/>
      <c r="AP375" s="18"/>
      <c r="AQ375" s="18"/>
      <c r="AR375" s="18"/>
      <c r="AS375" s="18"/>
      <c r="AT375" s="18"/>
      <c r="AU375" s="54" t="b">
        <v>0</v>
      </c>
      <c r="AV375" s="54" t="b">
        <v>0</v>
      </c>
      <c r="AW375" s="123"/>
      <c r="AX375" s="124"/>
      <c r="AY375" s="124"/>
      <c r="AZ375" s="124"/>
      <c r="BA375" s="125"/>
      <c r="BB375" s="68"/>
      <c r="BC375" s="62"/>
      <c r="BD375" s="129" t="str">
        <f t="shared" si="12"/>
        <v>_</v>
      </c>
      <c r="BE375" s="130" t="str">
        <f>IFERROR(VLOOKUP($BD375,'(勿動)組件目錄表'!$D$15:$R$1094,2,FALSE),"")</f>
        <v/>
      </c>
      <c r="BF375" s="131" t="str">
        <f>IFERROR(VLOOKUP($BD375, '(勿動)組件目錄表'!$D$15:$R$1094, 5, FALSE),"")</f>
        <v/>
      </c>
      <c r="BG375" s="118"/>
      <c r="BH375" s="120"/>
      <c r="BI375" s="118"/>
      <c r="BJ375" s="120"/>
    </row>
    <row r="376" spans="1:62" ht="15.75" customHeight="1">
      <c r="A376" s="18" t="str">
        <f t="array" aca="1" ref="A376" ca="1">IFERROR(TRANSPOSE(INDIRECT('「(動工中勿使用!!)新版+舊版_Teaser」的副本'!$BB376)),"")</f>
        <v/>
      </c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80" t="b">
        <v>0</v>
      </c>
      <c r="AF376" s="111" t="str">
        <f t="shared" si="13"/>
        <v/>
      </c>
      <c r="AG376" s="112" t="str">
        <f t="shared" si="9"/>
        <v/>
      </c>
      <c r="AH376" s="126"/>
      <c r="AI376" s="114" t="str">
        <f ca="1">IFERROR(VLOOKUP($AH376, '(勿動)Component Label公版'!$D$1:$E$1000, 2, FALSE), "-")</f>
        <v>-</v>
      </c>
      <c r="AJ376" s="115"/>
      <c r="AK376" s="112"/>
      <c r="AL376" s="112"/>
      <c r="AM376" s="116" t="str">
        <f t="shared" si="10"/>
        <v/>
      </c>
      <c r="AN376" s="117" t="str">
        <f t="shared" si="11"/>
        <v/>
      </c>
      <c r="AO376" s="158"/>
      <c r="AP376" s="18"/>
      <c r="AQ376" s="18"/>
      <c r="AR376" s="18"/>
      <c r="AS376" s="18"/>
      <c r="AT376" s="18"/>
      <c r="AU376" s="54" t="b">
        <v>0</v>
      </c>
      <c r="AV376" s="54" t="b">
        <v>0</v>
      </c>
      <c r="AW376" s="123"/>
      <c r="AX376" s="124"/>
      <c r="AY376" s="124"/>
      <c r="AZ376" s="124"/>
      <c r="BA376" s="125"/>
      <c r="BB376" s="68"/>
      <c r="BC376" s="62"/>
      <c r="BD376" s="129" t="str">
        <f t="shared" si="12"/>
        <v>_</v>
      </c>
      <c r="BE376" s="130" t="str">
        <f>IFERROR(VLOOKUP($BD376,'(勿動)組件目錄表'!$D$15:$R$1094,2,FALSE),"")</f>
        <v/>
      </c>
      <c r="BF376" s="131" t="str">
        <f>IFERROR(VLOOKUP($BD376, '(勿動)組件目錄表'!$D$15:$R$1094, 5, FALSE),"")</f>
        <v/>
      </c>
      <c r="BG376" s="118"/>
      <c r="BH376" s="120"/>
      <c r="BI376" s="118"/>
      <c r="BJ376" s="120"/>
    </row>
    <row r="377" spans="1:62" ht="15.75" customHeight="1">
      <c r="A377" s="18" t="str">
        <f t="array" aca="1" ref="A377" ca="1">IFERROR(TRANSPOSE(INDIRECT('「(動工中勿使用!!)新版+舊版_Teaser」的副本'!$BB377)),"")</f>
        <v/>
      </c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80" t="b">
        <v>0</v>
      </c>
      <c r="AF377" s="111" t="str">
        <f t="shared" si="13"/>
        <v/>
      </c>
      <c r="AG377" s="112" t="str">
        <f t="shared" si="9"/>
        <v/>
      </c>
      <c r="AH377" s="126"/>
      <c r="AI377" s="114" t="str">
        <f ca="1">IFERROR(VLOOKUP($AH377, '(勿動)Component Label公版'!$D$1:$E$1000, 2, FALSE), "-")</f>
        <v>-</v>
      </c>
      <c r="AJ377" s="115"/>
      <c r="AK377" s="112"/>
      <c r="AL377" s="112"/>
      <c r="AM377" s="116" t="str">
        <f t="shared" si="10"/>
        <v/>
      </c>
      <c r="AN377" s="117" t="str">
        <f t="shared" si="11"/>
        <v/>
      </c>
      <c r="AO377" s="158"/>
      <c r="AP377" s="18"/>
      <c r="AQ377" s="18"/>
      <c r="AR377" s="18"/>
      <c r="AS377" s="18"/>
      <c r="AT377" s="18"/>
      <c r="AU377" s="54" t="b">
        <v>0</v>
      </c>
      <c r="AV377" s="54" t="b">
        <v>0</v>
      </c>
      <c r="AW377" s="123"/>
      <c r="AX377" s="124"/>
      <c r="AY377" s="124"/>
      <c r="AZ377" s="124"/>
      <c r="BA377" s="125"/>
      <c r="BB377" s="68"/>
      <c r="BC377" s="62"/>
      <c r="BD377" s="129" t="str">
        <f t="shared" si="12"/>
        <v>_</v>
      </c>
      <c r="BE377" s="130" t="str">
        <f>IFERROR(VLOOKUP($BD377,'(勿動)組件目錄表'!$D$15:$R$1094,2,FALSE),"")</f>
        <v/>
      </c>
      <c r="BF377" s="131" t="str">
        <f>IFERROR(VLOOKUP($BD377, '(勿動)組件目錄表'!$D$15:$R$1094, 5, FALSE),"")</f>
        <v/>
      </c>
      <c r="BG377" s="118"/>
      <c r="BH377" s="120"/>
      <c r="BI377" s="118"/>
      <c r="BJ377" s="120"/>
    </row>
    <row r="378" spans="1:62" ht="15.75" customHeight="1">
      <c r="A378" s="18" t="str">
        <f t="array" aca="1" ref="A378" ca="1">IFERROR(TRANSPOSE(INDIRECT('「(動工中勿使用!!)新版+舊版_Teaser」的副本'!$BB378)),"")</f>
        <v/>
      </c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80" t="b">
        <v>0</v>
      </c>
      <c r="AF378" s="111" t="str">
        <f t="shared" si="13"/>
        <v/>
      </c>
      <c r="AG378" s="112" t="str">
        <f t="shared" si="9"/>
        <v/>
      </c>
      <c r="AH378" s="126"/>
      <c r="AI378" s="114" t="str">
        <f ca="1">IFERROR(VLOOKUP($AH378, '(勿動)Component Label公版'!$D$1:$E$1000, 2, FALSE), "-")</f>
        <v>-</v>
      </c>
      <c r="AJ378" s="115"/>
      <c r="AK378" s="112"/>
      <c r="AL378" s="112"/>
      <c r="AM378" s="116" t="str">
        <f t="shared" si="10"/>
        <v/>
      </c>
      <c r="AN378" s="117" t="str">
        <f t="shared" si="11"/>
        <v/>
      </c>
      <c r="AO378" s="158"/>
      <c r="AP378" s="18"/>
      <c r="AQ378" s="18"/>
      <c r="AR378" s="18"/>
      <c r="AS378" s="18"/>
      <c r="AT378" s="18"/>
      <c r="AU378" s="54" t="b">
        <v>0</v>
      </c>
      <c r="AV378" s="54" t="b">
        <v>0</v>
      </c>
      <c r="AW378" s="123"/>
      <c r="AX378" s="124"/>
      <c r="AY378" s="124"/>
      <c r="AZ378" s="124"/>
      <c r="BA378" s="125"/>
      <c r="BB378" s="68"/>
      <c r="BC378" s="62"/>
      <c r="BD378" s="129" t="str">
        <f t="shared" si="12"/>
        <v>_</v>
      </c>
      <c r="BE378" s="130" t="str">
        <f>IFERROR(VLOOKUP($BD378,'(勿動)組件目錄表'!$D$15:$R$1094,2,FALSE),"")</f>
        <v/>
      </c>
      <c r="BF378" s="131" t="str">
        <f>IFERROR(VLOOKUP($BD378, '(勿動)組件目錄表'!$D$15:$R$1094, 5, FALSE),"")</f>
        <v/>
      </c>
      <c r="BG378" s="118"/>
      <c r="BH378" s="120"/>
      <c r="BI378" s="118"/>
      <c r="BJ378" s="120"/>
    </row>
    <row r="379" spans="1:62" ht="15.75" customHeight="1">
      <c r="A379" s="18" t="str">
        <f t="array" aca="1" ref="A379" ca="1">IFERROR(TRANSPOSE(INDIRECT('「(動工中勿使用!!)新版+舊版_Teaser」的副本'!$BB379)),"")</f>
        <v/>
      </c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80" t="b">
        <v>0</v>
      </c>
      <c r="AF379" s="111" t="str">
        <f t="shared" si="13"/>
        <v/>
      </c>
      <c r="AG379" s="112" t="str">
        <f t="shared" si="9"/>
        <v/>
      </c>
      <c r="AH379" s="126"/>
      <c r="AI379" s="114" t="str">
        <f ca="1">IFERROR(VLOOKUP($AH379, '(勿動)Component Label公版'!$D$1:$E$1000, 2, FALSE), "-")</f>
        <v>-</v>
      </c>
      <c r="AJ379" s="115"/>
      <c r="AK379" s="112"/>
      <c r="AL379" s="112"/>
      <c r="AM379" s="116" t="str">
        <f t="shared" si="10"/>
        <v/>
      </c>
      <c r="AN379" s="117" t="str">
        <f t="shared" si="11"/>
        <v/>
      </c>
      <c r="AO379" s="158"/>
      <c r="AP379" s="18"/>
      <c r="AQ379" s="18"/>
      <c r="AR379" s="18"/>
      <c r="AS379" s="18"/>
      <c r="AT379" s="18"/>
      <c r="AU379" s="54" t="b">
        <v>0</v>
      </c>
      <c r="AV379" s="54" t="b">
        <v>0</v>
      </c>
      <c r="AW379" s="123"/>
      <c r="AX379" s="124"/>
      <c r="AY379" s="124"/>
      <c r="AZ379" s="124"/>
      <c r="BA379" s="125"/>
      <c r="BB379" s="68"/>
      <c r="BC379" s="62"/>
      <c r="BD379" s="129" t="str">
        <f t="shared" si="12"/>
        <v>_</v>
      </c>
      <c r="BE379" s="130" t="str">
        <f>IFERROR(VLOOKUP($BD379,'(勿動)組件目錄表'!$D$15:$R$1094,2,FALSE),"")</f>
        <v/>
      </c>
      <c r="BF379" s="131" t="str">
        <f>IFERROR(VLOOKUP($BD379, '(勿動)組件目錄表'!$D$15:$R$1094, 5, FALSE),"")</f>
        <v/>
      </c>
      <c r="BG379" s="118"/>
      <c r="BH379" s="120"/>
      <c r="BI379" s="118"/>
      <c r="BJ379" s="120"/>
    </row>
    <row r="380" spans="1:62" ht="15.75" customHeight="1">
      <c r="A380" s="18" t="str">
        <f t="array" aca="1" ref="A380" ca="1">IFERROR(TRANSPOSE(INDIRECT('「(動工中勿使用!!)新版+舊版_Teaser」的副本'!$BB380)),"")</f>
        <v/>
      </c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80" t="b">
        <v>0</v>
      </c>
      <c r="AF380" s="111" t="str">
        <f t="shared" si="13"/>
        <v/>
      </c>
      <c r="AG380" s="112" t="str">
        <f t="shared" si="9"/>
        <v/>
      </c>
      <c r="AH380" s="126"/>
      <c r="AI380" s="114" t="str">
        <f ca="1">IFERROR(VLOOKUP($AH380, '(勿動)Component Label公版'!$D$1:$E$1000, 2, FALSE), "-")</f>
        <v>-</v>
      </c>
      <c r="AJ380" s="115"/>
      <c r="AK380" s="112"/>
      <c r="AL380" s="112"/>
      <c r="AM380" s="116" t="str">
        <f t="shared" si="10"/>
        <v/>
      </c>
      <c r="AN380" s="117" t="str">
        <f t="shared" si="11"/>
        <v/>
      </c>
      <c r="AO380" s="158"/>
      <c r="AP380" s="18"/>
      <c r="AQ380" s="18"/>
      <c r="AR380" s="18"/>
      <c r="AS380" s="18"/>
      <c r="AT380" s="18"/>
      <c r="AU380" s="54" t="b">
        <v>0</v>
      </c>
      <c r="AV380" s="54" t="b">
        <v>0</v>
      </c>
      <c r="AW380" s="123"/>
      <c r="AX380" s="124"/>
      <c r="AY380" s="124"/>
      <c r="AZ380" s="124"/>
      <c r="BA380" s="125"/>
      <c r="BB380" s="68"/>
      <c r="BC380" s="62"/>
      <c r="BD380" s="129" t="str">
        <f t="shared" si="12"/>
        <v>_</v>
      </c>
      <c r="BE380" s="130" t="str">
        <f>IFERROR(VLOOKUP($BD380,'(勿動)組件目錄表'!$D$15:$R$1094,2,FALSE),"")</f>
        <v/>
      </c>
      <c r="BF380" s="131" t="str">
        <f>IFERROR(VLOOKUP($BD380, '(勿動)組件目錄表'!$D$15:$R$1094, 5, FALSE),"")</f>
        <v/>
      </c>
      <c r="BG380" s="118"/>
      <c r="BH380" s="120"/>
      <c r="BI380" s="118"/>
      <c r="BJ380" s="120"/>
    </row>
    <row r="381" spans="1:62" ht="15.75" customHeight="1">
      <c r="A381" s="18" t="str">
        <f t="array" aca="1" ref="A381" ca="1">IFERROR(TRANSPOSE(INDIRECT('「(動工中勿使用!!)新版+舊版_Teaser」的副本'!$BB381)),"")</f>
        <v/>
      </c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80" t="b">
        <v>0</v>
      </c>
      <c r="AF381" s="111" t="str">
        <f t="shared" si="13"/>
        <v/>
      </c>
      <c r="AG381" s="112" t="str">
        <f t="shared" si="9"/>
        <v/>
      </c>
      <c r="AH381" s="126"/>
      <c r="AI381" s="114" t="str">
        <f ca="1">IFERROR(VLOOKUP($AH381, '(勿動)Component Label公版'!$D$1:$E$1000, 2, FALSE), "-")</f>
        <v>-</v>
      </c>
      <c r="AJ381" s="115"/>
      <c r="AK381" s="112"/>
      <c r="AL381" s="112"/>
      <c r="AM381" s="116" t="str">
        <f t="shared" si="10"/>
        <v/>
      </c>
      <c r="AN381" s="117" t="str">
        <f t="shared" si="11"/>
        <v/>
      </c>
      <c r="AO381" s="158"/>
      <c r="AP381" s="18"/>
      <c r="AQ381" s="18"/>
      <c r="AR381" s="18"/>
      <c r="AS381" s="18"/>
      <c r="AT381" s="18"/>
      <c r="AU381" s="54" t="b">
        <v>0</v>
      </c>
      <c r="AV381" s="54" t="b">
        <v>0</v>
      </c>
      <c r="AW381" s="123"/>
      <c r="AX381" s="124"/>
      <c r="AY381" s="124"/>
      <c r="AZ381" s="124"/>
      <c r="BA381" s="125"/>
      <c r="BB381" s="68"/>
      <c r="BC381" s="62"/>
      <c r="BD381" s="129" t="str">
        <f t="shared" si="12"/>
        <v>_</v>
      </c>
      <c r="BE381" s="130" t="str">
        <f>IFERROR(VLOOKUP($BD381,'(勿動)組件目錄表'!$D$15:$R$1094,2,FALSE),"")</f>
        <v/>
      </c>
      <c r="BF381" s="131" t="str">
        <f>IFERROR(VLOOKUP($BD381, '(勿動)組件目錄表'!$D$15:$R$1094, 5, FALSE),"")</f>
        <v/>
      </c>
      <c r="BG381" s="118"/>
      <c r="BH381" s="120"/>
      <c r="BI381" s="118"/>
      <c r="BJ381" s="120"/>
    </row>
    <row r="382" spans="1:62" ht="15.75" customHeight="1">
      <c r="A382" s="18" t="str">
        <f t="array" aca="1" ref="A382" ca="1">IFERROR(TRANSPOSE(INDIRECT('「(動工中勿使用!!)新版+舊版_Teaser」的副本'!$BB382)),"")</f>
        <v/>
      </c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80" t="b">
        <v>0</v>
      </c>
      <c r="AF382" s="111" t="str">
        <f t="shared" si="13"/>
        <v/>
      </c>
      <c r="AG382" s="112" t="str">
        <f t="shared" si="9"/>
        <v/>
      </c>
      <c r="AH382" s="126"/>
      <c r="AI382" s="114" t="str">
        <f ca="1">IFERROR(VLOOKUP($AH382, '(勿動)Component Label公版'!$D$1:$E$1000, 2, FALSE), "-")</f>
        <v>-</v>
      </c>
      <c r="AJ382" s="115"/>
      <c r="AK382" s="112"/>
      <c r="AL382" s="112"/>
      <c r="AM382" s="116" t="str">
        <f t="shared" si="10"/>
        <v/>
      </c>
      <c r="AN382" s="117" t="str">
        <f t="shared" si="11"/>
        <v/>
      </c>
      <c r="AO382" s="158"/>
      <c r="AP382" s="18"/>
      <c r="AQ382" s="18"/>
      <c r="AR382" s="18"/>
      <c r="AS382" s="18"/>
      <c r="AT382" s="18"/>
      <c r="AU382" s="54" t="b">
        <v>0</v>
      </c>
      <c r="AV382" s="54" t="b">
        <v>0</v>
      </c>
      <c r="AW382" s="123"/>
      <c r="AX382" s="124"/>
      <c r="AY382" s="124"/>
      <c r="AZ382" s="124"/>
      <c r="BA382" s="125"/>
      <c r="BB382" s="68"/>
      <c r="BC382" s="62"/>
      <c r="BD382" s="129" t="str">
        <f t="shared" si="12"/>
        <v>_</v>
      </c>
      <c r="BE382" s="130" t="str">
        <f>IFERROR(VLOOKUP($BD382,'(勿動)組件目錄表'!$D$15:$R$1094,2,FALSE),"")</f>
        <v/>
      </c>
      <c r="BF382" s="131" t="str">
        <f>IFERROR(VLOOKUP($BD382, '(勿動)組件目錄表'!$D$15:$R$1094, 5, FALSE),"")</f>
        <v/>
      </c>
      <c r="BG382" s="118"/>
      <c r="BH382" s="120"/>
      <c r="BI382" s="118"/>
      <c r="BJ382" s="120"/>
    </row>
    <row r="383" spans="1:62" ht="15.75" customHeight="1">
      <c r="A383" s="18" t="str">
        <f t="array" aca="1" ref="A383" ca="1">IFERROR(TRANSPOSE(INDIRECT('「(動工中勿使用!!)新版+舊版_Teaser」的副本'!$BB383)),"")</f>
        <v/>
      </c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80" t="b">
        <v>0</v>
      </c>
      <c r="AF383" s="111" t="str">
        <f t="shared" si="13"/>
        <v/>
      </c>
      <c r="AG383" s="112" t="str">
        <f t="shared" si="9"/>
        <v/>
      </c>
      <c r="AH383" s="126"/>
      <c r="AI383" s="114" t="str">
        <f ca="1">IFERROR(VLOOKUP($AH383, '(勿動)Component Label公版'!$D$1:$E$1000, 2, FALSE), "-")</f>
        <v>-</v>
      </c>
      <c r="AJ383" s="115"/>
      <c r="AK383" s="112"/>
      <c r="AL383" s="112"/>
      <c r="AM383" s="116" t="str">
        <f t="shared" si="10"/>
        <v/>
      </c>
      <c r="AN383" s="117" t="str">
        <f t="shared" si="11"/>
        <v/>
      </c>
      <c r="AO383" s="158"/>
      <c r="AP383" s="18"/>
      <c r="AQ383" s="18"/>
      <c r="AR383" s="18"/>
      <c r="AS383" s="18"/>
      <c r="AT383" s="18"/>
      <c r="AU383" s="54" t="b">
        <v>0</v>
      </c>
      <c r="AV383" s="54" t="b">
        <v>0</v>
      </c>
      <c r="AW383" s="123"/>
      <c r="AX383" s="124"/>
      <c r="AY383" s="124"/>
      <c r="AZ383" s="124"/>
      <c r="BA383" s="125"/>
      <c r="BB383" s="68"/>
      <c r="BC383" s="62"/>
      <c r="BD383" s="129" t="str">
        <f t="shared" si="12"/>
        <v>_</v>
      </c>
      <c r="BE383" s="130" t="str">
        <f>IFERROR(VLOOKUP($BD383,'(勿動)組件目錄表'!$D$15:$R$1094,2,FALSE),"")</f>
        <v/>
      </c>
      <c r="BF383" s="131" t="str">
        <f>IFERROR(VLOOKUP($BD383, '(勿動)組件目錄表'!$D$15:$R$1094, 5, FALSE),"")</f>
        <v/>
      </c>
      <c r="BG383" s="118"/>
      <c r="BH383" s="120"/>
      <c r="BI383" s="118"/>
      <c r="BJ383" s="120"/>
    </row>
    <row r="384" spans="1:62" ht="15.75" customHeight="1">
      <c r="A384" s="18" t="str">
        <f t="array" aca="1" ref="A384" ca="1">IFERROR(TRANSPOSE(INDIRECT('「(動工中勿使用!!)新版+舊版_Teaser」的副本'!$BB384)),"")</f>
        <v/>
      </c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80" t="b">
        <v>0</v>
      </c>
      <c r="AF384" s="111" t="str">
        <f t="shared" si="13"/>
        <v/>
      </c>
      <c r="AG384" s="112" t="str">
        <f t="shared" si="9"/>
        <v/>
      </c>
      <c r="AH384" s="126"/>
      <c r="AI384" s="114" t="str">
        <f ca="1">IFERROR(VLOOKUP($AH384, '(勿動)Component Label公版'!$D$1:$E$1000, 2, FALSE), "-")</f>
        <v>-</v>
      </c>
      <c r="AJ384" s="115"/>
      <c r="AK384" s="112"/>
      <c r="AL384" s="112"/>
      <c r="AM384" s="116" t="str">
        <f t="shared" si="10"/>
        <v/>
      </c>
      <c r="AN384" s="117" t="str">
        <f t="shared" si="11"/>
        <v/>
      </c>
      <c r="AO384" s="158"/>
      <c r="AP384" s="18"/>
      <c r="AQ384" s="18"/>
      <c r="AR384" s="18"/>
      <c r="AS384" s="18"/>
      <c r="AT384" s="18"/>
      <c r="AU384" s="54" t="b">
        <v>0</v>
      </c>
      <c r="AV384" s="54" t="b">
        <v>0</v>
      </c>
      <c r="AW384" s="123"/>
      <c r="AX384" s="124"/>
      <c r="AY384" s="124"/>
      <c r="AZ384" s="124"/>
      <c r="BA384" s="125"/>
      <c r="BB384" s="68"/>
      <c r="BC384" s="62"/>
      <c r="BD384" s="129" t="str">
        <f t="shared" si="12"/>
        <v>_</v>
      </c>
      <c r="BE384" s="130" t="str">
        <f>IFERROR(VLOOKUP($BD384,'(勿動)組件目錄表'!$D$15:$R$1094,2,FALSE),"")</f>
        <v/>
      </c>
      <c r="BF384" s="131" t="str">
        <f>IFERROR(VLOOKUP($BD384, '(勿動)組件目錄表'!$D$15:$R$1094, 5, FALSE),"")</f>
        <v/>
      </c>
      <c r="BG384" s="118"/>
      <c r="BH384" s="120"/>
      <c r="BI384" s="118"/>
      <c r="BJ384" s="120"/>
    </row>
    <row r="385" spans="1:62" ht="15.75" customHeight="1">
      <c r="A385" s="18" t="str">
        <f t="array" aca="1" ref="A385" ca="1">IFERROR(TRANSPOSE(INDIRECT('「(動工中勿使用!!)新版+舊版_Teaser」的副本'!$BB385)),"")</f>
        <v/>
      </c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80" t="b">
        <v>0</v>
      </c>
      <c r="AF385" s="111" t="str">
        <f t="shared" si="13"/>
        <v/>
      </c>
      <c r="AG385" s="112" t="str">
        <f t="shared" si="9"/>
        <v/>
      </c>
      <c r="AH385" s="126"/>
      <c r="AI385" s="114" t="str">
        <f ca="1">IFERROR(VLOOKUP($AH385, '(勿動)Component Label公版'!$D$1:$E$1000, 2, FALSE), "-")</f>
        <v>-</v>
      </c>
      <c r="AJ385" s="115"/>
      <c r="AK385" s="112"/>
      <c r="AL385" s="112"/>
      <c r="AM385" s="116" t="str">
        <f t="shared" si="10"/>
        <v/>
      </c>
      <c r="AN385" s="117" t="str">
        <f t="shared" si="11"/>
        <v/>
      </c>
      <c r="AO385" s="158"/>
      <c r="AP385" s="18"/>
      <c r="AQ385" s="18"/>
      <c r="AR385" s="18"/>
      <c r="AS385" s="18"/>
      <c r="AT385" s="18"/>
      <c r="AU385" s="54" t="b">
        <v>0</v>
      </c>
      <c r="AV385" s="54" t="b">
        <v>0</v>
      </c>
      <c r="AW385" s="123"/>
      <c r="AX385" s="124"/>
      <c r="AY385" s="124"/>
      <c r="AZ385" s="124"/>
      <c r="BA385" s="125"/>
      <c r="BB385" s="68"/>
      <c r="BC385" s="62"/>
      <c r="BD385" s="129" t="str">
        <f t="shared" si="12"/>
        <v>_</v>
      </c>
      <c r="BE385" s="130" t="str">
        <f>IFERROR(VLOOKUP($BD385,'(勿動)組件目錄表'!$D$15:$R$1094,2,FALSE),"")</f>
        <v/>
      </c>
      <c r="BF385" s="131" t="str">
        <f>IFERROR(VLOOKUP($BD385, '(勿動)組件目錄表'!$D$15:$R$1094, 5, FALSE),"")</f>
        <v/>
      </c>
      <c r="BG385" s="118"/>
      <c r="BH385" s="120"/>
      <c r="BI385" s="118"/>
      <c r="BJ385" s="120"/>
    </row>
    <row r="386" spans="1:62" ht="15.75" customHeight="1">
      <c r="A386" s="18" t="str">
        <f t="array" aca="1" ref="A386" ca="1">IFERROR(TRANSPOSE(INDIRECT('「(動工中勿使用!!)新版+舊版_Teaser」的副本'!$BB386)),"")</f>
        <v/>
      </c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80" t="b">
        <v>0</v>
      </c>
      <c r="AF386" s="111" t="str">
        <f t="shared" si="13"/>
        <v/>
      </c>
      <c r="AG386" s="112" t="str">
        <f t="shared" si="9"/>
        <v/>
      </c>
      <c r="AH386" s="126"/>
      <c r="AI386" s="114" t="str">
        <f ca="1">IFERROR(VLOOKUP($AH386, '(勿動)Component Label公版'!$D$1:$E$1000, 2, FALSE), "-")</f>
        <v>-</v>
      </c>
      <c r="AJ386" s="115"/>
      <c r="AK386" s="112"/>
      <c r="AL386" s="112"/>
      <c r="AM386" s="116" t="str">
        <f t="shared" si="10"/>
        <v/>
      </c>
      <c r="AN386" s="117" t="str">
        <f t="shared" si="11"/>
        <v/>
      </c>
      <c r="AO386" s="158"/>
      <c r="AP386" s="18"/>
      <c r="AQ386" s="18"/>
      <c r="AR386" s="18"/>
      <c r="AS386" s="18"/>
      <c r="AT386" s="18"/>
      <c r="AU386" s="54" t="b">
        <v>0</v>
      </c>
      <c r="AV386" s="54" t="b">
        <v>0</v>
      </c>
      <c r="AW386" s="123"/>
      <c r="AX386" s="124"/>
      <c r="AY386" s="124"/>
      <c r="AZ386" s="124"/>
      <c r="BA386" s="125"/>
      <c r="BB386" s="68"/>
      <c r="BC386" s="62"/>
      <c r="BD386" s="129" t="str">
        <f t="shared" si="12"/>
        <v>_</v>
      </c>
      <c r="BE386" s="130" t="str">
        <f>IFERROR(VLOOKUP($BD386,'(勿動)組件目錄表'!$D$15:$R$1094,2,FALSE),"")</f>
        <v/>
      </c>
      <c r="BF386" s="131" t="str">
        <f>IFERROR(VLOOKUP($BD386, '(勿動)組件目錄表'!$D$15:$R$1094, 5, FALSE),"")</f>
        <v/>
      </c>
      <c r="BG386" s="118"/>
      <c r="BH386" s="120"/>
      <c r="BI386" s="118"/>
      <c r="BJ386" s="120"/>
    </row>
    <row r="387" spans="1:62" ht="15.75" customHeight="1">
      <c r="A387" s="18" t="str">
        <f t="array" aca="1" ref="A387" ca="1">IFERROR(TRANSPOSE(INDIRECT('「(動工中勿使用!!)新版+舊版_Teaser」的副本'!$BB387)),"")</f>
        <v/>
      </c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80" t="b">
        <v>0</v>
      </c>
      <c r="AF387" s="111" t="str">
        <f t="shared" si="13"/>
        <v/>
      </c>
      <c r="AG387" s="112" t="str">
        <f t="shared" si="9"/>
        <v/>
      </c>
      <c r="AH387" s="126"/>
      <c r="AI387" s="114" t="str">
        <f ca="1">IFERROR(VLOOKUP($AH387, '(勿動)Component Label公版'!$D$1:$E$1000, 2, FALSE), "-")</f>
        <v>-</v>
      </c>
      <c r="AJ387" s="115"/>
      <c r="AK387" s="112"/>
      <c r="AL387" s="112"/>
      <c r="AM387" s="116" t="str">
        <f t="shared" si="10"/>
        <v/>
      </c>
      <c r="AN387" s="117" t="str">
        <f t="shared" si="11"/>
        <v/>
      </c>
      <c r="AO387" s="158"/>
      <c r="AP387" s="18"/>
      <c r="AQ387" s="18"/>
      <c r="AR387" s="18"/>
      <c r="AS387" s="18"/>
      <c r="AT387" s="18"/>
      <c r="AU387" s="54" t="b">
        <v>0</v>
      </c>
      <c r="AV387" s="54" t="b">
        <v>0</v>
      </c>
      <c r="AW387" s="123"/>
      <c r="AX387" s="124"/>
      <c r="AY387" s="124"/>
      <c r="AZ387" s="124"/>
      <c r="BA387" s="125"/>
      <c r="BB387" s="68"/>
      <c r="BC387" s="62"/>
      <c r="BD387" s="129" t="str">
        <f t="shared" si="12"/>
        <v>_</v>
      </c>
      <c r="BE387" s="130" t="str">
        <f>IFERROR(VLOOKUP($BD387,'(勿動)組件目錄表'!$D$15:$R$1094,2,FALSE),"")</f>
        <v/>
      </c>
      <c r="BF387" s="131" t="str">
        <f>IFERROR(VLOOKUP($BD387, '(勿動)組件目錄表'!$D$15:$R$1094, 5, FALSE),"")</f>
        <v/>
      </c>
      <c r="BG387" s="118"/>
      <c r="BH387" s="120"/>
      <c r="BI387" s="118"/>
      <c r="BJ387" s="120"/>
    </row>
    <row r="388" spans="1:62" ht="15.75" customHeight="1">
      <c r="A388" s="18" t="str">
        <f t="array" aca="1" ref="A388" ca="1">IFERROR(TRANSPOSE(INDIRECT('「(動工中勿使用!!)新版+舊版_Teaser」的副本'!$BB388)),"")</f>
        <v/>
      </c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80" t="b">
        <v>0</v>
      </c>
      <c r="AF388" s="111" t="str">
        <f t="shared" si="13"/>
        <v/>
      </c>
      <c r="AG388" s="112" t="str">
        <f t="shared" si="9"/>
        <v/>
      </c>
      <c r="AH388" s="126"/>
      <c r="AI388" s="114" t="str">
        <f ca="1">IFERROR(VLOOKUP($AH388, '(勿動)Component Label公版'!$D$1:$E$1000, 2, FALSE), "-")</f>
        <v>-</v>
      </c>
      <c r="AJ388" s="115"/>
      <c r="AK388" s="112"/>
      <c r="AL388" s="112"/>
      <c r="AM388" s="116" t="str">
        <f t="shared" si="10"/>
        <v/>
      </c>
      <c r="AN388" s="117" t="str">
        <f t="shared" si="11"/>
        <v/>
      </c>
      <c r="AO388" s="158"/>
      <c r="AP388" s="18"/>
      <c r="AQ388" s="18"/>
      <c r="AR388" s="18"/>
      <c r="AS388" s="18"/>
      <c r="AT388" s="18"/>
      <c r="AU388" s="54" t="b">
        <v>0</v>
      </c>
      <c r="AV388" s="54" t="b">
        <v>0</v>
      </c>
      <c r="AW388" s="123"/>
      <c r="AX388" s="124"/>
      <c r="AY388" s="124"/>
      <c r="AZ388" s="124"/>
      <c r="BA388" s="125"/>
      <c r="BB388" s="68"/>
      <c r="BC388" s="62"/>
      <c r="BD388" s="129" t="str">
        <f t="shared" si="12"/>
        <v>_</v>
      </c>
      <c r="BE388" s="130" t="str">
        <f>IFERROR(VLOOKUP($BD388,'(勿動)組件目錄表'!$D$15:$R$1094,2,FALSE),"")</f>
        <v/>
      </c>
      <c r="BF388" s="131" t="str">
        <f>IFERROR(VLOOKUP($BD388, '(勿動)組件目錄表'!$D$15:$R$1094, 5, FALSE),"")</f>
        <v/>
      </c>
      <c r="BG388" s="118"/>
      <c r="BH388" s="120"/>
      <c r="BI388" s="118"/>
      <c r="BJ388" s="120"/>
    </row>
    <row r="389" spans="1:62" ht="15.75" customHeight="1">
      <c r="A389" s="18" t="str">
        <f t="array" aca="1" ref="A389" ca="1">IFERROR(TRANSPOSE(INDIRECT('「(動工中勿使用!!)新版+舊版_Teaser」的副本'!$BB389)),"")</f>
        <v/>
      </c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80" t="b">
        <v>0</v>
      </c>
      <c r="AF389" s="111" t="str">
        <f t="shared" si="13"/>
        <v/>
      </c>
      <c r="AG389" s="112" t="str">
        <f t="shared" si="9"/>
        <v/>
      </c>
      <c r="AH389" s="126"/>
      <c r="AI389" s="114" t="str">
        <f ca="1">IFERROR(VLOOKUP($AH389, '(勿動)Component Label公版'!$D$1:$E$1000, 2, FALSE), "-")</f>
        <v>-</v>
      </c>
      <c r="AJ389" s="115"/>
      <c r="AK389" s="112"/>
      <c r="AL389" s="112"/>
      <c r="AM389" s="116" t="str">
        <f t="shared" si="10"/>
        <v/>
      </c>
      <c r="AN389" s="117" t="str">
        <f t="shared" si="11"/>
        <v/>
      </c>
      <c r="AO389" s="158"/>
      <c r="AP389" s="18"/>
      <c r="AQ389" s="18"/>
      <c r="AR389" s="18"/>
      <c r="AS389" s="18"/>
      <c r="AT389" s="18"/>
      <c r="AU389" s="54" t="b">
        <v>0</v>
      </c>
      <c r="AV389" s="54" t="b">
        <v>0</v>
      </c>
      <c r="AW389" s="123"/>
      <c r="AX389" s="124"/>
      <c r="AY389" s="124"/>
      <c r="AZ389" s="124"/>
      <c r="BA389" s="125"/>
      <c r="BB389" s="68"/>
      <c r="BC389" s="62"/>
      <c r="BD389" s="129" t="str">
        <f t="shared" si="12"/>
        <v>_</v>
      </c>
      <c r="BE389" s="130" t="str">
        <f>IFERROR(VLOOKUP($BD389,'(勿動)組件目錄表'!$D$15:$R$1094,2,FALSE),"")</f>
        <v/>
      </c>
      <c r="BF389" s="131" t="str">
        <f>IFERROR(VLOOKUP($BD389, '(勿動)組件目錄表'!$D$15:$R$1094, 5, FALSE),"")</f>
        <v/>
      </c>
      <c r="BG389" s="118"/>
      <c r="BH389" s="120"/>
      <c r="BI389" s="118"/>
      <c r="BJ389" s="120"/>
    </row>
    <row r="390" spans="1:62" ht="15.75" customHeight="1">
      <c r="A390" s="18" t="str">
        <f t="array" aca="1" ref="A390" ca="1">IFERROR(TRANSPOSE(INDIRECT('「(動工中勿使用!!)新版+舊版_Teaser」的副本'!$BB390)),"")</f>
        <v/>
      </c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80" t="b">
        <v>0</v>
      </c>
      <c r="AF390" s="111" t="str">
        <f t="shared" si="13"/>
        <v/>
      </c>
      <c r="AG390" s="112" t="str">
        <f t="shared" si="9"/>
        <v/>
      </c>
      <c r="AH390" s="126"/>
      <c r="AI390" s="114" t="str">
        <f ca="1">IFERROR(VLOOKUP($AH390, '(勿動)Component Label公版'!$D$1:$E$1000, 2, FALSE), "-")</f>
        <v>-</v>
      </c>
      <c r="AJ390" s="115"/>
      <c r="AK390" s="112"/>
      <c r="AL390" s="112"/>
      <c r="AM390" s="116" t="str">
        <f t="shared" si="10"/>
        <v/>
      </c>
      <c r="AN390" s="117" t="str">
        <f t="shared" si="11"/>
        <v/>
      </c>
      <c r="AO390" s="158"/>
      <c r="AP390" s="18"/>
      <c r="AQ390" s="18"/>
      <c r="AR390" s="18"/>
      <c r="AS390" s="18"/>
      <c r="AT390" s="18"/>
      <c r="AU390" s="54" t="b">
        <v>0</v>
      </c>
      <c r="AV390" s="54" t="b">
        <v>0</v>
      </c>
      <c r="AW390" s="123"/>
      <c r="AX390" s="124"/>
      <c r="AY390" s="124"/>
      <c r="AZ390" s="124"/>
      <c r="BA390" s="125"/>
      <c r="BB390" s="68"/>
      <c r="BC390" s="62"/>
      <c r="BD390" s="129" t="str">
        <f t="shared" si="12"/>
        <v>_</v>
      </c>
      <c r="BE390" s="130" t="str">
        <f>IFERROR(VLOOKUP($BD390,'(勿動)組件目錄表'!$D$15:$R$1094,2,FALSE),"")</f>
        <v/>
      </c>
      <c r="BF390" s="131" t="str">
        <f>IFERROR(VLOOKUP($BD390, '(勿動)組件目錄表'!$D$15:$R$1094, 5, FALSE),"")</f>
        <v/>
      </c>
      <c r="BG390" s="118"/>
      <c r="BH390" s="120"/>
      <c r="BI390" s="118"/>
      <c r="BJ390" s="120"/>
    </row>
    <row r="391" spans="1:62" ht="15.75" customHeight="1">
      <c r="A391" s="18" t="str">
        <f t="array" aca="1" ref="A391" ca="1">IFERROR(TRANSPOSE(INDIRECT('「(動工中勿使用!!)新版+舊版_Teaser」的副本'!$BB391)),"")</f>
        <v/>
      </c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80" t="b">
        <v>0</v>
      </c>
      <c r="AF391" s="111" t="str">
        <f t="shared" si="13"/>
        <v/>
      </c>
      <c r="AG391" s="112" t="str">
        <f t="shared" si="9"/>
        <v/>
      </c>
      <c r="AH391" s="126"/>
      <c r="AI391" s="114" t="str">
        <f ca="1">IFERROR(VLOOKUP($AH391, '(勿動)Component Label公版'!$D$1:$E$1000, 2, FALSE), "-")</f>
        <v>-</v>
      </c>
      <c r="AJ391" s="115"/>
      <c r="AK391" s="112"/>
      <c r="AL391" s="112"/>
      <c r="AM391" s="116" t="str">
        <f t="shared" si="10"/>
        <v/>
      </c>
      <c r="AN391" s="117" t="str">
        <f t="shared" si="11"/>
        <v/>
      </c>
      <c r="AO391" s="158"/>
      <c r="AP391" s="18"/>
      <c r="AQ391" s="18"/>
      <c r="AR391" s="18"/>
      <c r="AS391" s="18"/>
      <c r="AT391" s="18"/>
      <c r="AU391" s="54" t="b">
        <v>0</v>
      </c>
      <c r="AV391" s="54" t="b">
        <v>0</v>
      </c>
      <c r="AW391" s="123"/>
      <c r="AX391" s="124"/>
      <c r="AY391" s="124"/>
      <c r="AZ391" s="124"/>
      <c r="BA391" s="125"/>
      <c r="BB391" s="68"/>
      <c r="BC391" s="62"/>
      <c r="BD391" s="129" t="str">
        <f t="shared" si="12"/>
        <v>_</v>
      </c>
      <c r="BE391" s="130" t="str">
        <f>IFERROR(VLOOKUP($BD391,'(勿動)組件目錄表'!$D$15:$R$1094,2,FALSE),"")</f>
        <v/>
      </c>
      <c r="BF391" s="131" t="str">
        <f>IFERROR(VLOOKUP($BD391, '(勿動)組件目錄表'!$D$15:$R$1094, 5, FALSE),"")</f>
        <v/>
      </c>
      <c r="BG391" s="118"/>
      <c r="BH391" s="120"/>
      <c r="BI391" s="118"/>
      <c r="BJ391" s="120"/>
    </row>
    <row r="392" spans="1:62" ht="15.75" customHeight="1">
      <c r="A392" s="18" t="str">
        <f t="array" aca="1" ref="A392" ca="1">IFERROR(TRANSPOSE(INDIRECT('「(動工中勿使用!!)新版+舊版_Teaser」的副本'!$BB392)),"")</f>
        <v/>
      </c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80" t="b">
        <v>0</v>
      </c>
      <c r="AF392" s="111" t="str">
        <f t="shared" si="13"/>
        <v/>
      </c>
      <c r="AG392" s="112" t="str">
        <f t="shared" si="9"/>
        <v/>
      </c>
      <c r="AH392" s="126"/>
      <c r="AI392" s="114" t="str">
        <f ca="1">IFERROR(VLOOKUP($AH392, '(勿動)Component Label公版'!$D$1:$E$1000, 2, FALSE), "-")</f>
        <v>-</v>
      </c>
      <c r="AJ392" s="115"/>
      <c r="AK392" s="112"/>
      <c r="AL392" s="112"/>
      <c r="AM392" s="116" t="str">
        <f t="shared" si="10"/>
        <v/>
      </c>
      <c r="AN392" s="117" t="str">
        <f t="shared" si="11"/>
        <v/>
      </c>
      <c r="AO392" s="158"/>
      <c r="AP392" s="18"/>
      <c r="AQ392" s="18"/>
      <c r="AR392" s="18"/>
      <c r="AS392" s="18"/>
      <c r="AT392" s="18"/>
      <c r="AU392" s="54" t="b">
        <v>0</v>
      </c>
      <c r="AV392" s="54" t="b">
        <v>0</v>
      </c>
      <c r="AW392" s="123"/>
      <c r="AX392" s="124"/>
      <c r="AY392" s="124"/>
      <c r="AZ392" s="124"/>
      <c r="BA392" s="125"/>
      <c r="BB392" s="68"/>
      <c r="BC392" s="62"/>
      <c r="BD392" s="129" t="str">
        <f t="shared" si="12"/>
        <v>_</v>
      </c>
      <c r="BE392" s="130" t="str">
        <f>IFERROR(VLOOKUP($BD392,'(勿動)組件目錄表'!$D$15:$R$1094,2,FALSE),"")</f>
        <v/>
      </c>
      <c r="BF392" s="131" t="str">
        <f>IFERROR(VLOOKUP($BD392, '(勿動)組件目錄表'!$D$15:$R$1094, 5, FALSE),"")</f>
        <v/>
      </c>
      <c r="BG392" s="118"/>
      <c r="BH392" s="120"/>
      <c r="BI392" s="118"/>
      <c r="BJ392" s="120"/>
    </row>
    <row r="393" spans="1:62" ht="15.75" customHeight="1">
      <c r="A393" s="18" t="str">
        <f t="array" aca="1" ref="A393" ca="1">IFERROR(TRANSPOSE(INDIRECT('「(動工中勿使用!!)新版+舊版_Teaser」的副本'!$BB393)),"")</f>
        <v/>
      </c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80" t="b">
        <v>0</v>
      </c>
      <c r="AF393" s="111" t="str">
        <f t="shared" si="13"/>
        <v/>
      </c>
      <c r="AG393" s="112" t="str">
        <f t="shared" si="9"/>
        <v/>
      </c>
      <c r="AH393" s="126"/>
      <c r="AI393" s="114" t="str">
        <f ca="1">IFERROR(VLOOKUP($AH393, '(勿動)Component Label公版'!$D$1:$E$1000, 2, FALSE), "-")</f>
        <v>-</v>
      </c>
      <c r="AJ393" s="115"/>
      <c r="AK393" s="112"/>
      <c r="AL393" s="112"/>
      <c r="AM393" s="116" t="str">
        <f t="shared" si="10"/>
        <v/>
      </c>
      <c r="AN393" s="117" t="str">
        <f t="shared" si="11"/>
        <v/>
      </c>
      <c r="AO393" s="158"/>
      <c r="AP393" s="18"/>
      <c r="AQ393" s="18"/>
      <c r="AR393" s="18"/>
      <c r="AS393" s="18"/>
      <c r="AT393" s="18"/>
      <c r="AU393" s="54" t="b">
        <v>0</v>
      </c>
      <c r="AV393" s="54" t="b">
        <v>0</v>
      </c>
      <c r="AW393" s="123"/>
      <c r="AX393" s="124"/>
      <c r="AY393" s="124"/>
      <c r="AZ393" s="124"/>
      <c r="BA393" s="125"/>
      <c r="BB393" s="68"/>
      <c r="BC393" s="62"/>
      <c r="BD393" s="129" t="str">
        <f t="shared" si="12"/>
        <v>_</v>
      </c>
      <c r="BE393" s="130" t="str">
        <f>IFERROR(VLOOKUP($BD393,'(勿動)組件目錄表'!$D$15:$R$1094,2,FALSE),"")</f>
        <v/>
      </c>
      <c r="BF393" s="131" t="str">
        <f>IFERROR(VLOOKUP($BD393, '(勿動)組件目錄表'!$D$15:$R$1094, 5, FALSE),"")</f>
        <v/>
      </c>
      <c r="BG393" s="118"/>
      <c r="BH393" s="120"/>
      <c r="BI393" s="118"/>
      <c r="BJ393" s="120"/>
    </row>
    <row r="394" spans="1:62" ht="15.75" customHeight="1">
      <c r="A394" s="18" t="str">
        <f t="array" aca="1" ref="A394" ca="1">IFERROR(TRANSPOSE(INDIRECT('「(動工中勿使用!!)新版+舊版_Teaser」的副本'!$BB394)),"")</f>
        <v/>
      </c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80" t="b">
        <v>0</v>
      </c>
      <c r="AF394" s="111" t="str">
        <f t="shared" si="13"/>
        <v/>
      </c>
      <c r="AG394" s="112" t="str">
        <f t="shared" si="9"/>
        <v/>
      </c>
      <c r="AH394" s="126"/>
      <c r="AI394" s="114" t="str">
        <f ca="1">IFERROR(VLOOKUP($AH394, '(勿動)Component Label公版'!$D$1:$E$1000, 2, FALSE), "-")</f>
        <v>-</v>
      </c>
      <c r="AJ394" s="115"/>
      <c r="AK394" s="112"/>
      <c r="AL394" s="112"/>
      <c r="AM394" s="116" t="str">
        <f t="shared" si="10"/>
        <v/>
      </c>
      <c r="AN394" s="117" t="str">
        <f t="shared" si="11"/>
        <v/>
      </c>
      <c r="AO394" s="158"/>
      <c r="AP394" s="18"/>
      <c r="AQ394" s="18"/>
      <c r="AR394" s="18"/>
      <c r="AS394" s="18"/>
      <c r="AT394" s="18"/>
      <c r="AU394" s="54" t="b">
        <v>0</v>
      </c>
      <c r="AV394" s="54" t="b">
        <v>0</v>
      </c>
      <c r="AW394" s="123"/>
      <c r="AX394" s="124"/>
      <c r="AY394" s="124"/>
      <c r="AZ394" s="124"/>
      <c r="BA394" s="125"/>
      <c r="BB394" s="68"/>
      <c r="BC394" s="62"/>
      <c r="BD394" s="129" t="str">
        <f t="shared" si="12"/>
        <v>_</v>
      </c>
      <c r="BE394" s="130" t="str">
        <f>IFERROR(VLOOKUP($BD394,'(勿動)組件目錄表'!$D$15:$R$1094,2,FALSE),"")</f>
        <v/>
      </c>
      <c r="BF394" s="131" t="str">
        <f>IFERROR(VLOOKUP($BD394, '(勿動)組件目錄表'!$D$15:$R$1094, 5, FALSE),"")</f>
        <v/>
      </c>
      <c r="BG394" s="118"/>
      <c r="BH394" s="120"/>
      <c r="BI394" s="118"/>
      <c r="BJ394" s="120"/>
    </row>
    <row r="395" spans="1:62" ht="15.75" customHeight="1">
      <c r="A395" s="18" t="str">
        <f t="array" aca="1" ref="A395" ca="1">IFERROR(TRANSPOSE(INDIRECT('「(動工中勿使用!!)新版+舊版_Teaser」的副本'!$BB395)),"")</f>
        <v/>
      </c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80" t="b">
        <v>0</v>
      </c>
      <c r="AF395" s="111" t="str">
        <f t="shared" si="13"/>
        <v/>
      </c>
      <c r="AG395" s="112" t="str">
        <f t="shared" si="9"/>
        <v/>
      </c>
      <c r="AH395" s="126"/>
      <c r="AI395" s="114" t="str">
        <f ca="1">IFERROR(VLOOKUP($AH395, '(勿動)Component Label公版'!$D$1:$E$1000, 2, FALSE), "-")</f>
        <v>-</v>
      </c>
      <c r="AJ395" s="115"/>
      <c r="AK395" s="112"/>
      <c r="AL395" s="112"/>
      <c r="AM395" s="116" t="str">
        <f t="shared" si="10"/>
        <v/>
      </c>
      <c r="AN395" s="117" t="str">
        <f t="shared" si="11"/>
        <v/>
      </c>
      <c r="AO395" s="158"/>
      <c r="AP395" s="18"/>
      <c r="AQ395" s="18"/>
      <c r="AR395" s="18"/>
      <c r="AS395" s="18"/>
      <c r="AT395" s="18"/>
      <c r="AU395" s="54" t="b">
        <v>0</v>
      </c>
      <c r="AV395" s="54" t="b">
        <v>0</v>
      </c>
      <c r="AW395" s="123"/>
      <c r="AX395" s="124"/>
      <c r="AY395" s="124"/>
      <c r="AZ395" s="124"/>
      <c r="BA395" s="125"/>
      <c r="BB395" s="68"/>
      <c r="BC395" s="62"/>
      <c r="BD395" s="129" t="str">
        <f t="shared" si="12"/>
        <v>_</v>
      </c>
      <c r="BE395" s="130" t="str">
        <f>IFERROR(VLOOKUP($BD395,'(勿動)組件目錄表'!$D$15:$R$1094,2,FALSE),"")</f>
        <v/>
      </c>
      <c r="BF395" s="131" t="str">
        <f>IFERROR(VLOOKUP($BD395, '(勿動)組件目錄表'!$D$15:$R$1094, 5, FALSE),"")</f>
        <v/>
      </c>
      <c r="BG395" s="118"/>
      <c r="BH395" s="120"/>
      <c r="BI395" s="118"/>
      <c r="BJ395" s="120"/>
    </row>
    <row r="396" spans="1:62" ht="15.75" customHeight="1">
      <c r="A396" s="18" t="str">
        <f t="array" aca="1" ref="A396" ca="1">IFERROR(TRANSPOSE(INDIRECT('「(動工中勿使用!!)新版+舊版_Teaser」的副本'!$BB396)),"")</f>
        <v/>
      </c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80" t="b">
        <v>0</v>
      </c>
      <c r="AF396" s="111" t="str">
        <f t="shared" si="13"/>
        <v/>
      </c>
      <c r="AG396" s="112" t="str">
        <f t="shared" si="9"/>
        <v/>
      </c>
      <c r="AH396" s="126"/>
      <c r="AI396" s="114" t="str">
        <f ca="1">IFERROR(VLOOKUP($AH396, '(勿動)Component Label公版'!$D$1:$E$1000, 2, FALSE), "-")</f>
        <v>-</v>
      </c>
      <c r="AJ396" s="115"/>
      <c r="AK396" s="112"/>
      <c r="AL396" s="112"/>
      <c r="AM396" s="116" t="str">
        <f t="shared" si="10"/>
        <v/>
      </c>
      <c r="AN396" s="117" t="str">
        <f t="shared" si="11"/>
        <v/>
      </c>
      <c r="AO396" s="158"/>
      <c r="AP396" s="18"/>
      <c r="AQ396" s="18"/>
      <c r="AR396" s="18"/>
      <c r="AS396" s="18"/>
      <c r="AT396" s="18"/>
      <c r="AU396" s="54" t="b">
        <v>0</v>
      </c>
      <c r="AV396" s="54" t="b">
        <v>0</v>
      </c>
      <c r="AW396" s="123"/>
      <c r="AX396" s="124"/>
      <c r="AY396" s="124"/>
      <c r="AZ396" s="124"/>
      <c r="BA396" s="125"/>
      <c r="BB396" s="68"/>
      <c r="BC396" s="62"/>
      <c r="BD396" s="129" t="str">
        <f t="shared" si="12"/>
        <v>_</v>
      </c>
      <c r="BE396" s="130" t="str">
        <f>IFERROR(VLOOKUP($BD396,'(勿動)組件目錄表'!$D$15:$R$1094,2,FALSE),"")</f>
        <v/>
      </c>
      <c r="BF396" s="131" t="str">
        <f>IFERROR(VLOOKUP($BD396, '(勿動)組件目錄表'!$D$15:$R$1094, 5, FALSE),"")</f>
        <v/>
      </c>
      <c r="BG396" s="118"/>
      <c r="BH396" s="120"/>
      <c r="BI396" s="118"/>
      <c r="BJ396" s="120"/>
    </row>
    <row r="397" spans="1:62" ht="15.75" customHeight="1">
      <c r="A397" s="18" t="str">
        <f t="array" aca="1" ref="A397" ca="1">IFERROR(TRANSPOSE(INDIRECT('「(動工中勿使用!!)新版+舊版_Teaser」的副本'!$BB397)),"")</f>
        <v/>
      </c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80" t="b">
        <v>0</v>
      </c>
      <c r="AF397" s="111" t="str">
        <f t="shared" si="13"/>
        <v/>
      </c>
      <c r="AG397" s="112" t="str">
        <f t="shared" si="9"/>
        <v/>
      </c>
      <c r="AH397" s="126"/>
      <c r="AI397" s="114" t="str">
        <f ca="1">IFERROR(VLOOKUP($AH397, '(勿動)Component Label公版'!$D$1:$E$1000, 2, FALSE), "-")</f>
        <v>-</v>
      </c>
      <c r="AJ397" s="115"/>
      <c r="AK397" s="112"/>
      <c r="AL397" s="112"/>
      <c r="AM397" s="116" t="str">
        <f t="shared" si="10"/>
        <v/>
      </c>
      <c r="AN397" s="117" t="str">
        <f t="shared" si="11"/>
        <v/>
      </c>
      <c r="AO397" s="158"/>
      <c r="AP397" s="18"/>
      <c r="AQ397" s="18"/>
      <c r="AR397" s="18"/>
      <c r="AS397" s="18"/>
      <c r="AT397" s="18"/>
      <c r="AU397" s="54" t="b">
        <v>0</v>
      </c>
      <c r="AV397" s="54" t="b">
        <v>0</v>
      </c>
      <c r="AW397" s="123"/>
      <c r="AX397" s="124"/>
      <c r="AY397" s="124"/>
      <c r="AZ397" s="124"/>
      <c r="BA397" s="125"/>
      <c r="BB397" s="68"/>
      <c r="BC397" s="62"/>
      <c r="BD397" s="129" t="str">
        <f t="shared" si="12"/>
        <v>_</v>
      </c>
      <c r="BE397" s="130" t="str">
        <f>IFERROR(VLOOKUP($BD397,'(勿動)組件目錄表'!$D$15:$R$1094,2,FALSE),"")</f>
        <v/>
      </c>
      <c r="BF397" s="131" t="str">
        <f>IFERROR(VLOOKUP($BD397, '(勿動)組件目錄表'!$D$15:$R$1094, 5, FALSE),"")</f>
        <v/>
      </c>
      <c r="BG397" s="118"/>
      <c r="BH397" s="120"/>
      <c r="BI397" s="118"/>
      <c r="BJ397" s="120"/>
    </row>
    <row r="398" spans="1:62" ht="15.75" customHeight="1">
      <c r="A398" s="18" t="str">
        <f t="array" aca="1" ref="A398" ca="1">IFERROR(TRANSPOSE(INDIRECT('「(動工中勿使用!!)新版+舊版_Teaser」的副本'!$BB398)),"")</f>
        <v/>
      </c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80" t="b">
        <v>0</v>
      </c>
      <c r="AF398" s="111" t="str">
        <f t="shared" si="13"/>
        <v/>
      </c>
      <c r="AG398" s="112" t="str">
        <f t="shared" si="9"/>
        <v/>
      </c>
      <c r="AH398" s="126"/>
      <c r="AI398" s="114" t="str">
        <f ca="1">IFERROR(VLOOKUP($AH398, '(勿動)Component Label公版'!$D$1:$E$1000, 2, FALSE), "-")</f>
        <v>-</v>
      </c>
      <c r="AJ398" s="115"/>
      <c r="AK398" s="112"/>
      <c r="AL398" s="112"/>
      <c r="AM398" s="116" t="str">
        <f t="shared" si="10"/>
        <v/>
      </c>
      <c r="AN398" s="117" t="str">
        <f t="shared" si="11"/>
        <v/>
      </c>
      <c r="AO398" s="158"/>
      <c r="AP398" s="18"/>
      <c r="AQ398" s="18"/>
      <c r="AR398" s="18"/>
      <c r="AS398" s="18"/>
      <c r="AT398" s="18"/>
      <c r="AU398" s="54" t="b">
        <v>0</v>
      </c>
      <c r="AV398" s="54" t="b">
        <v>0</v>
      </c>
      <c r="AW398" s="123"/>
      <c r="AX398" s="124"/>
      <c r="AY398" s="124"/>
      <c r="AZ398" s="124"/>
      <c r="BA398" s="125"/>
      <c r="BB398" s="68"/>
      <c r="BC398" s="62"/>
      <c r="BD398" s="129" t="str">
        <f t="shared" si="12"/>
        <v>_</v>
      </c>
      <c r="BE398" s="130" t="str">
        <f>IFERROR(VLOOKUP($BD398,'(勿動)組件目錄表'!$D$15:$R$1094,2,FALSE),"")</f>
        <v/>
      </c>
      <c r="BF398" s="131" t="str">
        <f>IFERROR(VLOOKUP($BD398, '(勿動)組件目錄表'!$D$15:$R$1094, 5, FALSE),"")</f>
        <v/>
      </c>
      <c r="BG398" s="118"/>
      <c r="BH398" s="120"/>
      <c r="BI398" s="118"/>
      <c r="BJ398" s="120"/>
    </row>
    <row r="399" spans="1:62" ht="15.75" customHeight="1">
      <c r="A399" s="18" t="str">
        <f t="array" aca="1" ref="A399" ca="1">IFERROR(TRANSPOSE(INDIRECT('「(動工中勿使用!!)新版+舊版_Teaser」的副本'!$BB399)),"")</f>
        <v/>
      </c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80" t="b">
        <v>0</v>
      </c>
      <c r="AF399" s="111" t="str">
        <f t="shared" si="13"/>
        <v/>
      </c>
      <c r="AG399" s="112" t="str">
        <f t="shared" si="9"/>
        <v/>
      </c>
      <c r="AH399" s="126"/>
      <c r="AI399" s="114" t="str">
        <f ca="1">IFERROR(VLOOKUP($AH399, '(勿動)Component Label公版'!$D$1:$E$1000, 2, FALSE), "-")</f>
        <v>-</v>
      </c>
      <c r="AJ399" s="115"/>
      <c r="AK399" s="112"/>
      <c r="AL399" s="112"/>
      <c r="AM399" s="116" t="str">
        <f t="shared" si="10"/>
        <v/>
      </c>
      <c r="AN399" s="117" t="str">
        <f t="shared" si="11"/>
        <v/>
      </c>
      <c r="AO399" s="158"/>
      <c r="AP399" s="18"/>
      <c r="AQ399" s="18"/>
      <c r="AR399" s="18"/>
      <c r="AS399" s="18"/>
      <c r="AT399" s="18"/>
      <c r="AU399" s="54" t="b">
        <v>0</v>
      </c>
      <c r="AV399" s="54" t="b">
        <v>0</v>
      </c>
      <c r="AW399" s="123"/>
      <c r="AX399" s="124"/>
      <c r="AY399" s="124"/>
      <c r="AZ399" s="124"/>
      <c r="BA399" s="125"/>
      <c r="BB399" s="68"/>
      <c r="BC399" s="62"/>
      <c r="BD399" s="129" t="str">
        <f t="shared" si="12"/>
        <v>_</v>
      </c>
      <c r="BE399" s="130" t="str">
        <f>IFERROR(VLOOKUP($BD399,'(勿動)組件目錄表'!$D$15:$R$1094,2,FALSE),"")</f>
        <v/>
      </c>
      <c r="BF399" s="131" t="str">
        <f>IFERROR(VLOOKUP($BD399, '(勿動)組件目錄表'!$D$15:$R$1094, 5, FALSE),"")</f>
        <v/>
      </c>
      <c r="BG399" s="118"/>
      <c r="BH399" s="120"/>
      <c r="BI399" s="118"/>
      <c r="BJ399" s="120"/>
    </row>
    <row r="400" spans="1:62" ht="15.75" customHeight="1">
      <c r="A400" s="18" t="str">
        <f t="array" aca="1" ref="A400" ca="1">IFERROR(TRANSPOSE(INDIRECT('「(動工中勿使用!!)新版+舊版_Teaser」的副本'!$BB400)),"")</f>
        <v/>
      </c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80" t="b">
        <v>0</v>
      </c>
      <c r="AF400" s="111" t="str">
        <f t="shared" si="13"/>
        <v/>
      </c>
      <c r="AG400" s="112" t="str">
        <f t="shared" si="9"/>
        <v/>
      </c>
      <c r="AH400" s="126"/>
      <c r="AI400" s="114" t="str">
        <f ca="1">IFERROR(VLOOKUP($AH400, '(勿動)Component Label公版'!$D$1:$E$1000, 2, FALSE), "-")</f>
        <v>-</v>
      </c>
      <c r="AJ400" s="115"/>
      <c r="AK400" s="112"/>
      <c r="AL400" s="112"/>
      <c r="AM400" s="116" t="str">
        <f t="shared" si="10"/>
        <v/>
      </c>
      <c r="AN400" s="117" t="str">
        <f t="shared" si="11"/>
        <v/>
      </c>
      <c r="AO400" s="158"/>
      <c r="AP400" s="18"/>
      <c r="AQ400" s="18"/>
      <c r="AR400" s="18"/>
      <c r="AS400" s="18"/>
      <c r="AT400" s="18"/>
      <c r="AU400" s="54" t="b">
        <v>0</v>
      </c>
      <c r="AV400" s="54" t="b">
        <v>0</v>
      </c>
      <c r="AW400" s="123"/>
      <c r="AX400" s="124"/>
      <c r="AY400" s="124"/>
      <c r="AZ400" s="124"/>
      <c r="BA400" s="125"/>
      <c r="BB400" s="68"/>
      <c r="BC400" s="62"/>
      <c r="BD400" s="129" t="str">
        <f t="shared" si="12"/>
        <v>_</v>
      </c>
      <c r="BE400" s="130" t="str">
        <f>IFERROR(VLOOKUP($BD400,'(勿動)組件目錄表'!$D$15:$R$1094,2,FALSE),"")</f>
        <v/>
      </c>
      <c r="BF400" s="131" t="str">
        <f>IFERROR(VLOOKUP($BD400, '(勿動)組件目錄表'!$D$15:$R$1094, 5, FALSE),"")</f>
        <v/>
      </c>
      <c r="BG400" s="118"/>
      <c r="BH400" s="120"/>
      <c r="BI400" s="118"/>
      <c r="BJ400" s="120"/>
    </row>
    <row r="401" spans="1:62" ht="15.75" customHeight="1">
      <c r="A401" s="18" t="str">
        <f t="array" aca="1" ref="A401" ca="1">IFERROR(TRANSPOSE(INDIRECT('「(動工中勿使用!!)新版+舊版_Teaser」的副本'!$BB401)),"")</f>
        <v/>
      </c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80" t="b">
        <v>0</v>
      </c>
      <c r="AF401" s="111" t="str">
        <f t="shared" si="13"/>
        <v/>
      </c>
      <c r="AG401" s="112" t="str">
        <f t="shared" si="9"/>
        <v/>
      </c>
      <c r="AH401" s="126"/>
      <c r="AI401" s="114" t="str">
        <f ca="1">IFERROR(VLOOKUP($AH401, '(勿動)Component Label公版'!$D$1:$E$1000, 2, FALSE), "-")</f>
        <v>-</v>
      </c>
      <c r="AJ401" s="115"/>
      <c r="AK401" s="112"/>
      <c r="AL401" s="112"/>
      <c r="AM401" s="116" t="str">
        <f t="shared" si="10"/>
        <v/>
      </c>
      <c r="AN401" s="117" t="str">
        <f t="shared" si="11"/>
        <v/>
      </c>
      <c r="AO401" s="158"/>
      <c r="AP401" s="18"/>
      <c r="AQ401" s="18"/>
      <c r="AR401" s="18"/>
      <c r="AS401" s="18"/>
      <c r="AT401" s="18"/>
      <c r="AU401" s="54" t="b">
        <v>0</v>
      </c>
      <c r="AV401" s="54" t="b">
        <v>0</v>
      </c>
      <c r="AW401" s="123"/>
      <c r="AX401" s="124"/>
      <c r="AY401" s="124"/>
      <c r="AZ401" s="124"/>
      <c r="BA401" s="125"/>
      <c r="BB401" s="68"/>
      <c r="BC401" s="62"/>
      <c r="BD401" s="129" t="str">
        <f t="shared" si="12"/>
        <v>_</v>
      </c>
      <c r="BE401" s="130" t="str">
        <f>IFERROR(VLOOKUP($BD401,'(勿動)組件目錄表'!$D$15:$R$1094,2,FALSE),"")</f>
        <v/>
      </c>
      <c r="BF401" s="131" t="str">
        <f>IFERROR(VLOOKUP($BD401, '(勿動)組件目錄表'!$D$15:$R$1094, 5, FALSE),"")</f>
        <v/>
      </c>
      <c r="BG401" s="118"/>
      <c r="BH401" s="120"/>
      <c r="BI401" s="118"/>
      <c r="BJ401" s="120"/>
    </row>
    <row r="402" spans="1:62" ht="15.75" customHeight="1">
      <c r="A402" s="18" t="str">
        <f t="array" aca="1" ref="A402" ca="1">IFERROR(TRANSPOSE(INDIRECT('「(動工中勿使用!!)新版+舊版_Teaser」的副本'!$BB402)),"")</f>
        <v/>
      </c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80" t="b">
        <v>0</v>
      </c>
      <c r="AF402" s="111" t="str">
        <f t="shared" si="13"/>
        <v/>
      </c>
      <c r="AG402" s="112" t="str">
        <f t="shared" si="9"/>
        <v/>
      </c>
      <c r="AH402" s="126"/>
      <c r="AI402" s="114" t="str">
        <f ca="1">IFERROR(VLOOKUP($AH402, '(勿動)Component Label公版'!$D$1:$E$1000, 2, FALSE), "-")</f>
        <v>-</v>
      </c>
      <c r="AJ402" s="115"/>
      <c r="AK402" s="112"/>
      <c r="AL402" s="112"/>
      <c r="AM402" s="116" t="str">
        <f t="shared" si="10"/>
        <v/>
      </c>
      <c r="AN402" s="117" t="str">
        <f t="shared" si="11"/>
        <v/>
      </c>
      <c r="AO402" s="158"/>
      <c r="AP402" s="18"/>
      <c r="AQ402" s="18"/>
      <c r="AR402" s="18"/>
      <c r="AS402" s="18"/>
      <c r="AT402" s="18"/>
      <c r="AU402" s="54" t="b">
        <v>0</v>
      </c>
      <c r="AV402" s="54" t="b">
        <v>0</v>
      </c>
      <c r="AW402" s="123"/>
      <c r="AX402" s="124"/>
      <c r="AY402" s="124"/>
      <c r="AZ402" s="124"/>
      <c r="BA402" s="125"/>
      <c r="BB402" s="68"/>
      <c r="BC402" s="62"/>
      <c r="BD402" s="129" t="str">
        <f t="shared" si="12"/>
        <v>_</v>
      </c>
      <c r="BE402" s="130" t="str">
        <f>IFERROR(VLOOKUP($BD402,'(勿動)組件目錄表'!$D$15:$R$1094,2,FALSE),"")</f>
        <v/>
      </c>
      <c r="BF402" s="131" t="str">
        <f>IFERROR(VLOOKUP($BD402, '(勿動)組件目錄表'!$D$15:$R$1094, 5, FALSE),"")</f>
        <v/>
      </c>
      <c r="BG402" s="118"/>
      <c r="BH402" s="120"/>
      <c r="BI402" s="118"/>
      <c r="BJ402" s="120"/>
    </row>
    <row r="403" spans="1:62" ht="15.75" customHeight="1">
      <c r="A403" s="18" t="str">
        <f t="array" aca="1" ref="A403" ca="1">IFERROR(TRANSPOSE(INDIRECT('「(動工中勿使用!!)新版+舊版_Teaser」的副本'!$BB403)),"")</f>
        <v/>
      </c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80" t="b">
        <v>0</v>
      </c>
      <c r="AF403" s="111" t="str">
        <f t="shared" si="13"/>
        <v/>
      </c>
      <c r="AG403" s="112" t="str">
        <f t="shared" si="9"/>
        <v/>
      </c>
      <c r="AH403" s="126"/>
      <c r="AI403" s="114" t="str">
        <f ca="1">IFERROR(VLOOKUP($AH403, '(勿動)Component Label公版'!$D$1:$E$1000, 2, FALSE), "-")</f>
        <v>-</v>
      </c>
      <c r="AJ403" s="115"/>
      <c r="AK403" s="112"/>
      <c r="AL403" s="112"/>
      <c r="AM403" s="116" t="str">
        <f t="shared" si="10"/>
        <v/>
      </c>
      <c r="AN403" s="117" t="str">
        <f t="shared" si="11"/>
        <v/>
      </c>
      <c r="AO403" s="158"/>
      <c r="AP403" s="18"/>
      <c r="AQ403" s="18"/>
      <c r="AR403" s="18"/>
      <c r="AS403" s="18"/>
      <c r="AT403" s="18"/>
      <c r="AU403" s="54" t="b">
        <v>0</v>
      </c>
      <c r="AV403" s="54" t="b">
        <v>0</v>
      </c>
      <c r="AW403" s="123"/>
      <c r="AX403" s="124"/>
      <c r="AY403" s="124"/>
      <c r="AZ403" s="124"/>
      <c r="BA403" s="125"/>
      <c r="BB403" s="68"/>
      <c r="BC403" s="62"/>
      <c r="BD403" s="129" t="str">
        <f t="shared" si="12"/>
        <v>_</v>
      </c>
      <c r="BE403" s="130" t="str">
        <f>IFERROR(VLOOKUP($BD403,'(勿動)組件目錄表'!$D$15:$R$1094,2,FALSE),"")</f>
        <v/>
      </c>
      <c r="BF403" s="131" t="str">
        <f>IFERROR(VLOOKUP($BD403, '(勿動)組件目錄表'!$D$15:$R$1094, 5, FALSE),"")</f>
        <v/>
      </c>
      <c r="BG403" s="118"/>
      <c r="BH403" s="120"/>
      <c r="BI403" s="118"/>
      <c r="BJ403" s="120"/>
    </row>
    <row r="404" spans="1:62" ht="15.75" customHeight="1">
      <c r="A404" s="18" t="str">
        <f t="array" aca="1" ref="A404" ca="1">IFERROR(TRANSPOSE(INDIRECT('「(動工中勿使用!!)新版+舊版_Teaser」的副本'!$BB404)),"")</f>
        <v/>
      </c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80" t="b">
        <v>0</v>
      </c>
      <c r="AF404" s="111" t="str">
        <f t="shared" si="13"/>
        <v/>
      </c>
      <c r="AG404" s="112" t="str">
        <f t="shared" si="9"/>
        <v/>
      </c>
      <c r="AH404" s="126"/>
      <c r="AI404" s="114" t="str">
        <f ca="1">IFERROR(VLOOKUP($AH404, '(勿動)Component Label公版'!$D$1:$E$1000, 2, FALSE), "-")</f>
        <v>-</v>
      </c>
      <c r="AJ404" s="115"/>
      <c r="AK404" s="112"/>
      <c r="AL404" s="112"/>
      <c r="AM404" s="116" t="str">
        <f t="shared" si="10"/>
        <v/>
      </c>
      <c r="AN404" s="117" t="str">
        <f t="shared" si="11"/>
        <v/>
      </c>
      <c r="AO404" s="158"/>
      <c r="AP404" s="18"/>
      <c r="AQ404" s="18"/>
      <c r="AR404" s="18"/>
      <c r="AS404" s="18"/>
      <c r="AT404" s="18"/>
      <c r="AU404" s="54" t="b">
        <v>0</v>
      </c>
      <c r="AV404" s="54" t="b">
        <v>0</v>
      </c>
      <c r="AW404" s="123"/>
      <c r="AX404" s="124"/>
      <c r="AY404" s="124"/>
      <c r="AZ404" s="124"/>
      <c r="BA404" s="125"/>
      <c r="BB404" s="68"/>
      <c r="BC404" s="62"/>
      <c r="BD404" s="129" t="str">
        <f t="shared" si="12"/>
        <v>_</v>
      </c>
      <c r="BE404" s="130" t="str">
        <f>IFERROR(VLOOKUP($BD404,'(勿動)組件目錄表'!$D$15:$R$1094,2,FALSE),"")</f>
        <v/>
      </c>
      <c r="BF404" s="131" t="str">
        <f>IFERROR(VLOOKUP($BD404, '(勿動)組件目錄表'!$D$15:$R$1094, 5, FALSE),"")</f>
        <v/>
      </c>
      <c r="BG404" s="118"/>
      <c r="BH404" s="120"/>
      <c r="BI404" s="118"/>
      <c r="BJ404" s="120"/>
    </row>
    <row r="405" spans="1:62" ht="15.75" customHeight="1">
      <c r="A405" s="18" t="str">
        <f t="array" aca="1" ref="A405" ca="1">IFERROR(TRANSPOSE(INDIRECT('「(動工中勿使用!!)新版+舊版_Teaser」的副本'!$BB405)),"")</f>
        <v/>
      </c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80" t="b">
        <v>0</v>
      </c>
      <c r="AF405" s="111" t="str">
        <f t="shared" si="13"/>
        <v/>
      </c>
      <c r="AG405" s="112" t="str">
        <f t="shared" si="9"/>
        <v/>
      </c>
      <c r="AH405" s="126"/>
      <c r="AI405" s="114" t="str">
        <f ca="1">IFERROR(VLOOKUP($AH405, '(勿動)Component Label公版'!$D$1:$E$1000, 2, FALSE), "-")</f>
        <v>-</v>
      </c>
      <c r="AJ405" s="115"/>
      <c r="AK405" s="112"/>
      <c r="AL405" s="112"/>
      <c r="AM405" s="116" t="str">
        <f t="shared" si="10"/>
        <v/>
      </c>
      <c r="AN405" s="117" t="str">
        <f t="shared" si="11"/>
        <v/>
      </c>
      <c r="AO405" s="158"/>
      <c r="AP405" s="18"/>
      <c r="AQ405" s="18"/>
      <c r="AR405" s="18"/>
      <c r="AS405" s="18"/>
      <c r="AT405" s="18"/>
      <c r="AU405" s="54" t="b">
        <v>0</v>
      </c>
      <c r="AV405" s="54" t="b">
        <v>0</v>
      </c>
      <c r="AW405" s="123"/>
      <c r="AX405" s="124"/>
      <c r="AY405" s="124"/>
      <c r="AZ405" s="124"/>
      <c r="BA405" s="125"/>
      <c r="BB405" s="68"/>
      <c r="BC405" s="62"/>
      <c r="BD405" s="129" t="str">
        <f t="shared" si="12"/>
        <v>_</v>
      </c>
      <c r="BE405" s="130" t="str">
        <f>IFERROR(VLOOKUP($BD405,'(勿動)組件目錄表'!$D$15:$R$1094,2,FALSE),"")</f>
        <v/>
      </c>
      <c r="BF405" s="131" t="str">
        <f>IFERROR(VLOOKUP($BD405, '(勿動)組件目錄表'!$D$15:$R$1094, 5, FALSE),"")</f>
        <v/>
      </c>
      <c r="BG405" s="118"/>
      <c r="BH405" s="120"/>
      <c r="BI405" s="118"/>
      <c r="BJ405" s="120"/>
    </row>
    <row r="406" spans="1:62" ht="15.75" customHeight="1">
      <c r="A406" s="18" t="str">
        <f t="array" aca="1" ref="A406" ca="1">IFERROR(TRANSPOSE(INDIRECT('「(動工中勿使用!!)新版+舊版_Teaser」的副本'!$BB406)),"")</f>
        <v/>
      </c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80" t="b">
        <v>0</v>
      </c>
      <c r="AF406" s="111" t="str">
        <f t="shared" si="13"/>
        <v/>
      </c>
      <c r="AG406" s="112" t="str">
        <f t="shared" si="9"/>
        <v/>
      </c>
      <c r="AH406" s="126"/>
      <c r="AI406" s="114" t="str">
        <f ca="1">IFERROR(VLOOKUP($AH406, '(勿動)Component Label公版'!$D$1:$E$1000, 2, FALSE), "-")</f>
        <v>-</v>
      </c>
      <c r="AJ406" s="115"/>
      <c r="AK406" s="112"/>
      <c r="AL406" s="112"/>
      <c r="AM406" s="116" t="str">
        <f t="shared" si="10"/>
        <v/>
      </c>
      <c r="AN406" s="117" t="str">
        <f t="shared" si="11"/>
        <v/>
      </c>
      <c r="AO406" s="158"/>
      <c r="AP406" s="18"/>
      <c r="AQ406" s="18"/>
      <c r="AR406" s="18"/>
      <c r="AS406" s="18"/>
      <c r="AT406" s="18"/>
      <c r="AU406" s="54" t="b">
        <v>0</v>
      </c>
      <c r="AV406" s="54" t="b">
        <v>0</v>
      </c>
      <c r="AW406" s="123"/>
      <c r="AX406" s="124"/>
      <c r="AY406" s="124"/>
      <c r="AZ406" s="124"/>
      <c r="BA406" s="125"/>
      <c r="BB406" s="68"/>
      <c r="BC406" s="62"/>
      <c r="BD406" s="129" t="str">
        <f t="shared" si="12"/>
        <v>_</v>
      </c>
      <c r="BE406" s="130" t="str">
        <f>IFERROR(VLOOKUP($BD406,'(勿動)組件目錄表'!$D$15:$R$1094,2,FALSE),"")</f>
        <v/>
      </c>
      <c r="BF406" s="131" t="str">
        <f>IFERROR(VLOOKUP($BD406, '(勿動)組件目錄表'!$D$15:$R$1094, 5, FALSE),"")</f>
        <v/>
      </c>
      <c r="BG406" s="118"/>
      <c r="BH406" s="120"/>
      <c r="BI406" s="118"/>
      <c r="BJ406" s="120"/>
    </row>
    <row r="407" spans="1:62" ht="15.75" customHeight="1">
      <c r="A407" s="18" t="str">
        <f t="array" aca="1" ref="A407" ca="1">IFERROR(TRANSPOSE(INDIRECT('「(動工中勿使用!!)新版+舊版_Teaser」的副本'!$BB407)),"")</f>
        <v/>
      </c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80" t="b">
        <v>0</v>
      </c>
      <c r="AF407" s="111" t="str">
        <f t="shared" si="13"/>
        <v/>
      </c>
      <c r="AG407" s="112" t="str">
        <f t="shared" si="9"/>
        <v/>
      </c>
      <c r="AH407" s="126"/>
      <c r="AI407" s="114" t="str">
        <f ca="1">IFERROR(VLOOKUP($AH407, '(勿動)Component Label公版'!$D$1:$E$1000, 2, FALSE), "-")</f>
        <v>-</v>
      </c>
      <c r="AJ407" s="115"/>
      <c r="AK407" s="112"/>
      <c r="AL407" s="112"/>
      <c r="AM407" s="116" t="str">
        <f t="shared" si="10"/>
        <v/>
      </c>
      <c r="AN407" s="117" t="str">
        <f t="shared" si="11"/>
        <v/>
      </c>
      <c r="AO407" s="158"/>
      <c r="AP407" s="18"/>
      <c r="AQ407" s="18"/>
      <c r="AR407" s="18"/>
      <c r="AS407" s="18"/>
      <c r="AT407" s="18"/>
      <c r="AU407" s="54" t="b">
        <v>0</v>
      </c>
      <c r="AV407" s="54" t="b">
        <v>0</v>
      </c>
      <c r="AW407" s="123"/>
      <c r="AX407" s="124"/>
      <c r="AY407" s="124"/>
      <c r="AZ407" s="124"/>
      <c r="BA407" s="125"/>
      <c r="BB407" s="68"/>
      <c r="BC407" s="62"/>
      <c r="BD407" s="129" t="str">
        <f t="shared" si="12"/>
        <v>_</v>
      </c>
      <c r="BE407" s="130" t="str">
        <f>IFERROR(VLOOKUP($BD407,'(勿動)組件目錄表'!$D$15:$R$1094,2,FALSE),"")</f>
        <v/>
      </c>
      <c r="BF407" s="131" t="str">
        <f>IFERROR(VLOOKUP($BD407, '(勿動)組件目錄表'!$D$15:$R$1094, 5, FALSE),"")</f>
        <v/>
      </c>
      <c r="BG407" s="118"/>
      <c r="BH407" s="120"/>
      <c r="BI407" s="118"/>
      <c r="BJ407" s="120"/>
    </row>
    <row r="408" spans="1:62" ht="15.75" customHeight="1">
      <c r="A408" s="18" t="str">
        <f t="array" aca="1" ref="A408" ca="1">IFERROR(TRANSPOSE(INDIRECT('「(動工中勿使用!!)新版+舊版_Teaser」的副本'!$BB408)),"")</f>
        <v/>
      </c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80" t="b">
        <v>0</v>
      </c>
      <c r="AF408" s="111" t="str">
        <f t="shared" si="13"/>
        <v/>
      </c>
      <c r="AG408" s="112" t="str">
        <f t="shared" si="9"/>
        <v/>
      </c>
      <c r="AH408" s="126"/>
      <c r="AI408" s="114" t="str">
        <f ca="1">IFERROR(VLOOKUP($AH408, '(勿動)Component Label公版'!$D$1:$E$1000, 2, FALSE), "-")</f>
        <v>-</v>
      </c>
      <c r="AJ408" s="115"/>
      <c r="AK408" s="112"/>
      <c r="AL408" s="112"/>
      <c r="AM408" s="116" t="str">
        <f t="shared" si="10"/>
        <v/>
      </c>
      <c r="AN408" s="117" t="str">
        <f t="shared" si="11"/>
        <v/>
      </c>
      <c r="AO408" s="158"/>
      <c r="AP408" s="18"/>
      <c r="AQ408" s="18"/>
      <c r="AR408" s="18"/>
      <c r="AS408" s="18"/>
      <c r="AT408" s="18"/>
      <c r="AU408" s="54" t="b">
        <v>0</v>
      </c>
      <c r="AV408" s="54" t="b">
        <v>0</v>
      </c>
      <c r="AW408" s="123"/>
      <c r="AX408" s="124"/>
      <c r="AY408" s="124"/>
      <c r="AZ408" s="124"/>
      <c r="BA408" s="125"/>
      <c r="BB408" s="68"/>
      <c r="BC408" s="62"/>
      <c r="BD408" s="129" t="str">
        <f t="shared" si="12"/>
        <v>_</v>
      </c>
      <c r="BE408" s="130" t="str">
        <f>IFERROR(VLOOKUP($BD408,'(勿動)組件目錄表'!$D$15:$R$1094,2,FALSE),"")</f>
        <v/>
      </c>
      <c r="BF408" s="131" t="str">
        <f>IFERROR(VLOOKUP($BD408, '(勿動)組件目錄表'!$D$15:$R$1094, 5, FALSE),"")</f>
        <v/>
      </c>
      <c r="BG408" s="118"/>
      <c r="BH408" s="120"/>
      <c r="BI408" s="118"/>
      <c r="BJ408" s="120"/>
    </row>
    <row r="409" spans="1:62" ht="15.75" customHeight="1">
      <c r="A409" s="18" t="str">
        <f t="array" aca="1" ref="A409" ca="1">IFERROR(TRANSPOSE(INDIRECT('「(動工中勿使用!!)新版+舊版_Teaser」的副本'!$BB409)),"")</f>
        <v/>
      </c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80" t="b">
        <v>0</v>
      </c>
      <c r="AF409" s="111" t="str">
        <f t="shared" si="13"/>
        <v/>
      </c>
      <c r="AG409" s="112" t="str">
        <f t="shared" si="9"/>
        <v/>
      </c>
      <c r="AH409" s="126"/>
      <c r="AI409" s="114" t="str">
        <f ca="1">IFERROR(VLOOKUP($AH409, '(勿動)Component Label公版'!$D$1:$E$1000, 2, FALSE), "-")</f>
        <v>-</v>
      </c>
      <c r="AJ409" s="115"/>
      <c r="AK409" s="112"/>
      <c r="AL409" s="112"/>
      <c r="AM409" s="116" t="str">
        <f t="shared" si="10"/>
        <v/>
      </c>
      <c r="AN409" s="117" t="str">
        <f t="shared" si="11"/>
        <v/>
      </c>
      <c r="AO409" s="158"/>
      <c r="AP409" s="18"/>
      <c r="AQ409" s="18"/>
      <c r="AR409" s="18"/>
      <c r="AS409" s="18"/>
      <c r="AT409" s="18"/>
      <c r="AU409" s="54" t="b">
        <v>0</v>
      </c>
      <c r="AV409" s="54" t="b">
        <v>0</v>
      </c>
      <c r="AW409" s="123"/>
      <c r="AX409" s="124"/>
      <c r="AY409" s="124"/>
      <c r="AZ409" s="124"/>
      <c r="BA409" s="125"/>
      <c r="BB409" s="68"/>
      <c r="BC409" s="62"/>
      <c r="BD409" s="129" t="str">
        <f t="shared" si="12"/>
        <v>_</v>
      </c>
      <c r="BE409" s="130" t="str">
        <f>IFERROR(VLOOKUP($BD409,'(勿動)組件目錄表'!$D$15:$R$1094,2,FALSE),"")</f>
        <v/>
      </c>
      <c r="BF409" s="131" t="str">
        <f>IFERROR(VLOOKUP($BD409, '(勿動)組件目錄表'!$D$15:$R$1094, 5, FALSE),"")</f>
        <v/>
      </c>
      <c r="BG409" s="118"/>
      <c r="BH409" s="120"/>
      <c r="BI409" s="118"/>
      <c r="BJ409" s="120"/>
    </row>
    <row r="410" spans="1:62" ht="15.75" customHeight="1">
      <c r="A410" s="18" t="str">
        <f t="array" aca="1" ref="A410" ca="1">IFERROR(TRANSPOSE(INDIRECT('「(動工中勿使用!!)新版+舊版_Teaser」的副本'!$BB410)),"")</f>
        <v/>
      </c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80" t="b">
        <v>0</v>
      </c>
      <c r="AF410" s="111" t="str">
        <f t="shared" si="13"/>
        <v/>
      </c>
      <c r="AG410" s="112" t="str">
        <f t="shared" si="9"/>
        <v/>
      </c>
      <c r="AH410" s="126"/>
      <c r="AI410" s="114" t="str">
        <f ca="1">IFERROR(VLOOKUP($AH410, '(勿動)Component Label公版'!$D$1:$E$1000, 2, FALSE), "-")</f>
        <v>-</v>
      </c>
      <c r="AJ410" s="115"/>
      <c r="AK410" s="112"/>
      <c r="AL410" s="112"/>
      <c r="AM410" s="116" t="str">
        <f t="shared" si="10"/>
        <v/>
      </c>
      <c r="AN410" s="117" t="str">
        <f t="shared" si="11"/>
        <v/>
      </c>
      <c r="AO410" s="158"/>
      <c r="AP410" s="18"/>
      <c r="AQ410" s="18"/>
      <c r="AR410" s="18"/>
      <c r="AS410" s="18"/>
      <c r="AT410" s="18"/>
      <c r="AU410" s="54" t="b">
        <v>0</v>
      </c>
      <c r="AV410" s="54" t="b">
        <v>0</v>
      </c>
      <c r="AW410" s="123"/>
      <c r="AX410" s="124"/>
      <c r="AY410" s="124"/>
      <c r="AZ410" s="124"/>
      <c r="BA410" s="125"/>
      <c r="BB410" s="68"/>
      <c r="BC410" s="62"/>
      <c r="BD410" s="129" t="str">
        <f t="shared" si="12"/>
        <v>_</v>
      </c>
      <c r="BE410" s="130" t="str">
        <f>IFERROR(VLOOKUP($BD410,'(勿動)組件目錄表'!$D$15:$R$1094,2,FALSE),"")</f>
        <v/>
      </c>
      <c r="BF410" s="131" t="str">
        <f>IFERROR(VLOOKUP($BD410, '(勿動)組件目錄表'!$D$15:$R$1094, 5, FALSE),"")</f>
        <v/>
      </c>
      <c r="BG410" s="118"/>
      <c r="BH410" s="120"/>
      <c r="BI410" s="118"/>
      <c r="BJ410" s="120"/>
    </row>
    <row r="411" spans="1:62" ht="15.75" customHeight="1">
      <c r="A411" s="18" t="str">
        <f t="array" aca="1" ref="A411" ca="1">IFERROR(TRANSPOSE(INDIRECT('「(動工中勿使用!!)新版+舊版_Teaser」的副本'!$BB411)),"")</f>
        <v/>
      </c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80" t="b">
        <v>0</v>
      </c>
      <c r="AF411" s="111" t="str">
        <f t="shared" si="13"/>
        <v/>
      </c>
      <c r="AG411" s="112" t="str">
        <f t="shared" si="9"/>
        <v/>
      </c>
      <c r="AH411" s="126"/>
      <c r="AI411" s="114" t="str">
        <f ca="1">IFERROR(VLOOKUP($AH411, '(勿動)Component Label公版'!$D$1:$E$1000, 2, FALSE), "-")</f>
        <v>-</v>
      </c>
      <c r="AJ411" s="115"/>
      <c r="AK411" s="112"/>
      <c r="AL411" s="112"/>
      <c r="AM411" s="116" t="str">
        <f t="shared" si="10"/>
        <v/>
      </c>
      <c r="AN411" s="117" t="str">
        <f t="shared" si="11"/>
        <v/>
      </c>
      <c r="AO411" s="158"/>
      <c r="AP411" s="18"/>
      <c r="AQ411" s="18"/>
      <c r="AR411" s="18"/>
      <c r="AS411" s="18"/>
      <c r="AT411" s="18"/>
      <c r="AU411" s="54" t="b">
        <v>0</v>
      </c>
      <c r="AV411" s="54" t="b">
        <v>0</v>
      </c>
      <c r="AW411" s="123"/>
      <c r="AX411" s="124"/>
      <c r="AY411" s="124"/>
      <c r="AZ411" s="124"/>
      <c r="BA411" s="125"/>
      <c r="BB411" s="68"/>
      <c r="BC411" s="62"/>
      <c r="BD411" s="129" t="str">
        <f t="shared" si="12"/>
        <v>_</v>
      </c>
      <c r="BE411" s="130" t="str">
        <f>IFERROR(VLOOKUP($BD411,'(勿動)組件目錄表'!$D$15:$R$1094,2,FALSE),"")</f>
        <v/>
      </c>
      <c r="BF411" s="131" t="str">
        <f>IFERROR(VLOOKUP($BD411, '(勿動)組件目錄表'!$D$15:$R$1094, 5, FALSE),"")</f>
        <v/>
      </c>
      <c r="BG411" s="118"/>
      <c r="BH411" s="120"/>
      <c r="BI411" s="118"/>
      <c r="BJ411" s="120"/>
    </row>
    <row r="412" spans="1:62" ht="15.75" customHeight="1">
      <c r="A412" s="18" t="str">
        <f t="array" aca="1" ref="A412" ca="1">IFERROR(TRANSPOSE(INDIRECT('「(動工中勿使用!!)新版+舊版_Teaser」的副本'!$BB412)),"")</f>
        <v/>
      </c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80" t="b">
        <v>0</v>
      </c>
      <c r="AF412" s="111" t="str">
        <f t="shared" si="13"/>
        <v/>
      </c>
      <c r="AG412" s="112" t="str">
        <f t="shared" si="9"/>
        <v/>
      </c>
      <c r="AH412" s="126"/>
      <c r="AI412" s="114" t="str">
        <f ca="1">IFERROR(VLOOKUP($AH412, '(勿動)Component Label公版'!$D$1:$E$1000, 2, FALSE), "-")</f>
        <v>-</v>
      </c>
      <c r="AJ412" s="115"/>
      <c r="AK412" s="112"/>
      <c r="AL412" s="112"/>
      <c r="AM412" s="116" t="str">
        <f t="shared" si="10"/>
        <v/>
      </c>
      <c r="AN412" s="117" t="str">
        <f t="shared" si="11"/>
        <v/>
      </c>
      <c r="AO412" s="158"/>
      <c r="AP412" s="18"/>
      <c r="AQ412" s="18"/>
      <c r="AR412" s="18"/>
      <c r="AS412" s="18"/>
      <c r="AT412" s="18"/>
      <c r="AU412" s="54" t="b">
        <v>0</v>
      </c>
      <c r="AV412" s="54" t="b">
        <v>0</v>
      </c>
      <c r="AW412" s="123"/>
      <c r="AX412" s="124"/>
      <c r="AY412" s="124"/>
      <c r="AZ412" s="124"/>
      <c r="BA412" s="125"/>
      <c r="BB412" s="68"/>
      <c r="BC412" s="62"/>
      <c r="BD412" s="129" t="str">
        <f t="shared" si="12"/>
        <v>_</v>
      </c>
      <c r="BE412" s="130" t="str">
        <f>IFERROR(VLOOKUP($BD412,'(勿動)組件目錄表'!$D$15:$R$1094,2,FALSE),"")</f>
        <v/>
      </c>
      <c r="BF412" s="131" t="str">
        <f>IFERROR(VLOOKUP($BD412, '(勿動)組件目錄表'!$D$15:$R$1094, 5, FALSE),"")</f>
        <v/>
      </c>
      <c r="BG412" s="118"/>
      <c r="BH412" s="120"/>
      <c r="BI412" s="118"/>
      <c r="BJ412" s="120"/>
    </row>
    <row r="413" spans="1:62" ht="15.75" customHeight="1">
      <c r="A413" s="18" t="str">
        <f t="array" aca="1" ref="A413" ca="1">IFERROR(TRANSPOSE(INDIRECT('「(動工中勿使用!!)新版+舊版_Teaser」的副本'!$BB413)),"")</f>
        <v/>
      </c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80" t="b">
        <v>0</v>
      </c>
      <c r="AF413" s="111" t="str">
        <f t="shared" si="13"/>
        <v/>
      </c>
      <c r="AG413" s="112" t="str">
        <f t="shared" si="9"/>
        <v/>
      </c>
      <c r="AH413" s="126"/>
      <c r="AI413" s="114" t="str">
        <f ca="1">IFERROR(VLOOKUP($AH413, '(勿動)Component Label公版'!$D$1:$E$1000, 2, FALSE), "-")</f>
        <v>-</v>
      </c>
      <c r="AJ413" s="115"/>
      <c r="AK413" s="112"/>
      <c r="AL413" s="112"/>
      <c r="AM413" s="116" t="str">
        <f t="shared" si="10"/>
        <v/>
      </c>
      <c r="AN413" s="117" t="str">
        <f t="shared" si="11"/>
        <v/>
      </c>
      <c r="AO413" s="158"/>
      <c r="AP413" s="18"/>
      <c r="AQ413" s="18"/>
      <c r="AR413" s="18"/>
      <c r="AS413" s="18"/>
      <c r="AT413" s="18"/>
      <c r="AU413" s="54" t="b">
        <v>0</v>
      </c>
      <c r="AV413" s="54" t="b">
        <v>0</v>
      </c>
      <c r="AW413" s="123"/>
      <c r="AX413" s="124"/>
      <c r="AY413" s="124"/>
      <c r="AZ413" s="124"/>
      <c r="BA413" s="125"/>
      <c r="BB413" s="68"/>
      <c r="BC413" s="62"/>
      <c r="BD413" s="129" t="str">
        <f t="shared" si="12"/>
        <v>_</v>
      </c>
      <c r="BE413" s="130" t="str">
        <f>IFERROR(VLOOKUP($BD413,'(勿動)組件目錄表'!$D$15:$R$1094,2,FALSE),"")</f>
        <v/>
      </c>
      <c r="BF413" s="131" t="str">
        <f>IFERROR(VLOOKUP($BD413, '(勿動)組件目錄表'!$D$15:$R$1094, 5, FALSE),"")</f>
        <v/>
      </c>
      <c r="BG413" s="118"/>
      <c r="BH413" s="120"/>
      <c r="BI413" s="118"/>
      <c r="BJ413" s="120"/>
    </row>
    <row r="414" spans="1:62" ht="15.75" customHeight="1">
      <c r="A414" s="18" t="str">
        <f t="array" aca="1" ref="A414" ca="1">IFERROR(TRANSPOSE(INDIRECT('「(動工中勿使用!!)新版+舊版_Teaser」的副本'!$BB414)),"")</f>
        <v/>
      </c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80" t="b">
        <v>0</v>
      </c>
      <c r="AF414" s="111" t="str">
        <f t="shared" si="13"/>
        <v/>
      </c>
      <c r="AG414" s="112" t="str">
        <f t="shared" si="9"/>
        <v/>
      </c>
      <c r="AH414" s="126"/>
      <c r="AI414" s="114" t="str">
        <f ca="1">IFERROR(VLOOKUP($AH414, '(勿動)Component Label公版'!$D$1:$E$1000, 2, FALSE), "-")</f>
        <v>-</v>
      </c>
      <c r="AJ414" s="115"/>
      <c r="AK414" s="112"/>
      <c r="AL414" s="112"/>
      <c r="AM414" s="116" t="str">
        <f t="shared" si="10"/>
        <v/>
      </c>
      <c r="AN414" s="117" t="str">
        <f t="shared" si="11"/>
        <v/>
      </c>
      <c r="AO414" s="158"/>
      <c r="AP414" s="18"/>
      <c r="AQ414" s="18"/>
      <c r="AR414" s="18"/>
      <c r="AS414" s="18"/>
      <c r="AT414" s="18"/>
      <c r="AU414" s="54" t="b">
        <v>0</v>
      </c>
      <c r="AV414" s="54" t="b">
        <v>0</v>
      </c>
      <c r="AW414" s="123"/>
      <c r="AX414" s="124"/>
      <c r="AY414" s="124"/>
      <c r="AZ414" s="124"/>
      <c r="BA414" s="125"/>
      <c r="BB414" s="68"/>
      <c r="BC414" s="62"/>
      <c r="BD414" s="129" t="str">
        <f t="shared" si="12"/>
        <v>_</v>
      </c>
      <c r="BE414" s="130" t="str">
        <f>IFERROR(VLOOKUP($BD414,'(勿動)組件目錄表'!$D$15:$R$1094,2,FALSE),"")</f>
        <v/>
      </c>
      <c r="BF414" s="131" t="str">
        <f>IFERROR(VLOOKUP($BD414, '(勿動)組件目錄表'!$D$15:$R$1094, 5, FALSE),"")</f>
        <v/>
      </c>
      <c r="BG414" s="118"/>
      <c r="BH414" s="120"/>
      <c r="BI414" s="118"/>
      <c r="BJ414" s="120"/>
    </row>
    <row r="415" spans="1:62" ht="15.75" customHeight="1">
      <c r="A415" s="18" t="str">
        <f t="array" aca="1" ref="A415" ca="1">IFERROR(TRANSPOSE(INDIRECT('「(動工中勿使用!!)新版+舊版_Teaser」的副本'!$BB415)),"")</f>
        <v/>
      </c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80" t="b">
        <v>0</v>
      </c>
      <c r="AF415" s="111" t="str">
        <f t="shared" si="13"/>
        <v/>
      </c>
      <c r="AG415" s="112" t="str">
        <f t="shared" si="9"/>
        <v/>
      </c>
      <c r="AH415" s="126"/>
      <c r="AI415" s="114" t="str">
        <f ca="1">IFERROR(VLOOKUP($AH415, '(勿動)Component Label公版'!$D$1:$E$1000, 2, FALSE), "-")</f>
        <v>-</v>
      </c>
      <c r="AJ415" s="115"/>
      <c r="AK415" s="112"/>
      <c r="AL415" s="112"/>
      <c r="AM415" s="116" t="str">
        <f t="shared" si="10"/>
        <v/>
      </c>
      <c r="AN415" s="117" t="str">
        <f t="shared" si="11"/>
        <v/>
      </c>
      <c r="AO415" s="158"/>
      <c r="AP415" s="18"/>
      <c r="AQ415" s="18"/>
      <c r="AR415" s="18"/>
      <c r="AS415" s="18"/>
      <c r="AT415" s="18"/>
      <c r="AU415" s="54" t="b">
        <v>0</v>
      </c>
      <c r="AV415" s="54" t="b">
        <v>0</v>
      </c>
      <c r="AW415" s="123"/>
      <c r="AX415" s="124"/>
      <c r="AY415" s="124"/>
      <c r="AZ415" s="124"/>
      <c r="BA415" s="125"/>
      <c r="BB415" s="68"/>
      <c r="BC415" s="62"/>
      <c r="BD415" s="129" t="str">
        <f t="shared" si="12"/>
        <v>_</v>
      </c>
      <c r="BE415" s="130" t="str">
        <f>IFERROR(VLOOKUP($BD415,'(勿動)組件目錄表'!$D$15:$R$1094,2,FALSE),"")</f>
        <v/>
      </c>
      <c r="BF415" s="131" t="str">
        <f>IFERROR(VLOOKUP($BD415, '(勿動)組件目錄表'!$D$15:$R$1094, 5, FALSE),"")</f>
        <v/>
      </c>
      <c r="BG415" s="118"/>
      <c r="BH415" s="120"/>
      <c r="BI415" s="118"/>
      <c r="BJ415" s="120"/>
    </row>
    <row r="416" spans="1:62" ht="15.75" customHeight="1">
      <c r="A416" s="18" t="str">
        <f t="array" aca="1" ref="A416" ca="1">IFERROR(TRANSPOSE(INDIRECT('「(動工中勿使用!!)新版+舊版_Teaser」的副本'!$BB416)),"")</f>
        <v/>
      </c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80" t="b">
        <v>0</v>
      </c>
      <c r="AF416" s="111" t="str">
        <f t="shared" si="13"/>
        <v/>
      </c>
      <c r="AG416" s="112" t="str">
        <f t="shared" si="9"/>
        <v/>
      </c>
      <c r="AH416" s="126"/>
      <c r="AI416" s="114" t="str">
        <f ca="1">IFERROR(VLOOKUP($AH416, '(勿動)Component Label公版'!$D$1:$E$1000, 2, FALSE), "-")</f>
        <v>-</v>
      </c>
      <c r="AJ416" s="115"/>
      <c r="AK416" s="112"/>
      <c r="AL416" s="112"/>
      <c r="AM416" s="116" t="str">
        <f t="shared" si="10"/>
        <v/>
      </c>
      <c r="AN416" s="117" t="str">
        <f t="shared" si="11"/>
        <v/>
      </c>
      <c r="AO416" s="158"/>
      <c r="AP416" s="18"/>
      <c r="AQ416" s="18"/>
      <c r="AR416" s="18"/>
      <c r="AS416" s="18"/>
      <c r="AT416" s="18"/>
      <c r="AU416" s="54" t="b">
        <v>0</v>
      </c>
      <c r="AV416" s="54" t="b">
        <v>0</v>
      </c>
      <c r="AW416" s="123"/>
      <c r="AX416" s="124"/>
      <c r="AY416" s="124"/>
      <c r="AZ416" s="124"/>
      <c r="BA416" s="125"/>
      <c r="BB416" s="68"/>
      <c r="BC416" s="62"/>
      <c r="BD416" s="129" t="str">
        <f t="shared" si="12"/>
        <v>_</v>
      </c>
      <c r="BE416" s="130" t="str">
        <f>IFERROR(VLOOKUP($BD416,'(勿動)組件目錄表'!$D$15:$R$1094,2,FALSE),"")</f>
        <v/>
      </c>
      <c r="BF416" s="131" t="str">
        <f>IFERROR(VLOOKUP($BD416, '(勿動)組件目錄表'!$D$15:$R$1094, 5, FALSE),"")</f>
        <v/>
      </c>
      <c r="BG416" s="118"/>
      <c r="BH416" s="120"/>
      <c r="BI416" s="118"/>
      <c r="BJ416" s="120"/>
    </row>
    <row r="417" spans="1:62" ht="15.75" customHeight="1">
      <c r="A417" s="18" t="str">
        <f t="array" aca="1" ref="A417" ca="1">IFERROR(TRANSPOSE(INDIRECT('「(動工中勿使用!!)新版+舊版_Teaser」的副本'!$BB417)),"")</f>
        <v/>
      </c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80" t="b">
        <v>0</v>
      </c>
      <c r="AF417" s="111" t="str">
        <f t="shared" si="13"/>
        <v/>
      </c>
      <c r="AG417" s="112" t="str">
        <f t="shared" si="9"/>
        <v/>
      </c>
      <c r="AH417" s="126"/>
      <c r="AI417" s="114" t="str">
        <f ca="1">IFERROR(VLOOKUP($AH417, '(勿動)Component Label公版'!$D$1:$E$1000, 2, FALSE), "-")</f>
        <v>-</v>
      </c>
      <c r="AJ417" s="115"/>
      <c r="AK417" s="112"/>
      <c r="AL417" s="112"/>
      <c r="AM417" s="116" t="str">
        <f t="shared" si="10"/>
        <v/>
      </c>
      <c r="AN417" s="117" t="str">
        <f t="shared" si="11"/>
        <v/>
      </c>
      <c r="AO417" s="158"/>
      <c r="AP417" s="18"/>
      <c r="AQ417" s="18"/>
      <c r="AR417" s="18"/>
      <c r="AS417" s="18"/>
      <c r="AT417" s="18"/>
      <c r="AU417" s="54" t="b">
        <v>0</v>
      </c>
      <c r="AV417" s="54" t="b">
        <v>0</v>
      </c>
      <c r="AW417" s="123"/>
      <c r="AX417" s="124"/>
      <c r="AY417" s="124"/>
      <c r="AZ417" s="124"/>
      <c r="BA417" s="125"/>
      <c r="BB417" s="68"/>
      <c r="BC417" s="62"/>
      <c r="BD417" s="129" t="str">
        <f t="shared" si="12"/>
        <v>_</v>
      </c>
      <c r="BE417" s="130" t="str">
        <f>IFERROR(VLOOKUP($BD417,'(勿動)組件目錄表'!$D$15:$R$1094,2,FALSE),"")</f>
        <v/>
      </c>
      <c r="BF417" s="131" t="str">
        <f>IFERROR(VLOOKUP($BD417, '(勿動)組件目錄表'!$D$15:$R$1094, 5, FALSE),"")</f>
        <v/>
      </c>
      <c r="BG417" s="118"/>
      <c r="BH417" s="120"/>
      <c r="BI417" s="118"/>
      <c r="BJ417" s="120"/>
    </row>
    <row r="418" spans="1:62" ht="15.75" customHeight="1">
      <c r="A418" s="18" t="str">
        <f t="array" aca="1" ref="A418" ca="1">IFERROR(TRANSPOSE(INDIRECT('「(動工中勿使用!!)新版+舊版_Teaser」的副本'!$BB418)),"")</f>
        <v/>
      </c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80" t="b">
        <v>0</v>
      </c>
      <c r="AF418" s="111" t="str">
        <f t="shared" si="13"/>
        <v/>
      </c>
      <c r="AG418" s="112" t="str">
        <f t="shared" si="9"/>
        <v/>
      </c>
      <c r="AH418" s="126"/>
      <c r="AI418" s="114" t="str">
        <f ca="1">IFERROR(VLOOKUP($AH418, '(勿動)Component Label公版'!$D$1:$E$1000, 2, FALSE), "-")</f>
        <v>-</v>
      </c>
      <c r="AJ418" s="115"/>
      <c r="AK418" s="112"/>
      <c r="AL418" s="112"/>
      <c r="AM418" s="116" t="str">
        <f t="shared" si="10"/>
        <v/>
      </c>
      <c r="AN418" s="117" t="str">
        <f t="shared" si="11"/>
        <v/>
      </c>
      <c r="AO418" s="158"/>
      <c r="AP418" s="18"/>
      <c r="AQ418" s="18"/>
      <c r="AR418" s="18"/>
      <c r="AS418" s="18"/>
      <c r="AT418" s="18"/>
      <c r="AU418" s="54" t="b">
        <v>0</v>
      </c>
      <c r="AV418" s="54" t="b">
        <v>0</v>
      </c>
      <c r="AW418" s="123"/>
      <c r="AX418" s="124"/>
      <c r="AY418" s="124"/>
      <c r="AZ418" s="124"/>
      <c r="BA418" s="125"/>
      <c r="BB418" s="68"/>
      <c r="BC418" s="62"/>
      <c r="BD418" s="129" t="str">
        <f t="shared" si="12"/>
        <v>_</v>
      </c>
      <c r="BE418" s="130" t="str">
        <f>IFERROR(VLOOKUP($BD418,'(勿動)組件目錄表'!$D$15:$R$1094,2,FALSE),"")</f>
        <v/>
      </c>
      <c r="BF418" s="131" t="str">
        <f>IFERROR(VLOOKUP($BD418, '(勿動)組件目錄表'!$D$15:$R$1094, 5, FALSE),"")</f>
        <v/>
      </c>
      <c r="BG418" s="118"/>
      <c r="BH418" s="120"/>
      <c r="BI418" s="118"/>
      <c r="BJ418" s="120"/>
    </row>
    <row r="419" spans="1:62" ht="15.75" customHeight="1">
      <c r="A419" s="18" t="str">
        <f t="array" aca="1" ref="A419" ca="1">IFERROR(TRANSPOSE(INDIRECT('「(動工中勿使用!!)新版+舊版_Teaser」的副本'!$BB419)),"")</f>
        <v/>
      </c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80" t="b">
        <v>0</v>
      </c>
      <c r="AF419" s="111" t="str">
        <f t="shared" si="13"/>
        <v/>
      </c>
      <c r="AG419" s="112" t="str">
        <f t="shared" si="9"/>
        <v/>
      </c>
      <c r="AH419" s="126"/>
      <c r="AI419" s="114" t="str">
        <f ca="1">IFERROR(VLOOKUP($AH419, '(勿動)Component Label公版'!$D$1:$E$1000, 2, FALSE), "-")</f>
        <v>-</v>
      </c>
      <c r="AJ419" s="115"/>
      <c r="AK419" s="112"/>
      <c r="AL419" s="112"/>
      <c r="AM419" s="116" t="str">
        <f t="shared" si="10"/>
        <v/>
      </c>
      <c r="AN419" s="117" t="str">
        <f t="shared" si="11"/>
        <v/>
      </c>
      <c r="AO419" s="158"/>
      <c r="AP419" s="18"/>
      <c r="AQ419" s="18"/>
      <c r="AR419" s="18"/>
      <c r="AS419" s="18"/>
      <c r="AT419" s="18"/>
      <c r="AU419" s="54" t="b">
        <v>0</v>
      </c>
      <c r="AV419" s="54" t="b">
        <v>0</v>
      </c>
      <c r="AW419" s="123"/>
      <c r="AX419" s="124"/>
      <c r="AY419" s="124"/>
      <c r="AZ419" s="124"/>
      <c r="BA419" s="125"/>
      <c r="BB419" s="68"/>
      <c r="BC419" s="62"/>
      <c r="BD419" s="129" t="str">
        <f t="shared" si="12"/>
        <v>_</v>
      </c>
      <c r="BE419" s="130" t="str">
        <f>IFERROR(VLOOKUP($BD419,'(勿動)組件目錄表'!$D$15:$R$1094,2,FALSE),"")</f>
        <v/>
      </c>
      <c r="BF419" s="131" t="str">
        <f>IFERROR(VLOOKUP($BD419, '(勿動)組件目錄表'!$D$15:$R$1094, 5, FALSE),"")</f>
        <v/>
      </c>
      <c r="BG419" s="118"/>
      <c r="BH419" s="120"/>
      <c r="BI419" s="118"/>
      <c r="BJ419" s="120"/>
    </row>
    <row r="420" spans="1:62" ht="15.75" customHeight="1">
      <c r="A420" s="18" t="str">
        <f t="array" aca="1" ref="A420" ca="1">IFERROR(TRANSPOSE(INDIRECT('「(動工中勿使用!!)新版+舊版_Teaser」的副本'!$BB420)),"")</f>
        <v/>
      </c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80" t="b">
        <v>0</v>
      </c>
      <c r="AF420" s="111" t="str">
        <f t="shared" si="13"/>
        <v/>
      </c>
      <c r="AG420" s="112" t="str">
        <f t="shared" si="9"/>
        <v/>
      </c>
      <c r="AH420" s="126"/>
      <c r="AI420" s="114" t="str">
        <f ca="1">IFERROR(VLOOKUP($AH420, '(勿動)Component Label公版'!$D$1:$E$1000, 2, FALSE), "-")</f>
        <v>-</v>
      </c>
      <c r="AJ420" s="115"/>
      <c r="AK420" s="112"/>
      <c r="AL420" s="112"/>
      <c r="AM420" s="116" t="str">
        <f t="shared" si="10"/>
        <v/>
      </c>
      <c r="AN420" s="117" t="str">
        <f t="shared" si="11"/>
        <v/>
      </c>
      <c r="AO420" s="158"/>
      <c r="AP420" s="18"/>
      <c r="AQ420" s="18"/>
      <c r="AR420" s="18"/>
      <c r="AS420" s="18"/>
      <c r="AT420" s="18"/>
      <c r="AU420" s="54" t="b">
        <v>0</v>
      </c>
      <c r="AV420" s="54" t="b">
        <v>0</v>
      </c>
      <c r="AW420" s="123"/>
      <c r="AX420" s="124"/>
      <c r="AY420" s="124"/>
      <c r="AZ420" s="124"/>
      <c r="BA420" s="125"/>
      <c r="BB420" s="68"/>
      <c r="BC420" s="62"/>
      <c r="BD420" s="129" t="str">
        <f t="shared" si="12"/>
        <v>_</v>
      </c>
      <c r="BE420" s="130" t="str">
        <f>IFERROR(VLOOKUP($BD420,'(勿動)組件目錄表'!$D$15:$R$1094,2,FALSE),"")</f>
        <v/>
      </c>
      <c r="BF420" s="131" t="str">
        <f>IFERROR(VLOOKUP($BD420, '(勿動)組件目錄表'!$D$15:$R$1094, 5, FALSE),"")</f>
        <v/>
      </c>
      <c r="BG420" s="118"/>
      <c r="BH420" s="120"/>
      <c r="BI420" s="118"/>
      <c r="BJ420" s="120"/>
    </row>
    <row r="421" spans="1:62" ht="15.75" customHeight="1">
      <c r="A421" s="18" t="str">
        <f t="array" aca="1" ref="A421" ca="1">IFERROR(TRANSPOSE(INDIRECT('「(動工中勿使用!!)新版+舊版_Teaser」的副本'!$BB421)),"")</f>
        <v/>
      </c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80" t="b">
        <v>0</v>
      </c>
      <c r="AF421" s="111" t="str">
        <f t="shared" si="13"/>
        <v/>
      </c>
      <c r="AG421" s="112" t="str">
        <f t="shared" si="9"/>
        <v/>
      </c>
      <c r="AH421" s="126"/>
      <c r="AI421" s="114" t="str">
        <f ca="1">IFERROR(VLOOKUP($AH421, '(勿動)Component Label公版'!$D$1:$E$1000, 2, FALSE), "-")</f>
        <v>-</v>
      </c>
      <c r="AJ421" s="115"/>
      <c r="AK421" s="112"/>
      <c r="AL421" s="112"/>
      <c r="AM421" s="116" t="str">
        <f t="shared" si="10"/>
        <v/>
      </c>
      <c r="AN421" s="117" t="str">
        <f t="shared" si="11"/>
        <v/>
      </c>
      <c r="AO421" s="158"/>
      <c r="AP421" s="18"/>
      <c r="AQ421" s="18"/>
      <c r="AR421" s="18"/>
      <c r="AS421" s="18"/>
      <c r="AT421" s="18"/>
      <c r="AU421" s="54" t="b">
        <v>0</v>
      </c>
      <c r="AV421" s="54" t="b">
        <v>0</v>
      </c>
      <c r="AW421" s="123"/>
      <c r="AX421" s="124"/>
      <c r="AY421" s="124"/>
      <c r="AZ421" s="124"/>
      <c r="BA421" s="125"/>
      <c r="BB421" s="68"/>
      <c r="BC421" s="62"/>
      <c r="BD421" s="129" t="str">
        <f t="shared" si="12"/>
        <v>_</v>
      </c>
      <c r="BE421" s="130" t="str">
        <f>IFERROR(VLOOKUP($BD421,'(勿動)組件目錄表'!$D$15:$R$1094,2,FALSE),"")</f>
        <v/>
      </c>
      <c r="BF421" s="131" t="str">
        <f>IFERROR(VLOOKUP($BD421, '(勿動)組件目錄表'!$D$15:$R$1094, 5, FALSE),"")</f>
        <v/>
      </c>
      <c r="BG421" s="118"/>
      <c r="BH421" s="120"/>
      <c r="BI421" s="118"/>
      <c r="BJ421" s="120"/>
    </row>
    <row r="422" spans="1:62" ht="15.75" customHeight="1">
      <c r="A422" s="18" t="str">
        <f t="array" aca="1" ref="A422" ca="1">IFERROR(TRANSPOSE(INDIRECT('「(動工中勿使用!!)新版+舊版_Teaser」的副本'!$BB422)),"")</f>
        <v/>
      </c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80" t="b">
        <v>0</v>
      </c>
      <c r="AF422" s="111" t="str">
        <f t="shared" si="13"/>
        <v/>
      </c>
      <c r="AG422" s="112" t="str">
        <f t="shared" si="9"/>
        <v/>
      </c>
      <c r="AH422" s="126"/>
      <c r="AI422" s="114" t="str">
        <f ca="1">IFERROR(VLOOKUP($AH422, '(勿動)Component Label公版'!$D$1:$E$1000, 2, FALSE), "-")</f>
        <v>-</v>
      </c>
      <c r="AJ422" s="115"/>
      <c r="AK422" s="112"/>
      <c r="AL422" s="112"/>
      <c r="AM422" s="116" t="str">
        <f t="shared" si="10"/>
        <v/>
      </c>
      <c r="AN422" s="117" t="str">
        <f t="shared" si="11"/>
        <v/>
      </c>
      <c r="AO422" s="158"/>
      <c r="AP422" s="18"/>
      <c r="AQ422" s="18"/>
      <c r="AR422" s="18"/>
      <c r="AS422" s="18"/>
      <c r="AT422" s="18"/>
      <c r="AU422" s="54" t="b">
        <v>0</v>
      </c>
      <c r="AV422" s="54" t="b">
        <v>0</v>
      </c>
      <c r="AW422" s="123"/>
      <c r="AX422" s="124"/>
      <c r="AY422" s="124"/>
      <c r="AZ422" s="124"/>
      <c r="BA422" s="125"/>
      <c r="BB422" s="68"/>
      <c r="BC422" s="62"/>
      <c r="BD422" s="129" t="str">
        <f t="shared" si="12"/>
        <v>_</v>
      </c>
      <c r="BE422" s="130" t="str">
        <f>IFERROR(VLOOKUP($BD422,'(勿動)組件目錄表'!$D$15:$R$1094,2,FALSE),"")</f>
        <v/>
      </c>
      <c r="BF422" s="131" t="str">
        <f>IFERROR(VLOOKUP($BD422, '(勿動)組件目錄表'!$D$15:$R$1094, 5, FALSE),"")</f>
        <v/>
      </c>
      <c r="BG422" s="118"/>
      <c r="BH422" s="120"/>
      <c r="BI422" s="118"/>
      <c r="BJ422" s="120"/>
    </row>
    <row r="423" spans="1:62" ht="15.75" customHeight="1">
      <c r="A423" s="18" t="str">
        <f t="array" aca="1" ref="A423" ca="1">IFERROR(TRANSPOSE(INDIRECT('「(動工中勿使用!!)新版+舊版_Teaser」的副本'!$BB423)),"")</f>
        <v/>
      </c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80" t="b">
        <v>0</v>
      </c>
      <c r="AF423" s="111" t="str">
        <f t="shared" si="13"/>
        <v/>
      </c>
      <c r="AG423" s="112" t="str">
        <f t="shared" si="9"/>
        <v/>
      </c>
      <c r="AH423" s="126"/>
      <c r="AI423" s="114" t="str">
        <f ca="1">IFERROR(VLOOKUP($AH423, '(勿動)Component Label公版'!$D$1:$E$1000, 2, FALSE), "-")</f>
        <v>-</v>
      </c>
      <c r="AJ423" s="115"/>
      <c r="AK423" s="112"/>
      <c r="AL423" s="112"/>
      <c r="AM423" s="116" t="str">
        <f t="shared" si="10"/>
        <v/>
      </c>
      <c r="AN423" s="117" t="str">
        <f t="shared" si="11"/>
        <v/>
      </c>
      <c r="AO423" s="158"/>
      <c r="AP423" s="18"/>
      <c r="AQ423" s="18"/>
      <c r="AR423" s="18"/>
      <c r="AS423" s="18"/>
      <c r="AT423" s="18"/>
      <c r="AU423" s="54" t="b">
        <v>0</v>
      </c>
      <c r="AV423" s="54" t="b">
        <v>0</v>
      </c>
      <c r="AW423" s="123"/>
      <c r="AX423" s="124"/>
      <c r="AY423" s="124"/>
      <c r="AZ423" s="124"/>
      <c r="BA423" s="125"/>
      <c r="BB423" s="68"/>
      <c r="BC423" s="62"/>
      <c r="BD423" s="129" t="str">
        <f t="shared" si="12"/>
        <v>_</v>
      </c>
      <c r="BE423" s="130" t="str">
        <f>IFERROR(VLOOKUP($BD423,'(勿動)組件目錄表'!$D$15:$R$1094,2,FALSE),"")</f>
        <v/>
      </c>
      <c r="BF423" s="131" t="str">
        <f>IFERROR(VLOOKUP($BD423, '(勿動)組件目錄表'!$D$15:$R$1094, 5, FALSE),"")</f>
        <v/>
      </c>
      <c r="BG423" s="118"/>
      <c r="BH423" s="120"/>
      <c r="BI423" s="118"/>
      <c r="BJ423" s="120"/>
    </row>
    <row r="424" spans="1:62" ht="15.75" customHeight="1">
      <c r="A424" s="18" t="str">
        <f t="array" aca="1" ref="A424" ca="1">IFERROR(TRANSPOSE(INDIRECT('「(動工中勿使用!!)新版+舊版_Teaser」的副本'!$BB424)),"")</f>
        <v/>
      </c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80" t="b">
        <v>0</v>
      </c>
      <c r="AF424" s="111" t="str">
        <f t="shared" si="13"/>
        <v/>
      </c>
      <c r="AG424" s="112" t="str">
        <f t="shared" si="9"/>
        <v/>
      </c>
      <c r="AH424" s="126"/>
      <c r="AI424" s="114" t="str">
        <f ca="1">IFERROR(VLOOKUP($AH424, '(勿動)Component Label公版'!$D$1:$E$1000, 2, FALSE), "-")</f>
        <v>-</v>
      </c>
      <c r="AJ424" s="115"/>
      <c r="AK424" s="112"/>
      <c r="AL424" s="112"/>
      <c r="AM424" s="116" t="str">
        <f t="shared" si="10"/>
        <v/>
      </c>
      <c r="AN424" s="117" t="str">
        <f t="shared" si="11"/>
        <v/>
      </c>
      <c r="AO424" s="158"/>
      <c r="AP424" s="18"/>
      <c r="AQ424" s="18"/>
      <c r="AR424" s="18"/>
      <c r="AS424" s="18"/>
      <c r="AT424" s="18"/>
      <c r="AU424" s="54" t="b">
        <v>0</v>
      </c>
      <c r="AV424" s="54" t="b">
        <v>0</v>
      </c>
      <c r="AW424" s="123"/>
      <c r="AX424" s="124"/>
      <c r="AY424" s="124"/>
      <c r="AZ424" s="124"/>
      <c r="BA424" s="125"/>
      <c r="BB424" s="68"/>
      <c r="BC424" s="62"/>
      <c r="BD424" s="129" t="str">
        <f t="shared" si="12"/>
        <v>_</v>
      </c>
      <c r="BE424" s="130" t="str">
        <f>IFERROR(VLOOKUP($BD424,'(勿動)組件目錄表'!$D$15:$R$1094,2,FALSE),"")</f>
        <v/>
      </c>
      <c r="BF424" s="131" t="str">
        <f>IFERROR(VLOOKUP($BD424, '(勿動)組件目錄表'!$D$15:$R$1094, 5, FALSE),"")</f>
        <v/>
      </c>
      <c r="BG424" s="118"/>
      <c r="BH424" s="120"/>
      <c r="BI424" s="118"/>
      <c r="BJ424" s="120"/>
    </row>
    <row r="425" spans="1:62" ht="15.75" customHeight="1">
      <c r="A425" s="18" t="str">
        <f t="array" aca="1" ref="A425" ca="1">IFERROR(TRANSPOSE(INDIRECT('「(動工中勿使用!!)新版+舊版_Teaser」的副本'!$BB425)),"")</f>
        <v/>
      </c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80" t="b">
        <v>0</v>
      </c>
      <c r="AF425" s="111" t="str">
        <f t="shared" si="13"/>
        <v/>
      </c>
      <c r="AG425" s="112" t="str">
        <f t="shared" si="9"/>
        <v/>
      </c>
      <c r="AH425" s="126"/>
      <c r="AI425" s="114" t="str">
        <f ca="1">IFERROR(VLOOKUP($AH425, '(勿動)Component Label公版'!$D$1:$E$1000, 2, FALSE), "-")</f>
        <v>-</v>
      </c>
      <c r="AJ425" s="115"/>
      <c r="AK425" s="112"/>
      <c r="AL425" s="112"/>
      <c r="AM425" s="116" t="str">
        <f t="shared" si="10"/>
        <v/>
      </c>
      <c r="AN425" s="117" t="str">
        <f t="shared" si="11"/>
        <v/>
      </c>
      <c r="AO425" s="158"/>
      <c r="AP425" s="18"/>
      <c r="AQ425" s="18"/>
      <c r="AR425" s="18"/>
      <c r="AS425" s="18"/>
      <c r="AT425" s="18"/>
      <c r="AU425" s="54" t="b">
        <v>0</v>
      </c>
      <c r="AV425" s="54" t="b">
        <v>0</v>
      </c>
      <c r="AW425" s="123"/>
      <c r="AX425" s="124"/>
      <c r="AY425" s="124"/>
      <c r="AZ425" s="124"/>
      <c r="BA425" s="125"/>
      <c r="BB425" s="68"/>
      <c r="BC425" s="62"/>
      <c r="BD425" s="129" t="str">
        <f t="shared" si="12"/>
        <v>_</v>
      </c>
      <c r="BE425" s="130" t="str">
        <f>IFERROR(VLOOKUP($BD425,'(勿動)組件目錄表'!$D$15:$R$1094,2,FALSE),"")</f>
        <v/>
      </c>
      <c r="BF425" s="131" t="str">
        <f>IFERROR(VLOOKUP($BD425, '(勿動)組件目錄表'!$D$15:$R$1094, 5, FALSE),"")</f>
        <v/>
      </c>
      <c r="BG425" s="118"/>
      <c r="BH425" s="120"/>
      <c r="BI425" s="118"/>
      <c r="BJ425" s="120"/>
    </row>
    <row r="426" spans="1:62" ht="15.75" customHeight="1">
      <c r="A426" s="18" t="str">
        <f t="array" aca="1" ref="A426" ca="1">IFERROR(TRANSPOSE(INDIRECT('「(動工中勿使用!!)新版+舊版_Teaser」的副本'!$BB426)),"")</f>
        <v/>
      </c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80" t="b">
        <v>0</v>
      </c>
      <c r="AF426" s="111" t="str">
        <f t="shared" si="13"/>
        <v/>
      </c>
      <c r="AG426" s="112" t="str">
        <f t="shared" si="9"/>
        <v/>
      </c>
      <c r="AH426" s="126"/>
      <c r="AI426" s="114" t="str">
        <f ca="1">IFERROR(VLOOKUP($AH426, '(勿動)Component Label公版'!$D$1:$E$1000, 2, FALSE), "-")</f>
        <v>-</v>
      </c>
      <c r="AJ426" s="115"/>
      <c r="AK426" s="112"/>
      <c r="AL426" s="112"/>
      <c r="AM426" s="116" t="str">
        <f t="shared" si="10"/>
        <v/>
      </c>
      <c r="AN426" s="117" t="str">
        <f t="shared" si="11"/>
        <v/>
      </c>
      <c r="AO426" s="158"/>
      <c r="AP426" s="18"/>
      <c r="AQ426" s="18"/>
      <c r="AR426" s="18"/>
      <c r="AS426" s="18"/>
      <c r="AT426" s="18"/>
      <c r="AU426" s="54" t="b">
        <v>0</v>
      </c>
      <c r="AV426" s="54" t="b">
        <v>0</v>
      </c>
      <c r="AW426" s="123"/>
      <c r="AX426" s="124"/>
      <c r="AY426" s="124"/>
      <c r="AZ426" s="124"/>
      <c r="BA426" s="125"/>
      <c r="BB426" s="68"/>
      <c r="BC426" s="62"/>
      <c r="BD426" s="129" t="str">
        <f t="shared" si="12"/>
        <v>_</v>
      </c>
      <c r="BE426" s="130" t="str">
        <f>IFERROR(VLOOKUP($BD426,'(勿動)組件目錄表'!$D$15:$R$1094,2,FALSE),"")</f>
        <v/>
      </c>
      <c r="BF426" s="131" t="str">
        <f>IFERROR(VLOOKUP($BD426, '(勿動)組件目錄表'!$D$15:$R$1094, 5, FALSE),"")</f>
        <v/>
      </c>
      <c r="BG426" s="118"/>
      <c r="BH426" s="120"/>
      <c r="BI426" s="118"/>
      <c r="BJ426" s="120"/>
    </row>
    <row r="427" spans="1:62" ht="15.75" customHeight="1">
      <c r="A427" s="18" t="str">
        <f t="array" aca="1" ref="A427" ca="1">IFERROR(TRANSPOSE(INDIRECT('「(動工中勿使用!!)新版+舊版_Teaser」的副本'!$BB427)),"")</f>
        <v/>
      </c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80" t="b">
        <v>0</v>
      </c>
      <c r="AF427" s="111" t="str">
        <f t="shared" si="13"/>
        <v/>
      </c>
      <c r="AG427" s="112" t="str">
        <f t="shared" si="9"/>
        <v/>
      </c>
      <c r="AH427" s="126"/>
      <c r="AI427" s="114" t="str">
        <f ca="1">IFERROR(VLOOKUP($AH427, '(勿動)Component Label公版'!$D$1:$E$1000, 2, FALSE), "-")</f>
        <v>-</v>
      </c>
      <c r="AJ427" s="115"/>
      <c r="AK427" s="112"/>
      <c r="AL427" s="112"/>
      <c r="AM427" s="116" t="str">
        <f t="shared" si="10"/>
        <v/>
      </c>
      <c r="AN427" s="117" t="str">
        <f t="shared" si="11"/>
        <v/>
      </c>
      <c r="AO427" s="158"/>
      <c r="AP427" s="18"/>
      <c r="AQ427" s="18"/>
      <c r="AR427" s="18"/>
      <c r="AS427" s="18"/>
      <c r="AT427" s="18"/>
      <c r="AU427" s="54" t="b">
        <v>0</v>
      </c>
      <c r="AV427" s="54" t="b">
        <v>0</v>
      </c>
      <c r="AW427" s="123"/>
      <c r="AX427" s="124"/>
      <c r="AY427" s="124"/>
      <c r="AZ427" s="124"/>
      <c r="BA427" s="125"/>
      <c r="BB427" s="68"/>
      <c r="BC427" s="62"/>
      <c r="BD427" s="129" t="str">
        <f t="shared" si="12"/>
        <v>_</v>
      </c>
      <c r="BE427" s="130" t="str">
        <f>IFERROR(VLOOKUP($BD427,'(勿動)組件目錄表'!$D$15:$R$1094,2,FALSE),"")</f>
        <v/>
      </c>
      <c r="BF427" s="131" t="str">
        <f>IFERROR(VLOOKUP($BD427, '(勿動)組件目錄表'!$D$15:$R$1094, 5, FALSE),"")</f>
        <v/>
      </c>
      <c r="BG427" s="118"/>
      <c r="BH427" s="120"/>
      <c r="BI427" s="118"/>
      <c r="BJ427" s="120"/>
    </row>
    <row r="428" spans="1:62" ht="15.75" customHeight="1">
      <c r="A428" s="18" t="str">
        <f t="array" aca="1" ref="A428" ca="1">IFERROR(TRANSPOSE(INDIRECT('「(動工中勿使用!!)新版+舊版_Teaser」的副本'!$BB428)),"")</f>
        <v/>
      </c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80" t="b">
        <v>0</v>
      </c>
      <c r="AF428" s="111" t="str">
        <f t="shared" si="13"/>
        <v/>
      </c>
      <c r="AG428" s="112" t="str">
        <f t="shared" si="9"/>
        <v/>
      </c>
      <c r="AH428" s="126"/>
      <c r="AI428" s="114" t="str">
        <f ca="1">IFERROR(VLOOKUP($AH428, '(勿動)Component Label公版'!$D$1:$E$1000, 2, FALSE), "-")</f>
        <v>-</v>
      </c>
      <c r="AJ428" s="115"/>
      <c r="AK428" s="112"/>
      <c r="AL428" s="112"/>
      <c r="AM428" s="116" t="str">
        <f t="shared" si="10"/>
        <v/>
      </c>
      <c r="AN428" s="117" t="str">
        <f t="shared" si="11"/>
        <v/>
      </c>
      <c r="AO428" s="158"/>
      <c r="AP428" s="18"/>
      <c r="AQ428" s="18"/>
      <c r="AR428" s="18"/>
      <c r="AS428" s="18"/>
      <c r="AT428" s="18"/>
      <c r="AU428" s="54" t="b">
        <v>0</v>
      </c>
      <c r="AV428" s="54" t="b">
        <v>0</v>
      </c>
      <c r="AW428" s="123"/>
      <c r="AX428" s="124"/>
      <c r="AY428" s="124"/>
      <c r="AZ428" s="124"/>
      <c r="BA428" s="125"/>
      <c r="BB428" s="68"/>
      <c r="BC428" s="62"/>
      <c r="BD428" s="129" t="str">
        <f t="shared" si="12"/>
        <v>_</v>
      </c>
      <c r="BE428" s="130" t="str">
        <f>IFERROR(VLOOKUP($BD428,'(勿動)組件目錄表'!$D$15:$R$1094,2,FALSE),"")</f>
        <v/>
      </c>
      <c r="BF428" s="131" t="str">
        <f>IFERROR(VLOOKUP($BD428, '(勿動)組件目錄表'!$D$15:$R$1094, 5, FALSE),"")</f>
        <v/>
      </c>
      <c r="BG428" s="118"/>
      <c r="BH428" s="120"/>
      <c r="BI428" s="118"/>
      <c r="BJ428" s="120"/>
    </row>
    <row r="429" spans="1:62" ht="15.75" customHeight="1">
      <c r="A429" s="18" t="str">
        <f t="array" aca="1" ref="A429" ca="1">IFERROR(TRANSPOSE(INDIRECT('「(動工中勿使用!!)新版+舊版_Teaser」的副本'!$BB429)),"")</f>
        <v/>
      </c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80" t="b">
        <v>0</v>
      </c>
      <c r="AF429" s="111" t="str">
        <f t="shared" si="13"/>
        <v/>
      </c>
      <c r="AG429" s="112" t="str">
        <f t="shared" si="9"/>
        <v/>
      </c>
      <c r="AH429" s="126"/>
      <c r="AI429" s="114" t="str">
        <f ca="1">IFERROR(VLOOKUP($AH429, '(勿動)Component Label公版'!$D$1:$E$1000, 2, FALSE), "-")</f>
        <v>-</v>
      </c>
      <c r="AJ429" s="115"/>
      <c r="AK429" s="112"/>
      <c r="AL429" s="112"/>
      <c r="AM429" s="116" t="str">
        <f t="shared" si="10"/>
        <v/>
      </c>
      <c r="AN429" s="117" t="str">
        <f t="shared" si="11"/>
        <v/>
      </c>
      <c r="AO429" s="158"/>
      <c r="AP429" s="18"/>
      <c r="AQ429" s="18"/>
      <c r="AR429" s="18"/>
      <c r="AS429" s="18"/>
      <c r="AT429" s="18"/>
      <c r="AU429" s="54" t="b">
        <v>0</v>
      </c>
      <c r="AV429" s="54" t="b">
        <v>0</v>
      </c>
      <c r="AW429" s="123"/>
      <c r="AX429" s="124"/>
      <c r="AY429" s="124"/>
      <c r="AZ429" s="124"/>
      <c r="BA429" s="125"/>
      <c r="BB429" s="68"/>
      <c r="BC429" s="62"/>
      <c r="BD429" s="129" t="str">
        <f t="shared" si="12"/>
        <v>_</v>
      </c>
      <c r="BE429" s="130" t="str">
        <f>IFERROR(VLOOKUP($BD429,'(勿動)組件目錄表'!$D$15:$R$1094,2,FALSE),"")</f>
        <v/>
      </c>
      <c r="BF429" s="131" t="str">
        <f>IFERROR(VLOOKUP($BD429, '(勿動)組件目錄表'!$D$15:$R$1094, 5, FALSE),"")</f>
        <v/>
      </c>
      <c r="BG429" s="118"/>
      <c r="BH429" s="120"/>
      <c r="BI429" s="118"/>
      <c r="BJ429" s="120"/>
    </row>
    <row r="430" spans="1:62" ht="15.75" customHeight="1">
      <c r="A430" s="18" t="str">
        <f t="array" aca="1" ref="A430" ca="1">IFERROR(TRANSPOSE(INDIRECT('「(動工中勿使用!!)新版+舊版_Teaser」的副本'!$BB430)),"")</f>
        <v/>
      </c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80" t="b">
        <v>0</v>
      </c>
      <c r="AF430" s="111" t="str">
        <f t="shared" si="13"/>
        <v/>
      </c>
      <c r="AG430" s="112" t="str">
        <f t="shared" si="9"/>
        <v/>
      </c>
      <c r="AH430" s="126"/>
      <c r="AI430" s="114" t="str">
        <f ca="1">IFERROR(VLOOKUP($AH430, '(勿動)Component Label公版'!$D$1:$E$1000, 2, FALSE), "-")</f>
        <v>-</v>
      </c>
      <c r="AJ430" s="115"/>
      <c r="AK430" s="112"/>
      <c r="AL430" s="112"/>
      <c r="AM430" s="116" t="str">
        <f t="shared" si="10"/>
        <v/>
      </c>
      <c r="AN430" s="117" t="str">
        <f t="shared" si="11"/>
        <v/>
      </c>
      <c r="AO430" s="158"/>
      <c r="AP430" s="18"/>
      <c r="AQ430" s="18"/>
      <c r="AR430" s="18"/>
      <c r="AS430" s="18"/>
      <c r="AT430" s="18"/>
      <c r="AU430" s="54" t="b">
        <v>0</v>
      </c>
      <c r="AV430" s="54" t="b">
        <v>0</v>
      </c>
      <c r="AW430" s="123"/>
      <c r="AX430" s="124"/>
      <c r="AY430" s="124"/>
      <c r="AZ430" s="124"/>
      <c r="BA430" s="125"/>
      <c r="BB430" s="68"/>
      <c r="BC430" s="62"/>
      <c r="BD430" s="129" t="str">
        <f t="shared" si="12"/>
        <v>_</v>
      </c>
      <c r="BE430" s="130" t="str">
        <f>IFERROR(VLOOKUP($BD430,'(勿動)組件目錄表'!$D$15:$R$1094,2,FALSE),"")</f>
        <v/>
      </c>
      <c r="BF430" s="131" t="str">
        <f>IFERROR(VLOOKUP($BD430, '(勿動)組件目錄表'!$D$15:$R$1094, 5, FALSE),"")</f>
        <v/>
      </c>
      <c r="BG430" s="118"/>
      <c r="BH430" s="120"/>
      <c r="BI430" s="118"/>
      <c r="BJ430" s="120"/>
    </row>
    <row r="431" spans="1:62" ht="15.75" customHeight="1">
      <c r="A431" s="18" t="str">
        <f t="array" aca="1" ref="A431" ca="1">IFERROR(TRANSPOSE(INDIRECT('「(動工中勿使用!!)新版+舊版_Teaser」的副本'!$BB431)),"")</f>
        <v/>
      </c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80" t="b">
        <v>0</v>
      </c>
      <c r="AF431" s="111" t="str">
        <f t="shared" si="13"/>
        <v/>
      </c>
      <c r="AG431" s="112" t="str">
        <f t="shared" si="9"/>
        <v/>
      </c>
      <c r="AH431" s="126"/>
      <c r="AI431" s="114" t="str">
        <f ca="1">IFERROR(VLOOKUP($AH431, '(勿動)Component Label公版'!$D$1:$E$1000, 2, FALSE), "-")</f>
        <v>-</v>
      </c>
      <c r="AJ431" s="115"/>
      <c r="AK431" s="112"/>
      <c r="AL431" s="112"/>
      <c r="AM431" s="116" t="str">
        <f t="shared" si="10"/>
        <v/>
      </c>
      <c r="AN431" s="117" t="str">
        <f t="shared" si="11"/>
        <v/>
      </c>
      <c r="AO431" s="158"/>
      <c r="AP431" s="18"/>
      <c r="AQ431" s="18"/>
      <c r="AR431" s="18"/>
      <c r="AS431" s="18"/>
      <c r="AT431" s="18"/>
      <c r="AU431" s="54" t="b">
        <v>0</v>
      </c>
      <c r="AV431" s="54" t="b">
        <v>0</v>
      </c>
      <c r="AW431" s="123"/>
      <c r="AX431" s="124"/>
      <c r="AY431" s="124"/>
      <c r="AZ431" s="124"/>
      <c r="BA431" s="125"/>
      <c r="BB431" s="68"/>
      <c r="BC431" s="62"/>
      <c r="BD431" s="129" t="str">
        <f t="shared" si="12"/>
        <v>_</v>
      </c>
      <c r="BE431" s="130" t="str">
        <f>IFERROR(VLOOKUP($BD431,'(勿動)組件目錄表'!$D$15:$R$1094,2,FALSE),"")</f>
        <v/>
      </c>
      <c r="BF431" s="131" t="str">
        <f>IFERROR(VLOOKUP($BD431, '(勿動)組件目錄表'!$D$15:$R$1094, 5, FALSE),"")</f>
        <v/>
      </c>
      <c r="BG431" s="118"/>
      <c r="BH431" s="120"/>
      <c r="BI431" s="118"/>
      <c r="BJ431" s="120"/>
    </row>
    <row r="432" spans="1:62" ht="15.75" customHeight="1">
      <c r="A432" s="18" t="str">
        <f t="array" aca="1" ref="A432" ca="1">IFERROR(TRANSPOSE(INDIRECT('「(動工中勿使用!!)新版+舊版_Teaser」的副本'!$BB432)),"")</f>
        <v/>
      </c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80" t="b">
        <v>0</v>
      </c>
      <c r="AF432" s="111" t="str">
        <f t="shared" si="13"/>
        <v/>
      </c>
      <c r="AG432" s="112" t="str">
        <f t="shared" si="9"/>
        <v/>
      </c>
      <c r="AH432" s="126"/>
      <c r="AI432" s="114" t="str">
        <f ca="1">IFERROR(VLOOKUP($AH432, '(勿動)Component Label公版'!$D$1:$E$1000, 2, FALSE), "-")</f>
        <v>-</v>
      </c>
      <c r="AJ432" s="115"/>
      <c r="AK432" s="112"/>
      <c r="AL432" s="112"/>
      <c r="AM432" s="116" t="str">
        <f t="shared" si="10"/>
        <v/>
      </c>
      <c r="AN432" s="117" t="str">
        <f t="shared" si="11"/>
        <v/>
      </c>
      <c r="AO432" s="158"/>
      <c r="AP432" s="18"/>
      <c r="AQ432" s="18"/>
      <c r="AR432" s="18"/>
      <c r="AS432" s="18"/>
      <c r="AT432" s="18"/>
      <c r="AU432" s="54" t="b">
        <v>0</v>
      </c>
      <c r="AV432" s="54" t="b">
        <v>0</v>
      </c>
      <c r="AW432" s="123"/>
      <c r="AX432" s="124"/>
      <c r="AY432" s="124"/>
      <c r="AZ432" s="124"/>
      <c r="BA432" s="125"/>
      <c r="BB432" s="68"/>
      <c r="BC432" s="62"/>
      <c r="BD432" s="129" t="str">
        <f t="shared" si="12"/>
        <v>_</v>
      </c>
      <c r="BE432" s="130" t="str">
        <f>IFERROR(VLOOKUP($BD432,'(勿動)組件目錄表'!$D$15:$R$1094,2,FALSE),"")</f>
        <v/>
      </c>
      <c r="BF432" s="131" t="str">
        <f>IFERROR(VLOOKUP($BD432, '(勿動)組件目錄表'!$D$15:$R$1094, 5, FALSE),"")</f>
        <v/>
      </c>
      <c r="BG432" s="118"/>
      <c r="BH432" s="120"/>
      <c r="BI432" s="118"/>
      <c r="BJ432" s="120"/>
    </row>
    <row r="433" spans="1:62" ht="15.75" customHeight="1">
      <c r="A433" s="18" t="str">
        <f t="array" aca="1" ref="A433" ca="1">IFERROR(TRANSPOSE(INDIRECT('「(動工中勿使用!!)新版+舊版_Teaser」的副本'!$BB433)),"")</f>
        <v/>
      </c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80" t="b">
        <v>0</v>
      </c>
      <c r="AF433" s="111" t="str">
        <f t="shared" si="13"/>
        <v/>
      </c>
      <c r="AG433" s="112" t="str">
        <f t="shared" si="9"/>
        <v/>
      </c>
      <c r="AH433" s="126"/>
      <c r="AI433" s="114" t="str">
        <f ca="1">IFERROR(VLOOKUP($AH433, '(勿動)Component Label公版'!$D$1:$E$1000, 2, FALSE), "-")</f>
        <v>-</v>
      </c>
      <c r="AJ433" s="115"/>
      <c r="AK433" s="112"/>
      <c r="AL433" s="112"/>
      <c r="AM433" s="116" t="str">
        <f t="shared" si="10"/>
        <v/>
      </c>
      <c r="AN433" s="117" t="str">
        <f t="shared" si="11"/>
        <v/>
      </c>
      <c r="AO433" s="158"/>
      <c r="AP433" s="18"/>
      <c r="AQ433" s="18"/>
      <c r="AR433" s="18"/>
      <c r="AS433" s="18"/>
      <c r="AT433" s="18"/>
      <c r="AU433" s="54" t="b">
        <v>0</v>
      </c>
      <c r="AV433" s="54" t="b">
        <v>0</v>
      </c>
      <c r="AW433" s="123"/>
      <c r="AX433" s="124"/>
      <c r="AY433" s="124"/>
      <c r="AZ433" s="124"/>
      <c r="BA433" s="125"/>
      <c r="BB433" s="68"/>
      <c r="BC433" s="62"/>
      <c r="BD433" s="129" t="str">
        <f t="shared" si="12"/>
        <v>_</v>
      </c>
      <c r="BE433" s="130" t="str">
        <f>IFERROR(VLOOKUP($BD433,'(勿動)組件目錄表'!$D$15:$R$1094,2,FALSE),"")</f>
        <v/>
      </c>
      <c r="BF433" s="131" t="str">
        <f>IFERROR(VLOOKUP($BD433, '(勿動)組件目錄表'!$D$15:$R$1094, 5, FALSE),"")</f>
        <v/>
      </c>
      <c r="BG433" s="118"/>
      <c r="BH433" s="120"/>
      <c r="BI433" s="118"/>
      <c r="BJ433" s="120"/>
    </row>
    <row r="434" spans="1:62" ht="15.75" customHeight="1">
      <c r="A434" s="18" t="str">
        <f t="array" aca="1" ref="A434" ca="1">IFERROR(TRANSPOSE(INDIRECT('「(動工中勿使用!!)新版+舊版_Teaser」的副本'!$BB434)),"")</f>
        <v/>
      </c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80" t="b">
        <v>0</v>
      </c>
      <c r="AF434" s="111" t="str">
        <f t="shared" si="13"/>
        <v/>
      </c>
      <c r="AG434" s="112" t="str">
        <f t="shared" si="9"/>
        <v/>
      </c>
      <c r="AH434" s="126"/>
      <c r="AI434" s="114" t="str">
        <f ca="1">IFERROR(VLOOKUP($AH434, '(勿動)Component Label公版'!$D$1:$E$1000, 2, FALSE), "-")</f>
        <v>-</v>
      </c>
      <c r="AJ434" s="115"/>
      <c r="AK434" s="112"/>
      <c r="AL434" s="112"/>
      <c r="AM434" s="116" t="str">
        <f t="shared" si="10"/>
        <v/>
      </c>
      <c r="AN434" s="117" t="str">
        <f t="shared" si="11"/>
        <v/>
      </c>
      <c r="AO434" s="158"/>
      <c r="AP434" s="18"/>
      <c r="AQ434" s="18"/>
      <c r="AR434" s="18"/>
      <c r="AS434" s="18"/>
      <c r="AT434" s="18"/>
      <c r="AU434" s="54" t="b">
        <v>0</v>
      </c>
      <c r="AV434" s="54" t="b">
        <v>0</v>
      </c>
      <c r="AW434" s="123"/>
      <c r="AX434" s="124"/>
      <c r="AY434" s="124"/>
      <c r="AZ434" s="124"/>
      <c r="BA434" s="125"/>
      <c r="BB434" s="68"/>
      <c r="BC434" s="62"/>
      <c r="BD434" s="129" t="str">
        <f t="shared" si="12"/>
        <v>_</v>
      </c>
      <c r="BE434" s="130" t="str">
        <f>IFERROR(VLOOKUP($BD434,'(勿動)組件目錄表'!$D$15:$R$1094,2,FALSE),"")</f>
        <v/>
      </c>
      <c r="BF434" s="131" t="str">
        <f>IFERROR(VLOOKUP($BD434, '(勿動)組件目錄表'!$D$15:$R$1094, 5, FALSE),"")</f>
        <v/>
      </c>
      <c r="BG434" s="118"/>
      <c r="BH434" s="120"/>
      <c r="BI434" s="118"/>
      <c r="BJ434" s="120"/>
    </row>
    <row r="435" spans="1:62" ht="15.75" customHeight="1">
      <c r="A435" s="18" t="str">
        <f t="array" aca="1" ref="A435" ca="1">IFERROR(TRANSPOSE(INDIRECT('「(動工中勿使用!!)新版+舊版_Teaser」的副本'!$BB435)),"")</f>
        <v/>
      </c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80" t="b">
        <v>0</v>
      </c>
      <c r="AF435" s="111" t="str">
        <f t="shared" si="13"/>
        <v/>
      </c>
      <c r="AG435" s="112" t="str">
        <f t="shared" si="9"/>
        <v/>
      </c>
      <c r="AH435" s="126"/>
      <c r="AI435" s="114" t="str">
        <f ca="1">IFERROR(VLOOKUP($AH435, '(勿動)Component Label公版'!$D$1:$E$1000, 2, FALSE), "-")</f>
        <v>-</v>
      </c>
      <c r="AJ435" s="115"/>
      <c r="AK435" s="112"/>
      <c r="AL435" s="112"/>
      <c r="AM435" s="116" t="str">
        <f t="shared" si="10"/>
        <v/>
      </c>
      <c r="AN435" s="117" t="str">
        <f t="shared" si="11"/>
        <v/>
      </c>
      <c r="AO435" s="158"/>
      <c r="AP435" s="18"/>
      <c r="AQ435" s="18"/>
      <c r="AR435" s="18"/>
      <c r="AS435" s="18"/>
      <c r="AT435" s="18"/>
      <c r="AU435" s="54" t="b">
        <v>0</v>
      </c>
      <c r="AV435" s="54" t="b">
        <v>0</v>
      </c>
      <c r="AW435" s="123"/>
      <c r="AX435" s="124"/>
      <c r="AY435" s="124"/>
      <c r="AZ435" s="124"/>
      <c r="BA435" s="125"/>
      <c r="BB435" s="68"/>
      <c r="BC435" s="62"/>
      <c r="BD435" s="129" t="str">
        <f t="shared" si="12"/>
        <v>_</v>
      </c>
      <c r="BE435" s="130" t="str">
        <f>IFERROR(VLOOKUP($BD435,'(勿動)組件目錄表'!$D$15:$R$1094,2,FALSE),"")</f>
        <v/>
      </c>
      <c r="BF435" s="131" t="str">
        <f>IFERROR(VLOOKUP($BD435, '(勿動)組件目錄表'!$D$15:$R$1094, 5, FALSE),"")</f>
        <v/>
      </c>
      <c r="BG435" s="118"/>
      <c r="BH435" s="120"/>
      <c r="BI435" s="118"/>
      <c r="BJ435" s="120"/>
    </row>
    <row r="436" spans="1:62" ht="15.75" customHeight="1">
      <c r="A436" s="18" t="str">
        <f t="array" aca="1" ref="A436" ca="1">IFERROR(TRANSPOSE(INDIRECT('「(動工中勿使用!!)新版+舊版_Teaser」的副本'!$BB436)),"")</f>
        <v/>
      </c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80" t="b">
        <v>0</v>
      </c>
      <c r="AF436" s="111" t="str">
        <f t="shared" si="13"/>
        <v/>
      </c>
      <c r="AG436" s="112" t="str">
        <f t="shared" si="9"/>
        <v/>
      </c>
      <c r="AH436" s="126"/>
      <c r="AI436" s="114" t="str">
        <f ca="1">IFERROR(VLOOKUP($AH436, '(勿動)Component Label公版'!$D$1:$E$1000, 2, FALSE), "-")</f>
        <v>-</v>
      </c>
      <c r="AJ436" s="115"/>
      <c r="AK436" s="112"/>
      <c r="AL436" s="112"/>
      <c r="AM436" s="116" t="str">
        <f t="shared" si="10"/>
        <v/>
      </c>
      <c r="AN436" s="117" t="str">
        <f t="shared" si="11"/>
        <v/>
      </c>
      <c r="AO436" s="158"/>
      <c r="AP436" s="18"/>
      <c r="AQ436" s="18"/>
      <c r="AR436" s="18"/>
      <c r="AS436" s="18"/>
      <c r="AT436" s="18"/>
      <c r="AU436" s="54" t="b">
        <v>0</v>
      </c>
      <c r="AV436" s="54" t="b">
        <v>0</v>
      </c>
      <c r="AW436" s="123"/>
      <c r="AX436" s="124"/>
      <c r="AY436" s="124"/>
      <c r="AZ436" s="124"/>
      <c r="BA436" s="125"/>
      <c r="BB436" s="68"/>
      <c r="BC436" s="62"/>
      <c r="BD436" s="129" t="str">
        <f t="shared" si="12"/>
        <v>_</v>
      </c>
      <c r="BE436" s="130" t="str">
        <f>IFERROR(VLOOKUP($BD436,'(勿動)組件目錄表'!$D$15:$R$1094,2,FALSE),"")</f>
        <v/>
      </c>
      <c r="BF436" s="131" t="str">
        <f>IFERROR(VLOOKUP($BD436, '(勿動)組件目錄表'!$D$15:$R$1094, 5, FALSE),"")</f>
        <v/>
      </c>
      <c r="BG436" s="118"/>
      <c r="BH436" s="120"/>
      <c r="BI436" s="118"/>
      <c r="BJ436" s="120"/>
    </row>
    <row r="437" spans="1:62" ht="15.75" customHeight="1">
      <c r="A437" s="18" t="str">
        <f t="array" aca="1" ref="A437" ca="1">IFERROR(TRANSPOSE(INDIRECT('「(動工中勿使用!!)新版+舊版_Teaser」的副本'!$BB437)),"")</f>
        <v/>
      </c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80" t="b">
        <v>0</v>
      </c>
      <c r="AF437" s="111" t="str">
        <f t="shared" si="13"/>
        <v/>
      </c>
      <c r="AG437" s="112" t="str">
        <f t="shared" si="9"/>
        <v/>
      </c>
      <c r="AH437" s="126"/>
      <c r="AI437" s="114" t="str">
        <f ca="1">IFERROR(VLOOKUP($AH437, '(勿動)Component Label公版'!$D$1:$E$1000, 2, FALSE), "-")</f>
        <v>-</v>
      </c>
      <c r="AJ437" s="115"/>
      <c r="AK437" s="112"/>
      <c r="AL437" s="112"/>
      <c r="AM437" s="116" t="str">
        <f t="shared" si="10"/>
        <v/>
      </c>
      <c r="AN437" s="117" t="str">
        <f t="shared" si="11"/>
        <v/>
      </c>
      <c r="AO437" s="158"/>
      <c r="AP437" s="18"/>
      <c r="AQ437" s="18"/>
      <c r="AR437" s="18"/>
      <c r="AS437" s="18"/>
      <c r="AT437" s="18"/>
      <c r="AU437" s="54" t="b">
        <v>0</v>
      </c>
      <c r="AV437" s="54" t="b">
        <v>0</v>
      </c>
      <c r="AW437" s="123"/>
      <c r="AX437" s="124"/>
      <c r="AY437" s="124"/>
      <c r="AZ437" s="124"/>
      <c r="BA437" s="125"/>
      <c r="BB437" s="68"/>
      <c r="BC437" s="62"/>
      <c r="BD437" s="129" t="str">
        <f t="shared" si="12"/>
        <v>_</v>
      </c>
      <c r="BE437" s="130" t="str">
        <f>IFERROR(VLOOKUP($BD437,'(勿動)組件目錄表'!$D$15:$R$1094,2,FALSE),"")</f>
        <v/>
      </c>
      <c r="BF437" s="131" t="str">
        <f>IFERROR(VLOOKUP($BD437, '(勿動)組件目錄表'!$D$15:$R$1094, 5, FALSE),"")</f>
        <v/>
      </c>
      <c r="BG437" s="118"/>
      <c r="BH437" s="120"/>
      <c r="BI437" s="118"/>
      <c r="BJ437" s="120"/>
    </row>
    <row r="438" spans="1:62" ht="15.75" customHeight="1">
      <c r="A438" s="18" t="str">
        <f t="array" aca="1" ref="A438" ca="1">IFERROR(TRANSPOSE(INDIRECT('「(動工中勿使用!!)新版+舊版_Teaser」的副本'!$BB438)),"")</f>
        <v/>
      </c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80" t="b">
        <v>0</v>
      </c>
      <c r="AF438" s="111" t="str">
        <f t="shared" si="13"/>
        <v/>
      </c>
      <c r="AG438" s="112" t="str">
        <f t="shared" si="9"/>
        <v/>
      </c>
      <c r="AH438" s="126"/>
      <c r="AI438" s="114" t="str">
        <f ca="1">IFERROR(VLOOKUP($AH438, '(勿動)Component Label公版'!$D$1:$E$1000, 2, FALSE), "-")</f>
        <v>-</v>
      </c>
      <c r="AJ438" s="115"/>
      <c r="AK438" s="112"/>
      <c r="AL438" s="112"/>
      <c r="AM438" s="116" t="str">
        <f t="shared" si="10"/>
        <v/>
      </c>
      <c r="AN438" s="117" t="str">
        <f t="shared" si="11"/>
        <v/>
      </c>
      <c r="AO438" s="158"/>
      <c r="AP438" s="18"/>
      <c r="AQ438" s="18"/>
      <c r="AR438" s="18"/>
      <c r="AS438" s="18"/>
      <c r="AT438" s="18"/>
      <c r="AU438" s="54" t="b">
        <v>0</v>
      </c>
      <c r="AV438" s="54" t="b">
        <v>0</v>
      </c>
      <c r="AW438" s="123"/>
      <c r="AX438" s="124"/>
      <c r="AY438" s="124"/>
      <c r="AZ438" s="124"/>
      <c r="BA438" s="125"/>
      <c r="BB438" s="68"/>
      <c r="BC438" s="62"/>
      <c r="BD438" s="129" t="str">
        <f t="shared" si="12"/>
        <v>_</v>
      </c>
      <c r="BE438" s="130" t="str">
        <f>IFERROR(VLOOKUP($BD438,'(勿動)組件目錄表'!$D$15:$R$1094,2,FALSE),"")</f>
        <v/>
      </c>
      <c r="BF438" s="131" t="str">
        <f>IFERROR(VLOOKUP($BD438, '(勿動)組件目錄表'!$D$15:$R$1094, 5, FALSE),"")</f>
        <v/>
      </c>
      <c r="BG438" s="118"/>
      <c r="BH438" s="120"/>
      <c r="BI438" s="118"/>
      <c r="BJ438" s="120"/>
    </row>
    <row r="439" spans="1:62" ht="15.75" customHeight="1">
      <c r="A439" s="18" t="str">
        <f t="array" aca="1" ref="A439" ca="1">IFERROR(TRANSPOSE(INDIRECT('「(動工中勿使用!!)新版+舊版_Teaser」的副本'!$BB439)),"")</f>
        <v/>
      </c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80" t="b">
        <v>0</v>
      </c>
      <c r="AF439" s="111" t="str">
        <f t="shared" si="13"/>
        <v/>
      </c>
      <c r="AG439" s="112" t="str">
        <f t="shared" si="9"/>
        <v/>
      </c>
      <c r="AH439" s="126"/>
      <c r="AI439" s="114" t="str">
        <f ca="1">IFERROR(VLOOKUP($AH439, '(勿動)Component Label公版'!$D$1:$E$1000, 2, FALSE), "-")</f>
        <v>-</v>
      </c>
      <c r="AJ439" s="115"/>
      <c r="AK439" s="112"/>
      <c r="AL439" s="112"/>
      <c r="AM439" s="116" t="str">
        <f t="shared" si="10"/>
        <v/>
      </c>
      <c r="AN439" s="117" t="str">
        <f t="shared" si="11"/>
        <v/>
      </c>
      <c r="AO439" s="158"/>
      <c r="AP439" s="18"/>
      <c r="AQ439" s="18"/>
      <c r="AR439" s="18"/>
      <c r="AS439" s="18"/>
      <c r="AT439" s="18"/>
      <c r="AU439" s="54" t="b">
        <v>0</v>
      </c>
      <c r="AV439" s="54" t="b">
        <v>0</v>
      </c>
      <c r="AW439" s="123"/>
      <c r="AX439" s="124"/>
      <c r="AY439" s="124"/>
      <c r="AZ439" s="124"/>
      <c r="BA439" s="125"/>
      <c r="BB439" s="68"/>
      <c r="BC439" s="62"/>
      <c r="BD439" s="129" t="str">
        <f t="shared" si="12"/>
        <v>_</v>
      </c>
      <c r="BE439" s="130" t="str">
        <f>IFERROR(VLOOKUP($BD439,'(勿動)組件目錄表'!$D$15:$R$1094,2,FALSE),"")</f>
        <v/>
      </c>
      <c r="BF439" s="131" t="str">
        <f>IFERROR(VLOOKUP($BD439, '(勿動)組件目錄表'!$D$15:$R$1094, 5, FALSE),"")</f>
        <v/>
      </c>
      <c r="BG439" s="118"/>
      <c r="BH439" s="120"/>
      <c r="BI439" s="118"/>
      <c r="BJ439" s="120"/>
    </row>
    <row r="440" spans="1:62" ht="15.75" customHeight="1">
      <c r="A440" s="18" t="str">
        <f t="array" aca="1" ref="A440" ca="1">IFERROR(TRANSPOSE(INDIRECT('「(動工中勿使用!!)新版+舊版_Teaser」的副本'!$BB440)),"")</f>
        <v/>
      </c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80" t="b">
        <v>0</v>
      </c>
      <c r="AF440" s="111" t="str">
        <f t="shared" si="13"/>
        <v/>
      </c>
      <c r="AG440" s="112" t="str">
        <f t="shared" si="9"/>
        <v/>
      </c>
      <c r="AH440" s="126"/>
      <c r="AI440" s="114" t="str">
        <f ca="1">IFERROR(VLOOKUP($AH440, '(勿動)Component Label公版'!$D$1:$E$1000, 2, FALSE), "-")</f>
        <v>-</v>
      </c>
      <c r="AJ440" s="115"/>
      <c r="AK440" s="112"/>
      <c r="AL440" s="112"/>
      <c r="AM440" s="116" t="str">
        <f t="shared" si="10"/>
        <v/>
      </c>
      <c r="AN440" s="117" t="str">
        <f t="shared" si="11"/>
        <v/>
      </c>
      <c r="AO440" s="158"/>
      <c r="AP440" s="18"/>
      <c r="AQ440" s="18"/>
      <c r="AR440" s="18"/>
      <c r="AS440" s="18"/>
      <c r="AT440" s="18"/>
      <c r="AU440" s="54" t="b">
        <v>0</v>
      </c>
      <c r="AV440" s="54" t="b">
        <v>0</v>
      </c>
      <c r="AW440" s="123"/>
      <c r="AX440" s="124"/>
      <c r="AY440" s="124"/>
      <c r="AZ440" s="124"/>
      <c r="BA440" s="125"/>
      <c r="BB440" s="68"/>
      <c r="BC440" s="62"/>
      <c r="BD440" s="129" t="str">
        <f t="shared" si="12"/>
        <v>_</v>
      </c>
      <c r="BE440" s="130" t="str">
        <f>IFERROR(VLOOKUP($BD440,'(勿動)組件目錄表'!$D$15:$R$1094,2,FALSE),"")</f>
        <v/>
      </c>
      <c r="BF440" s="131" t="str">
        <f>IFERROR(VLOOKUP($BD440, '(勿動)組件目錄表'!$D$15:$R$1094, 5, FALSE),"")</f>
        <v/>
      </c>
      <c r="BG440" s="118"/>
      <c r="BH440" s="120"/>
      <c r="BI440" s="118"/>
      <c r="BJ440" s="120"/>
    </row>
    <row r="441" spans="1:62" ht="15.75" customHeight="1">
      <c r="A441" s="18" t="str">
        <f t="array" aca="1" ref="A441" ca="1">IFERROR(TRANSPOSE(INDIRECT('「(動工中勿使用!!)新版+舊版_Teaser」的副本'!$BB441)),"")</f>
        <v/>
      </c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80" t="b">
        <v>0</v>
      </c>
      <c r="AF441" s="111" t="str">
        <f t="shared" si="13"/>
        <v/>
      </c>
      <c r="AG441" s="112" t="str">
        <f t="shared" si="9"/>
        <v/>
      </c>
      <c r="AH441" s="126"/>
      <c r="AI441" s="114" t="str">
        <f ca="1">IFERROR(VLOOKUP($AH441, '(勿動)Component Label公版'!$D$1:$E$1000, 2, FALSE), "-")</f>
        <v>-</v>
      </c>
      <c r="AJ441" s="115"/>
      <c r="AK441" s="112"/>
      <c r="AL441" s="112"/>
      <c r="AM441" s="116" t="str">
        <f t="shared" si="10"/>
        <v/>
      </c>
      <c r="AN441" s="117" t="str">
        <f t="shared" si="11"/>
        <v/>
      </c>
      <c r="AO441" s="158"/>
      <c r="AP441" s="18"/>
      <c r="AQ441" s="18"/>
      <c r="AR441" s="18"/>
      <c r="AS441" s="18"/>
      <c r="AT441" s="18"/>
      <c r="AU441" s="54" t="b">
        <v>0</v>
      </c>
      <c r="AV441" s="54" t="b">
        <v>0</v>
      </c>
      <c r="AW441" s="123"/>
      <c r="AX441" s="124"/>
      <c r="AY441" s="124"/>
      <c r="AZ441" s="124"/>
      <c r="BA441" s="125"/>
      <c r="BB441" s="68"/>
      <c r="BC441" s="62"/>
      <c r="BD441" s="129" t="str">
        <f t="shared" si="12"/>
        <v>_</v>
      </c>
      <c r="BE441" s="130" t="str">
        <f>IFERROR(VLOOKUP($BD441,'(勿動)組件目錄表'!$D$15:$R$1094,2,FALSE),"")</f>
        <v/>
      </c>
      <c r="BF441" s="131" t="str">
        <f>IFERROR(VLOOKUP($BD441, '(勿動)組件目錄表'!$D$15:$R$1094, 5, FALSE),"")</f>
        <v/>
      </c>
      <c r="BG441" s="118"/>
      <c r="BH441" s="120"/>
      <c r="BI441" s="118"/>
      <c r="BJ441" s="120"/>
    </row>
    <row r="442" spans="1:62" ht="15.75" customHeight="1">
      <c r="A442" s="18" t="str">
        <f t="array" aca="1" ref="A442" ca="1">IFERROR(TRANSPOSE(INDIRECT('「(動工中勿使用!!)新版+舊版_Teaser」的副本'!$BB442)),"")</f>
        <v/>
      </c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80" t="b">
        <v>0</v>
      </c>
      <c r="AF442" s="111" t="str">
        <f t="shared" si="13"/>
        <v/>
      </c>
      <c r="AG442" s="112" t="str">
        <f t="shared" si="9"/>
        <v/>
      </c>
      <c r="AH442" s="126"/>
      <c r="AI442" s="114" t="str">
        <f ca="1">IFERROR(VLOOKUP($AH442, '(勿動)Component Label公版'!$D$1:$E$1000, 2, FALSE), "-")</f>
        <v>-</v>
      </c>
      <c r="AJ442" s="115"/>
      <c r="AK442" s="112"/>
      <c r="AL442" s="112"/>
      <c r="AM442" s="116" t="str">
        <f t="shared" si="10"/>
        <v/>
      </c>
      <c r="AN442" s="117" t="str">
        <f t="shared" si="11"/>
        <v/>
      </c>
      <c r="AO442" s="158"/>
      <c r="AP442" s="18"/>
      <c r="AQ442" s="18"/>
      <c r="AR442" s="18"/>
      <c r="AS442" s="18"/>
      <c r="AT442" s="18"/>
      <c r="AU442" s="54" t="b">
        <v>0</v>
      </c>
      <c r="AV442" s="54" t="b">
        <v>0</v>
      </c>
      <c r="AW442" s="123"/>
      <c r="AX442" s="124"/>
      <c r="AY442" s="124"/>
      <c r="AZ442" s="124"/>
      <c r="BA442" s="125"/>
      <c r="BB442" s="68"/>
      <c r="BC442" s="62"/>
      <c r="BD442" s="129" t="str">
        <f t="shared" si="12"/>
        <v>_</v>
      </c>
      <c r="BE442" s="130" t="str">
        <f>IFERROR(VLOOKUP($BD442,'(勿動)組件目錄表'!$D$15:$R$1094,2,FALSE),"")</f>
        <v/>
      </c>
      <c r="BF442" s="131" t="str">
        <f>IFERROR(VLOOKUP($BD442, '(勿動)組件目錄表'!$D$15:$R$1094, 5, FALSE),"")</f>
        <v/>
      </c>
      <c r="BG442" s="118"/>
      <c r="BH442" s="120"/>
      <c r="BI442" s="118"/>
      <c r="BJ442" s="120"/>
    </row>
    <row r="443" spans="1:62" ht="15.75" customHeight="1">
      <c r="A443" s="18" t="str">
        <f t="array" aca="1" ref="A443" ca="1">IFERROR(TRANSPOSE(INDIRECT('「(動工中勿使用!!)新版+舊版_Teaser」的副本'!$BB443)),"")</f>
        <v/>
      </c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80" t="b">
        <v>0</v>
      </c>
      <c r="AF443" s="111" t="str">
        <f t="shared" si="13"/>
        <v/>
      </c>
      <c r="AG443" s="112" t="str">
        <f t="shared" si="9"/>
        <v/>
      </c>
      <c r="AH443" s="126"/>
      <c r="AI443" s="114" t="str">
        <f ca="1">IFERROR(VLOOKUP($AH443, '(勿動)Component Label公版'!$D$1:$E$1000, 2, FALSE), "-")</f>
        <v>-</v>
      </c>
      <c r="AJ443" s="115"/>
      <c r="AK443" s="112"/>
      <c r="AL443" s="112"/>
      <c r="AM443" s="116" t="str">
        <f t="shared" si="10"/>
        <v/>
      </c>
      <c r="AN443" s="117" t="str">
        <f t="shared" si="11"/>
        <v/>
      </c>
      <c r="AO443" s="158"/>
      <c r="AP443" s="18"/>
      <c r="AQ443" s="18"/>
      <c r="AR443" s="18"/>
      <c r="AS443" s="18"/>
      <c r="AT443" s="18"/>
      <c r="AU443" s="54" t="b">
        <v>0</v>
      </c>
      <c r="AV443" s="54" t="b">
        <v>0</v>
      </c>
      <c r="AW443" s="123"/>
      <c r="AX443" s="124"/>
      <c r="AY443" s="124"/>
      <c r="AZ443" s="124"/>
      <c r="BA443" s="125"/>
      <c r="BB443" s="68"/>
      <c r="BC443" s="62"/>
      <c r="BD443" s="129" t="str">
        <f t="shared" si="12"/>
        <v>_</v>
      </c>
      <c r="BE443" s="130" t="str">
        <f>IFERROR(VLOOKUP($BD443,'(勿動)組件目錄表'!$D$15:$R$1094,2,FALSE),"")</f>
        <v/>
      </c>
      <c r="BF443" s="131" t="str">
        <f>IFERROR(VLOOKUP($BD443, '(勿動)組件目錄表'!$D$15:$R$1094, 5, FALSE),"")</f>
        <v/>
      </c>
      <c r="BG443" s="118"/>
      <c r="BH443" s="120"/>
      <c r="BI443" s="118"/>
      <c r="BJ443" s="120"/>
    </row>
    <row r="444" spans="1:62" ht="15.75" customHeight="1">
      <c r="A444" s="18" t="str">
        <f t="array" aca="1" ref="A444" ca="1">IFERROR(TRANSPOSE(INDIRECT('「(動工中勿使用!!)新版+舊版_Teaser」的副本'!$BB444)),"")</f>
        <v/>
      </c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80" t="b">
        <v>0</v>
      </c>
      <c r="AF444" s="111" t="str">
        <f t="shared" si="13"/>
        <v/>
      </c>
      <c r="AG444" s="112" t="str">
        <f t="shared" si="9"/>
        <v/>
      </c>
      <c r="AH444" s="126"/>
      <c r="AI444" s="114" t="str">
        <f ca="1">IFERROR(VLOOKUP($AH444, '(勿動)Component Label公版'!$D$1:$E$1000, 2, FALSE), "-")</f>
        <v>-</v>
      </c>
      <c r="AJ444" s="115"/>
      <c r="AK444" s="112"/>
      <c r="AL444" s="112"/>
      <c r="AM444" s="116" t="str">
        <f t="shared" si="10"/>
        <v/>
      </c>
      <c r="AN444" s="117" t="str">
        <f t="shared" si="11"/>
        <v/>
      </c>
      <c r="AO444" s="158"/>
      <c r="AP444" s="18"/>
      <c r="AQ444" s="18"/>
      <c r="AR444" s="18"/>
      <c r="AS444" s="18"/>
      <c r="AT444" s="18"/>
      <c r="AU444" s="54" t="b">
        <v>0</v>
      </c>
      <c r="AV444" s="54" t="b">
        <v>0</v>
      </c>
      <c r="AW444" s="123"/>
      <c r="AX444" s="124"/>
      <c r="AY444" s="124"/>
      <c r="AZ444" s="124"/>
      <c r="BA444" s="125"/>
      <c r="BB444" s="68"/>
      <c r="BC444" s="62"/>
      <c r="BD444" s="129" t="str">
        <f t="shared" si="12"/>
        <v>_</v>
      </c>
      <c r="BE444" s="130" t="str">
        <f>IFERROR(VLOOKUP($BD444,'(勿動)組件目錄表'!$D$15:$R$1094,2,FALSE),"")</f>
        <v/>
      </c>
      <c r="BF444" s="131" t="str">
        <f>IFERROR(VLOOKUP($BD444, '(勿動)組件目錄表'!$D$15:$R$1094, 5, FALSE),"")</f>
        <v/>
      </c>
      <c r="BG444" s="118"/>
      <c r="BH444" s="120"/>
      <c r="BI444" s="118"/>
      <c r="BJ444" s="120"/>
    </row>
    <row r="445" spans="1:62" ht="15.75" customHeight="1">
      <c r="A445" s="18" t="str">
        <f t="array" aca="1" ref="A445" ca="1">IFERROR(TRANSPOSE(INDIRECT('「(動工中勿使用!!)新版+舊版_Teaser」的副本'!$BB445)),"")</f>
        <v/>
      </c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80" t="b">
        <v>0</v>
      </c>
      <c r="AF445" s="111" t="str">
        <f t="shared" si="13"/>
        <v/>
      </c>
      <c r="AG445" s="112" t="str">
        <f t="shared" si="9"/>
        <v/>
      </c>
      <c r="AH445" s="126"/>
      <c r="AI445" s="114" t="str">
        <f ca="1">IFERROR(VLOOKUP($AH445, '(勿動)Component Label公版'!$D$1:$E$1000, 2, FALSE), "-")</f>
        <v>-</v>
      </c>
      <c r="AJ445" s="115"/>
      <c r="AK445" s="112"/>
      <c r="AL445" s="112"/>
      <c r="AM445" s="116" t="str">
        <f t="shared" si="10"/>
        <v/>
      </c>
      <c r="AN445" s="117" t="str">
        <f t="shared" si="11"/>
        <v/>
      </c>
      <c r="AO445" s="158"/>
      <c r="AP445" s="18"/>
      <c r="AQ445" s="18"/>
      <c r="AR445" s="18"/>
      <c r="AS445" s="18"/>
      <c r="AT445" s="18"/>
      <c r="AU445" s="54" t="b">
        <v>0</v>
      </c>
      <c r="AV445" s="54" t="b">
        <v>0</v>
      </c>
      <c r="AW445" s="123"/>
      <c r="AX445" s="124"/>
      <c r="AY445" s="124"/>
      <c r="AZ445" s="124"/>
      <c r="BA445" s="125"/>
      <c r="BB445" s="68"/>
      <c r="BC445" s="62"/>
      <c r="BD445" s="129" t="str">
        <f t="shared" si="12"/>
        <v>_</v>
      </c>
      <c r="BE445" s="130" t="str">
        <f>IFERROR(VLOOKUP($BD445,'(勿動)組件目錄表'!$D$15:$R$1094,2,FALSE),"")</f>
        <v/>
      </c>
      <c r="BF445" s="131" t="str">
        <f>IFERROR(VLOOKUP($BD445, '(勿動)組件目錄表'!$D$15:$R$1094, 5, FALSE),"")</f>
        <v/>
      </c>
      <c r="BG445" s="118"/>
      <c r="BH445" s="120"/>
      <c r="BI445" s="118"/>
      <c r="BJ445" s="120"/>
    </row>
    <row r="446" spans="1:62" ht="15.75" customHeight="1">
      <c r="A446" s="18" t="str">
        <f t="array" aca="1" ref="A446" ca="1">IFERROR(TRANSPOSE(INDIRECT('「(動工中勿使用!!)新版+舊版_Teaser」的副本'!$BB446)),"")</f>
        <v/>
      </c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80" t="b">
        <v>0</v>
      </c>
      <c r="AF446" s="111" t="str">
        <f t="shared" si="13"/>
        <v/>
      </c>
      <c r="AG446" s="112" t="str">
        <f t="shared" si="9"/>
        <v/>
      </c>
      <c r="AH446" s="126"/>
      <c r="AI446" s="114" t="str">
        <f ca="1">IFERROR(VLOOKUP($AH446, '(勿動)Component Label公版'!$D$1:$E$1000, 2, FALSE), "-")</f>
        <v>-</v>
      </c>
      <c r="AJ446" s="115"/>
      <c r="AK446" s="112"/>
      <c r="AL446" s="112"/>
      <c r="AM446" s="116" t="str">
        <f t="shared" si="10"/>
        <v/>
      </c>
      <c r="AN446" s="117" t="str">
        <f t="shared" si="11"/>
        <v/>
      </c>
      <c r="AO446" s="158"/>
      <c r="AP446" s="18"/>
      <c r="AQ446" s="18"/>
      <c r="AR446" s="18"/>
      <c r="AS446" s="18"/>
      <c r="AT446" s="18"/>
      <c r="AU446" s="54" t="b">
        <v>0</v>
      </c>
      <c r="AV446" s="54" t="b">
        <v>0</v>
      </c>
      <c r="AW446" s="123"/>
      <c r="AX446" s="124"/>
      <c r="AY446" s="124"/>
      <c r="AZ446" s="124"/>
      <c r="BA446" s="125"/>
      <c r="BB446" s="68"/>
      <c r="BC446" s="62"/>
      <c r="BD446" s="129" t="str">
        <f t="shared" si="12"/>
        <v>_</v>
      </c>
      <c r="BE446" s="130" t="str">
        <f>IFERROR(VLOOKUP($BD446,'(勿動)組件目錄表'!$D$15:$R$1094,2,FALSE),"")</f>
        <v/>
      </c>
      <c r="BF446" s="131" t="str">
        <f>IFERROR(VLOOKUP($BD446, '(勿動)組件目錄表'!$D$15:$R$1094, 5, FALSE),"")</f>
        <v/>
      </c>
      <c r="BG446" s="118"/>
      <c r="BH446" s="120"/>
      <c r="BI446" s="118"/>
      <c r="BJ446" s="120"/>
    </row>
    <row r="447" spans="1:62" ht="15.75" customHeight="1">
      <c r="A447" s="18" t="str">
        <f t="array" aca="1" ref="A447" ca="1">IFERROR(TRANSPOSE(INDIRECT('「(動工中勿使用!!)新版+舊版_Teaser」的副本'!$BB447)),"")</f>
        <v/>
      </c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80" t="b">
        <v>0</v>
      </c>
      <c r="AF447" s="111" t="str">
        <f t="shared" si="13"/>
        <v/>
      </c>
      <c r="AG447" s="112" t="str">
        <f t="shared" si="9"/>
        <v/>
      </c>
      <c r="AH447" s="126"/>
      <c r="AI447" s="114" t="str">
        <f ca="1">IFERROR(VLOOKUP($AH447, '(勿動)Component Label公版'!$D$1:$E$1000, 2, FALSE), "-")</f>
        <v>-</v>
      </c>
      <c r="AJ447" s="115"/>
      <c r="AK447" s="112"/>
      <c r="AL447" s="112"/>
      <c r="AM447" s="116" t="str">
        <f t="shared" si="10"/>
        <v/>
      </c>
      <c r="AN447" s="117" t="str">
        <f t="shared" si="11"/>
        <v/>
      </c>
      <c r="AO447" s="158"/>
      <c r="AP447" s="18"/>
      <c r="AQ447" s="18"/>
      <c r="AR447" s="18"/>
      <c r="AS447" s="18"/>
      <c r="AT447" s="18"/>
      <c r="AU447" s="54" t="b">
        <v>0</v>
      </c>
      <c r="AV447" s="54" t="b">
        <v>0</v>
      </c>
      <c r="AW447" s="123"/>
      <c r="AX447" s="124"/>
      <c r="AY447" s="124"/>
      <c r="AZ447" s="124"/>
      <c r="BA447" s="125"/>
      <c r="BB447" s="68"/>
      <c r="BC447" s="62"/>
      <c r="BD447" s="129" t="str">
        <f t="shared" si="12"/>
        <v>_</v>
      </c>
      <c r="BE447" s="130" t="str">
        <f>IFERROR(VLOOKUP($BD447,'(勿動)組件目錄表'!$D$15:$R$1094,2,FALSE),"")</f>
        <v/>
      </c>
      <c r="BF447" s="131" t="str">
        <f>IFERROR(VLOOKUP($BD447, '(勿動)組件目錄表'!$D$15:$R$1094, 5, FALSE),"")</f>
        <v/>
      </c>
      <c r="BG447" s="118"/>
      <c r="BH447" s="120"/>
      <c r="BI447" s="118"/>
      <c r="BJ447" s="120"/>
    </row>
    <row r="448" spans="1:62" ht="15.75" customHeight="1">
      <c r="A448" s="18" t="str">
        <f t="array" aca="1" ref="A448" ca="1">IFERROR(TRANSPOSE(INDIRECT('「(動工中勿使用!!)新版+舊版_Teaser」的副本'!$BB448)),"")</f>
        <v/>
      </c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80" t="b">
        <v>0</v>
      </c>
      <c r="AF448" s="111" t="str">
        <f t="shared" si="13"/>
        <v/>
      </c>
      <c r="AG448" s="112" t="str">
        <f t="shared" si="9"/>
        <v/>
      </c>
      <c r="AH448" s="126"/>
      <c r="AI448" s="114" t="str">
        <f ca="1">IFERROR(VLOOKUP($AH448, '(勿動)Component Label公版'!$D$1:$E$1000, 2, FALSE), "-")</f>
        <v>-</v>
      </c>
      <c r="AJ448" s="115"/>
      <c r="AK448" s="112"/>
      <c r="AL448" s="112"/>
      <c r="AM448" s="116" t="str">
        <f t="shared" si="10"/>
        <v/>
      </c>
      <c r="AN448" s="117" t="str">
        <f t="shared" si="11"/>
        <v/>
      </c>
      <c r="AO448" s="158"/>
      <c r="AP448" s="18"/>
      <c r="AQ448" s="18"/>
      <c r="AR448" s="18"/>
      <c r="AS448" s="18"/>
      <c r="AT448" s="18"/>
      <c r="AU448" s="54" t="b">
        <v>0</v>
      </c>
      <c r="AV448" s="54" t="b">
        <v>0</v>
      </c>
      <c r="AW448" s="123"/>
      <c r="AX448" s="124"/>
      <c r="AY448" s="124"/>
      <c r="AZ448" s="124"/>
      <c r="BA448" s="125"/>
      <c r="BB448" s="68"/>
      <c r="BC448" s="62"/>
      <c r="BD448" s="129" t="str">
        <f t="shared" si="12"/>
        <v>_</v>
      </c>
      <c r="BE448" s="130" t="str">
        <f>IFERROR(VLOOKUP($BD448,'(勿動)組件目錄表'!$D$15:$R$1094,2,FALSE),"")</f>
        <v/>
      </c>
      <c r="BF448" s="131" t="str">
        <f>IFERROR(VLOOKUP($BD448, '(勿動)組件目錄表'!$D$15:$R$1094, 5, FALSE),"")</f>
        <v/>
      </c>
      <c r="BG448" s="118"/>
      <c r="BH448" s="120"/>
      <c r="BI448" s="118"/>
      <c r="BJ448" s="120"/>
    </row>
    <row r="449" spans="1:62" ht="15.75" customHeight="1">
      <c r="A449" s="18" t="str">
        <f t="array" aca="1" ref="A449" ca="1">IFERROR(TRANSPOSE(INDIRECT('「(動工中勿使用!!)新版+舊版_Teaser」的副本'!$BB449)),"")</f>
        <v/>
      </c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80" t="b">
        <v>0</v>
      </c>
      <c r="AF449" s="111" t="str">
        <f t="shared" si="13"/>
        <v/>
      </c>
      <c r="AG449" s="112" t="str">
        <f t="shared" si="9"/>
        <v/>
      </c>
      <c r="AH449" s="126"/>
      <c r="AI449" s="114" t="str">
        <f ca="1">IFERROR(VLOOKUP($AH449, '(勿動)Component Label公版'!$D$1:$E$1000, 2, FALSE), "-")</f>
        <v>-</v>
      </c>
      <c r="AJ449" s="115"/>
      <c r="AK449" s="112"/>
      <c r="AL449" s="112"/>
      <c r="AM449" s="116" t="str">
        <f t="shared" si="10"/>
        <v/>
      </c>
      <c r="AN449" s="117" t="str">
        <f t="shared" si="11"/>
        <v/>
      </c>
      <c r="AO449" s="158"/>
      <c r="AP449" s="18"/>
      <c r="AQ449" s="18"/>
      <c r="AR449" s="18"/>
      <c r="AS449" s="18"/>
      <c r="AT449" s="18"/>
      <c r="AU449" s="54" t="b">
        <v>0</v>
      </c>
      <c r="AV449" s="54" t="b">
        <v>0</v>
      </c>
      <c r="AW449" s="123"/>
      <c r="AX449" s="124"/>
      <c r="AY449" s="124"/>
      <c r="AZ449" s="124"/>
      <c r="BA449" s="125"/>
      <c r="BB449" s="68"/>
      <c r="BC449" s="62"/>
      <c r="BD449" s="129" t="str">
        <f t="shared" si="12"/>
        <v>_</v>
      </c>
      <c r="BE449" s="130" t="str">
        <f>IFERROR(VLOOKUP($BD449,'(勿動)組件目錄表'!$D$15:$R$1094,2,FALSE),"")</f>
        <v/>
      </c>
      <c r="BF449" s="131" t="str">
        <f>IFERROR(VLOOKUP($BD449, '(勿動)組件目錄表'!$D$15:$R$1094, 5, FALSE),"")</f>
        <v/>
      </c>
      <c r="BG449" s="118"/>
      <c r="BH449" s="120"/>
      <c r="BI449" s="118"/>
      <c r="BJ449" s="120"/>
    </row>
    <row r="450" spans="1:62" ht="15.75" customHeight="1">
      <c r="A450" s="18" t="str">
        <f t="array" aca="1" ref="A450" ca="1">IFERROR(TRANSPOSE(INDIRECT('「(動工中勿使用!!)新版+舊版_Teaser」的副本'!$BB450)),"")</f>
        <v/>
      </c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80" t="b">
        <v>0</v>
      </c>
      <c r="AF450" s="111" t="str">
        <f t="shared" si="13"/>
        <v/>
      </c>
      <c r="AG450" s="112" t="str">
        <f t="shared" si="9"/>
        <v/>
      </c>
      <c r="AH450" s="126"/>
      <c r="AI450" s="114" t="str">
        <f ca="1">IFERROR(VLOOKUP($AH450, '(勿動)Component Label公版'!$D$1:$E$1000, 2, FALSE), "-")</f>
        <v>-</v>
      </c>
      <c r="AJ450" s="115"/>
      <c r="AK450" s="112"/>
      <c r="AL450" s="112"/>
      <c r="AM450" s="116" t="str">
        <f t="shared" si="10"/>
        <v/>
      </c>
      <c r="AN450" s="117" t="str">
        <f t="shared" si="11"/>
        <v/>
      </c>
      <c r="AO450" s="158"/>
      <c r="AP450" s="18"/>
      <c r="AQ450" s="18"/>
      <c r="AR450" s="18"/>
      <c r="AS450" s="18"/>
      <c r="AT450" s="18"/>
      <c r="AU450" s="54" t="b">
        <v>0</v>
      </c>
      <c r="AV450" s="54" t="b">
        <v>0</v>
      </c>
      <c r="AW450" s="123"/>
      <c r="AX450" s="124"/>
      <c r="AY450" s="124"/>
      <c r="AZ450" s="124"/>
      <c r="BA450" s="125"/>
      <c r="BB450" s="68"/>
      <c r="BC450" s="62"/>
      <c r="BD450" s="129" t="str">
        <f t="shared" si="12"/>
        <v>_</v>
      </c>
      <c r="BE450" s="130" t="str">
        <f>IFERROR(VLOOKUP($BD450,'(勿動)組件目錄表'!$D$15:$R$1094,2,FALSE),"")</f>
        <v/>
      </c>
      <c r="BF450" s="131" t="str">
        <f>IFERROR(VLOOKUP($BD450, '(勿動)組件目錄表'!$D$15:$R$1094, 5, FALSE),"")</f>
        <v/>
      </c>
      <c r="BG450" s="118"/>
      <c r="BH450" s="120"/>
      <c r="BI450" s="118"/>
      <c r="BJ450" s="120"/>
    </row>
    <row r="451" spans="1:62" ht="15.75" customHeight="1">
      <c r="A451" s="18" t="str">
        <f t="array" aca="1" ref="A451" ca="1">IFERROR(TRANSPOSE(INDIRECT('「(動工中勿使用!!)新版+舊版_Teaser」的副本'!$BB451)),"")</f>
        <v/>
      </c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80" t="b">
        <v>0</v>
      </c>
      <c r="AF451" s="111" t="str">
        <f t="shared" si="13"/>
        <v/>
      </c>
      <c r="AG451" s="112" t="str">
        <f t="shared" si="9"/>
        <v/>
      </c>
      <c r="AH451" s="126"/>
      <c r="AI451" s="114" t="str">
        <f ca="1">IFERROR(VLOOKUP($AH451, '(勿動)Component Label公版'!$D$1:$E$1000, 2, FALSE), "-")</f>
        <v>-</v>
      </c>
      <c r="AJ451" s="115"/>
      <c r="AK451" s="112"/>
      <c r="AL451" s="112"/>
      <c r="AM451" s="116" t="str">
        <f t="shared" si="10"/>
        <v/>
      </c>
      <c r="AN451" s="117" t="str">
        <f t="shared" si="11"/>
        <v/>
      </c>
      <c r="AO451" s="158"/>
      <c r="AP451" s="18"/>
      <c r="AQ451" s="18"/>
      <c r="AR451" s="18"/>
      <c r="AS451" s="18"/>
      <c r="AT451" s="18"/>
      <c r="AU451" s="54" t="b">
        <v>0</v>
      </c>
      <c r="AV451" s="54" t="b">
        <v>0</v>
      </c>
      <c r="AW451" s="123"/>
      <c r="AX451" s="124"/>
      <c r="AY451" s="124"/>
      <c r="AZ451" s="124"/>
      <c r="BA451" s="125"/>
      <c r="BB451" s="68"/>
      <c r="BC451" s="62"/>
      <c r="BD451" s="129" t="str">
        <f t="shared" si="12"/>
        <v>_</v>
      </c>
      <c r="BE451" s="130" t="str">
        <f>IFERROR(VLOOKUP($BD451,'(勿動)組件目錄表'!$D$15:$R$1094,2,FALSE),"")</f>
        <v/>
      </c>
      <c r="BF451" s="131" t="str">
        <f>IFERROR(VLOOKUP($BD451, '(勿動)組件目錄表'!$D$15:$R$1094, 5, FALSE),"")</f>
        <v/>
      </c>
      <c r="BG451" s="118"/>
      <c r="BH451" s="120"/>
      <c r="BI451" s="118"/>
      <c r="BJ451" s="120"/>
    </row>
  </sheetData>
  <mergeCells count="351">
    <mergeCell ref="AP79:AP80"/>
    <mergeCell ref="AQ79:AQ80"/>
    <mergeCell ref="AR79:AT80"/>
    <mergeCell ref="AO81:AT81"/>
    <mergeCell ref="AQ82:AQ83"/>
    <mergeCell ref="AS82:AS83"/>
    <mergeCell ref="AT82:AT83"/>
    <mergeCell ref="AS89:AS90"/>
    <mergeCell ref="AS91:AS92"/>
    <mergeCell ref="AO74:AT74"/>
    <mergeCell ref="AS77:AS78"/>
    <mergeCell ref="AT77:AT78"/>
    <mergeCell ref="AP72:AP73"/>
    <mergeCell ref="AP75:AP76"/>
    <mergeCell ref="AQ75:AQ76"/>
    <mergeCell ref="AS75:AS76"/>
    <mergeCell ref="AT75:AT76"/>
    <mergeCell ref="AP77:AP78"/>
    <mergeCell ref="AQ77:AQ78"/>
    <mergeCell ref="AP68:AP69"/>
    <mergeCell ref="AQ68:AQ69"/>
    <mergeCell ref="AS68:AS69"/>
    <mergeCell ref="AT68:AT69"/>
    <mergeCell ref="AP70:AP71"/>
    <mergeCell ref="AQ70:AQ71"/>
    <mergeCell ref="AS70:AS71"/>
    <mergeCell ref="AT70:AT71"/>
    <mergeCell ref="AQ72:AQ73"/>
    <mergeCell ref="AR72:AT73"/>
    <mergeCell ref="AP82:AP83"/>
    <mergeCell ref="AP84:AP85"/>
    <mergeCell ref="AQ84:AQ85"/>
    <mergeCell ref="AS84:AS85"/>
    <mergeCell ref="AT84:AT85"/>
    <mergeCell ref="AP86:AP87"/>
    <mergeCell ref="AQ86:AQ87"/>
    <mergeCell ref="AT91:AT92"/>
    <mergeCell ref="AW96:AY96"/>
    <mergeCell ref="AR86:AT87"/>
    <mergeCell ref="AO88:AT88"/>
    <mergeCell ref="AP89:AP90"/>
    <mergeCell ref="AQ89:AQ90"/>
    <mergeCell ref="AT89:AT90"/>
    <mergeCell ref="AP91:AP92"/>
    <mergeCell ref="AQ91:AQ92"/>
    <mergeCell ref="AP93:AP94"/>
    <mergeCell ref="AQ93:AQ94"/>
    <mergeCell ref="AR93:AT94"/>
    <mergeCell ref="AO95:AR95"/>
    <mergeCell ref="AS95:AT95"/>
    <mergeCell ref="AO44:AT44"/>
    <mergeCell ref="AO45:AT45"/>
    <mergeCell ref="AW66:BA66"/>
    <mergeCell ref="AW67:BA67"/>
    <mergeCell ref="BB28:BB29"/>
    <mergeCell ref="BC28:BC29"/>
    <mergeCell ref="BB30:BB31"/>
    <mergeCell ref="BC30:BC31"/>
    <mergeCell ref="BB34:BB35"/>
    <mergeCell ref="BC34:BC35"/>
    <mergeCell ref="AW40:BA65"/>
    <mergeCell ref="AP59:AQ59"/>
    <mergeCell ref="AS59:AT59"/>
    <mergeCell ref="AO61:AT61"/>
    <mergeCell ref="AO62:AT62"/>
    <mergeCell ref="AO63:AT63"/>
    <mergeCell ref="AO64:AT64"/>
    <mergeCell ref="AO65:AT65"/>
    <mergeCell ref="AO66:AR66"/>
    <mergeCell ref="AS66:AT66"/>
    <mergeCell ref="AO67:AT67"/>
    <mergeCell ref="AO39:AR39"/>
    <mergeCell ref="AS39:AT39"/>
    <mergeCell ref="AO40:AT40"/>
    <mergeCell ref="AO41:AP41"/>
    <mergeCell ref="AQ41:AR41"/>
    <mergeCell ref="AS41:AT41"/>
    <mergeCell ref="AO42:AT42"/>
    <mergeCell ref="AO43:AP43"/>
    <mergeCell ref="AQ43:AR43"/>
    <mergeCell ref="AS43:AT43"/>
    <mergeCell ref="AO34:AP34"/>
    <mergeCell ref="AQ34:AR34"/>
    <mergeCell ref="AS34:AT34"/>
    <mergeCell ref="AO35:AP35"/>
    <mergeCell ref="AQ35:AR35"/>
    <mergeCell ref="AS35:AT35"/>
    <mergeCell ref="AO36:AT36"/>
    <mergeCell ref="AO37:AT37"/>
    <mergeCell ref="AO38:AT38"/>
    <mergeCell ref="AO25:AT25"/>
    <mergeCell ref="AW25:BA27"/>
    <mergeCell ref="AO26:AT26"/>
    <mergeCell ref="AO27:AT27"/>
    <mergeCell ref="AO28:AP28"/>
    <mergeCell ref="AQ28:AS29"/>
    <mergeCell ref="AT28:AT29"/>
    <mergeCell ref="AQ33:AR33"/>
    <mergeCell ref="AS33:AT33"/>
    <mergeCell ref="AO29:AP29"/>
    <mergeCell ref="AO30:AP30"/>
    <mergeCell ref="AQ30:AS31"/>
    <mergeCell ref="AT30:AT31"/>
    <mergeCell ref="AO31:AP31"/>
    <mergeCell ref="AO32:AT32"/>
    <mergeCell ref="AO33:AP33"/>
    <mergeCell ref="AO50:AQ50"/>
    <mergeCell ref="AP58:AQ58"/>
    <mergeCell ref="AR58:AT58"/>
    <mergeCell ref="AO52:AT52"/>
    <mergeCell ref="AO53:AT53"/>
    <mergeCell ref="AP54:AQ54"/>
    <mergeCell ref="AS54:AT54"/>
    <mergeCell ref="AP55:AQ57"/>
    <mergeCell ref="AR55:AR57"/>
    <mergeCell ref="AS55:AT57"/>
    <mergeCell ref="AW10:BA10"/>
    <mergeCell ref="AO11:AT11"/>
    <mergeCell ref="AO12:AT12"/>
    <mergeCell ref="AO13:AT13"/>
    <mergeCell ref="AO14:AT14"/>
    <mergeCell ref="AO15:AT15"/>
    <mergeCell ref="AO16:AT16"/>
    <mergeCell ref="AO17:AT17"/>
    <mergeCell ref="AO18:AT18"/>
    <mergeCell ref="AU1:BA2"/>
    <mergeCell ref="BB1:BH2"/>
    <mergeCell ref="BI1:BJ2"/>
    <mergeCell ref="AO2:AQ2"/>
    <mergeCell ref="AR2:AT2"/>
    <mergeCell ref="A3:AD3"/>
    <mergeCell ref="BG3:BH3"/>
    <mergeCell ref="BB8:BB9"/>
    <mergeCell ref="BC8:BC9"/>
    <mergeCell ref="BB3:BC3"/>
    <mergeCell ref="BD3:BF3"/>
    <mergeCell ref="BB4:BB6"/>
    <mergeCell ref="BC4:BC6"/>
    <mergeCell ref="BD4:BD6"/>
    <mergeCell ref="BE4:BE6"/>
    <mergeCell ref="BF4:BF6"/>
    <mergeCell ref="AO3:AT3"/>
    <mergeCell ref="AW3:BA3"/>
    <mergeCell ref="AO7:AT7"/>
    <mergeCell ref="AO8:AT8"/>
    <mergeCell ref="AO9:AT9"/>
    <mergeCell ref="AQ176:AR176"/>
    <mergeCell ref="AS176:AT176"/>
    <mergeCell ref="AO177:AP177"/>
    <mergeCell ref="AH3:AI3"/>
    <mergeCell ref="AM3:AN3"/>
    <mergeCell ref="AJ10:AJ16"/>
    <mergeCell ref="AK12:AL12"/>
    <mergeCell ref="AK13:AL13"/>
    <mergeCell ref="AO1:AP1"/>
    <mergeCell ref="AO10:AT10"/>
    <mergeCell ref="AO19:AT19"/>
    <mergeCell ref="AO20:AT20"/>
    <mergeCell ref="AO21:AT21"/>
    <mergeCell ref="AO22:AT22"/>
    <mergeCell ref="AO23:AT23"/>
    <mergeCell ref="AO24:AT24"/>
    <mergeCell ref="AR50:AT50"/>
    <mergeCell ref="AO51:AT51"/>
    <mergeCell ref="AO46:AQ46"/>
    <mergeCell ref="AR46:AT46"/>
    <mergeCell ref="AO47:AT47"/>
    <mergeCell ref="AO48:AQ48"/>
    <mergeCell ref="AR48:AT48"/>
    <mergeCell ref="AO49:AT49"/>
    <mergeCell ref="AO188:AT188"/>
    <mergeCell ref="AO178:AT178"/>
    <mergeCell ref="AO179:AT179"/>
    <mergeCell ref="AO180:AT180"/>
    <mergeCell ref="AO181:AT181"/>
    <mergeCell ref="AO182:AT182"/>
    <mergeCell ref="AO183:AT183"/>
    <mergeCell ref="AO184:AT184"/>
    <mergeCell ref="AQ168:AR168"/>
    <mergeCell ref="AS168:AT168"/>
    <mergeCell ref="AO168:AP168"/>
    <mergeCell ref="AQ171:AR171"/>
    <mergeCell ref="AS171:AT171"/>
    <mergeCell ref="AO169:AP169"/>
    <mergeCell ref="AQ169:AR169"/>
    <mergeCell ref="AS169:AT169"/>
    <mergeCell ref="AO170:AP170"/>
    <mergeCell ref="AQ170:AR170"/>
    <mergeCell ref="AS170:AT170"/>
    <mergeCell ref="AO171:AP171"/>
    <mergeCell ref="AO172:AP172"/>
    <mergeCell ref="AQ172:AR172"/>
    <mergeCell ref="AS172:AT172"/>
    <mergeCell ref="AO173:AP173"/>
    <mergeCell ref="AO164:AP164"/>
    <mergeCell ref="AQ164:AR164"/>
    <mergeCell ref="AS164:AT164"/>
    <mergeCell ref="AO165:AP165"/>
    <mergeCell ref="AQ165:AR165"/>
    <mergeCell ref="AS165:AT165"/>
    <mergeCell ref="AO185:AT185"/>
    <mergeCell ref="AO186:AT186"/>
    <mergeCell ref="AO187:AT187"/>
    <mergeCell ref="AO166:AP166"/>
    <mergeCell ref="AQ166:AR166"/>
    <mergeCell ref="AS166:AT166"/>
    <mergeCell ref="AO167:AP167"/>
    <mergeCell ref="AQ167:AR167"/>
    <mergeCell ref="AS167:AT167"/>
    <mergeCell ref="AQ173:AR173"/>
    <mergeCell ref="AS173:AT173"/>
    <mergeCell ref="AO174:AT174"/>
    <mergeCell ref="AQ177:AR177"/>
    <mergeCell ref="AS177:AT177"/>
    <mergeCell ref="AO175:AP175"/>
    <mergeCell ref="AQ175:AR175"/>
    <mergeCell ref="AS175:AT175"/>
    <mergeCell ref="AO176:AP176"/>
    <mergeCell ref="AQ156:AR156"/>
    <mergeCell ref="AS156:AT156"/>
    <mergeCell ref="AO154:AP154"/>
    <mergeCell ref="AQ154:AR154"/>
    <mergeCell ref="AS154:AT154"/>
    <mergeCell ref="AO155:AP155"/>
    <mergeCell ref="AQ155:AR155"/>
    <mergeCell ref="AS155:AT155"/>
    <mergeCell ref="AO156:AP156"/>
    <mergeCell ref="AO147:AP147"/>
    <mergeCell ref="AO148:AP148"/>
    <mergeCell ref="AQ153:AR153"/>
    <mergeCell ref="AS153:AT153"/>
    <mergeCell ref="AO149:AP149"/>
    <mergeCell ref="AO150:AP150"/>
    <mergeCell ref="AO151:AP151"/>
    <mergeCell ref="AQ151:AR151"/>
    <mergeCell ref="AS151:AT151"/>
    <mergeCell ref="AO152:AP152"/>
    <mergeCell ref="AO153:AP153"/>
    <mergeCell ref="AQ162:AR162"/>
    <mergeCell ref="AS162:AT162"/>
    <mergeCell ref="AO160:AP160"/>
    <mergeCell ref="AQ160:AR160"/>
    <mergeCell ref="AS160:AT160"/>
    <mergeCell ref="AO161:AP161"/>
    <mergeCell ref="AQ161:AR161"/>
    <mergeCell ref="AS161:AT161"/>
    <mergeCell ref="AO163:AT163"/>
    <mergeCell ref="AO162:AP162"/>
    <mergeCell ref="AQ159:AR159"/>
    <mergeCell ref="AS159:AT159"/>
    <mergeCell ref="AO157:AP157"/>
    <mergeCell ref="AQ157:AR157"/>
    <mergeCell ref="AS157:AT157"/>
    <mergeCell ref="AO158:AP158"/>
    <mergeCell ref="AQ158:AR158"/>
    <mergeCell ref="AS158:AT158"/>
    <mergeCell ref="AO159:AP159"/>
    <mergeCell ref="AO113:AT113"/>
    <mergeCell ref="AO114:AT114"/>
    <mergeCell ref="AP115:AR116"/>
    <mergeCell ref="AS115:AT116"/>
    <mergeCell ref="AP117:AR118"/>
    <mergeCell ref="AS117:AT118"/>
    <mergeCell ref="AP137:AP138"/>
    <mergeCell ref="AQ137:AQ138"/>
    <mergeCell ref="AR137:AT138"/>
    <mergeCell ref="AQ123:AQ124"/>
    <mergeCell ref="AS123:AS124"/>
    <mergeCell ref="AP119:AP120"/>
    <mergeCell ref="AQ119:AQ120"/>
    <mergeCell ref="AS119:AS120"/>
    <mergeCell ref="AT119:AT120"/>
    <mergeCell ref="AP121:AP122"/>
    <mergeCell ref="AQ121:AQ122"/>
    <mergeCell ref="AT123:AT124"/>
    <mergeCell ref="AW108:AX108"/>
    <mergeCell ref="AW109:AX109"/>
    <mergeCell ref="AW110:AX110"/>
    <mergeCell ref="AW111:AX111"/>
    <mergeCell ref="AO102:AT102"/>
    <mergeCell ref="AO103:AT103"/>
    <mergeCell ref="AO104:AT104"/>
    <mergeCell ref="AO105:AT105"/>
    <mergeCell ref="AO106:AT106"/>
    <mergeCell ref="AO107:AQ107"/>
    <mergeCell ref="AR107:AT107"/>
    <mergeCell ref="AS108:AS109"/>
    <mergeCell ref="AS111:AS112"/>
    <mergeCell ref="AP108:AP109"/>
    <mergeCell ref="AQ108:AQ109"/>
    <mergeCell ref="AT108:AT109"/>
    <mergeCell ref="AO110:AQ110"/>
    <mergeCell ref="AR110:AT110"/>
    <mergeCell ref="AP111:AP112"/>
    <mergeCell ref="AQ111:AQ112"/>
    <mergeCell ref="AT111:AT112"/>
    <mergeCell ref="AO96:AT96"/>
    <mergeCell ref="AO97:AT97"/>
    <mergeCell ref="AO98:AQ98"/>
    <mergeCell ref="AR98:AT98"/>
    <mergeCell ref="AO99:AT99"/>
    <mergeCell ref="AO100:AT100"/>
    <mergeCell ref="AO101:AT101"/>
    <mergeCell ref="AW106:AX106"/>
    <mergeCell ref="AW107:AX107"/>
    <mergeCell ref="AW100:AX100"/>
    <mergeCell ref="AQ149:AR149"/>
    <mergeCell ref="AQ150:AR150"/>
    <mergeCell ref="AQ152:AR152"/>
    <mergeCell ref="AS152:AT152"/>
    <mergeCell ref="AW148:BA150"/>
    <mergeCell ref="AW151:BA152"/>
    <mergeCell ref="AS135:AS136"/>
    <mergeCell ref="AT135:AT136"/>
    <mergeCell ref="AW145:BA147"/>
    <mergeCell ref="AQ147:AR147"/>
    <mergeCell ref="AS147:AT147"/>
    <mergeCell ref="AS149:AT149"/>
    <mergeCell ref="AS150:AT150"/>
    <mergeCell ref="AO139:AT139"/>
    <mergeCell ref="AO140:AT140"/>
    <mergeCell ref="AP141:AR142"/>
    <mergeCell ref="AS141:AT142"/>
    <mergeCell ref="AQ148:AR148"/>
    <mergeCell ref="AS148:AT148"/>
    <mergeCell ref="AO143:AT143"/>
    <mergeCell ref="AO144:AT144"/>
    <mergeCell ref="AO145:AR145"/>
    <mergeCell ref="AS145:AT145"/>
    <mergeCell ref="AO146:AT146"/>
    <mergeCell ref="AQ131:AQ132"/>
    <mergeCell ref="AS131:AS132"/>
    <mergeCell ref="AT131:AT132"/>
    <mergeCell ref="AP131:AP132"/>
    <mergeCell ref="AP133:AP134"/>
    <mergeCell ref="AQ133:AQ134"/>
    <mergeCell ref="AS133:AS134"/>
    <mergeCell ref="AT133:AT134"/>
    <mergeCell ref="AP135:AP136"/>
    <mergeCell ref="AQ135:AQ136"/>
    <mergeCell ref="AP123:AP124"/>
    <mergeCell ref="AP125:AP126"/>
    <mergeCell ref="AQ125:AQ126"/>
    <mergeCell ref="AP127:AP128"/>
    <mergeCell ref="AQ127:AQ128"/>
    <mergeCell ref="AS127:AS128"/>
    <mergeCell ref="AT127:AT128"/>
    <mergeCell ref="AP129:AP130"/>
    <mergeCell ref="AQ129:AQ130"/>
    <mergeCell ref="AS129:AS130"/>
    <mergeCell ref="AT129:AT130"/>
  </mergeCells>
  <phoneticPr fontId="91" type="noConversion"/>
  <conditionalFormatting sqref="AE4:AE451">
    <cfRule type="expression" dxfId="15" priority="1">
      <formula>$AE4=FALSE</formula>
    </cfRule>
  </conditionalFormatting>
  <conditionalFormatting sqref="AF4:AF451">
    <cfRule type="containsText" dxfId="14" priority="2" operator="containsText" text="若有勾選則必填">
      <formula>NOT(ISERROR(SEARCH(("若有勾選則必填"),(AF4))))</formula>
    </cfRule>
  </conditionalFormatting>
  <conditionalFormatting sqref="AF4:AG451 AJ4:AN451">
    <cfRule type="containsBlanks" dxfId="13" priority="3">
      <formula>LEN(TRIM(AF4))=0</formula>
    </cfRule>
  </conditionalFormatting>
  <conditionalFormatting sqref="AK4:AL451">
    <cfRule type="containsBlanks" dxfId="12" priority="4">
      <formula>LEN(TRIM(AK4))=0</formula>
    </cfRule>
  </conditionalFormatting>
  <conditionalFormatting sqref="AO4:AT6">
    <cfRule type="containsText" dxfId="11" priority="5" operator="containsText" text="若有勾選則必填">
      <formula>NOT(ISERROR(SEARCH(("若有勾選則必填"),(AO4))))</formula>
    </cfRule>
    <cfRule type="containsText" dxfId="10" priority="6" operator="containsText" text="設隱形錨點">
      <formula>NOT(ISERROR(SEARCH(("設隱形錨點"),(AO4))))</formula>
    </cfRule>
  </conditionalFormatting>
  <dataValidations count="1">
    <dataValidation type="list" allowBlank="1" showErrorMessage="1" sqref="BC4 BC7:BC8 BC10:BC28 BC30 BC32:BC34 BC36:BC451" xr:uid="{00000000-0002-0000-0400-000000000000}">
      <formula1>$A4:$AD4</formula1>
    </dataValidation>
  </dataValidations>
  <hyperlinks>
    <hyperlink ref="AV43" r:id="rId1" display="https://drive.google.com/file/d/1m0uXKz3Ii39tkC-gG9Z8GCDaUKzjwibW/view?usp=drive_link" xr:uid="{00000000-0004-0000-0400-000000000000}"/>
    <hyperlink ref="AO54" r:id="rId2" xr:uid="{00000000-0004-0000-0400-000001000000}"/>
    <hyperlink ref="AR54" r:id="rId3" xr:uid="{00000000-0004-0000-0400-000002000000}"/>
    <hyperlink ref="AO55" r:id="rId4" xr:uid="{00000000-0004-0000-0400-000003000000}"/>
    <hyperlink ref="AR55" r:id="rId5" xr:uid="{00000000-0004-0000-0400-000004000000}"/>
    <hyperlink ref="AO56" r:id="rId6" xr:uid="{00000000-0004-0000-0400-000005000000}"/>
    <hyperlink ref="AO59" r:id="rId7" xr:uid="{00000000-0004-0000-0400-000006000000}"/>
    <hyperlink ref="AO60" r:id="rId8" xr:uid="{00000000-0004-0000-0400-000007000000}"/>
    <hyperlink ref="AQ60" r:id="rId9" xr:uid="{00000000-0004-0000-0400-000008000000}"/>
    <hyperlink ref="AS60" r:id="rId10" xr:uid="{00000000-0004-0000-0400-000009000000}"/>
    <hyperlink ref="AO183" r:id="rId11" xr:uid="{00000000-0004-0000-0400-00000A000000}"/>
    <hyperlink ref="AO185" r:id="rId12" xr:uid="{00000000-0004-0000-0400-00000B000000}"/>
    <hyperlink ref="AO187" r:id="rId13" xr:uid="{00000000-0004-0000-0400-00000C000000}"/>
  </hyperlinks>
  <pageMargins left="0.7" right="0.7" top="0.75" bottom="0.75" header="0" footer="0"/>
  <pageSetup orientation="landscape"/>
  <legacyDrawing r:id="rId14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400-000001000000}">
          <x14:formula1>
            <xm:f>'(勿動)Component Label公版'!$D$2:$D$92</xm:f>
          </x14:formula1>
          <xm:sqref>AH4:AH451</xm:sqref>
        </x14:dataValidation>
        <x14:dataValidation type="list" allowBlank="1" showErrorMessage="1" xr:uid="{00000000-0002-0000-0400-000002000000}">
          <x14:formula1>
            <xm:f>'(勿動)組件目錄表'!$U$15:$U451</xm:f>
          </x14:formula1>
          <xm:sqref>BB4 BB7:BB8 BB10:BB28 BB30 BB32:BB34 BB36:BB451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BJ438"/>
  <sheetViews>
    <sheetView workbookViewId="0">
      <pane xSplit="33" ySplit="7" topLeftCell="AH8" activePane="bottomRight" state="frozen"/>
      <selection pane="topRight" activeCell="AH1" sqref="AH1"/>
      <selection pane="bottomLeft" activeCell="A8" sqref="A8"/>
      <selection pane="bottomRight" activeCell="AH8" sqref="AH8"/>
    </sheetView>
  </sheetViews>
  <sheetFormatPr defaultColWidth="12.5703125" defaultRowHeight="15" customHeight="1" outlineLevelRow="1" outlineLevelCol="1"/>
  <cols>
    <col min="1" max="30" width="9.5703125" hidden="1" customWidth="1" outlineLevel="1"/>
    <col min="31" max="31" width="9.42578125" customWidth="1" collapsed="1"/>
    <col min="32" max="32" width="16.5703125" customWidth="1"/>
    <col min="33" max="33" width="9.42578125" customWidth="1"/>
    <col min="34" max="35" width="9.5703125" customWidth="1"/>
    <col min="36" max="36" width="11" customWidth="1"/>
    <col min="37" max="38" width="7.5703125" customWidth="1"/>
    <col min="39" max="40" width="13" hidden="1" customWidth="1" outlineLevel="1"/>
    <col min="41" max="46" width="12.28515625" customWidth="1"/>
    <col min="47" max="48" width="7.85546875" hidden="1" customWidth="1" outlineLevel="1"/>
    <col min="49" max="49" width="8.85546875" hidden="1" customWidth="1" outlineLevel="1"/>
    <col min="50" max="53" width="7.28515625" hidden="1" customWidth="1" outlineLevel="1"/>
    <col min="54" max="55" width="14" customWidth="1"/>
    <col min="56" max="58" width="9.42578125" hidden="1" customWidth="1" outlineLevel="1"/>
    <col min="59" max="60" width="18.140625" customWidth="1"/>
    <col min="61" max="62" width="11.28515625" customWidth="1"/>
  </cols>
  <sheetData>
    <row r="1" spans="1:62" ht="15.75" customHeight="1">
      <c r="A1" s="159">
        <f ca="1">TODAY()</f>
        <v>46201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1"/>
      <c r="AF1" s="161"/>
      <c r="AG1" s="161"/>
      <c r="AH1" s="161"/>
      <c r="AI1" s="160"/>
      <c r="AJ1" s="160"/>
      <c r="AK1" s="162"/>
      <c r="AL1" s="162"/>
      <c r="AM1" s="160"/>
      <c r="AN1" s="160"/>
      <c r="AO1" s="565" t="s">
        <v>184</v>
      </c>
      <c r="AP1" s="385"/>
      <c r="AQ1" s="163" t="s">
        <v>185</v>
      </c>
      <c r="AR1" s="164" t="s">
        <v>186</v>
      </c>
      <c r="AS1" s="165" t="s">
        <v>166</v>
      </c>
      <c r="AT1" s="166" t="s">
        <v>167</v>
      </c>
      <c r="AU1" s="599" t="s">
        <v>187</v>
      </c>
      <c r="AV1" s="439"/>
      <c r="AW1" s="439"/>
      <c r="AX1" s="439"/>
      <c r="AY1" s="439"/>
      <c r="AZ1" s="439"/>
      <c r="BA1" s="440"/>
      <c r="BB1" s="600" t="s">
        <v>408</v>
      </c>
      <c r="BC1" s="439"/>
      <c r="BD1" s="439"/>
      <c r="BE1" s="439"/>
      <c r="BF1" s="439"/>
      <c r="BG1" s="439"/>
      <c r="BH1" s="439"/>
      <c r="BI1" s="601">
        <v>46113</v>
      </c>
      <c r="BJ1" s="423"/>
    </row>
    <row r="2" spans="1:62" ht="15.75" customHeight="1">
      <c r="A2" s="160"/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2"/>
      <c r="AL2" s="162"/>
      <c r="AM2" s="160"/>
      <c r="AN2" s="160"/>
      <c r="AO2" s="602" t="s">
        <v>188</v>
      </c>
      <c r="AP2" s="447"/>
      <c r="AQ2" s="490"/>
      <c r="AR2" s="603" t="s">
        <v>189</v>
      </c>
      <c r="AS2" s="399"/>
      <c r="AT2" s="422"/>
      <c r="AU2" s="486"/>
      <c r="AV2" s="442"/>
      <c r="AW2" s="442"/>
      <c r="AX2" s="442"/>
      <c r="AY2" s="442"/>
      <c r="AZ2" s="442"/>
      <c r="BA2" s="443"/>
      <c r="BB2" s="442"/>
      <c r="BC2" s="442"/>
      <c r="BD2" s="442"/>
      <c r="BE2" s="442"/>
      <c r="BF2" s="442"/>
      <c r="BG2" s="442"/>
      <c r="BH2" s="442"/>
      <c r="BI2" s="400"/>
      <c r="BJ2" s="424"/>
    </row>
    <row r="3" spans="1:62" ht="15.75" customHeight="1">
      <c r="A3" s="604" t="s">
        <v>90</v>
      </c>
      <c r="B3" s="384"/>
      <c r="C3" s="384"/>
      <c r="D3" s="384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  <c r="R3" s="384"/>
      <c r="S3" s="384"/>
      <c r="T3" s="384"/>
      <c r="U3" s="384"/>
      <c r="V3" s="384"/>
      <c r="W3" s="384"/>
      <c r="X3" s="384"/>
      <c r="Y3" s="384"/>
      <c r="Z3" s="384"/>
      <c r="AA3" s="384"/>
      <c r="AB3" s="384"/>
      <c r="AC3" s="384"/>
      <c r="AD3" s="405"/>
      <c r="AE3" s="167" t="s">
        <v>96</v>
      </c>
      <c r="AF3" s="167" t="s">
        <v>97</v>
      </c>
      <c r="AG3" s="167" t="s">
        <v>409</v>
      </c>
      <c r="AH3" s="605" t="s">
        <v>191</v>
      </c>
      <c r="AI3" s="405"/>
      <c r="AJ3" s="168" t="s">
        <v>192</v>
      </c>
      <c r="AK3" s="168" t="s">
        <v>193</v>
      </c>
      <c r="AL3" s="168" t="s">
        <v>194</v>
      </c>
      <c r="AM3" s="606" t="s">
        <v>195</v>
      </c>
      <c r="AN3" s="405"/>
      <c r="AO3" s="612" t="s">
        <v>410</v>
      </c>
      <c r="AP3" s="384"/>
      <c r="AQ3" s="384"/>
      <c r="AR3" s="384"/>
      <c r="AS3" s="384"/>
      <c r="AT3" s="385"/>
      <c r="AU3" s="169" t="s">
        <v>411</v>
      </c>
      <c r="AV3" s="170" t="s">
        <v>412</v>
      </c>
      <c r="AW3" s="605" t="s">
        <v>413</v>
      </c>
      <c r="AX3" s="384"/>
      <c r="AY3" s="384"/>
      <c r="AZ3" s="384"/>
      <c r="BA3" s="385"/>
      <c r="BB3" s="605" t="s">
        <v>414</v>
      </c>
      <c r="BC3" s="405"/>
      <c r="BD3" s="606" t="s">
        <v>195</v>
      </c>
      <c r="BE3" s="384"/>
      <c r="BF3" s="405"/>
      <c r="BG3" s="605" t="s">
        <v>201</v>
      </c>
      <c r="BH3" s="493"/>
      <c r="BI3" s="169" t="s">
        <v>104</v>
      </c>
      <c r="BJ3" s="171" t="s">
        <v>105</v>
      </c>
    </row>
    <row r="4" spans="1:62" ht="15.75" customHeight="1">
      <c r="A4" s="160" t="str">
        <f t="array" aca="1" ref="A4" ca="1">IFERROR(TRANSPOSE(INDIRECT(L1_暖正版配!$BB4)),"")</f>
        <v>固定</v>
      </c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72" t="b">
        <v>0</v>
      </c>
      <c r="AF4" s="173"/>
      <c r="AG4" s="174" t="str">
        <f t="shared" ref="AG4:AG6" si="0">IF(AF4="設隱形錨點","",IF(AE4=FALSE,"",IF(AE4=TRUE, SUBSTITUTE($AI4, "_", ""))))</f>
        <v/>
      </c>
      <c r="AH4" s="175" t="s">
        <v>202</v>
      </c>
      <c r="AI4" s="176" t="str">
        <f ca="1">IFERROR(VLOOKUP($AH4, '(勿動)Component Label公版'!$D$1:$E$1000, 2, FALSE), "-")</f>
        <v>-</v>
      </c>
      <c r="AJ4" s="177"/>
      <c r="AK4" s="174"/>
      <c r="AL4" s="174"/>
      <c r="AM4" s="178" t="str">
        <f t="shared" ref="AM4:AM6" si="1">IFERROR(
  IF(TRIM(AK4)="", "",
    TEXT(
      DATEVALUE("2026/" &amp; LEFT(TRIM(AK4), FIND(" ", TRIM(AK4)) - 1)) +
      TIMEVALUE(MID(TRIM(AK4), FIND(" ", TRIM(AK4)) + 1, LEN(TRIM(AK4)))),
      "yyyy-mm-dd hh:mm:ss"
    )
  ),
"")</f>
        <v/>
      </c>
      <c r="AN4" s="117" t="str">
        <f t="shared" ref="AN4:AN6" si="2">IFERROR(
  IF(TRIM(AL4)="", "",
    TEXT(
      DATEVALUE("2026/" &amp; LEFT(TRIM(AL4), FIND(" ", TRIM(AL4)) - 1)) +
      TIMEVALUE(MID(TRIM(AL4), FIND(" ", TRIM(AL4)) + 1, 5)) +
      TIME(0,0,59),
      "yyyy-mm-dd hh:mm:ss"
    )
  ),
"")</f>
        <v/>
      </c>
      <c r="AO4" s="179" t="s">
        <v>415</v>
      </c>
      <c r="AP4" s="179" t="s">
        <v>416</v>
      </c>
      <c r="AQ4" s="179" t="s">
        <v>417</v>
      </c>
      <c r="AR4" s="179" t="s">
        <v>418</v>
      </c>
      <c r="AS4" s="179" t="s">
        <v>419</v>
      </c>
      <c r="AT4" s="179" t="s">
        <v>420</v>
      </c>
      <c r="AU4" s="180" t="b">
        <v>0</v>
      </c>
      <c r="AV4" s="180" t="b">
        <v>0</v>
      </c>
      <c r="AW4" s="181"/>
      <c r="AX4" s="182"/>
      <c r="AY4" s="182"/>
      <c r="AZ4" s="182"/>
      <c r="BA4" s="183"/>
      <c r="BB4" s="607" t="s">
        <v>206</v>
      </c>
      <c r="BC4" s="608" t="s">
        <v>113</v>
      </c>
      <c r="BD4" s="609" t="str">
        <f>$BB4&amp;"_"&amp;$BC4</f>
        <v>錨點_固定</v>
      </c>
      <c r="BE4" s="610" t="str">
        <f>IFERROR(VLOOKUP($BD4,'(勿動)組件目錄表'!$D$15:$R$1110,2,FALSE),"")</f>
        <v>A-2</v>
      </c>
      <c r="BF4" s="611">
        <f>IFERROR(VLOOKUP($BD4, '(勿動)組件目錄表'!$D$15:$R$1110, 5, FALSE),"")</f>
        <v>0.5</v>
      </c>
      <c r="BG4" s="184" t="s">
        <v>207</v>
      </c>
      <c r="BH4" s="185"/>
      <c r="BI4" s="181"/>
      <c r="BJ4" s="183"/>
    </row>
    <row r="5" spans="1:62" ht="15.75" customHeight="1">
      <c r="A5" s="160" t="str">
        <f t="array" aca="1" ref="A5" ca="1">IFERROR(TRANSPOSE(INDIRECT(L1_暖正版配!$BB5)),"")</f>
        <v/>
      </c>
      <c r="B5" s="160"/>
      <c r="C5" s="160"/>
      <c r="D5" s="160"/>
      <c r="E5" s="160"/>
      <c r="F5" s="160"/>
      <c r="G5" s="160"/>
      <c r="H5" s="160"/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72" t="b">
        <v>0</v>
      </c>
      <c r="AF5" s="173"/>
      <c r="AG5" s="174" t="str">
        <f t="shared" si="0"/>
        <v/>
      </c>
      <c r="AH5" s="175" t="s">
        <v>202</v>
      </c>
      <c r="AI5" s="176" t="str">
        <f ca="1">IFERROR(VLOOKUP($AH5, '(勿動)Component Label公版'!$D$1:$E$1000, 2, FALSE), "-")</f>
        <v>-</v>
      </c>
      <c r="AJ5" s="177"/>
      <c r="AK5" s="174"/>
      <c r="AL5" s="174"/>
      <c r="AM5" s="178" t="str">
        <f t="shared" si="1"/>
        <v/>
      </c>
      <c r="AN5" s="117" t="str">
        <f t="shared" si="2"/>
        <v/>
      </c>
      <c r="AO5" s="179" t="s">
        <v>421</v>
      </c>
      <c r="AP5" s="179" t="s">
        <v>422</v>
      </c>
      <c r="AQ5" s="179" t="s">
        <v>423</v>
      </c>
      <c r="AR5" s="179" t="s">
        <v>424</v>
      </c>
      <c r="AS5" s="179" t="s">
        <v>425</v>
      </c>
      <c r="AT5" s="179" t="s">
        <v>426</v>
      </c>
      <c r="AU5" s="180" t="b">
        <v>0</v>
      </c>
      <c r="AV5" s="180" t="b">
        <v>0</v>
      </c>
      <c r="AW5" s="186"/>
      <c r="AX5" s="187"/>
      <c r="AY5" s="187"/>
      <c r="AZ5" s="187"/>
      <c r="BA5" s="188"/>
      <c r="BB5" s="483"/>
      <c r="BC5" s="483"/>
      <c r="BD5" s="483"/>
      <c r="BE5" s="483"/>
      <c r="BF5" s="483"/>
      <c r="BG5" s="184"/>
      <c r="BH5" s="185"/>
      <c r="BI5" s="181"/>
      <c r="BJ5" s="183"/>
    </row>
    <row r="6" spans="1:62" ht="15.75" customHeight="1">
      <c r="A6" s="160" t="str">
        <f t="array" aca="1" ref="A6" ca="1">IFERROR(TRANSPOSE(INDIRECT(L1_暖正版配!$BB6)),"")</f>
        <v/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72" t="b">
        <v>0</v>
      </c>
      <c r="AF6" s="173"/>
      <c r="AG6" s="174" t="str">
        <f t="shared" si="0"/>
        <v/>
      </c>
      <c r="AH6" s="175" t="s">
        <v>202</v>
      </c>
      <c r="AI6" s="176" t="str">
        <f ca="1">IFERROR(VLOOKUP($AH6, '(勿動)Component Label公版'!$D$1:$E$1000, 2, FALSE), "-")</f>
        <v>-</v>
      </c>
      <c r="AJ6" s="177"/>
      <c r="AK6" s="174"/>
      <c r="AL6" s="174"/>
      <c r="AM6" s="178" t="str">
        <f t="shared" si="1"/>
        <v/>
      </c>
      <c r="AN6" s="117" t="str">
        <f t="shared" si="2"/>
        <v/>
      </c>
      <c r="AO6" s="179" t="s">
        <v>427</v>
      </c>
      <c r="AP6" s="179" t="s">
        <v>428</v>
      </c>
      <c r="AQ6" s="179" t="s">
        <v>429</v>
      </c>
      <c r="AR6" s="179" t="s">
        <v>430</v>
      </c>
      <c r="AS6" s="179" t="s">
        <v>431</v>
      </c>
      <c r="AT6" s="179" t="s">
        <v>432</v>
      </c>
      <c r="AU6" s="180" t="b">
        <v>0</v>
      </c>
      <c r="AV6" s="180" t="b">
        <v>0</v>
      </c>
      <c r="AW6" s="186"/>
      <c r="AX6" s="187"/>
      <c r="AY6" s="187"/>
      <c r="AZ6" s="187"/>
      <c r="BA6" s="188"/>
      <c r="BB6" s="379"/>
      <c r="BC6" s="379"/>
      <c r="BD6" s="379"/>
      <c r="BE6" s="379"/>
      <c r="BF6" s="379"/>
      <c r="BG6" s="184"/>
      <c r="BH6" s="185"/>
      <c r="BI6" s="181"/>
      <c r="BJ6" s="183"/>
    </row>
    <row r="7" spans="1:62" ht="15.75" hidden="1" customHeight="1">
      <c r="A7" s="160"/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72" t="b">
        <v>0</v>
      </c>
      <c r="AF7" s="173"/>
      <c r="AG7" s="174"/>
      <c r="AH7" s="175"/>
      <c r="AI7" s="176"/>
      <c r="AJ7" s="177"/>
      <c r="AK7" s="174"/>
      <c r="AL7" s="174"/>
      <c r="AM7" s="189"/>
      <c r="AN7" s="190"/>
      <c r="AO7" s="179"/>
      <c r="AP7" s="179"/>
      <c r="AQ7" s="179"/>
      <c r="AR7" s="179"/>
      <c r="AS7" s="179"/>
      <c r="AT7" s="179"/>
      <c r="AU7" s="180" t="b">
        <v>0</v>
      </c>
      <c r="AV7" s="180" t="b">
        <v>0</v>
      </c>
      <c r="AW7" s="186"/>
      <c r="AX7" s="187"/>
      <c r="AY7" s="187"/>
      <c r="AZ7" s="187"/>
      <c r="BA7" s="188"/>
      <c r="BB7" s="191"/>
      <c r="BC7" s="179"/>
      <c r="BD7" s="192"/>
      <c r="BE7" s="193"/>
      <c r="BF7" s="194"/>
      <c r="BG7" s="184"/>
      <c r="BH7" s="185"/>
      <c r="BI7" s="181"/>
      <c r="BJ7" s="183"/>
    </row>
    <row r="8" spans="1:62" ht="15.75" customHeight="1">
      <c r="A8" s="160" t="str">
        <f t="array" aca="1" ref="A8" ca="1">IFERROR(TRANSPOSE(INDIRECT(L1_暖正版配!$BB8)),"")</f>
        <v>固定</v>
      </c>
      <c r="B8" s="160"/>
      <c r="C8" s="160"/>
      <c r="D8" s="160"/>
      <c r="E8" s="160"/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72" t="b">
        <v>0</v>
      </c>
      <c r="AF8" s="173"/>
      <c r="AG8" s="174"/>
      <c r="AH8" s="175"/>
      <c r="AI8" s="176"/>
      <c r="AJ8" s="177"/>
      <c r="AK8" s="174"/>
      <c r="AL8" s="174"/>
      <c r="AM8" s="189" t="str">
        <f t="shared" ref="AM8:AM18" si="3">IFERROR(
  IF(TRIM(AK8)="", "",
    TEXT(
      DATEVALUE("2026/" &amp; LEFT(TRIM(AK8), FIND(" ", TRIM(AK8)) - 1)) +
      TIMEVALUE(MID(TRIM(AK8), FIND(" ", TRIM(AK8)) + 1, LEN(TRIM(AK8)))),
      "yyyy-mm-dd hh:mm:ss"
    )
  ),
"")</f>
        <v/>
      </c>
      <c r="AN8" s="117" t="str">
        <f t="shared" ref="AN8:AN18" si="4">IFERROR(
  IF(TRIM(AL8)="", "",
    TEXT(
      DATEVALUE("2026/" &amp; LEFT(TRIM(AL8), FIND(" ", TRIM(AL8)) - 1)) +
      TIMEVALUE(MID(TRIM(AL8), FIND(" ", TRIM(AL8)) + 1, 5)) +
      TIME(0,0,59),
      "yyyy-mm-dd hh:mm:ss"
    )
  ),
"")</f>
        <v/>
      </c>
      <c r="AO8" s="613" t="s">
        <v>433</v>
      </c>
      <c r="AP8" s="384"/>
      <c r="AQ8" s="384"/>
      <c r="AR8" s="384"/>
      <c r="AS8" s="384"/>
      <c r="AT8" s="385"/>
      <c r="AU8" s="180" t="b">
        <v>0</v>
      </c>
      <c r="AV8" s="180" t="b">
        <v>0</v>
      </c>
      <c r="AW8" s="186"/>
      <c r="AX8" s="187"/>
      <c r="AY8" s="187"/>
      <c r="AZ8" s="187"/>
      <c r="BA8" s="188"/>
      <c r="BB8" s="191" t="s">
        <v>209</v>
      </c>
      <c r="BC8" s="179" t="s">
        <v>113</v>
      </c>
      <c r="BD8" s="192"/>
      <c r="BE8" s="193"/>
      <c r="BF8" s="194"/>
      <c r="BG8" s="184"/>
      <c r="BH8" s="185"/>
      <c r="BI8" s="181"/>
      <c r="BJ8" s="183"/>
    </row>
    <row r="9" spans="1:62" ht="15.75" customHeight="1">
      <c r="A9" s="160" t="str">
        <f t="array" aca="1" ref="A9:B9" ca="1">IFERROR(TRANSPOSE(INDIRECT(L1_暖正版配!$BB9)),"")</f>
        <v>無CTA</v>
      </c>
      <c r="B9" s="160" t="str">
        <f ca="1"/>
        <v>Image Collection</v>
      </c>
      <c r="C9" s="160"/>
      <c r="D9" s="160"/>
      <c r="E9" s="160"/>
      <c r="F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72" t="b">
        <v>0</v>
      </c>
      <c r="AF9" s="173" t="str">
        <f t="shared" ref="AF9:AF16" si="5">IF(AE9=TRUE,"若有勾選則必填，隱藏錨點請填寫&lt;設隱形錨點&gt;","")</f>
        <v/>
      </c>
      <c r="AG9" s="174" t="str">
        <f t="shared" ref="AG9:AG16" si="6">IF(AF9="設隱形錨點","",IF(AE9=FALSE,"",IF(AE9=TRUE, SUBSTITUTE($AI9, "_", ""))))</f>
        <v/>
      </c>
      <c r="AH9" s="195" t="s">
        <v>153</v>
      </c>
      <c r="AI9" s="176" t="str">
        <f ca="1">IFERROR(VLOOKUP($AH9, '(勿動)Component Label公版'!$D$1:$E$1000, 2, FALSE), "-")</f>
        <v>-</v>
      </c>
      <c r="AJ9" s="196"/>
      <c r="AK9" s="575" t="s">
        <v>434</v>
      </c>
      <c r="AL9" s="575" t="s">
        <v>435</v>
      </c>
      <c r="AM9" s="189" t="str">
        <f t="shared" si="3"/>
        <v/>
      </c>
      <c r="AN9" s="190" t="str">
        <f t="shared" si="4"/>
        <v>2026-04-09 23:59:59</v>
      </c>
      <c r="AO9" s="614" t="s">
        <v>210</v>
      </c>
      <c r="AP9" s="384"/>
      <c r="AQ9" s="384"/>
      <c r="AR9" s="384"/>
      <c r="AS9" s="384"/>
      <c r="AT9" s="385"/>
      <c r="AU9" s="180" t="b">
        <v>0</v>
      </c>
      <c r="AV9" s="180" t="b">
        <v>0</v>
      </c>
      <c r="AW9" s="186"/>
      <c r="AX9" s="187"/>
      <c r="AY9" s="187"/>
      <c r="AZ9" s="187"/>
      <c r="BA9" s="188"/>
      <c r="BB9" s="607" t="s">
        <v>153</v>
      </c>
      <c r="BC9" s="608" t="s">
        <v>154</v>
      </c>
      <c r="BD9" s="198" t="str">
        <f t="shared" ref="BD9:BD49" si="7">$BB9&amp;"_"&amp;$BC9</f>
        <v>KV_無CTA</v>
      </c>
      <c r="BE9" s="199" t="str">
        <f>IFERROR(VLOOKUP($BD9,'(勿動)組件目錄表'!$D$15:$R$1110,2,FALSE),"")</f>
        <v>A-5</v>
      </c>
      <c r="BF9" s="200">
        <f>IFERROR(VLOOKUP($BD9, '(勿動)組件目錄表'!$D$15:$R$1110, 5, FALSE),"")</f>
        <v>0.5</v>
      </c>
      <c r="BG9" s="201" t="s">
        <v>436</v>
      </c>
      <c r="BH9" s="183"/>
      <c r="BI9" s="181"/>
      <c r="BJ9" s="183"/>
    </row>
    <row r="10" spans="1:62" ht="15.75" customHeight="1">
      <c r="A10" s="160" t="str">
        <f t="array" aca="1" ref="A10" ca="1">IFERROR(TRANSPOSE(INDIRECT(L1_暖正版配!$BB10)),"")</f>
        <v/>
      </c>
      <c r="B10" s="160"/>
      <c r="C10" s="160"/>
      <c r="D10" s="160"/>
      <c r="E10" s="160"/>
      <c r="F10" s="160"/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72" t="b">
        <v>0</v>
      </c>
      <c r="AF10" s="173" t="str">
        <f t="shared" si="5"/>
        <v/>
      </c>
      <c r="AG10" s="174" t="str">
        <f t="shared" si="6"/>
        <v/>
      </c>
      <c r="AH10" s="195" t="s">
        <v>153</v>
      </c>
      <c r="AI10" s="176" t="str">
        <f ca="1">IFERROR(VLOOKUP($AH10, '(勿動)Component Label公版'!$D$1:$E$1000, 2, FALSE), "-")</f>
        <v>-</v>
      </c>
      <c r="AJ10" s="196"/>
      <c r="AK10" s="379"/>
      <c r="AL10" s="379"/>
      <c r="AM10" s="189" t="str">
        <f t="shared" si="3"/>
        <v/>
      </c>
      <c r="AN10" s="190" t="str">
        <f t="shared" si="4"/>
        <v/>
      </c>
      <c r="AO10" s="615" t="s">
        <v>437</v>
      </c>
      <c r="AP10" s="384"/>
      <c r="AQ10" s="384"/>
      <c r="AR10" s="384"/>
      <c r="AS10" s="384"/>
      <c r="AT10" s="385"/>
      <c r="AU10" s="180" t="b">
        <v>0</v>
      </c>
      <c r="AV10" s="180" t="b">
        <v>0</v>
      </c>
      <c r="AW10" s="186"/>
      <c r="AX10" s="187"/>
      <c r="AY10" s="187"/>
      <c r="AZ10" s="187"/>
      <c r="BA10" s="188"/>
      <c r="BB10" s="379"/>
      <c r="BC10" s="379"/>
      <c r="BD10" s="198" t="str">
        <f t="shared" si="7"/>
        <v>_</v>
      </c>
      <c r="BE10" s="199" t="str">
        <f>IFERROR(VLOOKUP($BD10,'(勿動)組件目錄表'!$D$15:$R$1110,2,FALSE),"")</f>
        <v/>
      </c>
      <c r="BF10" s="200" t="str">
        <f>IFERROR(VLOOKUP($BD10, '(勿動)組件目錄表'!$D$15:$R$1110, 5, FALSE),"")</f>
        <v/>
      </c>
      <c r="BG10" s="201" t="s">
        <v>438</v>
      </c>
      <c r="BH10" s="183"/>
      <c r="BI10" s="181"/>
      <c r="BJ10" s="183"/>
    </row>
    <row r="11" spans="1:62" ht="15.75" customHeight="1">
      <c r="A11" s="160" t="str">
        <f t="array" aca="1" ref="A11:B11" ca="1">IFERROR(TRANSPOSE(INDIRECT(L1_暖正版配!$BB11)),"")</f>
        <v>無CTA</v>
      </c>
      <c r="B11" s="160" t="str">
        <f ca="1"/>
        <v>Image Collection</v>
      </c>
      <c r="C11" s="160"/>
      <c r="D11" s="160"/>
      <c r="E11" s="160"/>
      <c r="F11" s="160"/>
      <c r="G11" s="160"/>
      <c r="H11" s="160"/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72" t="b">
        <v>0</v>
      </c>
      <c r="AF11" s="173" t="str">
        <f t="shared" si="5"/>
        <v/>
      </c>
      <c r="AG11" s="174" t="str">
        <f t="shared" si="6"/>
        <v/>
      </c>
      <c r="AH11" s="195" t="s">
        <v>153</v>
      </c>
      <c r="AI11" s="176" t="str">
        <f ca="1">IFERROR(VLOOKUP($AH11, '(勿動)Component Label公版'!$D$1:$E$1000, 2, FALSE), "-")</f>
        <v>-</v>
      </c>
      <c r="AJ11" s="196"/>
      <c r="AK11" s="575" t="s">
        <v>439</v>
      </c>
      <c r="AL11" s="575" t="s">
        <v>440</v>
      </c>
      <c r="AM11" s="189" t="str">
        <f t="shared" si="3"/>
        <v>2026-04-10 00:00:00</v>
      </c>
      <c r="AN11" s="190" t="str">
        <f t="shared" si="4"/>
        <v>2026-04-17 23:59:59</v>
      </c>
      <c r="AO11" s="614" t="s">
        <v>210</v>
      </c>
      <c r="AP11" s="384"/>
      <c r="AQ11" s="384"/>
      <c r="AR11" s="384"/>
      <c r="AS11" s="384"/>
      <c r="AT11" s="385"/>
      <c r="AU11" s="180" t="b">
        <v>0</v>
      </c>
      <c r="AV11" s="180" t="b">
        <v>0</v>
      </c>
      <c r="AW11" s="186"/>
      <c r="AX11" s="187"/>
      <c r="AY11" s="187"/>
      <c r="AZ11" s="187"/>
      <c r="BA11" s="188"/>
      <c r="BB11" s="607" t="s">
        <v>153</v>
      </c>
      <c r="BC11" s="608" t="s">
        <v>154</v>
      </c>
      <c r="BD11" s="198" t="str">
        <f t="shared" si="7"/>
        <v>KV_無CTA</v>
      </c>
      <c r="BE11" s="199" t="str">
        <f>IFERROR(VLOOKUP($BD11,'(勿動)組件目錄表'!$D$15:$R$1110,2,FALSE),"")</f>
        <v>A-5</v>
      </c>
      <c r="BF11" s="200">
        <f>IFERROR(VLOOKUP($BD11, '(勿動)組件目錄表'!$D$15:$R$1110, 5, FALSE),"")</f>
        <v>0.5</v>
      </c>
      <c r="BG11" s="201" t="s">
        <v>436</v>
      </c>
      <c r="BH11" s="183"/>
      <c r="BI11" s="181"/>
      <c r="BJ11" s="183"/>
    </row>
    <row r="12" spans="1:62" ht="15.75" customHeight="1">
      <c r="A12" s="160" t="str">
        <f t="array" aca="1" ref="A12" ca="1">IFERROR(TRANSPOSE(INDIRECT(L1_暖正版配!$BB12)),"")</f>
        <v/>
      </c>
      <c r="B12" s="160"/>
      <c r="C12" s="160"/>
      <c r="D12" s="160"/>
      <c r="E12" s="160"/>
      <c r="F12" s="160"/>
      <c r="G12" s="160"/>
      <c r="H12" s="160"/>
      <c r="I12" s="160"/>
      <c r="J12" s="160"/>
      <c r="K12" s="160"/>
      <c r="L12" s="160"/>
      <c r="M12" s="160"/>
      <c r="N12" s="160"/>
      <c r="O12" s="160"/>
      <c r="P12" s="160"/>
      <c r="Q12" s="160"/>
      <c r="R12" s="160"/>
      <c r="S12" s="160"/>
      <c r="T12" s="160"/>
      <c r="U12" s="160"/>
      <c r="V12" s="160"/>
      <c r="W12" s="160"/>
      <c r="X12" s="160"/>
      <c r="Y12" s="160"/>
      <c r="Z12" s="160"/>
      <c r="AA12" s="160"/>
      <c r="AB12" s="160"/>
      <c r="AC12" s="160"/>
      <c r="AD12" s="160"/>
      <c r="AE12" s="172" t="b">
        <v>0</v>
      </c>
      <c r="AF12" s="173" t="str">
        <f t="shared" si="5"/>
        <v/>
      </c>
      <c r="AG12" s="174" t="str">
        <f t="shared" si="6"/>
        <v/>
      </c>
      <c r="AH12" s="195" t="s">
        <v>153</v>
      </c>
      <c r="AI12" s="176" t="str">
        <f ca="1">IFERROR(VLOOKUP($AH12, '(勿動)Component Label公版'!$D$1:$E$1000, 2, FALSE), "-")</f>
        <v>-</v>
      </c>
      <c r="AJ12" s="196"/>
      <c r="AK12" s="379"/>
      <c r="AL12" s="379"/>
      <c r="AM12" s="189" t="str">
        <f t="shared" si="3"/>
        <v/>
      </c>
      <c r="AN12" s="190" t="str">
        <f t="shared" si="4"/>
        <v/>
      </c>
      <c r="AO12" s="615" t="s">
        <v>441</v>
      </c>
      <c r="AP12" s="384"/>
      <c r="AQ12" s="384"/>
      <c r="AR12" s="384"/>
      <c r="AS12" s="384"/>
      <c r="AT12" s="385"/>
      <c r="AU12" s="180" t="b">
        <v>0</v>
      </c>
      <c r="AV12" s="180" t="b">
        <v>0</v>
      </c>
      <c r="AW12" s="186"/>
      <c r="AX12" s="187"/>
      <c r="AY12" s="187"/>
      <c r="AZ12" s="187"/>
      <c r="BA12" s="188"/>
      <c r="BB12" s="379"/>
      <c r="BC12" s="379"/>
      <c r="BD12" s="198" t="str">
        <f t="shared" si="7"/>
        <v>_</v>
      </c>
      <c r="BE12" s="199" t="str">
        <f>IFERROR(VLOOKUP($BD12,'(勿動)組件目錄表'!$D$15:$R$1110,2,FALSE),"")</f>
        <v/>
      </c>
      <c r="BF12" s="200" t="str">
        <f>IFERROR(VLOOKUP($BD12, '(勿動)組件目錄表'!$D$15:$R$1110, 5, FALSE),"")</f>
        <v/>
      </c>
      <c r="BG12" s="201" t="s">
        <v>442</v>
      </c>
      <c r="BH12" s="183"/>
      <c r="BI12" s="181"/>
      <c r="BJ12" s="183"/>
    </row>
    <row r="13" spans="1:62" ht="15.75" customHeight="1">
      <c r="A13" s="160" t="str">
        <f t="array" aca="1" ref="A13:B13" ca="1">IFERROR(TRANSPOSE(INDIRECT(L1_暖正版配!$BB13)),"")</f>
        <v>無CTA</v>
      </c>
      <c r="B13" s="160" t="str">
        <f ca="1"/>
        <v>Image Collection</v>
      </c>
      <c r="C13" s="160"/>
      <c r="D13" s="160"/>
      <c r="E13" s="160"/>
      <c r="F13" s="160"/>
      <c r="G13" s="160"/>
      <c r="H13" s="160"/>
      <c r="I13" s="160"/>
      <c r="J13" s="160"/>
      <c r="K13" s="160"/>
      <c r="L13" s="160"/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72" t="b">
        <v>0</v>
      </c>
      <c r="AF13" s="173" t="str">
        <f t="shared" si="5"/>
        <v/>
      </c>
      <c r="AG13" s="174" t="str">
        <f t="shared" si="6"/>
        <v/>
      </c>
      <c r="AH13" s="195" t="s">
        <v>153</v>
      </c>
      <c r="AI13" s="176" t="str">
        <f ca="1">IFERROR(VLOOKUP($AH13, '(勿動)Component Label公版'!$D$1:$E$1000, 2, FALSE), "-")</f>
        <v>-</v>
      </c>
      <c r="AJ13" s="196"/>
      <c r="AK13" s="575" t="s">
        <v>443</v>
      </c>
      <c r="AL13" s="575" t="s">
        <v>444</v>
      </c>
      <c r="AM13" s="189" t="str">
        <f t="shared" si="3"/>
        <v>2026-04-18 00:00:00</v>
      </c>
      <c r="AN13" s="190" t="str">
        <f t="shared" si="4"/>
        <v>2026-04-18 23:59:59</v>
      </c>
      <c r="AO13" s="614" t="s">
        <v>210</v>
      </c>
      <c r="AP13" s="384"/>
      <c r="AQ13" s="384"/>
      <c r="AR13" s="384"/>
      <c r="AS13" s="384"/>
      <c r="AT13" s="385"/>
      <c r="AU13" s="180" t="b">
        <v>0</v>
      </c>
      <c r="AV13" s="180" t="b">
        <v>0</v>
      </c>
      <c r="AW13" s="186"/>
      <c r="AX13" s="187"/>
      <c r="AY13" s="187"/>
      <c r="AZ13" s="187"/>
      <c r="BA13" s="188"/>
      <c r="BB13" s="607" t="s">
        <v>153</v>
      </c>
      <c r="BC13" s="608" t="s">
        <v>154</v>
      </c>
      <c r="BD13" s="198" t="str">
        <f t="shared" si="7"/>
        <v>KV_無CTA</v>
      </c>
      <c r="BE13" s="199" t="str">
        <f>IFERROR(VLOOKUP($BD13,'(勿動)組件目錄表'!$D$15:$R$1110,2,FALSE),"")</f>
        <v>A-5</v>
      </c>
      <c r="BF13" s="200">
        <f>IFERROR(VLOOKUP($BD13, '(勿動)組件目錄表'!$D$15:$R$1110, 5, FALSE),"")</f>
        <v>0.5</v>
      </c>
      <c r="BG13" s="201" t="s">
        <v>436</v>
      </c>
      <c r="BH13" s="183"/>
      <c r="BI13" s="181"/>
      <c r="BJ13" s="183"/>
    </row>
    <row r="14" spans="1:62" ht="15.75" customHeight="1">
      <c r="A14" s="160" t="str">
        <f t="array" aca="1" ref="A14" ca="1">IFERROR(TRANSPOSE(INDIRECT(L1_暖正版配!$BB14)),"")</f>
        <v/>
      </c>
      <c r="B14" s="160"/>
      <c r="C14" s="160"/>
      <c r="D14" s="160"/>
      <c r="E14" s="160"/>
      <c r="F14" s="160"/>
      <c r="G14" s="160"/>
      <c r="H14" s="160"/>
      <c r="I14" s="160"/>
      <c r="J14" s="160"/>
      <c r="K14" s="160"/>
      <c r="L14" s="160"/>
      <c r="M14" s="160"/>
      <c r="N14" s="160"/>
      <c r="O14" s="160"/>
      <c r="P14" s="160"/>
      <c r="Q14" s="160"/>
      <c r="R14" s="160"/>
      <c r="S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72" t="b">
        <v>0</v>
      </c>
      <c r="AF14" s="173" t="str">
        <f t="shared" si="5"/>
        <v/>
      </c>
      <c r="AG14" s="174" t="str">
        <f t="shared" si="6"/>
        <v/>
      </c>
      <c r="AH14" s="195" t="s">
        <v>153</v>
      </c>
      <c r="AI14" s="176" t="str">
        <f ca="1">IFERROR(VLOOKUP($AH14, '(勿動)Component Label公版'!$D$1:$E$1000, 2, FALSE), "-")</f>
        <v>-</v>
      </c>
      <c r="AJ14" s="196"/>
      <c r="AK14" s="379"/>
      <c r="AL14" s="379"/>
      <c r="AM14" s="189" t="str">
        <f t="shared" si="3"/>
        <v/>
      </c>
      <c r="AN14" s="190" t="str">
        <f t="shared" si="4"/>
        <v/>
      </c>
      <c r="AO14" s="615" t="s">
        <v>445</v>
      </c>
      <c r="AP14" s="384"/>
      <c r="AQ14" s="384"/>
      <c r="AR14" s="384"/>
      <c r="AS14" s="384"/>
      <c r="AT14" s="385"/>
      <c r="AU14" s="180" t="b">
        <v>0</v>
      </c>
      <c r="AV14" s="180" t="b">
        <v>0</v>
      </c>
      <c r="AW14" s="186"/>
      <c r="AX14" s="187"/>
      <c r="AY14" s="187"/>
      <c r="AZ14" s="187"/>
      <c r="BA14" s="188"/>
      <c r="BB14" s="379"/>
      <c r="BC14" s="379"/>
      <c r="BD14" s="198" t="str">
        <f t="shared" si="7"/>
        <v>_</v>
      </c>
      <c r="BE14" s="199" t="str">
        <f>IFERROR(VLOOKUP($BD14,'(勿動)組件目錄表'!$D$15:$R$1110,2,FALSE),"")</f>
        <v/>
      </c>
      <c r="BF14" s="200" t="str">
        <f>IFERROR(VLOOKUP($BD14, '(勿動)組件目錄表'!$D$15:$R$1110, 5, FALSE),"")</f>
        <v/>
      </c>
      <c r="BG14" s="201" t="s">
        <v>442</v>
      </c>
      <c r="BH14" s="183"/>
      <c r="BI14" s="181"/>
      <c r="BJ14" s="183"/>
    </row>
    <row r="15" spans="1:62" ht="15.75" customHeight="1">
      <c r="A15" s="160" t="str">
        <f t="array" aca="1" ref="A15" ca="1">IFERROR(TRANSPOSE(INDIRECT(L1_暖正版配!$BB15)),"")</f>
        <v>固定</v>
      </c>
      <c r="B15" s="160"/>
      <c r="C15" s="160"/>
      <c r="D15" s="160"/>
      <c r="E15" s="160"/>
      <c r="F15" s="160"/>
      <c r="G15" s="160"/>
      <c r="H15" s="160"/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72" t="b">
        <v>0</v>
      </c>
      <c r="AF15" s="173" t="str">
        <f t="shared" si="5"/>
        <v/>
      </c>
      <c r="AG15" s="174" t="str">
        <f t="shared" si="6"/>
        <v/>
      </c>
      <c r="AH15" s="195" t="s">
        <v>153</v>
      </c>
      <c r="AI15" s="176" t="str">
        <f ca="1">IFERROR(VLOOKUP($AH15, '(勿動)Component Label公版'!$D$1:$E$1000, 2, FALSE), "-")</f>
        <v>-</v>
      </c>
      <c r="AJ15" s="160"/>
      <c r="AK15" s="202" t="s">
        <v>446</v>
      </c>
      <c r="AL15" s="202" t="s">
        <v>440</v>
      </c>
      <c r="AM15" s="189" t="str">
        <f t="shared" si="3"/>
        <v>2026-04-06 00:00:00</v>
      </c>
      <c r="AN15" s="190" t="str">
        <f t="shared" si="4"/>
        <v>2026-04-17 23:59:59</v>
      </c>
      <c r="AO15" s="541" t="s">
        <v>447</v>
      </c>
      <c r="AP15" s="384"/>
      <c r="AQ15" s="384"/>
      <c r="AR15" s="384"/>
      <c r="AS15" s="384"/>
      <c r="AT15" s="385"/>
      <c r="AU15" s="180" t="b">
        <v>0</v>
      </c>
      <c r="AV15" s="180" t="b">
        <v>0</v>
      </c>
      <c r="AW15" s="186"/>
      <c r="AX15" s="187"/>
      <c r="AY15" s="187"/>
      <c r="AZ15" s="187"/>
      <c r="BA15" s="188"/>
      <c r="BB15" s="191" t="s">
        <v>448</v>
      </c>
      <c r="BC15" s="179" t="s">
        <v>113</v>
      </c>
      <c r="BD15" s="198" t="str">
        <f t="shared" si="7"/>
        <v>活動倒數計時器_固定</v>
      </c>
      <c r="BE15" s="199" t="str">
        <f>IFERROR(VLOOKUP($BD15,'(勿動)組件目錄表'!$D$15:$R$1110,2,FALSE),"")</f>
        <v>A-7</v>
      </c>
      <c r="BF15" s="200">
        <f>IFERROR(VLOOKUP($BD15, '(勿動)組件目錄表'!$D$15:$R$1110, 5, FALSE),"")</f>
        <v>0.8</v>
      </c>
      <c r="BG15" s="181"/>
      <c r="BH15" s="183"/>
      <c r="BI15" s="181"/>
      <c r="BJ15" s="183"/>
    </row>
    <row r="16" spans="1:62" ht="15.75" customHeight="1">
      <c r="A16" s="160" t="str">
        <f t="array" aca="1" ref="A16" ca="1">IFERROR(TRANSPOSE(INDIRECT(L1_暖正版配!$BB16)),"")</f>
        <v>固定</v>
      </c>
      <c r="B16" s="160"/>
      <c r="C16" s="160"/>
      <c r="D16" s="160"/>
      <c r="E16" s="160"/>
      <c r="F16" s="160"/>
      <c r="G16" s="160"/>
      <c r="H16" s="160"/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72" t="b">
        <v>0</v>
      </c>
      <c r="AF16" s="173" t="str">
        <f t="shared" si="5"/>
        <v/>
      </c>
      <c r="AG16" s="174" t="str">
        <f t="shared" si="6"/>
        <v/>
      </c>
      <c r="AH16" s="195" t="s">
        <v>153</v>
      </c>
      <c r="AI16" s="176" t="str">
        <f ca="1">IFERROR(VLOOKUP($AH16, '(勿動)Component Label公版'!$D$1:$E$1000, 2, FALSE), "-")</f>
        <v>-</v>
      </c>
      <c r="AJ16" s="160"/>
      <c r="AK16" s="202" t="s">
        <v>443</v>
      </c>
      <c r="AL16" s="202" t="s">
        <v>444</v>
      </c>
      <c r="AM16" s="189" t="str">
        <f t="shared" si="3"/>
        <v>2026-04-18 00:00:00</v>
      </c>
      <c r="AN16" s="190" t="str">
        <f t="shared" si="4"/>
        <v>2026-04-18 23:59:59</v>
      </c>
      <c r="AO16" s="541" t="s">
        <v>449</v>
      </c>
      <c r="AP16" s="384"/>
      <c r="AQ16" s="384"/>
      <c r="AR16" s="384"/>
      <c r="AS16" s="384"/>
      <c r="AT16" s="385"/>
      <c r="AU16" s="180" t="b">
        <v>0</v>
      </c>
      <c r="AV16" s="180" t="b">
        <v>0</v>
      </c>
      <c r="AW16" s="186"/>
      <c r="AX16" s="187"/>
      <c r="AY16" s="187"/>
      <c r="AZ16" s="187"/>
      <c r="BA16" s="188"/>
      <c r="BB16" s="191" t="s">
        <v>448</v>
      </c>
      <c r="BC16" s="179" t="s">
        <v>113</v>
      </c>
      <c r="BD16" s="198" t="str">
        <f t="shared" si="7"/>
        <v>活動倒數計時器_固定</v>
      </c>
      <c r="BE16" s="199" t="str">
        <f>IFERROR(VLOOKUP($BD16,'(勿動)組件目錄表'!$D$15:$R$1110,2,FALSE),"")</f>
        <v>A-7</v>
      </c>
      <c r="BF16" s="200">
        <f>IFERROR(VLOOKUP($BD16, '(勿動)組件目錄表'!$D$15:$R$1110, 5, FALSE),"")</f>
        <v>0.8</v>
      </c>
      <c r="BG16" s="181" t="s">
        <v>450</v>
      </c>
      <c r="BH16" s="183"/>
      <c r="BI16" s="181"/>
      <c r="BJ16" s="183"/>
    </row>
    <row r="17" spans="1:62" ht="15.75" customHeight="1">
      <c r="A17" s="160" t="str">
        <f t="array" aca="1" ref="A17:AD17" ca="1">IFERROR(TRANSPOSE(INDIRECT(L1_暖正版配!$BB17)),"")</f>
        <v>無CTA</v>
      </c>
      <c r="B17" s="160" t="str">
        <f ca="1"/>
        <v>LINK*1</v>
      </c>
      <c r="C17" s="160" t="str">
        <f ca="1"/>
        <v>LINK*2</v>
      </c>
      <c r="D17" s="160" t="str">
        <f ca="1"/>
        <v>LINK*3</v>
      </c>
      <c r="E17" s="160" t="str">
        <f ca="1"/>
        <v>LINK&gt;3</v>
      </c>
      <c r="F17" s="160" t="str">
        <f ca="1"/>
        <v>Reminder*1</v>
      </c>
      <c r="G17" s="160" t="str">
        <f ca="1"/>
        <v>Reminder*2</v>
      </c>
      <c r="H17" s="160" t="str">
        <f ca="1"/>
        <v>Reminder*3</v>
      </c>
      <c r="I17" s="160" t="str">
        <f ca="1"/>
        <v>Reminder*4</v>
      </c>
      <c r="J17" s="160" t="str">
        <f ca="1"/>
        <v>Reminder*5</v>
      </c>
      <c r="K17" s="160" t="str">
        <f ca="1"/>
        <v>Reminder&gt;5</v>
      </c>
      <c r="L17" s="160" t="str">
        <f ca="1"/>
        <v>LINK*1 + Reminder*1</v>
      </c>
      <c r="M17" s="160" t="str">
        <f ca="1"/>
        <v>LINK*1 + Reminder*2</v>
      </c>
      <c r="N17" s="160" t="str">
        <f ca="1"/>
        <v>LINK*2 + Reminder*1</v>
      </c>
      <c r="O17" s="160" t="str">
        <f ca="1"/>
        <v>Add to Cart*1</v>
      </c>
      <c r="P17" s="160" t="str">
        <f ca="1"/>
        <v>Add to Cart*2</v>
      </c>
      <c r="Q17" s="160" t="str">
        <f ca="1"/>
        <v>Add to Cart*3</v>
      </c>
      <c r="R17" s="160" t="str">
        <f ca="1"/>
        <v>(Reminder+ATC) *1</v>
      </c>
      <c r="S17" s="160" t="str">
        <f ca="1"/>
        <v>(Reminder+ATC) *2</v>
      </c>
      <c r="T17" s="160" t="str">
        <f ca="1"/>
        <v>(Reminder+ATC) *3</v>
      </c>
      <c r="U17" s="160" t="str">
        <f ca="1"/>
        <v>Popup*1</v>
      </c>
      <c r="V17" s="160" t="str">
        <f ca="1"/>
        <v>Popup*2</v>
      </c>
      <c r="W17" s="160" t="str">
        <f ca="1"/>
        <v>Popup*3</v>
      </c>
      <c r="X17" s="160" t="str">
        <f ca="1"/>
        <v>Copy*1</v>
      </c>
      <c r="Y17" s="160" t="str">
        <f ca="1"/>
        <v>Copy*2</v>
      </c>
      <c r="Z17" s="160" t="str">
        <f ca="1"/>
        <v>Copy*3</v>
      </c>
      <c r="AA17" s="160" t="str">
        <f ca="1"/>
        <v>Share*1</v>
      </c>
      <c r="AB17" s="160" t="str">
        <f ca="1"/>
        <v>Share*2</v>
      </c>
      <c r="AC17" s="160" t="str">
        <f ca="1"/>
        <v>Share*3</v>
      </c>
      <c r="AD17" s="160" t="str">
        <f ca="1"/>
        <v>Placeholders</v>
      </c>
      <c r="AE17" s="172" t="b">
        <v>1</v>
      </c>
      <c r="AF17" s="173" t="s">
        <v>415</v>
      </c>
      <c r="AG17" s="174" t="s">
        <v>451</v>
      </c>
      <c r="AH17" s="195" t="s">
        <v>452</v>
      </c>
      <c r="AI17" s="176" t="str">
        <f ca="1">IFERROR(VLOOKUP($AH17, '(勿動)Component Label公版'!$D$1:$E$1000, 2, FALSE), "-")</f>
        <v>-</v>
      </c>
      <c r="AJ17" s="576" t="s">
        <v>453</v>
      </c>
      <c r="AK17" s="70"/>
      <c r="AL17" s="70"/>
      <c r="AM17" s="203" t="str">
        <f t="shared" si="3"/>
        <v/>
      </c>
      <c r="AN17" s="204" t="str">
        <f t="shared" si="4"/>
        <v/>
      </c>
      <c r="AO17" s="569" t="s">
        <v>454</v>
      </c>
      <c r="AP17" s="384"/>
      <c r="AQ17" s="384"/>
      <c r="AR17" s="384"/>
      <c r="AS17" s="384"/>
      <c r="AT17" s="385"/>
      <c r="AU17" s="179" t="b">
        <v>1</v>
      </c>
      <c r="AV17" s="180" t="b">
        <v>0</v>
      </c>
      <c r="AW17" s="186"/>
      <c r="AX17" s="187"/>
      <c r="AY17" s="187"/>
      <c r="AZ17" s="187"/>
      <c r="BA17" s="188"/>
      <c r="BB17" s="191" t="s">
        <v>147</v>
      </c>
      <c r="BC17" s="179" t="s">
        <v>118</v>
      </c>
      <c r="BD17" s="198" t="str">
        <f t="shared" si="7"/>
        <v>圖_MSBN_LINK*1</v>
      </c>
      <c r="BE17" s="190" t="str">
        <f>IFERROR(VLOOKUP($BD17,'(勿動)組件目錄表'!$D$15:$R$1110,2,FALSE),"")</f>
        <v>I-2</v>
      </c>
      <c r="BF17" s="205">
        <f>IFERROR(VLOOKUP($BD17, '(勿動)組件目錄表'!$D$15:$R$1110, 5, FALSE),"")</f>
        <v>0.5</v>
      </c>
      <c r="BG17" s="206" t="s">
        <v>455</v>
      </c>
      <c r="BH17" s="120"/>
      <c r="BI17" s="118"/>
      <c r="BJ17" s="207" t="s">
        <v>456</v>
      </c>
    </row>
    <row r="18" spans="1:62" ht="31.5" customHeight="1">
      <c r="A18" s="160" t="str">
        <f t="array" aca="1" ref="A18:D18" ca="1">IFERROR(TRANSPOSE(INDIRECT(L1_暖正版配!$BB18)),"")</f>
        <v>置中</v>
      </c>
      <c r="B18" s="160" t="str">
        <f ca="1"/>
        <v>置中 + Display See All</v>
      </c>
      <c r="C18" s="160" t="str">
        <f ca="1"/>
        <v>置左</v>
      </c>
      <c r="D18" s="160" t="str">
        <f ca="1"/>
        <v>置左 + Display See All</v>
      </c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72" t="b">
        <v>0</v>
      </c>
      <c r="AF18" s="204" t="str">
        <f t="shared" ref="AF18:AF31" si="8">IF(AE18=TRUE,"若有勾選則必填，隱藏錨點請填寫&lt;設隱形錨點&gt;","")</f>
        <v/>
      </c>
      <c r="AG18" s="174"/>
      <c r="AH18" s="195" t="s">
        <v>452</v>
      </c>
      <c r="AI18" s="176" t="str">
        <f ca="1">IFERROR(VLOOKUP($AH18, '(勿動)Component Label公版'!$D$1:$E$1000, 2, FALSE), "-")</f>
        <v>-</v>
      </c>
      <c r="AJ18" s="483"/>
      <c r="AK18" s="575" t="s">
        <v>434</v>
      </c>
      <c r="AL18" s="575" t="s">
        <v>457</v>
      </c>
      <c r="AM18" s="203" t="str">
        <f t="shared" si="3"/>
        <v/>
      </c>
      <c r="AN18" s="190" t="str">
        <f t="shared" si="4"/>
        <v>2026-04-13 23:59:59</v>
      </c>
      <c r="AO18" s="623" t="s">
        <v>458</v>
      </c>
      <c r="AP18" s="384"/>
      <c r="AQ18" s="384"/>
      <c r="AR18" s="384"/>
      <c r="AS18" s="384"/>
      <c r="AT18" s="385"/>
      <c r="AU18" s="180" t="b">
        <v>0</v>
      </c>
      <c r="AV18" s="180" t="b">
        <v>0</v>
      </c>
      <c r="AW18" s="186"/>
      <c r="AX18" s="187"/>
      <c r="AY18" s="187"/>
      <c r="AZ18" s="187"/>
      <c r="BA18" s="188"/>
      <c r="BB18" s="191" t="s">
        <v>159</v>
      </c>
      <c r="BC18" s="179" t="s">
        <v>157</v>
      </c>
      <c r="BD18" s="198" t="str">
        <f t="shared" si="7"/>
        <v>標題_置左</v>
      </c>
      <c r="BE18" s="190" t="str">
        <f>IFERROR(VLOOKUP($BD18,'(勿動)組件目錄表'!$D$15:$R$1110,2,FALSE),"")</f>
        <v>D-3</v>
      </c>
      <c r="BF18" s="205">
        <f>IFERROR(VLOOKUP($BD18, '(勿動)組件目錄表'!$D$15:$R$1110, 5, FALSE),"")</f>
        <v>0.5</v>
      </c>
      <c r="BG18" s="118"/>
      <c r="BH18" s="120"/>
      <c r="BI18" s="118"/>
      <c r="BJ18" s="583" t="s">
        <v>459</v>
      </c>
    </row>
    <row r="19" spans="1:62" ht="31.5" customHeight="1">
      <c r="A19" s="160" t="str">
        <f t="array" aca="1" ref="A19:I19" ca="1">IFERROR(TRANSPOSE(INDIRECT(L1_暖正版配!$BB19)),"")</f>
        <v>一排1張(單張/多張)(無一鍵領取)</v>
      </c>
      <c r="B19" s="160" t="str">
        <f ca="1"/>
        <v>一排1張 + Reminder(單張/多張)(無一鍵領取)</v>
      </c>
      <c r="C19" s="160" t="str">
        <f ca="1"/>
        <v>一排1張 + 一鍵領取(多張)</v>
      </c>
      <c r="D19" s="160" t="str">
        <f ca="1"/>
        <v>【僅供MKT Campaign使用】PC：一排兩張；APP：一排1張 + 一鍵領取(多張)</v>
      </c>
      <c r="E19" s="160" t="str">
        <f ca="1"/>
        <v>【僅供MKT Campaign使用】PC：一排兩張；APP：一排1張 + 一鍵領取(多張) + Reminder</v>
      </c>
      <c r="F19" s="160" t="str">
        <f ca="1"/>
        <v>【僅供MKT Campaign使用】PC：一排兩張；APP：一排1張 + 一鍵領取(多張) + Reminder + 查看全部(系統預設加上「優惠券」文案)</v>
      </c>
      <c r="G19" s="160" t="str">
        <f ca="1"/>
        <v>一排2張(單張/多張)(無一鍵領取)</v>
      </c>
      <c r="H19" s="160" t="str">
        <f ca="1"/>
        <v>一排2張 + Reminder(單張/多張)(無一鍵領取)</v>
      </c>
      <c r="I19" s="160" t="str">
        <f ca="1"/>
        <v>一排2張 + 一鍵領取(多張)</v>
      </c>
      <c r="J19" s="160"/>
      <c r="K19" s="160"/>
      <c r="L19" s="160"/>
      <c r="M19" s="160"/>
      <c r="N19" s="160"/>
      <c r="O19" s="160"/>
      <c r="P19" s="160"/>
      <c r="Q19" s="160"/>
      <c r="R19" s="160"/>
      <c r="S19" s="160"/>
      <c r="T19" s="160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208" t="b">
        <v>0</v>
      </c>
      <c r="AF19" s="204" t="str">
        <f t="shared" si="8"/>
        <v/>
      </c>
      <c r="AG19" s="203" t="str">
        <f>IF(AF19="設隱形錨點","",IF(AE19=FALSE,"",IF(AE19=TRUE, SUBSTITUTE($AI19, "_", ""))))</f>
        <v/>
      </c>
      <c r="AH19" s="195" t="s">
        <v>452</v>
      </c>
      <c r="AI19" s="176" t="str">
        <f ca="1">IFERROR(VLOOKUP($AH19, '(勿動)Component Label公版'!$D$1:$E$1000, 2, FALSE), "-")</f>
        <v>-</v>
      </c>
      <c r="AJ19" s="483"/>
      <c r="AK19" s="483"/>
      <c r="AL19" s="483"/>
      <c r="AM19" s="203" t="str">
        <f>IFERROR(
  IF(TRIM(#REF!)="", "",
    TEXT(
      DATEVALUE("2026/" &amp; LEFT(TRIM(#REF!), FIND(" ", TRIM(#REF!)) - 1)) +
      TIMEVALUE(MID(TRIM(#REF!), FIND(" ", TRIM(#REF!)) + 1, LEN(TRIM(#REF!)))),
      "yyyy-mm-dd hh:mm:ss"
    )
  ),
"")</f>
        <v/>
      </c>
      <c r="AN19" s="190" t="str">
        <f>IFERROR(
  IF(TRIM(#REF!)="", "",
    TEXT(
      DATEVALUE("2026/" &amp; LEFT(TRIM(#REF!), FIND(" ", TRIM(#REF!)) - 1)) +
      TIMEVALUE(MID(TRIM(#REF!), FIND(" ", TRIM(#REF!)) + 1, 5)) +
      TIME(0,0,59),
      "yyyy-mm-dd hh:mm:ss"
    )
  ),
"")</f>
        <v/>
      </c>
      <c r="AO19" s="618" t="s">
        <v>460</v>
      </c>
      <c r="AP19" s="384"/>
      <c r="AQ19" s="384"/>
      <c r="AR19" s="384"/>
      <c r="AS19" s="384"/>
      <c r="AT19" s="385"/>
      <c r="AU19" s="180" t="b">
        <v>0</v>
      </c>
      <c r="AV19" s="180" t="b">
        <v>0</v>
      </c>
      <c r="AW19" s="186"/>
      <c r="AX19" s="187"/>
      <c r="AY19" s="187"/>
      <c r="AZ19" s="187"/>
      <c r="BA19" s="188"/>
      <c r="BB19" s="191" t="s">
        <v>182</v>
      </c>
      <c r="BC19" s="179" t="s">
        <v>222</v>
      </c>
      <c r="BD19" s="198" t="str">
        <f t="shared" si="7"/>
        <v>優惠券_真券_一排1張(單張/多張)(無一鍵領取)</v>
      </c>
      <c r="BE19" s="190" t="str">
        <f>IFERROR(VLOOKUP($BD19,'(勿動)組件目錄表'!$D$15:$R$1110,2,FALSE),"")</f>
        <v>F-1</v>
      </c>
      <c r="BF19" s="205">
        <f>IFERROR(VLOOKUP($BD19, '(勿動)組件目錄表'!$D$15:$R$1110, 5, FALSE),"")</f>
        <v>0.5</v>
      </c>
      <c r="BG19" s="118"/>
      <c r="BH19" s="120"/>
      <c r="BI19" s="118"/>
      <c r="BJ19" s="584"/>
    </row>
    <row r="20" spans="1:62" ht="31.5" customHeight="1">
      <c r="A20" s="160" t="str">
        <f t="array" aca="1" ref="A20:D20" ca="1">IFERROR(TRANSPOSE(INDIRECT(L1_暖正版配!$BB20)),"")</f>
        <v>置中</v>
      </c>
      <c r="B20" s="160" t="str">
        <f ca="1"/>
        <v>置中 + Display See All</v>
      </c>
      <c r="C20" s="160" t="str">
        <f ca="1"/>
        <v>置左</v>
      </c>
      <c r="D20" s="160" t="str">
        <f ca="1"/>
        <v>置左 + Display See All</v>
      </c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72" t="b">
        <v>0</v>
      </c>
      <c r="AF20" s="204" t="str">
        <f t="shared" si="8"/>
        <v/>
      </c>
      <c r="AG20" s="174"/>
      <c r="AH20" s="195" t="s">
        <v>452</v>
      </c>
      <c r="AI20" s="176" t="str">
        <f ca="1">IFERROR(VLOOKUP($AH20, '(勿動)Component Label公版'!$D$1:$E$1000, 2, FALSE), "-")</f>
        <v>-</v>
      </c>
      <c r="AJ20" s="577" t="s">
        <v>461</v>
      </c>
      <c r="AK20" s="575" t="s">
        <v>462</v>
      </c>
      <c r="AL20" s="575" t="s">
        <v>444</v>
      </c>
      <c r="AM20" s="203" t="str">
        <f>IFERROR(
  IF(TRIM(AK20)="", "",
    TEXT(
      DATEVALUE("2026/" &amp; LEFT(TRIM(AK20), FIND(" ", TRIM(AK20)) - 1)) +
      TIMEVALUE(MID(TRIM(AK20), FIND(" ", TRIM(AK20)) + 1, LEN(TRIM(AK20)))),
      "yyyy-mm-dd hh:mm:ss"
    )
  ),
"")</f>
        <v>2026-04-14 00:00:00</v>
      </c>
      <c r="AN20" s="190" t="str">
        <f>IFERROR(
  IF(TRIM(AL20)="", "",
    TEXT(
      DATEVALUE("2026/" &amp; LEFT(TRIM(AL20), FIND(" ", TRIM(AL20)) - 1)) +
      TIMEVALUE(MID(TRIM(AL20), FIND(" ", TRIM(AL20)) + 1, 5)) +
      TIME(0,0,59),
      "yyyy-mm-dd hh:mm:ss"
    )
  ),
"")</f>
        <v>2026-04-18 23:59:59</v>
      </c>
      <c r="AO20" s="623" t="s">
        <v>463</v>
      </c>
      <c r="AP20" s="384"/>
      <c r="AQ20" s="384"/>
      <c r="AR20" s="384"/>
      <c r="AS20" s="384"/>
      <c r="AT20" s="385"/>
      <c r="AU20" s="180" t="b">
        <v>0</v>
      </c>
      <c r="AV20" s="180" t="b">
        <v>0</v>
      </c>
      <c r="AW20" s="186"/>
      <c r="AX20" s="187"/>
      <c r="AY20" s="187"/>
      <c r="AZ20" s="187"/>
      <c r="BA20" s="188"/>
      <c r="BB20" s="191" t="s">
        <v>159</v>
      </c>
      <c r="BC20" s="179" t="s">
        <v>157</v>
      </c>
      <c r="BD20" s="198" t="str">
        <f t="shared" si="7"/>
        <v>標題_置左</v>
      </c>
      <c r="BE20" s="190" t="str">
        <f>IFERROR(VLOOKUP($BD20,'(勿動)組件目錄表'!$D$15:$R$1110,2,FALSE),"")</f>
        <v>D-3</v>
      </c>
      <c r="BF20" s="205">
        <f>IFERROR(VLOOKUP($BD20, '(勿動)組件目錄表'!$D$15:$R$1110, 5, FALSE),"")</f>
        <v>0.5</v>
      </c>
      <c r="BG20" s="118"/>
      <c r="BH20" s="120"/>
      <c r="BI20" s="118"/>
      <c r="BJ20" s="583" t="s">
        <v>464</v>
      </c>
    </row>
    <row r="21" spans="1:62" ht="31.5" customHeight="1">
      <c r="A21" s="160" t="str">
        <f t="array" aca="1" ref="A21" ca="1">IFERROR(TRANSPOSE(INDIRECT(L1_暖正版配!$BB21)),"")</f>
        <v>輪播 水平滑動(display number per row: 1)</v>
      </c>
      <c r="B21" s="160"/>
      <c r="C21" s="160"/>
      <c r="D21" s="160"/>
      <c r="E21" s="160"/>
      <c r="F21" s="160"/>
      <c r="G21" s="160"/>
      <c r="H21" s="160"/>
      <c r="I21" s="160"/>
      <c r="J21" s="160"/>
      <c r="K21" s="160"/>
      <c r="L21" s="160"/>
      <c r="M21" s="160"/>
      <c r="N21" s="160"/>
      <c r="O21" s="160"/>
      <c r="P21" s="160"/>
      <c r="Q21" s="160"/>
      <c r="R21" s="160"/>
      <c r="S21" s="160"/>
      <c r="T21" s="160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208" t="b">
        <v>0</v>
      </c>
      <c r="AF21" s="204" t="str">
        <f t="shared" si="8"/>
        <v/>
      </c>
      <c r="AG21" s="203" t="str">
        <f>IF(AF21="設隱形錨點","",IF(AE21=FALSE,"",IF(AE21=TRUE, SUBSTITUTE($AI21, "_", ""))))</f>
        <v/>
      </c>
      <c r="AH21" s="195" t="s">
        <v>452</v>
      </c>
      <c r="AI21" s="176" t="str">
        <f ca="1">IFERROR(VLOOKUP($AH21, '(勿動)Component Label公版'!$D$1:$E$1000, 2, FALSE), "-")</f>
        <v>-</v>
      </c>
      <c r="AJ21" s="416"/>
      <c r="AK21" s="483"/>
      <c r="AL21" s="483"/>
      <c r="AM21" s="203" t="str">
        <f>IFERROR(
  IF(TRIM(#REF!)="", "",
    TEXT(
      DATEVALUE("2026/" &amp; LEFT(TRIM(#REF!), FIND(" ", TRIM(#REF!)) - 1)) +
      TIMEVALUE(MID(TRIM(#REF!), FIND(" ", TRIM(#REF!)) + 1, LEN(TRIM(#REF!)))),
      "yyyy-mm-dd hh:mm:ss"
    )
  ),
"")</f>
        <v/>
      </c>
      <c r="AN21" s="190" t="str">
        <f>IFERROR(
  IF(TRIM(#REF!)="", "",
    TEXT(
      DATEVALUE("2026/" &amp; LEFT(TRIM(#REF!), FIND(" ", TRIM(#REF!)) - 1)) +
      TIMEVALUE(MID(TRIM(#REF!), FIND(" ", TRIM(#REF!)) + 1, 5)) +
      TIME(0,0,59),
      "yyyy-mm-dd hh:mm:ss"
    )
  ),
"")</f>
        <v/>
      </c>
      <c r="AO21" s="541" t="s">
        <v>465</v>
      </c>
      <c r="AP21" s="384"/>
      <c r="AQ21" s="384"/>
      <c r="AR21" s="384"/>
      <c r="AS21" s="384"/>
      <c r="AT21" s="385"/>
      <c r="AU21" s="180" t="b">
        <v>0</v>
      </c>
      <c r="AV21" s="180" t="b">
        <v>0</v>
      </c>
      <c r="AW21" s="186"/>
      <c r="AX21" s="187"/>
      <c r="AY21" s="187"/>
      <c r="AZ21" s="187"/>
      <c r="BA21" s="188"/>
      <c r="BB21" s="191" t="s">
        <v>466</v>
      </c>
      <c r="BC21" s="179" t="s">
        <v>467</v>
      </c>
      <c r="BD21" s="198" t="str">
        <f t="shared" si="7"/>
        <v>圖_ImageCollection_輪播 水平滑動(display number per row: 1)</v>
      </c>
      <c r="BE21" s="190" t="str">
        <f>IFERROR(VLOOKUP($BD21,'(勿動)組件目錄表'!$D$15:$R$1110,2,FALSE),"")</f>
        <v>I-38</v>
      </c>
      <c r="BF21" s="205">
        <f>IFERROR(VLOOKUP($BD21, '(勿動)組件目錄表'!$D$15:$R$1110, 5, FALSE),"")</f>
        <v>0.5</v>
      </c>
      <c r="BG21" s="118"/>
      <c r="BH21" s="120"/>
      <c r="BI21" s="118"/>
      <c r="BJ21" s="584"/>
    </row>
    <row r="22" spans="1:62" ht="31.5" customHeight="1">
      <c r="A22" s="160" t="str">
        <f t="array" aca="1" ref="A22:D22" ca="1">IFERROR(TRANSPOSE(INDIRECT(L1_暖正版配!$BB22)),"")</f>
        <v>置中</v>
      </c>
      <c r="B22" s="160" t="str">
        <f ca="1"/>
        <v>置中 + Display See All</v>
      </c>
      <c r="C22" s="160" t="str">
        <f ca="1"/>
        <v>置左</v>
      </c>
      <c r="D22" s="160" t="str">
        <f ca="1"/>
        <v>置左 + Display See All</v>
      </c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72" t="b">
        <v>0</v>
      </c>
      <c r="AF22" s="204" t="str">
        <f t="shared" si="8"/>
        <v/>
      </c>
      <c r="AG22" s="174"/>
      <c r="AH22" s="195" t="s">
        <v>452</v>
      </c>
      <c r="AI22" s="176" t="str">
        <f ca="1">IFERROR(VLOOKUP($AH22, '(勿動)Component Label公版'!$D$1:$E$1000, 2, FALSE), "-")</f>
        <v>-</v>
      </c>
      <c r="AJ22" s="578" t="s">
        <v>453</v>
      </c>
      <c r="AK22" s="575" t="s">
        <v>443</v>
      </c>
      <c r="AL22" s="575" t="s">
        <v>444</v>
      </c>
      <c r="AM22" s="203" t="str">
        <f>IFERROR(
  IF(TRIM(AK22)="", "",
    TEXT(
      DATEVALUE("2026/" &amp; LEFT(TRIM(AK22), FIND(" ", TRIM(AK22)) - 1)) +
      TIMEVALUE(MID(TRIM(AK22), FIND(" ", TRIM(AK22)) + 1, LEN(TRIM(AK22)))),
      "yyyy-mm-dd hh:mm:ss"
    )
  ),
"")</f>
        <v>2026-04-18 00:00:00</v>
      </c>
      <c r="AN22" s="190" t="str">
        <f>IFERROR(
  IF(TRIM(AL22)="", "",
    TEXT(
      DATEVALUE("2026/" &amp; LEFT(TRIM(AL22), FIND(" ", TRIM(AL22)) - 1)) +
      TIMEVALUE(MID(TRIM(AL22), FIND(" ", TRIM(AL22)) + 1, 5)) +
      TIME(0,0,59),
      "yyyy-mm-dd hh:mm:ss"
    )
  ),
"")</f>
        <v>2026-04-18 23:59:59</v>
      </c>
      <c r="AO22" s="623" t="s">
        <v>468</v>
      </c>
      <c r="AP22" s="384"/>
      <c r="AQ22" s="384"/>
      <c r="AR22" s="384"/>
      <c r="AS22" s="384"/>
      <c r="AT22" s="385"/>
      <c r="AU22" s="180" t="b">
        <v>0</v>
      </c>
      <c r="AV22" s="180" t="b">
        <v>0</v>
      </c>
      <c r="AW22" s="186"/>
      <c r="AX22" s="187"/>
      <c r="AY22" s="187"/>
      <c r="AZ22" s="187"/>
      <c r="BA22" s="188"/>
      <c r="BB22" s="191" t="s">
        <v>159</v>
      </c>
      <c r="BC22" s="179" t="s">
        <v>157</v>
      </c>
      <c r="BD22" s="198" t="str">
        <f t="shared" si="7"/>
        <v>標題_置左</v>
      </c>
      <c r="BE22" s="190" t="str">
        <f>IFERROR(VLOOKUP($BD22,'(勿動)組件目錄表'!$D$15:$R$1110,2,FALSE),"")</f>
        <v>D-3</v>
      </c>
      <c r="BF22" s="205">
        <f>IFERROR(VLOOKUP($BD22, '(勿動)組件目錄表'!$D$15:$R$1110, 5, FALSE),"")</f>
        <v>0.5</v>
      </c>
      <c r="BG22" s="118"/>
      <c r="BH22" s="120"/>
      <c r="BI22" s="118"/>
      <c r="BJ22" s="585" t="s">
        <v>469</v>
      </c>
    </row>
    <row r="23" spans="1:62" ht="31.5" customHeight="1">
      <c r="A23" s="160" t="str">
        <f t="array" aca="1" ref="A23:I23" ca="1">IFERROR(TRANSPOSE(INDIRECT(L1_暖正版配!$BB23)),"")</f>
        <v>一排1張(單張/多張)(無一鍵領取)</v>
      </c>
      <c r="B23" s="160" t="str">
        <f ca="1"/>
        <v>一排1張 + Reminder(單張/多張)(無一鍵領取)</v>
      </c>
      <c r="C23" s="160" t="str">
        <f ca="1"/>
        <v>一排1張 + 一鍵領取(多張)</v>
      </c>
      <c r="D23" s="160" t="str">
        <f ca="1"/>
        <v>【僅供MKT Campaign使用】PC：一排兩張；APP：一排1張 + 一鍵領取(多張)</v>
      </c>
      <c r="E23" s="160" t="str">
        <f ca="1"/>
        <v>【僅供MKT Campaign使用】PC：一排兩張；APP：一排1張 + 一鍵領取(多張) + Reminder</v>
      </c>
      <c r="F23" s="160" t="str">
        <f ca="1"/>
        <v>【僅供MKT Campaign使用】PC：一排兩張；APP：一排1張 + 一鍵領取(多張) + Reminder + 查看全部(系統預設加上「優惠券」文案)</v>
      </c>
      <c r="G23" s="160" t="str">
        <f ca="1"/>
        <v>一排2張(單張/多張)(無一鍵領取)</v>
      </c>
      <c r="H23" s="160" t="str">
        <f ca="1"/>
        <v>一排2張 + Reminder(單張/多張)(無一鍵領取)</v>
      </c>
      <c r="I23" s="160" t="str">
        <f ca="1"/>
        <v>一排2張 + 一鍵領取(多張)</v>
      </c>
      <c r="J23" s="160"/>
      <c r="K23" s="160"/>
      <c r="L23" s="160"/>
      <c r="M23" s="160"/>
      <c r="N23" s="160"/>
      <c r="O23" s="160"/>
      <c r="P23" s="160"/>
      <c r="Q23" s="160"/>
      <c r="R23" s="160"/>
      <c r="S23" s="160"/>
      <c r="T23" s="160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208" t="b">
        <v>0</v>
      </c>
      <c r="AF23" s="204" t="str">
        <f t="shared" si="8"/>
        <v/>
      </c>
      <c r="AG23" s="203" t="str">
        <f t="shared" ref="AG23:AG27" si="9">IF(AF23="設隱形錨點","",IF(AE23=FALSE,"",IF(AE23=TRUE, SUBSTITUTE($AI23, "_", ""))))</f>
        <v/>
      </c>
      <c r="AH23" s="195" t="s">
        <v>452</v>
      </c>
      <c r="AI23" s="176" t="str">
        <f ca="1">IFERROR(VLOOKUP($AH23, '(勿動)Component Label公版'!$D$1:$E$1000, 2, FALSE), "-")</f>
        <v>-</v>
      </c>
      <c r="AJ23" s="483"/>
      <c r="AK23" s="483"/>
      <c r="AL23" s="483"/>
      <c r="AM23" s="203" t="str">
        <f>IFERROR(
  IF(TRIM(#REF!)="", "",
    TEXT(
      DATEVALUE("2026/" &amp; LEFT(TRIM(#REF!), FIND(" ", TRIM(#REF!)) - 1)) +
      TIMEVALUE(MID(TRIM(#REF!), FIND(" ", TRIM(#REF!)) + 1, LEN(TRIM(#REF!)))),
      "yyyy-mm-dd hh:mm:ss"
    )
  ),
"")</f>
        <v/>
      </c>
      <c r="AN23" s="190" t="str">
        <f>IFERROR(
  IF(TRIM(#REF!)="", "",
    TEXT(
      DATEVALUE("2026/" &amp; LEFT(TRIM(#REF!), FIND(" ", TRIM(#REF!)) - 1)) +
      TIMEVALUE(MID(TRIM(#REF!), FIND(" ", TRIM(#REF!)) + 1, 5)) +
      TIME(0,0,59),
      "yyyy-mm-dd hh:mm:ss"
    )
  ),
"")</f>
        <v/>
      </c>
      <c r="AO23" s="618" t="s">
        <v>470</v>
      </c>
      <c r="AP23" s="384"/>
      <c r="AQ23" s="384"/>
      <c r="AR23" s="384"/>
      <c r="AS23" s="384"/>
      <c r="AT23" s="385"/>
      <c r="AU23" s="180" t="b">
        <v>0</v>
      </c>
      <c r="AV23" s="180" t="b">
        <v>0</v>
      </c>
      <c r="AW23" s="186"/>
      <c r="AX23" s="187"/>
      <c r="AY23" s="187"/>
      <c r="AZ23" s="187"/>
      <c r="BA23" s="188"/>
      <c r="BB23" s="191" t="s">
        <v>182</v>
      </c>
      <c r="BC23" s="179" t="s">
        <v>222</v>
      </c>
      <c r="BD23" s="198" t="str">
        <f t="shared" si="7"/>
        <v>優惠券_真券_一排1張(單張/多張)(無一鍵領取)</v>
      </c>
      <c r="BE23" s="190" t="str">
        <f>IFERROR(VLOOKUP($BD23,'(勿動)組件目錄表'!$D$15:$R$1110,2,FALSE),"")</f>
        <v>F-1</v>
      </c>
      <c r="BF23" s="205">
        <f>IFERROR(VLOOKUP($BD23, '(勿動)組件目錄表'!$D$15:$R$1110, 5, FALSE),"")</f>
        <v>0.5</v>
      </c>
      <c r="BG23" s="118"/>
      <c r="BH23" s="120"/>
      <c r="BI23" s="118"/>
      <c r="BJ23" s="584"/>
    </row>
    <row r="24" spans="1:62" ht="15.75" customHeight="1">
      <c r="A24" s="160" t="str">
        <f t="array" aca="1" ref="A24:M24" ca="1">IFERROR(TRANSPOSE(INDIRECT(L1_暖正版配!$BB24)),"")</f>
        <v>(全站券) 假券一排1張 CTA</v>
      </c>
      <c r="B24" s="160" t="str">
        <f ca="1"/>
        <v>(全站券) 假券一排1張 Reminder</v>
      </c>
      <c r="C24" s="160" t="str">
        <f ca="1"/>
        <v>(全站券) 假券一排2張 CTA+CTA</v>
      </c>
      <c r="D24" s="160" t="str">
        <f ca="1"/>
        <v>(全站券) 假券一排2張 Reminder+Reminder</v>
      </c>
      <c r="E24" s="160" t="str">
        <f ca="1"/>
        <v>(全站券) 假券一排2張 CTA+Reminder</v>
      </c>
      <c r="F24" s="160" t="str">
        <f ca="1"/>
        <v>(商城券) 假券一排1張 CTA</v>
      </c>
      <c r="G24" s="160" t="str">
        <f ca="1"/>
        <v>(商城券) 假券一排1張 Reminder</v>
      </c>
      <c r="H24" s="160" t="str">
        <f ca="1"/>
        <v>(商城券) 假券一排2張 CTA+CTA</v>
      </c>
      <c r="I24" s="160" t="str">
        <f ca="1"/>
        <v>(商城券) 假券一排2張 Reminder+Reminder</v>
      </c>
      <c r="J24" s="160" t="str">
        <f ca="1"/>
        <v>(商城券) 假券一排2張 CTA+Reminder</v>
      </c>
      <c r="K24" s="160" t="str">
        <f ca="1"/>
        <v>(全站券+商城券) 假券一排2張 CTA+CTA</v>
      </c>
      <c r="L24" s="160" t="str">
        <f ca="1"/>
        <v>(全站券+商城券) 假券一排2張 Reminder+Reminder</v>
      </c>
      <c r="M24" s="160" t="str">
        <f ca="1"/>
        <v>(全站券+商城券) 假券一排2張 CTA+Reminder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209" t="b">
        <v>0</v>
      </c>
      <c r="AF24" s="204" t="str">
        <f t="shared" si="8"/>
        <v/>
      </c>
      <c r="AG24" s="203" t="str">
        <f t="shared" si="9"/>
        <v/>
      </c>
      <c r="AH24" s="195" t="s">
        <v>452</v>
      </c>
      <c r="AI24" s="176" t="str">
        <f ca="1">IFERROR(VLOOKUP($AH24, '(勿動)Component Label公版'!$D$1:$E$1000, 2, FALSE), "-")</f>
        <v>-</v>
      </c>
      <c r="AJ24" s="483"/>
      <c r="AK24" s="575" t="s">
        <v>434</v>
      </c>
      <c r="AL24" s="575" t="s">
        <v>440</v>
      </c>
      <c r="AM24" s="203" t="str">
        <f t="shared" ref="AM24:AM28" si="10">IFERROR(
  IF(TRIM(AK24)="", "",
    TEXT(
      DATEVALUE("2026/" &amp; LEFT(TRIM(AK24), FIND(" ", TRIM(AK24)) - 1)) +
      TIMEVALUE(MID(TRIM(AK24), FIND(" ", TRIM(AK24)) + 1, LEN(TRIM(AK24)))),
      "yyyy-mm-dd hh:mm:ss"
    )
  ),
"")</f>
        <v/>
      </c>
      <c r="AN24" s="210" t="str">
        <f t="shared" ref="AN24:AN28" si="11">IFERROR(
  IF(TRIM(AL24)="", "",
    TEXT(
      DATEVALUE("2026/" &amp; LEFT(TRIM(AL24), FIND(" ", TRIM(AL24)) - 1)) +
      TIMEVALUE(MID(TRIM(AL24), FIND(" ", TRIM(AL24)) + 1, 5)) +
      TIME(0,0,59),
      "yyyy-mm-dd hh:mm:ss"
    )
  ),
"")</f>
        <v>2026-04-17 23:59:59</v>
      </c>
      <c r="AO24" s="617" t="s">
        <v>483</v>
      </c>
      <c r="AP24" s="490"/>
      <c r="AQ24" s="624" t="s">
        <v>484</v>
      </c>
      <c r="AR24" s="399"/>
      <c r="AS24" s="411"/>
      <c r="AT24" s="625" t="s">
        <v>485</v>
      </c>
      <c r="AU24" s="179" t="b">
        <v>1</v>
      </c>
      <c r="AV24" s="180" t="b">
        <v>0</v>
      </c>
      <c r="AW24" s="186"/>
      <c r="AX24" s="187"/>
      <c r="AY24" s="187"/>
      <c r="AZ24" s="187"/>
      <c r="BA24" s="188"/>
      <c r="BB24" s="191" t="s">
        <v>486</v>
      </c>
      <c r="BC24" s="179" t="s">
        <v>471</v>
      </c>
      <c r="BD24" s="198" t="str">
        <f t="shared" si="7"/>
        <v>優惠券_GD模版_(全站券) 假券一排1張 Reminder</v>
      </c>
      <c r="BE24" s="190" t="str">
        <f>IFERROR(VLOOKUP($BD24,'(勿動)組件目錄表'!$D$15:$R$1110,2,FALSE),"")</f>
        <v>F-15</v>
      </c>
      <c r="BF24" s="205">
        <f>IFERROR(VLOOKUP($BD24, '(勿動)組件目錄表'!$D$15:$R$1110, 5, FALSE),"")</f>
        <v>1</v>
      </c>
      <c r="BG24" s="586" t="s">
        <v>487</v>
      </c>
      <c r="BH24" s="120"/>
      <c r="BI24" s="118"/>
      <c r="BJ24" s="583" t="s">
        <v>456</v>
      </c>
    </row>
    <row r="25" spans="1:62" ht="15.75" customHeight="1">
      <c r="A25" s="160" t="str">
        <f t="array" aca="1" ref="A25:M25" ca="1">IFERROR(TRANSPOSE(INDIRECT(L1_暖正版配!$BB25)),"")</f>
        <v>(全站券) 假券一排1張 CTA</v>
      </c>
      <c r="B25" s="160" t="str">
        <f ca="1"/>
        <v>(全站券) 假券一排1張 Reminder</v>
      </c>
      <c r="C25" s="160" t="str">
        <f ca="1"/>
        <v>(全站券) 假券一排2張 CTA+CTA</v>
      </c>
      <c r="D25" s="160" t="str">
        <f ca="1"/>
        <v>(全站券) 假券一排2張 Reminder+Reminder</v>
      </c>
      <c r="E25" s="160" t="str">
        <f ca="1"/>
        <v>(全站券) 假券一排2張 CTA+Reminder</v>
      </c>
      <c r="F25" s="160" t="str">
        <f ca="1"/>
        <v>(商城券) 假券一排1張 CTA</v>
      </c>
      <c r="G25" s="160" t="str">
        <f ca="1"/>
        <v>(商城券) 假券一排1張 Reminder</v>
      </c>
      <c r="H25" s="160" t="str">
        <f ca="1"/>
        <v>(商城券) 假券一排2張 CTA+CTA</v>
      </c>
      <c r="I25" s="160" t="str">
        <f ca="1"/>
        <v>(商城券) 假券一排2張 Reminder+Reminder</v>
      </c>
      <c r="J25" s="160" t="str">
        <f ca="1"/>
        <v>(商城券) 假券一排2張 CTA+Reminder</v>
      </c>
      <c r="K25" s="160" t="str">
        <f ca="1"/>
        <v>(全站券+商城券) 假券一排2張 CTA+CTA</v>
      </c>
      <c r="L25" s="160" t="str">
        <f ca="1"/>
        <v>(全站券+商城券) 假券一排2張 Reminder+Reminder</v>
      </c>
      <c r="M25" s="160" t="str">
        <f ca="1"/>
        <v>(全站券+商城券) 假券一排2張 CTA+Reminder</v>
      </c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209" t="b">
        <v>0</v>
      </c>
      <c r="AF25" s="204" t="str">
        <f t="shared" si="8"/>
        <v/>
      </c>
      <c r="AG25" s="203" t="str">
        <f t="shared" si="9"/>
        <v/>
      </c>
      <c r="AH25" s="195" t="s">
        <v>452</v>
      </c>
      <c r="AI25" s="176" t="str">
        <f ca="1">IFERROR(VLOOKUP($AH25, '(勿動)Component Label公版'!$D$1:$E$1000, 2, FALSE), "-")</f>
        <v>-</v>
      </c>
      <c r="AJ25" s="483"/>
      <c r="AK25" s="483"/>
      <c r="AL25" s="483"/>
      <c r="AM25" s="203" t="str">
        <f t="shared" si="10"/>
        <v/>
      </c>
      <c r="AN25" s="210" t="str">
        <f t="shared" si="11"/>
        <v/>
      </c>
      <c r="AO25" s="616" t="s">
        <v>488</v>
      </c>
      <c r="AP25" s="470"/>
      <c r="AQ25" s="393"/>
      <c r="AR25" s="420"/>
      <c r="AS25" s="394"/>
      <c r="AT25" s="626"/>
      <c r="AU25" s="179" t="b">
        <v>1</v>
      </c>
      <c r="AV25" s="180" t="b">
        <v>0</v>
      </c>
      <c r="AW25" s="186"/>
      <c r="AX25" s="187"/>
      <c r="AY25" s="187"/>
      <c r="AZ25" s="187"/>
      <c r="BA25" s="188"/>
      <c r="BB25" s="191" t="s">
        <v>486</v>
      </c>
      <c r="BC25" s="179" t="s">
        <v>471</v>
      </c>
      <c r="BD25" s="198" t="str">
        <f t="shared" si="7"/>
        <v>優惠券_GD模版_(全站券) 假券一排1張 Reminder</v>
      </c>
      <c r="BE25" s="190" t="str">
        <f>IFERROR(VLOOKUP($BD25,'(勿動)組件目錄表'!$D$15:$R$1110,2,FALSE),"")</f>
        <v>F-15</v>
      </c>
      <c r="BF25" s="205">
        <f>IFERROR(VLOOKUP($BD25, '(勿動)組件目錄表'!$D$15:$R$1110, 5, FALSE),"")</f>
        <v>1</v>
      </c>
      <c r="BG25" s="587"/>
      <c r="BH25" s="120"/>
      <c r="BI25" s="118"/>
      <c r="BJ25" s="584"/>
    </row>
    <row r="26" spans="1:62" ht="15.75" customHeight="1">
      <c r="A26" s="160" t="str">
        <f t="array" aca="1" ref="A26:M26" ca="1">IFERROR(TRANSPOSE(INDIRECT(L1_暖正版配!$BB26)),"")</f>
        <v>(全站券) 假券一排1張 CTA</v>
      </c>
      <c r="B26" s="160" t="str">
        <f ca="1"/>
        <v>(全站券) 假券一排1張 Reminder</v>
      </c>
      <c r="C26" s="160" t="str">
        <f ca="1"/>
        <v>(全站券) 假券一排2張 CTA+CTA</v>
      </c>
      <c r="D26" s="160" t="str">
        <f ca="1"/>
        <v>(全站券) 假券一排2張 Reminder+Reminder</v>
      </c>
      <c r="E26" s="160" t="str">
        <f ca="1"/>
        <v>(全站券) 假券一排2張 CTA+Reminder</v>
      </c>
      <c r="F26" s="160" t="str">
        <f ca="1"/>
        <v>(商城券) 假券一排1張 CTA</v>
      </c>
      <c r="G26" s="160" t="str">
        <f ca="1"/>
        <v>(商城券) 假券一排1張 Reminder</v>
      </c>
      <c r="H26" s="160" t="str">
        <f ca="1"/>
        <v>(商城券) 假券一排2張 CTA+CTA</v>
      </c>
      <c r="I26" s="160" t="str">
        <f ca="1"/>
        <v>(商城券) 假券一排2張 Reminder+Reminder</v>
      </c>
      <c r="J26" s="160" t="str">
        <f ca="1"/>
        <v>(商城券) 假券一排2張 CTA+Reminder</v>
      </c>
      <c r="K26" s="160" t="str">
        <f ca="1"/>
        <v>(全站券+商城券) 假券一排2張 CTA+CTA</v>
      </c>
      <c r="L26" s="160" t="str">
        <f ca="1"/>
        <v>(全站券+商城券) 假券一排2張 Reminder+Reminder</v>
      </c>
      <c r="M26" s="160" t="str">
        <f ca="1"/>
        <v>(全站券+商城券) 假券一排2張 CTA+Reminder</v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209" t="b">
        <v>0</v>
      </c>
      <c r="AF26" s="204" t="str">
        <f t="shared" si="8"/>
        <v/>
      </c>
      <c r="AG26" s="203" t="str">
        <f t="shared" si="9"/>
        <v/>
      </c>
      <c r="AH26" s="195" t="s">
        <v>452</v>
      </c>
      <c r="AI26" s="176" t="str">
        <f ca="1">IFERROR(VLOOKUP($AH26, '(勿動)Component Label公版'!$D$1:$E$1000, 2, FALSE), "-")</f>
        <v>-</v>
      </c>
      <c r="AJ26" s="483"/>
      <c r="AK26" s="575" t="s">
        <v>443</v>
      </c>
      <c r="AL26" s="575" t="s">
        <v>444</v>
      </c>
      <c r="AM26" s="203" t="str">
        <f t="shared" si="10"/>
        <v>2026-04-18 00:00:00</v>
      </c>
      <c r="AN26" s="204" t="str">
        <f t="shared" si="11"/>
        <v>2026-04-18 23:59:59</v>
      </c>
      <c r="AO26" s="617" t="s">
        <v>483</v>
      </c>
      <c r="AP26" s="490"/>
      <c r="AQ26" s="624" t="s">
        <v>489</v>
      </c>
      <c r="AR26" s="399"/>
      <c r="AS26" s="411"/>
      <c r="AT26" s="625" t="s">
        <v>490</v>
      </c>
      <c r="AU26" s="179" t="b">
        <v>1</v>
      </c>
      <c r="AV26" s="180" t="b">
        <v>0</v>
      </c>
      <c r="AW26" s="186"/>
      <c r="AX26" s="187"/>
      <c r="AY26" s="187"/>
      <c r="AZ26" s="187"/>
      <c r="BA26" s="188"/>
      <c r="BB26" s="191" t="s">
        <v>486</v>
      </c>
      <c r="BC26" s="179" t="s">
        <v>491</v>
      </c>
      <c r="BD26" s="198" t="str">
        <f t="shared" si="7"/>
        <v>優惠券_GD模版_(全站券) 假券一排1張 CTA</v>
      </c>
      <c r="BE26" s="190" t="str">
        <f>IFERROR(VLOOKUP($BD26,'(勿動)組件目錄表'!$D$15:$R$1110,2,FALSE),"")</f>
        <v>F-14</v>
      </c>
      <c r="BF26" s="205">
        <f>IFERROR(VLOOKUP($BD26, '(勿動)組件目錄表'!$D$15:$R$1110, 5, FALSE),"")</f>
        <v>1</v>
      </c>
      <c r="BG26" s="586" t="s">
        <v>492</v>
      </c>
      <c r="BH26" s="120"/>
      <c r="BI26" s="118"/>
      <c r="BJ26" s="583" t="s">
        <v>493</v>
      </c>
    </row>
    <row r="27" spans="1:62" ht="15.75" customHeight="1">
      <c r="A27" s="160" t="str">
        <f t="array" aca="1" ref="A27:M27" ca="1">IFERROR(TRANSPOSE(INDIRECT(L1_暖正版配!$BB27)),"")</f>
        <v>(全站券) 假券一排1張 CTA</v>
      </c>
      <c r="B27" s="160" t="str">
        <f ca="1"/>
        <v>(全站券) 假券一排1張 Reminder</v>
      </c>
      <c r="C27" s="160" t="str">
        <f ca="1"/>
        <v>(全站券) 假券一排2張 CTA+CTA</v>
      </c>
      <c r="D27" s="160" t="str">
        <f ca="1"/>
        <v>(全站券) 假券一排2張 Reminder+Reminder</v>
      </c>
      <c r="E27" s="160" t="str">
        <f ca="1"/>
        <v>(全站券) 假券一排2張 CTA+Reminder</v>
      </c>
      <c r="F27" s="160" t="str">
        <f ca="1"/>
        <v>(商城券) 假券一排1張 CTA</v>
      </c>
      <c r="G27" s="160" t="str">
        <f ca="1"/>
        <v>(商城券) 假券一排1張 Reminder</v>
      </c>
      <c r="H27" s="160" t="str">
        <f ca="1"/>
        <v>(商城券) 假券一排2張 CTA+CTA</v>
      </c>
      <c r="I27" s="160" t="str">
        <f ca="1"/>
        <v>(商城券) 假券一排2張 Reminder+Reminder</v>
      </c>
      <c r="J27" s="160" t="str">
        <f ca="1"/>
        <v>(商城券) 假券一排2張 CTA+Reminder</v>
      </c>
      <c r="K27" s="160" t="str">
        <f ca="1"/>
        <v>(全站券+商城券) 假券一排2張 CTA+CTA</v>
      </c>
      <c r="L27" s="160" t="str">
        <f ca="1"/>
        <v>(全站券+商城券) 假券一排2張 Reminder+Reminder</v>
      </c>
      <c r="M27" s="160" t="str">
        <f ca="1"/>
        <v>(全站券+商城券) 假券一排2張 CTA+Reminder</v>
      </c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209" t="b">
        <v>0</v>
      </c>
      <c r="AF27" s="204" t="str">
        <f t="shared" si="8"/>
        <v/>
      </c>
      <c r="AG27" s="203" t="str">
        <f t="shared" si="9"/>
        <v/>
      </c>
      <c r="AH27" s="195" t="s">
        <v>452</v>
      </c>
      <c r="AI27" s="176" t="str">
        <f ca="1">IFERROR(VLOOKUP($AH27, '(勿動)Component Label公版'!$D$1:$E$1000, 2, FALSE), "-")</f>
        <v>-</v>
      </c>
      <c r="AJ27" s="483"/>
      <c r="AK27" s="483"/>
      <c r="AL27" s="483"/>
      <c r="AM27" s="203" t="str">
        <f t="shared" si="10"/>
        <v/>
      </c>
      <c r="AN27" s="204" t="str">
        <f t="shared" si="11"/>
        <v/>
      </c>
      <c r="AO27" s="616" t="s">
        <v>488</v>
      </c>
      <c r="AP27" s="470"/>
      <c r="AQ27" s="393"/>
      <c r="AR27" s="420"/>
      <c r="AS27" s="394"/>
      <c r="AT27" s="626"/>
      <c r="AU27" s="179" t="b">
        <v>1</v>
      </c>
      <c r="AV27" s="180" t="b">
        <v>0</v>
      </c>
      <c r="AW27" s="186"/>
      <c r="AX27" s="187"/>
      <c r="AY27" s="187"/>
      <c r="AZ27" s="187"/>
      <c r="BA27" s="188"/>
      <c r="BB27" s="191" t="s">
        <v>486</v>
      </c>
      <c r="BC27" s="179" t="s">
        <v>491</v>
      </c>
      <c r="BD27" s="198" t="str">
        <f t="shared" si="7"/>
        <v>優惠券_GD模版_(全站券) 假券一排1張 CTA</v>
      </c>
      <c r="BE27" s="190" t="str">
        <f>IFERROR(VLOOKUP($BD27,'(勿動)組件目錄表'!$D$15:$R$1110,2,FALSE),"")</f>
        <v>F-14</v>
      </c>
      <c r="BF27" s="205">
        <f>IFERROR(VLOOKUP($BD27, '(勿動)組件目錄表'!$D$15:$R$1110, 5, FALSE),"")</f>
        <v>1</v>
      </c>
      <c r="BG27" s="587"/>
      <c r="BH27" s="120"/>
      <c r="BI27" s="118"/>
      <c r="BJ27" s="584"/>
    </row>
    <row r="28" spans="1:62" ht="31.5" customHeight="1">
      <c r="A28" s="160" t="str">
        <f t="array" aca="1" ref="A28:D28" ca="1">IFERROR(TRANSPOSE(INDIRECT(L1_暖正版配!$BB28)),"")</f>
        <v>置中</v>
      </c>
      <c r="B28" s="160" t="str">
        <f ca="1"/>
        <v>置中 + Display See All</v>
      </c>
      <c r="C28" s="160" t="str">
        <f ca="1"/>
        <v>置左</v>
      </c>
      <c r="D28" s="160" t="str">
        <f ca="1"/>
        <v>置左 + Display See All</v>
      </c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72" t="b">
        <v>0</v>
      </c>
      <c r="AF28" s="204" t="str">
        <f t="shared" si="8"/>
        <v/>
      </c>
      <c r="AG28" s="174"/>
      <c r="AH28" s="195" t="s">
        <v>452</v>
      </c>
      <c r="AI28" s="176" t="str">
        <f ca="1">IFERROR(VLOOKUP($AH28, '(勿動)Component Label公版'!$D$1:$E$1000, 2, FALSE), "-")</f>
        <v>-</v>
      </c>
      <c r="AJ28" s="483"/>
      <c r="AK28" s="575" t="s">
        <v>443</v>
      </c>
      <c r="AL28" s="575" t="s">
        <v>444</v>
      </c>
      <c r="AM28" s="203" t="str">
        <f t="shared" si="10"/>
        <v>2026-04-18 00:00:00</v>
      </c>
      <c r="AN28" s="190" t="str">
        <f t="shared" si="11"/>
        <v>2026-04-18 23:59:59</v>
      </c>
      <c r="AO28" s="623" t="s">
        <v>494</v>
      </c>
      <c r="AP28" s="384"/>
      <c r="AQ28" s="384"/>
      <c r="AR28" s="384"/>
      <c r="AS28" s="384"/>
      <c r="AT28" s="385"/>
      <c r="AU28" s="180" t="b">
        <v>0</v>
      </c>
      <c r="AV28" s="180" t="b">
        <v>0</v>
      </c>
      <c r="AW28" s="186"/>
      <c r="AX28" s="187"/>
      <c r="AY28" s="187"/>
      <c r="AZ28" s="187"/>
      <c r="BA28" s="188"/>
      <c r="BB28" s="191" t="s">
        <v>159</v>
      </c>
      <c r="BC28" s="179" t="s">
        <v>157</v>
      </c>
      <c r="BD28" s="198" t="str">
        <f t="shared" si="7"/>
        <v>標題_置左</v>
      </c>
      <c r="BE28" s="190" t="str">
        <f>IFERROR(VLOOKUP($BD28,'(勿動)組件目錄表'!$D$15:$R$1110,2,FALSE),"")</f>
        <v>D-3</v>
      </c>
      <c r="BF28" s="205">
        <f>IFERROR(VLOOKUP($BD28, '(勿動)組件目錄表'!$D$15:$R$1110, 5, FALSE),"")</f>
        <v>0.5</v>
      </c>
      <c r="BG28" s="588" t="s">
        <v>495</v>
      </c>
      <c r="BH28" s="120"/>
      <c r="BI28" s="118"/>
      <c r="BJ28" s="211" t="s">
        <v>496</v>
      </c>
    </row>
    <row r="29" spans="1:62" ht="31.5" customHeight="1">
      <c r="A29" s="160" t="str">
        <f t="array" aca="1" ref="A29" ca="1">IFERROR(TRANSPOSE(INDIRECT(L1_暖正版配!$BB29)),"")</f>
        <v>固定</v>
      </c>
      <c r="B29" s="160"/>
      <c r="C29" s="160"/>
      <c r="D29" s="160"/>
      <c r="E29" s="160"/>
      <c r="F29" s="160"/>
      <c r="G29" s="160"/>
      <c r="H29" s="160"/>
      <c r="I29" s="160"/>
      <c r="J29" s="160"/>
      <c r="K29" s="160"/>
      <c r="L29" s="160"/>
      <c r="M29" s="160"/>
      <c r="N29" s="160"/>
      <c r="O29" s="160"/>
      <c r="P29" s="160"/>
      <c r="Q29" s="160"/>
      <c r="R29" s="160"/>
      <c r="S29" s="160"/>
      <c r="T29" s="160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208" t="b">
        <v>0</v>
      </c>
      <c r="AF29" s="204" t="str">
        <f t="shared" si="8"/>
        <v/>
      </c>
      <c r="AG29" s="203" t="str">
        <f t="shared" ref="AG29:AG31" si="12">IF(AF29="設隱形錨點","",IF(AE29=FALSE,"",IF(AE29=TRUE, SUBSTITUTE($AI29, "_", ""))))</f>
        <v/>
      </c>
      <c r="AH29" s="195" t="s">
        <v>452</v>
      </c>
      <c r="AI29" s="176" t="str">
        <f ca="1">IFERROR(VLOOKUP($AH29, '(勿動)Component Label公版'!$D$1:$E$1000, 2, FALSE), "-")</f>
        <v>-</v>
      </c>
      <c r="AJ29" s="483"/>
      <c r="AK29" s="483"/>
      <c r="AL29" s="483"/>
      <c r="AM29" s="203" t="str">
        <f>IFERROR(
  IF(TRIM(#REF!)="", "",
    TEXT(
      DATEVALUE("2026/" &amp; LEFT(TRIM(#REF!), FIND(" ", TRIM(#REF!)) - 1)) +
      TIMEVALUE(MID(TRIM(#REF!), FIND(" ", TRIM(#REF!)) + 1, LEN(TRIM(#REF!)))),
      "yyyy-mm-dd hh:mm:ss"
    )
  ),
"")</f>
        <v/>
      </c>
      <c r="AN29" s="190" t="str">
        <f>IFERROR(
  IF(TRIM(#REF!)="", "",
    TEXT(
      DATEVALUE("2026/" &amp; LEFT(TRIM(#REF!), FIND(" ", TRIM(#REF!)) - 1)) +
      TIMEVALUE(MID(TRIM(#REF!), FIND(" ", TRIM(#REF!)) + 1, 5)) +
      TIME(0,0,59),
      "yyyy-mm-dd hh:mm:ss"
    )
  ),
"")</f>
        <v/>
      </c>
      <c r="AO29" s="618" t="s">
        <v>497</v>
      </c>
      <c r="AP29" s="384"/>
      <c r="AQ29" s="384"/>
      <c r="AR29" s="384"/>
      <c r="AS29" s="384"/>
      <c r="AT29" s="385"/>
      <c r="AU29" s="180" t="b">
        <v>0</v>
      </c>
      <c r="AV29" s="180" t="b">
        <v>0</v>
      </c>
      <c r="AW29" s="186"/>
      <c r="AX29" s="187"/>
      <c r="AY29" s="187"/>
      <c r="AZ29" s="187"/>
      <c r="BA29" s="188"/>
      <c r="BB29" s="191" t="s">
        <v>498</v>
      </c>
      <c r="BC29" s="179" t="s">
        <v>113</v>
      </c>
      <c r="BD29" s="198" t="str">
        <f t="shared" si="7"/>
        <v>iframe_固定</v>
      </c>
      <c r="BE29" s="190" t="str">
        <f>IFERROR(VLOOKUP($BD29,'(勿動)組件目錄表'!$D$15:$R$1110,2,FALSE),"")</f>
        <v>O-1</v>
      </c>
      <c r="BF29" s="205">
        <f>IFERROR(VLOOKUP($BD29, '(勿動)組件目錄表'!$D$15:$R$1110, 5, FALSE),"")</f>
        <v>0.5</v>
      </c>
      <c r="BG29" s="587"/>
      <c r="BH29" s="120"/>
      <c r="BI29" s="118"/>
      <c r="BJ29" s="207"/>
    </row>
    <row r="30" spans="1:62" ht="15.75" customHeight="1">
      <c r="A30" s="160" t="str">
        <f t="array" aca="1" ref="A30" ca="1">IFERROR(TRANSPOSE(INDIRECT(L1_暖正版配!$BB30)),"")</f>
        <v>輪播 水平滑動(display number per row: 1)</v>
      </c>
      <c r="B30" s="160"/>
      <c r="C30" s="160"/>
      <c r="D30" s="160"/>
      <c r="E30" s="160"/>
      <c r="F30" s="160"/>
      <c r="G30" s="160"/>
      <c r="H30" s="160"/>
      <c r="I30" s="160"/>
      <c r="J30" s="160"/>
      <c r="K30" s="160"/>
      <c r="L30" s="160"/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212" t="b">
        <v>0</v>
      </c>
      <c r="AF30" s="173" t="str">
        <f t="shared" si="8"/>
        <v/>
      </c>
      <c r="AG30" s="174" t="str">
        <f t="shared" si="12"/>
        <v/>
      </c>
      <c r="AH30" s="195" t="s">
        <v>452</v>
      </c>
      <c r="AI30" s="176" t="str">
        <f ca="1">IFERROR(VLOOKUP($AH30, '(勿動)Component Label公版'!$D$1:$E$1000, 2, FALSE), "-")</f>
        <v>-</v>
      </c>
      <c r="AJ30" s="483"/>
      <c r="AK30" s="174"/>
      <c r="AL30" s="174"/>
      <c r="AM30" s="189" t="str">
        <f t="shared" ref="AM30:AM33" si="13">IFERROR(
  IF(TRIM(AK30)="", "",
    TEXT(
      DATEVALUE("2026/" &amp; LEFT(TRIM(AK30), FIND(" ", TRIM(AK30)) - 1)) +
      TIMEVALUE(MID(TRIM(AK30), FIND(" ", TRIM(AK30)) + 1, LEN(TRIM(AK30)))),
      "yyyy-mm-dd hh:mm:ss"
    )
  ),
"")</f>
        <v/>
      </c>
      <c r="AN30" s="190" t="str">
        <f t="shared" ref="AN30:AN33" si="14">IFERROR(
  IF(TRIM(AL30)="", "",
    TEXT(
      DATEVALUE("2026/" &amp; LEFT(TRIM(AL30), FIND(" ", TRIM(AL30)) - 1)) +
      TIMEVALUE(MID(TRIM(AL30), FIND(" ", TRIM(AL30)) + 1, 5)) +
      TIME(0,0,59),
      "yyyy-mm-dd hh:mm:ss"
    )
  ),
"")</f>
        <v/>
      </c>
      <c r="AO30" s="541" t="s">
        <v>499</v>
      </c>
      <c r="AP30" s="384"/>
      <c r="AQ30" s="384"/>
      <c r="AR30" s="384"/>
      <c r="AS30" s="384"/>
      <c r="AT30" s="385"/>
      <c r="AU30" s="180" t="b">
        <v>0</v>
      </c>
      <c r="AV30" s="180" t="b">
        <v>0</v>
      </c>
      <c r="AW30" s="186"/>
      <c r="AX30" s="187"/>
      <c r="AY30" s="187"/>
      <c r="AZ30" s="187"/>
      <c r="BA30" s="188"/>
      <c r="BB30" s="191" t="s">
        <v>466</v>
      </c>
      <c r="BC30" s="179" t="s">
        <v>467</v>
      </c>
      <c r="BD30" s="198" t="str">
        <f t="shared" si="7"/>
        <v>圖_ImageCollection_輪播 水平滑動(display number per row: 1)</v>
      </c>
      <c r="BE30" s="199" t="str">
        <f>IFERROR(VLOOKUP($BD30,'(勿動)組件目錄表'!$D$15:$R$1110,2,FALSE),"")</f>
        <v>I-38</v>
      </c>
      <c r="BF30" s="200">
        <f>IFERROR(VLOOKUP($BD30, '(勿動)組件目錄表'!$D$15:$R$1110, 5, FALSE),"")</f>
        <v>0.5</v>
      </c>
      <c r="BG30" s="181"/>
      <c r="BH30" s="183"/>
      <c r="BI30" s="181"/>
      <c r="BJ30" s="183"/>
    </row>
    <row r="31" spans="1:62" ht="15.75" customHeight="1">
      <c r="A31" s="160" t="str">
        <f t="array" aca="1" ref="A31:AD31" ca="1">IFERROR(TRANSPOSE(INDIRECT(L1_暖正版配!$BB31)),"")</f>
        <v>無CTA</v>
      </c>
      <c r="B31" s="160" t="str">
        <f ca="1"/>
        <v>LINK*1</v>
      </c>
      <c r="C31" s="160" t="str">
        <f ca="1"/>
        <v>LINK*2</v>
      </c>
      <c r="D31" s="160" t="str">
        <f ca="1"/>
        <v>LINK*3</v>
      </c>
      <c r="E31" s="160" t="str">
        <f ca="1"/>
        <v>LINK&gt;3</v>
      </c>
      <c r="F31" s="160" t="str">
        <f ca="1"/>
        <v>Reminder*1</v>
      </c>
      <c r="G31" s="160" t="str">
        <f ca="1"/>
        <v>Reminder*2</v>
      </c>
      <c r="H31" s="160" t="str">
        <f ca="1"/>
        <v>Reminder*3</v>
      </c>
      <c r="I31" s="160" t="str">
        <f ca="1"/>
        <v>Reminder*4</v>
      </c>
      <c r="J31" s="160" t="str">
        <f ca="1"/>
        <v>Reminder*5</v>
      </c>
      <c r="K31" s="160" t="str">
        <f ca="1"/>
        <v>Reminder&gt;5</v>
      </c>
      <c r="L31" s="160" t="str">
        <f ca="1"/>
        <v>LINK*1 + Reminder*1</v>
      </c>
      <c r="M31" s="160" t="str">
        <f ca="1"/>
        <v>LINK*1 + Reminder*2</v>
      </c>
      <c r="N31" s="160" t="str">
        <f ca="1"/>
        <v>LINK*2 + Reminder*1</v>
      </c>
      <c r="O31" s="160" t="str">
        <f ca="1"/>
        <v>Add to Cart*1</v>
      </c>
      <c r="P31" s="160" t="str">
        <f ca="1"/>
        <v>Add to Cart*2</v>
      </c>
      <c r="Q31" s="160" t="str">
        <f ca="1"/>
        <v>Add to Cart*3</v>
      </c>
      <c r="R31" s="160" t="str">
        <f ca="1"/>
        <v>(Reminder+ATC) *1</v>
      </c>
      <c r="S31" s="160" t="str">
        <f ca="1"/>
        <v>(Reminder+ATC) *2</v>
      </c>
      <c r="T31" s="160" t="str">
        <f ca="1"/>
        <v>(Reminder+ATC) *3</v>
      </c>
      <c r="U31" s="160" t="str">
        <f ca="1"/>
        <v>Popup*1</v>
      </c>
      <c r="V31" s="160" t="str">
        <f ca="1"/>
        <v>Popup*2</v>
      </c>
      <c r="W31" s="160" t="str">
        <f ca="1"/>
        <v>Popup*3</v>
      </c>
      <c r="X31" s="160" t="str">
        <f ca="1"/>
        <v>Copy*1</v>
      </c>
      <c r="Y31" s="160" t="str">
        <f ca="1"/>
        <v>Copy*2</v>
      </c>
      <c r="Z31" s="160" t="str">
        <f ca="1"/>
        <v>Copy*3</v>
      </c>
      <c r="AA31" s="160" t="str">
        <f ca="1"/>
        <v>Share*1</v>
      </c>
      <c r="AB31" s="160" t="str">
        <f ca="1"/>
        <v>Share*2</v>
      </c>
      <c r="AC31" s="160" t="str">
        <f ca="1"/>
        <v>Share*3</v>
      </c>
      <c r="AD31" s="160" t="str">
        <f ca="1"/>
        <v>Placeholders</v>
      </c>
      <c r="AE31" s="213" t="b">
        <v>0</v>
      </c>
      <c r="AF31" s="204" t="str">
        <f t="shared" si="8"/>
        <v/>
      </c>
      <c r="AG31" s="203" t="str">
        <f t="shared" si="12"/>
        <v/>
      </c>
      <c r="AH31" s="195" t="s">
        <v>452</v>
      </c>
      <c r="AI31" s="176" t="str">
        <f ca="1">IFERROR(VLOOKUP($AH31, '(勿動)Component Label公版'!$D$1:$E$1000, 2, FALSE), "-")</f>
        <v>-</v>
      </c>
      <c r="AJ31" s="379"/>
      <c r="AK31" s="203"/>
      <c r="AL31" s="203"/>
      <c r="AM31" s="203" t="str">
        <f t="shared" si="13"/>
        <v/>
      </c>
      <c r="AN31" s="204" t="str">
        <f t="shared" si="14"/>
        <v/>
      </c>
      <c r="AO31" s="569" t="s">
        <v>268</v>
      </c>
      <c r="AP31" s="384"/>
      <c r="AQ31" s="384"/>
      <c r="AR31" s="384"/>
      <c r="AS31" s="384"/>
      <c r="AT31" s="385"/>
      <c r="AU31" s="179" t="b">
        <v>1</v>
      </c>
      <c r="AV31" s="180" t="b">
        <v>0</v>
      </c>
      <c r="AW31" s="186"/>
      <c r="AX31" s="187"/>
      <c r="AY31" s="187"/>
      <c r="AZ31" s="187"/>
      <c r="BA31" s="188"/>
      <c r="BB31" s="191" t="s">
        <v>147</v>
      </c>
      <c r="BC31" s="179" t="s">
        <v>154</v>
      </c>
      <c r="BD31" s="198" t="str">
        <f t="shared" si="7"/>
        <v>圖_MSBN_無CTA</v>
      </c>
      <c r="BE31" s="190" t="str">
        <f>IFERROR(VLOOKUP($BD31,'(勿動)組件目錄表'!$D$15:$R$1110,2,FALSE),"")</f>
        <v>I-1</v>
      </c>
      <c r="BF31" s="205">
        <f>IFERROR(VLOOKUP($BD31, '(勿動)組件目錄表'!$D$15:$R$1110, 5, FALSE),"")</f>
        <v>0.5</v>
      </c>
      <c r="BG31" s="214" t="s">
        <v>500</v>
      </c>
      <c r="BH31" s="120"/>
      <c r="BI31" s="118"/>
      <c r="BJ31" s="183"/>
    </row>
    <row r="32" spans="1:62" ht="15.75" customHeight="1">
      <c r="A32" s="160" t="str">
        <f t="array" aca="1" ref="A32:AD32" ca="1">IFERROR(TRANSPOSE(INDIRECT(L1_暖正版配!$BB32)),"")</f>
        <v>無CTA</v>
      </c>
      <c r="B32" s="160" t="str">
        <f ca="1"/>
        <v>LINK*1</v>
      </c>
      <c r="C32" s="160" t="str">
        <f ca="1"/>
        <v>LINK*2</v>
      </c>
      <c r="D32" s="160" t="str">
        <f ca="1"/>
        <v>LINK*3</v>
      </c>
      <c r="E32" s="160" t="str">
        <f ca="1"/>
        <v>LINK&gt;3</v>
      </c>
      <c r="F32" s="160" t="str">
        <f ca="1"/>
        <v>Reminder*1</v>
      </c>
      <c r="G32" s="160" t="str">
        <f ca="1"/>
        <v>Reminder*2</v>
      </c>
      <c r="H32" s="160" t="str">
        <f ca="1"/>
        <v>Reminder*3</v>
      </c>
      <c r="I32" s="160" t="str">
        <f ca="1"/>
        <v>Reminder*4</v>
      </c>
      <c r="J32" s="160" t="str">
        <f ca="1"/>
        <v>Reminder*5</v>
      </c>
      <c r="K32" s="160" t="str">
        <f ca="1"/>
        <v>Reminder&gt;5</v>
      </c>
      <c r="L32" s="160" t="str">
        <f ca="1"/>
        <v>LINK*1 + Reminder*1</v>
      </c>
      <c r="M32" s="160" t="str">
        <f ca="1"/>
        <v>LINK*1 + Reminder*2</v>
      </c>
      <c r="N32" s="160" t="str">
        <f ca="1"/>
        <v>LINK*2 + Reminder*1</v>
      </c>
      <c r="O32" s="160" t="str">
        <f ca="1"/>
        <v>Add to Cart*1</v>
      </c>
      <c r="P32" s="160" t="str">
        <f ca="1"/>
        <v>Add to Cart*2</v>
      </c>
      <c r="Q32" s="160" t="str">
        <f ca="1"/>
        <v>Add to Cart*3</v>
      </c>
      <c r="R32" s="160" t="str">
        <f ca="1"/>
        <v>(Reminder+ATC) *1</v>
      </c>
      <c r="S32" s="160" t="str">
        <f ca="1"/>
        <v>(Reminder+ATC) *2</v>
      </c>
      <c r="T32" s="160" t="str">
        <f ca="1"/>
        <v>(Reminder+ATC) *3</v>
      </c>
      <c r="U32" s="160" t="str">
        <f ca="1"/>
        <v>Popup*1</v>
      </c>
      <c r="V32" s="160" t="str">
        <f ca="1"/>
        <v>Popup*2</v>
      </c>
      <c r="W32" s="160" t="str">
        <f ca="1"/>
        <v>Popup*3</v>
      </c>
      <c r="X32" s="160" t="str">
        <f ca="1"/>
        <v>Copy*1</v>
      </c>
      <c r="Y32" s="160" t="str">
        <f ca="1"/>
        <v>Copy*2</v>
      </c>
      <c r="Z32" s="160" t="str">
        <f ca="1"/>
        <v>Copy*3</v>
      </c>
      <c r="AA32" s="160" t="str">
        <f ca="1"/>
        <v>Share*1</v>
      </c>
      <c r="AB32" s="160" t="str">
        <f ca="1"/>
        <v>Share*2</v>
      </c>
      <c r="AC32" s="160" t="str">
        <f ca="1"/>
        <v>Share*3</v>
      </c>
      <c r="AD32" s="160" t="str">
        <f ca="1"/>
        <v>Placeholders</v>
      </c>
      <c r="AE32" s="172" t="b">
        <v>1</v>
      </c>
      <c r="AF32" s="173" t="s">
        <v>416</v>
      </c>
      <c r="AG32" s="174" t="s">
        <v>501</v>
      </c>
      <c r="AH32" s="195" t="s">
        <v>452</v>
      </c>
      <c r="AI32" s="176" t="str">
        <f ca="1">IFERROR(VLOOKUP($AH32, '(勿動)Component Label公版'!$D$1:$E$1000, 2, FALSE), "-")</f>
        <v>-</v>
      </c>
      <c r="AJ32" s="580" t="s">
        <v>502</v>
      </c>
      <c r="AK32" s="203"/>
      <c r="AL32" s="203"/>
      <c r="AM32" s="203" t="str">
        <f t="shared" si="13"/>
        <v/>
      </c>
      <c r="AN32" s="204" t="str">
        <f t="shared" si="14"/>
        <v/>
      </c>
      <c r="AO32" s="569" t="s">
        <v>503</v>
      </c>
      <c r="AP32" s="384"/>
      <c r="AQ32" s="384"/>
      <c r="AR32" s="384"/>
      <c r="AS32" s="384"/>
      <c r="AT32" s="385"/>
      <c r="AU32" s="179" t="b">
        <v>1</v>
      </c>
      <c r="AV32" s="180" t="b">
        <v>0</v>
      </c>
      <c r="AW32" s="186"/>
      <c r="AX32" s="187"/>
      <c r="AY32" s="187"/>
      <c r="AZ32" s="187"/>
      <c r="BA32" s="188"/>
      <c r="BB32" s="191" t="s">
        <v>147</v>
      </c>
      <c r="BC32" s="179" t="s">
        <v>118</v>
      </c>
      <c r="BD32" s="198" t="str">
        <f t="shared" si="7"/>
        <v>圖_MSBN_LINK*1</v>
      </c>
      <c r="BE32" s="190" t="str">
        <f>IFERROR(VLOOKUP($BD32,'(勿動)組件目錄表'!$D$15:$R$1110,2,FALSE),"")</f>
        <v>I-2</v>
      </c>
      <c r="BF32" s="205">
        <f>IFERROR(VLOOKUP($BD32, '(勿動)組件目錄表'!$D$15:$R$1110, 5, FALSE),"")</f>
        <v>0.5</v>
      </c>
      <c r="BG32" s="206" t="s">
        <v>455</v>
      </c>
      <c r="BH32" s="120"/>
      <c r="BI32" s="118"/>
      <c r="BJ32" s="207" t="s">
        <v>456</v>
      </c>
    </row>
    <row r="33" spans="1:62" ht="31.5" customHeight="1">
      <c r="A33" s="160" t="str">
        <f t="array" aca="1" ref="A33:D33" ca="1">IFERROR(TRANSPOSE(INDIRECT(L1_暖正版配!$BB33)),"")</f>
        <v>置中</v>
      </c>
      <c r="B33" s="160" t="str">
        <f ca="1"/>
        <v>置中 + Display See All</v>
      </c>
      <c r="C33" s="160" t="str">
        <f ca="1"/>
        <v>置左</v>
      </c>
      <c r="D33" s="160" t="str">
        <f ca="1"/>
        <v>置左 + Display See All</v>
      </c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72" t="b">
        <v>0</v>
      </c>
      <c r="AF33" s="204" t="str">
        <f t="shared" ref="AF33:AF44" si="15">IF(AE33=TRUE,"若有勾選則必填，隱藏錨點請填寫&lt;設隱形錨點&gt;","")</f>
        <v/>
      </c>
      <c r="AG33" s="174"/>
      <c r="AH33" s="195" t="s">
        <v>452</v>
      </c>
      <c r="AI33" s="176" t="str">
        <f ca="1">IFERROR(VLOOKUP($AH33, '(勿動)Component Label公版'!$D$1:$E$1000, 2, FALSE), "-")</f>
        <v>-</v>
      </c>
      <c r="AJ33" s="483"/>
      <c r="AK33" s="575" t="s">
        <v>434</v>
      </c>
      <c r="AL33" s="575" t="s">
        <v>457</v>
      </c>
      <c r="AM33" s="203" t="str">
        <f t="shared" si="13"/>
        <v/>
      </c>
      <c r="AN33" s="190" t="str">
        <f t="shared" si="14"/>
        <v>2026-04-13 23:59:59</v>
      </c>
      <c r="AO33" s="623" t="s">
        <v>458</v>
      </c>
      <c r="AP33" s="384"/>
      <c r="AQ33" s="384"/>
      <c r="AR33" s="384"/>
      <c r="AS33" s="384"/>
      <c r="AT33" s="385"/>
      <c r="AU33" s="180" t="b">
        <v>0</v>
      </c>
      <c r="AV33" s="180" t="b">
        <v>0</v>
      </c>
      <c r="AW33" s="186"/>
      <c r="AX33" s="187"/>
      <c r="AY33" s="187"/>
      <c r="AZ33" s="187"/>
      <c r="BA33" s="188"/>
      <c r="BB33" s="191" t="s">
        <v>159</v>
      </c>
      <c r="BC33" s="179" t="s">
        <v>157</v>
      </c>
      <c r="BD33" s="198" t="str">
        <f t="shared" si="7"/>
        <v>標題_置左</v>
      </c>
      <c r="BE33" s="190" t="str">
        <f>IFERROR(VLOOKUP($BD33,'(勿動)組件目錄表'!$D$15:$R$1110,2,FALSE),"")</f>
        <v>D-3</v>
      </c>
      <c r="BF33" s="205">
        <f>IFERROR(VLOOKUP($BD33, '(勿動)組件目錄表'!$D$15:$R$1110, 5, FALSE),"")</f>
        <v>0.5</v>
      </c>
      <c r="BG33" s="118"/>
      <c r="BH33" s="120"/>
      <c r="BI33" s="118"/>
      <c r="BJ33" s="583" t="s">
        <v>459</v>
      </c>
    </row>
    <row r="34" spans="1:62" ht="31.5" customHeight="1">
      <c r="A34" s="160" t="str">
        <f t="array" aca="1" ref="A34:I34" ca="1">IFERROR(TRANSPOSE(INDIRECT(L1_暖正版配!$BB34)),"")</f>
        <v>一排1張(單張/多張)(無一鍵領取)</v>
      </c>
      <c r="B34" s="160" t="str">
        <f ca="1"/>
        <v>一排1張 + Reminder(單張/多張)(無一鍵領取)</v>
      </c>
      <c r="C34" s="160" t="str">
        <f ca="1"/>
        <v>一排1張 + 一鍵領取(多張)</v>
      </c>
      <c r="D34" s="160" t="str">
        <f ca="1"/>
        <v>【僅供MKT Campaign使用】PC：一排兩張；APP：一排1張 + 一鍵領取(多張)</v>
      </c>
      <c r="E34" s="160" t="str">
        <f ca="1"/>
        <v>【僅供MKT Campaign使用】PC：一排兩張；APP：一排1張 + 一鍵領取(多張) + Reminder</v>
      </c>
      <c r="F34" s="160" t="str">
        <f ca="1"/>
        <v>【僅供MKT Campaign使用】PC：一排兩張；APP：一排1張 + 一鍵領取(多張) + Reminder + 查看全部(系統預設加上「優惠券」文案)</v>
      </c>
      <c r="G34" s="160" t="str">
        <f ca="1"/>
        <v>一排2張(單張/多張)(無一鍵領取)</v>
      </c>
      <c r="H34" s="160" t="str">
        <f ca="1"/>
        <v>一排2張 + Reminder(單張/多張)(無一鍵領取)</v>
      </c>
      <c r="I34" s="160" t="str">
        <f ca="1"/>
        <v>一排2張 + 一鍵領取(多張)</v>
      </c>
      <c r="J34" s="160"/>
      <c r="K34" s="160"/>
      <c r="L34" s="160"/>
      <c r="M34" s="160"/>
      <c r="N34" s="160"/>
      <c r="O34" s="160"/>
      <c r="P34" s="160"/>
      <c r="Q34" s="160"/>
      <c r="R34" s="160"/>
      <c r="S34" s="160"/>
      <c r="T34" s="160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208" t="b">
        <v>0</v>
      </c>
      <c r="AF34" s="204" t="str">
        <f t="shared" si="15"/>
        <v/>
      </c>
      <c r="AG34" s="203" t="str">
        <f>IF(AF34="設隱形錨點","",IF(AE34=FALSE,"",IF(AE34=TRUE, SUBSTITUTE($AI34, "_", ""))))</f>
        <v/>
      </c>
      <c r="AH34" s="195" t="s">
        <v>452</v>
      </c>
      <c r="AI34" s="176" t="str">
        <f ca="1">IFERROR(VLOOKUP($AH34, '(勿動)Component Label公版'!$D$1:$E$1000, 2, FALSE), "-")</f>
        <v>-</v>
      </c>
      <c r="AJ34" s="483"/>
      <c r="AK34" s="483"/>
      <c r="AL34" s="483"/>
      <c r="AM34" s="203" t="str">
        <f>IFERROR(
  IF(TRIM(#REF!)="", "",
    TEXT(
      DATEVALUE("2026/" &amp; LEFT(TRIM(#REF!), FIND(" ", TRIM(#REF!)) - 1)) +
      TIMEVALUE(MID(TRIM(#REF!), FIND(" ", TRIM(#REF!)) + 1, LEN(TRIM(#REF!)))),
      "yyyy-mm-dd hh:mm:ss"
    )
  ),
"")</f>
        <v/>
      </c>
      <c r="AN34" s="190" t="str">
        <f>IFERROR(
  IF(TRIM(#REF!)="", "",
    TEXT(
      DATEVALUE("2026/" &amp; LEFT(TRIM(#REF!), FIND(" ", TRIM(#REF!)) - 1)) +
      TIMEVALUE(MID(TRIM(#REF!), FIND(" ", TRIM(#REF!)) + 1, 5)) +
      TIME(0,0,59),
      "yyyy-mm-dd hh:mm:ss"
    )
  ),
"")</f>
        <v/>
      </c>
      <c r="AO34" s="618" t="s">
        <v>504</v>
      </c>
      <c r="AP34" s="384"/>
      <c r="AQ34" s="384"/>
      <c r="AR34" s="384"/>
      <c r="AS34" s="384"/>
      <c r="AT34" s="385"/>
      <c r="AU34" s="180" t="b">
        <v>0</v>
      </c>
      <c r="AV34" s="180" t="b">
        <v>0</v>
      </c>
      <c r="AW34" s="186"/>
      <c r="AX34" s="187"/>
      <c r="AY34" s="187"/>
      <c r="AZ34" s="187"/>
      <c r="BA34" s="188"/>
      <c r="BB34" s="191" t="s">
        <v>182</v>
      </c>
      <c r="BC34" s="179" t="s">
        <v>222</v>
      </c>
      <c r="BD34" s="198" t="str">
        <f t="shared" si="7"/>
        <v>優惠券_真券_一排1張(單張/多張)(無一鍵領取)</v>
      </c>
      <c r="BE34" s="190" t="str">
        <f>IFERROR(VLOOKUP($BD34,'(勿動)組件目錄表'!$D$15:$R$1110,2,FALSE),"")</f>
        <v>F-1</v>
      </c>
      <c r="BF34" s="205">
        <f>IFERROR(VLOOKUP($BD34, '(勿動)組件目錄表'!$D$15:$R$1110, 5, FALSE),"")</f>
        <v>0.5</v>
      </c>
      <c r="BG34" s="118"/>
      <c r="BH34" s="120"/>
      <c r="BI34" s="118"/>
      <c r="BJ34" s="584"/>
    </row>
    <row r="35" spans="1:62" ht="31.5" customHeight="1">
      <c r="A35" s="160" t="str">
        <f t="array" aca="1" ref="A35:D35" ca="1">IFERROR(TRANSPOSE(INDIRECT(L1_暖正版配!$BB35)),"")</f>
        <v>置中</v>
      </c>
      <c r="B35" s="160" t="str">
        <f ca="1"/>
        <v>置中 + Display See All</v>
      </c>
      <c r="C35" s="160" t="str">
        <f ca="1"/>
        <v>置左</v>
      </c>
      <c r="D35" s="160" t="str">
        <f ca="1"/>
        <v>置左 + Display See All</v>
      </c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72" t="b">
        <v>0</v>
      </c>
      <c r="AF35" s="204" t="str">
        <f t="shared" si="15"/>
        <v/>
      </c>
      <c r="AG35" s="174"/>
      <c r="AH35" s="195" t="s">
        <v>452</v>
      </c>
      <c r="AI35" s="176" t="str">
        <f ca="1">IFERROR(VLOOKUP($AH35, '(勿動)Component Label公版'!$D$1:$E$1000, 2, FALSE), "-")</f>
        <v>-</v>
      </c>
      <c r="AJ35" s="483"/>
      <c r="AK35" s="575" t="s">
        <v>462</v>
      </c>
      <c r="AL35" s="575" t="s">
        <v>444</v>
      </c>
      <c r="AM35" s="203" t="str">
        <f>IFERROR(
  IF(TRIM(AK35)="", "",
    TEXT(
      DATEVALUE("2026/" &amp; LEFT(TRIM(AK35), FIND(" ", TRIM(AK35)) - 1)) +
      TIMEVALUE(MID(TRIM(AK35), FIND(" ", TRIM(AK35)) + 1, LEN(TRIM(AK35)))),
      "yyyy-mm-dd hh:mm:ss"
    )
  ),
"")</f>
        <v>2026-04-14 00:00:00</v>
      </c>
      <c r="AN35" s="190" t="str">
        <f>IFERROR(
  IF(TRIM(AL35)="", "",
    TEXT(
      DATEVALUE("2026/" &amp; LEFT(TRIM(AL35), FIND(" ", TRIM(AL35)) - 1)) +
      TIMEVALUE(MID(TRIM(AL35), FIND(" ", TRIM(AL35)) + 1, 5)) +
      TIME(0,0,59),
      "yyyy-mm-dd hh:mm:ss"
    )
  ),
"")</f>
        <v>2026-04-18 23:59:59</v>
      </c>
      <c r="AO35" s="623" t="s">
        <v>463</v>
      </c>
      <c r="AP35" s="384"/>
      <c r="AQ35" s="384"/>
      <c r="AR35" s="384"/>
      <c r="AS35" s="384"/>
      <c r="AT35" s="385"/>
      <c r="AU35" s="180" t="b">
        <v>0</v>
      </c>
      <c r="AV35" s="180" t="b">
        <v>0</v>
      </c>
      <c r="AW35" s="186"/>
      <c r="AX35" s="187"/>
      <c r="AY35" s="187"/>
      <c r="AZ35" s="187"/>
      <c r="BA35" s="188"/>
      <c r="BB35" s="191" t="s">
        <v>159</v>
      </c>
      <c r="BC35" s="179" t="s">
        <v>157</v>
      </c>
      <c r="BD35" s="198" t="str">
        <f t="shared" si="7"/>
        <v>標題_置左</v>
      </c>
      <c r="BE35" s="190" t="str">
        <f>IFERROR(VLOOKUP($BD35,'(勿動)組件目錄表'!$D$15:$R$1110,2,FALSE),"")</f>
        <v>D-3</v>
      </c>
      <c r="BF35" s="205">
        <f>IFERROR(VLOOKUP($BD35, '(勿動)組件目錄表'!$D$15:$R$1110, 5, FALSE),"")</f>
        <v>0.5</v>
      </c>
      <c r="BG35" s="118"/>
      <c r="BH35" s="120"/>
      <c r="BI35" s="118"/>
      <c r="BJ35" s="583" t="s">
        <v>469</v>
      </c>
    </row>
    <row r="36" spans="1:62" ht="31.5" customHeight="1">
      <c r="A36" s="160" t="str">
        <f t="array" aca="1" ref="A36:I36" ca="1">IFERROR(TRANSPOSE(INDIRECT(L1_暖正版配!$BB36)),"")</f>
        <v>一排1張(單張/多張)(無一鍵領取)</v>
      </c>
      <c r="B36" s="160" t="str">
        <f ca="1"/>
        <v>一排1張 + Reminder(單張/多張)(無一鍵領取)</v>
      </c>
      <c r="C36" s="160" t="str">
        <f ca="1"/>
        <v>一排1張 + 一鍵領取(多張)</v>
      </c>
      <c r="D36" s="160" t="str">
        <f ca="1"/>
        <v>【僅供MKT Campaign使用】PC：一排兩張；APP：一排1張 + 一鍵領取(多張)</v>
      </c>
      <c r="E36" s="160" t="str">
        <f ca="1"/>
        <v>【僅供MKT Campaign使用】PC：一排兩張；APP：一排1張 + 一鍵領取(多張) + Reminder</v>
      </c>
      <c r="F36" s="160" t="str">
        <f ca="1"/>
        <v>【僅供MKT Campaign使用】PC：一排兩張；APP：一排1張 + 一鍵領取(多張) + Reminder + 查看全部(系統預設加上「優惠券」文案)</v>
      </c>
      <c r="G36" s="160" t="str">
        <f ca="1"/>
        <v>一排2張(單張/多張)(無一鍵領取)</v>
      </c>
      <c r="H36" s="160" t="str">
        <f ca="1"/>
        <v>一排2張 + Reminder(單張/多張)(無一鍵領取)</v>
      </c>
      <c r="I36" s="160" t="str">
        <f ca="1"/>
        <v>一排2張 + 一鍵領取(多張)</v>
      </c>
      <c r="J36" s="160"/>
      <c r="K36" s="160"/>
      <c r="L36" s="160"/>
      <c r="M36" s="160"/>
      <c r="N36" s="160"/>
      <c r="O36" s="160"/>
      <c r="P36" s="160"/>
      <c r="Q36" s="160"/>
      <c r="R36" s="160"/>
      <c r="S36" s="160"/>
      <c r="T36" s="160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208" t="b">
        <v>0</v>
      </c>
      <c r="AF36" s="204" t="str">
        <f t="shared" si="15"/>
        <v/>
      </c>
      <c r="AG36" s="203" t="str">
        <f>IF(AF36="設隱形錨點","",IF(AE36=FALSE,"",IF(AE36=TRUE, SUBSTITUTE($AI36, "_", ""))))</f>
        <v/>
      </c>
      <c r="AH36" s="195" t="s">
        <v>452</v>
      </c>
      <c r="AI36" s="176" t="str">
        <f ca="1">IFERROR(VLOOKUP($AH36, '(勿動)Component Label公版'!$D$1:$E$1000, 2, FALSE), "-")</f>
        <v>-</v>
      </c>
      <c r="AJ36" s="483"/>
      <c r="AK36" s="483"/>
      <c r="AL36" s="483"/>
      <c r="AM36" s="203" t="str">
        <f>IFERROR(
  IF(TRIM(#REF!)="", "",
    TEXT(
      DATEVALUE("2026/" &amp; LEFT(TRIM(#REF!), FIND(" ", TRIM(#REF!)) - 1)) +
      TIMEVALUE(MID(TRIM(#REF!), FIND(" ", TRIM(#REF!)) + 1, LEN(TRIM(#REF!)))),
      "yyyy-mm-dd hh:mm:ss"
    )
  ),
"")</f>
        <v/>
      </c>
      <c r="AN36" s="190" t="str">
        <f>IFERROR(
  IF(TRIM(#REF!)="", "",
    TEXT(
      DATEVALUE("2026/" &amp; LEFT(TRIM(#REF!), FIND(" ", TRIM(#REF!)) - 1)) +
      TIMEVALUE(MID(TRIM(#REF!), FIND(" ", TRIM(#REF!)) + 1, 5)) +
      TIME(0,0,59),
      "yyyy-mm-dd hh:mm:ss"
    )
  ),
"")</f>
        <v/>
      </c>
      <c r="AO36" s="541" t="s">
        <v>505</v>
      </c>
      <c r="AP36" s="384"/>
      <c r="AQ36" s="384"/>
      <c r="AR36" s="384"/>
      <c r="AS36" s="384"/>
      <c r="AT36" s="385"/>
      <c r="AU36" s="180" t="b">
        <v>0</v>
      </c>
      <c r="AV36" s="180" t="b">
        <v>0</v>
      </c>
      <c r="AW36" s="186"/>
      <c r="AX36" s="187"/>
      <c r="AY36" s="187"/>
      <c r="AZ36" s="187"/>
      <c r="BA36" s="188"/>
      <c r="BB36" s="191" t="s">
        <v>182</v>
      </c>
      <c r="BC36" s="179" t="s">
        <v>222</v>
      </c>
      <c r="BD36" s="198" t="str">
        <f t="shared" si="7"/>
        <v>優惠券_真券_一排1張(單張/多張)(無一鍵領取)</v>
      </c>
      <c r="BE36" s="190" t="str">
        <f>IFERROR(VLOOKUP($BD36,'(勿動)組件目錄表'!$D$15:$R$1110,2,FALSE),"")</f>
        <v>F-1</v>
      </c>
      <c r="BF36" s="205">
        <f>IFERROR(VLOOKUP($BD36, '(勿動)組件目錄表'!$D$15:$R$1110, 5, FALSE),"")</f>
        <v>0.5</v>
      </c>
      <c r="BG36" s="118"/>
      <c r="BH36" s="120"/>
      <c r="BI36" s="118"/>
      <c r="BJ36" s="584"/>
    </row>
    <row r="37" spans="1:62" ht="31.5" customHeight="1">
      <c r="A37" s="160" t="str">
        <f t="array" aca="1" ref="A37:D37" ca="1">IFERROR(TRANSPOSE(INDIRECT(L1_暖正版配!$BB37)),"")</f>
        <v>置中</v>
      </c>
      <c r="B37" s="160" t="str">
        <f ca="1"/>
        <v>置中 + Display See All</v>
      </c>
      <c r="C37" s="160" t="str">
        <f ca="1"/>
        <v>置左</v>
      </c>
      <c r="D37" s="160" t="str">
        <f ca="1"/>
        <v>置左 + Display See All</v>
      </c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72" t="b">
        <v>0</v>
      </c>
      <c r="AF37" s="204" t="str">
        <f t="shared" si="15"/>
        <v/>
      </c>
      <c r="AG37" s="174"/>
      <c r="AH37" s="195" t="s">
        <v>452</v>
      </c>
      <c r="AI37" s="176" t="str">
        <f ca="1">IFERROR(VLOOKUP($AH37, '(勿動)Component Label公版'!$D$1:$E$1000, 2, FALSE), "-")</f>
        <v>-</v>
      </c>
      <c r="AJ37" s="483"/>
      <c r="AK37" s="575" t="s">
        <v>443</v>
      </c>
      <c r="AL37" s="575" t="s">
        <v>444</v>
      </c>
      <c r="AM37" s="203" t="str">
        <f>IFERROR(
  IF(TRIM(AK37)="", "",
    TEXT(
      DATEVALUE("2026/" &amp; LEFT(TRIM(AK37), FIND(" ", TRIM(AK37)) - 1)) +
      TIMEVALUE(MID(TRIM(AK37), FIND(" ", TRIM(AK37)) + 1, LEN(TRIM(AK37)))),
      "yyyy-mm-dd hh:mm:ss"
    )
  ),
"")</f>
        <v>2026-04-18 00:00:00</v>
      </c>
      <c r="AN37" s="190" t="str">
        <f>IFERROR(
  IF(TRIM(AL37)="", "",
    TEXT(
      DATEVALUE("2026/" &amp; LEFT(TRIM(AL37), FIND(" ", TRIM(AL37)) - 1)) +
      TIMEVALUE(MID(TRIM(AL37), FIND(" ", TRIM(AL37)) + 1, 5)) +
      TIME(0,0,59),
      "yyyy-mm-dd hh:mm:ss"
    )
  ),
"")</f>
        <v>2026-04-18 23:59:59</v>
      </c>
      <c r="AO37" s="623" t="s">
        <v>468</v>
      </c>
      <c r="AP37" s="384"/>
      <c r="AQ37" s="384"/>
      <c r="AR37" s="384"/>
      <c r="AS37" s="384"/>
      <c r="AT37" s="385"/>
      <c r="AU37" s="180" t="b">
        <v>0</v>
      </c>
      <c r="AV37" s="180" t="b">
        <v>0</v>
      </c>
      <c r="AW37" s="186"/>
      <c r="AX37" s="187"/>
      <c r="AY37" s="187"/>
      <c r="AZ37" s="187"/>
      <c r="BA37" s="188"/>
      <c r="BB37" s="191" t="s">
        <v>159</v>
      </c>
      <c r="BC37" s="179" t="s">
        <v>157</v>
      </c>
      <c r="BD37" s="198" t="str">
        <f t="shared" si="7"/>
        <v>標題_置左</v>
      </c>
      <c r="BE37" s="190" t="str">
        <f>IFERROR(VLOOKUP($BD37,'(勿動)組件目錄表'!$D$15:$R$1110,2,FALSE),"")</f>
        <v>D-3</v>
      </c>
      <c r="BF37" s="205">
        <f>IFERROR(VLOOKUP($BD37, '(勿動)組件目錄表'!$D$15:$R$1110, 5, FALSE),"")</f>
        <v>0.5</v>
      </c>
      <c r="BG37" s="118"/>
      <c r="BH37" s="120"/>
      <c r="BI37" s="118"/>
      <c r="BJ37" s="585" t="s">
        <v>469</v>
      </c>
    </row>
    <row r="38" spans="1:62" ht="31.5" customHeight="1">
      <c r="A38" s="160" t="str">
        <f t="array" aca="1" ref="A38:I38" ca="1">IFERROR(TRANSPOSE(INDIRECT(L1_暖正版配!$BB38)),"")</f>
        <v>一排1張(單張/多張)(無一鍵領取)</v>
      </c>
      <c r="B38" s="160" t="str">
        <f ca="1"/>
        <v>一排1張 + Reminder(單張/多張)(無一鍵領取)</v>
      </c>
      <c r="C38" s="160" t="str">
        <f ca="1"/>
        <v>一排1張 + 一鍵領取(多張)</v>
      </c>
      <c r="D38" s="160" t="str">
        <f ca="1"/>
        <v>【僅供MKT Campaign使用】PC：一排兩張；APP：一排1張 + 一鍵領取(多張)</v>
      </c>
      <c r="E38" s="160" t="str">
        <f ca="1"/>
        <v>【僅供MKT Campaign使用】PC：一排兩張；APP：一排1張 + 一鍵領取(多張) + Reminder</v>
      </c>
      <c r="F38" s="160" t="str">
        <f ca="1"/>
        <v>【僅供MKT Campaign使用】PC：一排兩張；APP：一排1張 + 一鍵領取(多張) + Reminder + 查看全部(系統預設加上「優惠券」文案)</v>
      </c>
      <c r="G38" s="160" t="str">
        <f ca="1"/>
        <v>一排2張(單張/多張)(無一鍵領取)</v>
      </c>
      <c r="H38" s="160" t="str">
        <f ca="1"/>
        <v>一排2張 + Reminder(單張/多張)(無一鍵領取)</v>
      </c>
      <c r="I38" s="160" t="str">
        <f ca="1"/>
        <v>一排2張 + 一鍵領取(多張)</v>
      </c>
      <c r="J38" s="160"/>
      <c r="K38" s="160"/>
      <c r="L38" s="160"/>
      <c r="M38" s="160"/>
      <c r="N38" s="160"/>
      <c r="O38" s="160"/>
      <c r="P38" s="160"/>
      <c r="Q38" s="160"/>
      <c r="R38" s="160"/>
      <c r="S38" s="160"/>
      <c r="T38" s="160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208" t="b">
        <v>0</v>
      </c>
      <c r="AF38" s="204" t="str">
        <f t="shared" si="15"/>
        <v/>
      </c>
      <c r="AG38" s="203" t="str">
        <f t="shared" ref="AG38:AG40" si="16">IF(AF38="設隱形錨點","",IF(AE38=FALSE,"",IF(AE38=TRUE, SUBSTITUTE($AI38, "_", ""))))</f>
        <v/>
      </c>
      <c r="AH38" s="195" t="s">
        <v>452</v>
      </c>
      <c r="AI38" s="176" t="str">
        <f ca="1">IFERROR(VLOOKUP($AH38, '(勿動)Component Label公版'!$D$1:$E$1000, 2, FALSE), "-")</f>
        <v>-</v>
      </c>
      <c r="AJ38" s="483"/>
      <c r="AK38" s="483"/>
      <c r="AL38" s="483"/>
      <c r="AM38" s="203" t="str">
        <f>IFERROR(
  IF(TRIM(#REF!)="", "",
    TEXT(
      DATEVALUE("2026/" &amp; LEFT(TRIM(#REF!), FIND(" ", TRIM(#REF!)) - 1)) +
      TIMEVALUE(MID(TRIM(#REF!), FIND(" ", TRIM(#REF!)) + 1, LEN(TRIM(#REF!)))),
      "yyyy-mm-dd hh:mm:ss"
    )
  ),
"")</f>
        <v/>
      </c>
      <c r="AN38" s="190" t="str">
        <f>IFERROR(
  IF(TRIM(#REF!)="", "",
    TEXT(
      DATEVALUE("2026/" &amp; LEFT(TRIM(#REF!), FIND(" ", TRIM(#REF!)) - 1)) +
      TIMEVALUE(MID(TRIM(#REF!), FIND(" ", TRIM(#REF!)) + 1, 5)) +
      TIME(0,0,59),
      "yyyy-mm-dd hh:mm:ss"
    )
  ),
"")</f>
        <v/>
      </c>
      <c r="AO38" s="618" t="s">
        <v>470</v>
      </c>
      <c r="AP38" s="384"/>
      <c r="AQ38" s="384"/>
      <c r="AR38" s="384"/>
      <c r="AS38" s="384"/>
      <c r="AT38" s="385"/>
      <c r="AU38" s="180" t="b">
        <v>0</v>
      </c>
      <c r="AV38" s="180" t="b">
        <v>0</v>
      </c>
      <c r="AW38" s="186"/>
      <c r="AX38" s="187"/>
      <c r="AY38" s="187"/>
      <c r="AZ38" s="187"/>
      <c r="BA38" s="188"/>
      <c r="BB38" s="191" t="s">
        <v>182</v>
      </c>
      <c r="BC38" s="179" t="s">
        <v>222</v>
      </c>
      <c r="BD38" s="198" t="str">
        <f t="shared" si="7"/>
        <v>優惠券_真券_一排1張(單張/多張)(無一鍵領取)</v>
      </c>
      <c r="BE38" s="190" t="str">
        <f>IFERROR(VLOOKUP($BD38,'(勿動)組件目錄表'!$D$15:$R$1110,2,FALSE),"")</f>
        <v>F-1</v>
      </c>
      <c r="BF38" s="205">
        <f>IFERROR(VLOOKUP($BD38, '(勿動)組件目錄表'!$D$15:$R$1110, 5, FALSE),"")</f>
        <v>0.5</v>
      </c>
      <c r="BG38" s="118"/>
      <c r="BH38" s="120"/>
      <c r="BI38" s="118"/>
      <c r="BJ38" s="584"/>
    </row>
    <row r="39" spans="1:62" ht="15.75" customHeight="1">
      <c r="A39" s="160" t="str">
        <f t="array" aca="1" ref="A39:M39" ca="1">IFERROR(TRANSPOSE(INDIRECT(L1_暖正版配!$BB39)),"")</f>
        <v>(全站券) 假券一排1張 CTA</v>
      </c>
      <c r="B39" s="160" t="str">
        <f ca="1"/>
        <v>(全站券) 假券一排1張 Reminder</v>
      </c>
      <c r="C39" s="160" t="str">
        <f ca="1"/>
        <v>(全站券) 假券一排2張 CTA+CTA</v>
      </c>
      <c r="D39" s="160" t="str">
        <f ca="1"/>
        <v>(全站券) 假券一排2張 Reminder+Reminder</v>
      </c>
      <c r="E39" s="160" t="str">
        <f ca="1"/>
        <v>(全站券) 假券一排2張 CTA+Reminder</v>
      </c>
      <c r="F39" s="160" t="str">
        <f ca="1"/>
        <v>(商城券) 假券一排1張 CTA</v>
      </c>
      <c r="G39" s="160" t="str">
        <f ca="1"/>
        <v>(商城券) 假券一排1張 Reminder</v>
      </c>
      <c r="H39" s="160" t="str">
        <f ca="1"/>
        <v>(商城券) 假券一排2張 CTA+CTA</v>
      </c>
      <c r="I39" s="160" t="str">
        <f ca="1"/>
        <v>(商城券) 假券一排2張 Reminder+Reminder</v>
      </c>
      <c r="J39" s="160" t="str">
        <f ca="1"/>
        <v>(商城券) 假券一排2張 CTA+Reminder</v>
      </c>
      <c r="K39" s="160" t="str">
        <f ca="1"/>
        <v>(全站券+商城券) 假券一排2張 CTA+CTA</v>
      </c>
      <c r="L39" s="160" t="str">
        <f ca="1"/>
        <v>(全站券+商城券) 假券一排2張 Reminder+Reminder</v>
      </c>
      <c r="M39" s="160" t="str">
        <f ca="1"/>
        <v>(全站券+商城券) 假券一排2張 CTA+Reminder</v>
      </c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209" t="b">
        <v>0</v>
      </c>
      <c r="AF39" s="204" t="str">
        <f t="shared" si="15"/>
        <v/>
      </c>
      <c r="AG39" s="203" t="str">
        <f t="shared" si="16"/>
        <v/>
      </c>
      <c r="AH39" s="195" t="s">
        <v>452</v>
      </c>
      <c r="AI39" s="176" t="str">
        <f ca="1">IFERROR(VLOOKUP($AH39, '(勿動)Component Label公版'!$D$1:$E$1000, 2, FALSE), "-")</f>
        <v>-</v>
      </c>
      <c r="AJ39" s="483"/>
      <c r="AK39" s="203"/>
      <c r="AL39" s="203"/>
      <c r="AM39" s="203" t="str">
        <f t="shared" ref="AM39:AM41" si="17">IFERROR(
  IF(TRIM(AK39)="", "",
    TEXT(
      DATEVALUE("2026/" &amp; LEFT(TRIM(AK39), FIND(" ", TRIM(AK39)) - 1)) +
      TIMEVALUE(MID(TRIM(AK39), FIND(" ", TRIM(AK39)) + 1, LEN(TRIM(AK39)))),
      "yyyy-mm-dd hh:mm:ss"
    )
  ),
"")</f>
        <v/>
      </c>
      <c r="AN39" s="204" t="str">
        <f t="shared" ref="AN39:AN41" si="18">IFERROR(
  IF(TRIM(AL39)="", "",
    TEXT(
      DATEVALUE("2026/" &amp; LEFT(TRIM(AL39), FIND(" ", TRIM(AL39)) - 1)) +
      TIMEVALUE(MID(TRIM(AL39), FIND(" ", TRIM(AL39)) + 1, 5)) +
      TIME(0,0,59),
      "yyyy-mm-dd hh:mm:ss"
    )
  ),
"")</f>
        <v/>
      </c>
      <c r="AO39" s="617" t="s">
        <v>483</v>
      </c>
      <c r="AP39" s="490"/>
      <c r="AQ39" s="624" t="s">
        <v>506</v>
      </c>
      <c r="AR39" s="399"/>
      <c r="AS39" s="411"/>
      <c r="AT39" s="625" t="s">
        <v>507</v>
      </c>
      <c r="AU39" s="179" t="b">
        <v>1</v>
      </c>
      <c r="AV39" s="180" t="b">
        <v>0</v>
      </c>
      <c r="AW39" s="186"/>
      <c r="AX39" s="187"/>
      <c r="AY39" s="187"/>
      <c r="AZ39" s="187"/>
      <c r="BA39" s="188"/>
      <c r="BB39" s="191" t="s">
        <v>486</v>
      </c>
      <c r="BC39" s="179" t="s">
        <v>491</v>
      </c>
      <c r="BD39" s="198" t="str">
        <f t="shared" si="7"/>
        <v>優惠券_GD模版_(全站券) 假券一排1張 CTA</v>
      </c>
      <c r="BE39" s="190" t="str">
        <f>IFERROR(VLOOKUP($BD39,'(勿動)組件目錄表'!$D$15:$R$1110,2,FALSE),"")</f>
        <v>F-14</v>
      </c>
      <c r="BF39" s="205">
        <f>IFERROR(VLOOKUP($BD39, '(勿動)組件目錄表'!$D$15:$R$1110, 5, FALSE),"")</f>
        <v>1</v>
      </c>
      <c r="BG39" s="586" t="s">
        <v>508</v>
      </c>
      <c r="BH39" s="120"/>
      <c r="BI39" s="118"/>
      <c r="BJ39" s="583" t="s">
        <v>509</v>
      </c>
    </row>
    <row r="40" spans="1:62" ht="15.75" customHeight="1">
      <c r="A40" s="160" t="str">
        <f t="array" aca="1" ref="A40:M40" ca="1">IFERROR(TRANSPOSE(INDIRECT(L1_暖正版配!$BB40)),"")</f>
        <v>(全站券) 假券一排1張 CTA</v>
      </c>
      <c r="B40" s="160" t="str">
        <f ca="1"/>
        <v>(全站券) 假券一排1張 Reminder</v>
      </c>
      <c r="C40" s="160" t="str">
        <f ca="1"/>
        <v>(全站券) 假券一排2張 CTA+CTA</v>
      </c>
      <c r="D40" s="160" t="str">
        <f ca="1"/>
        <v>(全站券) 假券一排2張 Reminder+Reminder</v>
      </c>
      <c r="E40" s="160" t="str">
        <f ca="1"/>
        <v>(全站券) 假券一排2張 CTA+Reminder</v>
      </c>
      <c r="F40" s="160" t="str">
        <f ca="1"/>
        <v>(商城券) 假券一排1張 CTA</v>
      </c>
      <c r="G40" s="160" t="str">
        <f ca="1"/>
        <v>(商城券) 假券一排1張 Reminder</v>
      </c>
      <c r="H40" s="160" t="str">
        <f ca="1"/>
        <v>(商城券) 假券一排2張 CTA+CTA</v>
      </c>
      <c r="I40" s="160" t="str">
        <f ca="1"/>
        <v>(商城券) 假券一排2張 Reminder+Reminder</v>
      </c>
      <c r="J40" s="160" t="str">
        <f ca="1"/>
        <v>(商城券) 假券一排2張 CTA+Reminder</v>
      </c>
      <c r="K40" s="160" t="str">
        <f ca="1"/>
        <v>(全站券+商城券) 假券一排2張 CTA+CTA</v>
      </c>
      <c r="L40" s="160" t="str">
        <f ca="1"/>
        <v>(全站券+商城券) 假券一排2張 Reminder+Reminder</v>
      </c>
      <c r="M40" s="160" t="str">
        <f ca="1"/>
        <v>(全站券+商城券) 假券一排2張 CTA+Reminder</v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209" t="b">
        <v>0</v>
      </c>
      <c r="AF40" s="204" t="str">
        <f t="shared" si="15"/>
        <v/>
      </c>
      <c r="AG40" s="203" t="str">
        <f t="shared" si="16"/>
        <v/>
      </c>
      <c r="AH40" s="195" t="s">
        <v>452</v>
      </c>
      <c r="AI40" s="176" t="str">
        <f ca="1">IFERROR(VLOOKUP($AH40, '(勿動)Component Label公版'!$D$1:$E$1000, 2, FALSE), "-")</f>
        <v>-</v>
      </c>
      <c r="AJ40" s="483"/>
      <c r="AK40" s="203"/>
      <c r="AL40" s="203"/>
      <c r="AM40" s="203" t="str">
        <f t="shared" si="17"/>
        <v/>
      </c>
      <c r="AN40" s="204" t="str">
        <f t="shared" si="18"/>
        <v/>
      </c>
      <c r="AO40" s="616" t="s">
        <v>488</v>
      </c>
      <c r="AP40" s="470"/>
      <c r="AQ40" s="393"/>
      <c r="AR40" s="420"/>
      <c r="AS40" s="394"/>
      <c r="AT40" s="626"/>
      <c r="AU40" s="179" t="b">
        <v>1</v>
      </c>
      <c r="AV40" s="180" t="b">
        <v>0</v>
      </c>
      <c r="AW40" s="186"/>
      <c r="AX40" s="187"/>
      <c r="AY40" s="187"/>
      <c r="AZ40" s="187"/>
      <c r="BA40" s="188"/>
      <c r="BB40" s="191" t="s">
        <v>486</v>
      </c>
      <c r="BC40" s="179" t="s">
        <v>491</v>
      </c>
      <c r="BD40" s="198" t="str">
        <f t="shared" si="7"/>
        <v>優惠券_GD模版_(全站券) 假券一排1張 CTA</v>
      </c>
      <c r="BE40" s="190" t="str">
        <f>IFERROR(VLOOKUP($BD40,'(勿動)組件目錄表'!$D$15:$R$1110,2,FALSE),"")</f>
        <v>F-14</v>
      </c>
      <c r="BF40" s="205">
        <f>IFERROR(VLOOKUP($BD40, '(勿動)組件目錄表'!$D$15:$R$1110, 5, FALSE),"")</f>
        <v>1</v>
      </c>
      <c r="BG40" s="587"/>
      <c r="BH40" s="120"/>
      <c r="BI40" s="118"/>
      <c r="BJ40" s="584"/>
    </row>
    <row r="41" spans="1:62" ht="31.5" customHeight="1">
      <c r="A41" s="160" t="str">
        <f t="array" aca="1" ref="A41:D41" ca="1">IFERROR(TRANSPOSE(INDIRECT(L1_暖正版配!$BB41)),"")</f>
        <v>置中</v>
      </c>
      <c r="B41" s="160" t="str">
        <f ca="1"/>
        <v>置中 + Display See All</v>
      </c>
      <c r="C41" s="160" t="str">
        <f ca="1"/>
        <v>置左</v>
      </c>
      <c r="D41" s="160" t="str">
        <f ca="1"/>
        <v>置左 + Display See All</v>
      </c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72" t="b">
        <v>0</v>
      </c>
      <c r="AF41" s="204" t="str">
        <f t="shared" si="15"/>
        <v/>
      </c>
      <c r="AG41" s="174"/>
      <c r="AH41" s="195" t="s">
        <v>452</v>
      </c>
      <c r="AI41" s="176" t="str">
        <f ca="1">IFERROR(VLOOKUP($AH41, '(勿動)Component Label公版'!$D$1:$E$1000, 2, FALSE), "-")</f>
        <v>-</v>
      </c>
      <c r="AJ41" s="483"/>
      <c r="AK41" s="575" t="s">
        <v>443</v>
      </c>
      <c r="AL41" s="575" t="s">
        <v>444</v>
      </c>
      <c r="AM41" s="203" t="str">
        <f t="shared" si="17"/>
        <v>2026-04-18 00:00:00</v>
      </c>
      <c r="AN41" s="190" t="str">
        <f t="shared" si="18"/>
        <v>2026-04-18 23:59:59</v>
      </c>
      <c r="AO41" s="623" t="s">
        <v>494</v>
      </c>
      <c r="AP41" s="384"/>
      <c r="AQ41" s="384"/>
      <c r="AR41" s="384"/>
      <c r="AS41" s="384"/>
      <c r="AT41" s="385"/>
      <c r="AU41" s="180" t="b">
        <v>0</v>
      </c>
      <c r="AV41" s="180" t="b">
        <v>0</v>
      </c>
      <c r="AW41" s="186"/>
      <c r="AX41" s="187"/>
      <c r="AY41" s="187"/>
      <c r="AZ41" s="187"/>
      <c r="BA41" s="188"/>
      <c r="BB41" s="191" t="s">
        <v>159</v>
      </c>
      <c r="BC41" s="179" t="s">
        <v>157</v>
      </c>
      <c r="BD41" s="198" t="str">
        <f t="shared" si="7"/>
        <v>標題_置左</v>
      </c>
      <c r="BE41" s="190" t="str">
        <f>IFERROR(VLOOKUP($BD41,'(勿動)組件目錄表'!$D$15:$R$1110,2,FALSE),"")</f>
        <v>D-3</v>
      </c>
      <c r="BF41" s="205">
        <f>IFERROR(VLOOKUP($BD41, '(勿動)組件目錄表'!$D$15:$R$1110, 5, FALSE),"")</f>
        <v>0.5</v>
      </c>
      <c r="BG41" s="588" t="s">
        <v>495</v>
      </c>
      <c r="BH41" s="120"/>
      <c r="BI41" s="118"/>
      <c r="BJ41" s="211" t="s">
        <v>496</v>
      </c>
    </row>
    <row r="42" spans="1:62" ht="15.75" customHeight="1">
      <c r="A42" s="160" t="str">
        <f t="array" aca="1" ref="A42" ca="1">IFERROR(TRANSPOSE(INDIRECT(L1_暖正版配!$BB42)),"")</f>
        <v>輪播 水平滑動(display number per row: 1)</v>
      </c>
      <c r="B42" s="160"/>
      <c r="C42" s="160"/>
      <c r="D42" s="160"/>
      <c r="E42" s="160"/>
      <c r="F42" s="160"/>
      <c r="G42" s="160"/>
      <c r="H42" s="160"/>
      <c r="I42" s="160"/>
      <c r="J42" s="160"/>
      <c r="K42" s="160"/>
      <c r="L42" s="160"/>
      <c r="M42" s="160"/>
      <c r="N42" s="160"/>
      <c r="O42" s="160"/>
      <c r="P42" s="160"/>
      <c r="Q42" s="160"/>
      <c r="R42" s="160"/>
      <c r="S42" s="160"/>
      <c r="T42" s="160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208" t="b">
        <v>0</v>
      </c>
      <c r="AF42" s="204" t="str">
        <f t="shared" si="15"/>
        <v/>
      </c>
      <c r="AG42" s="203" t="str">
        <f t="shared" ref="AG42:AG44" si="19">IF(AF42="設隱形錨點","",IF(AE42=FALSE,"",IF(AE42=TRUE, SUBSTITUTE($AI42, "_", ""))))</f>
        <v/>
      </c>
      <c r="AH42" s="195" t="s">
        <v>452</v>
      </c>
      <c r="AI42" s="176" t="str">
        <f ca="1">IFERROR(VLOOKUP($AH42, '(勿動)Component Label公版'!$D$1:$E$1000, 2, FALSE), "-")</f>
        <v>-</v>
      </c>
      <c r="AJ42" s="483"/>
      <c r="AK42" s="483"/>
      <c r="AL42" s="483"/>
      <c r="AM42" s="203" t="str">
        <f>IFERROR(
  IF(TRIM(#REF!)="", "",
    TEXT(
      DATEVALUE("2026/" &amp; LEFT(TRIM(#REF!), FIND(" ", TRIM(#REF!)) - 1)) +
      TIMEVALUE(MID(TRIM(#REF!), FIND(" ", TRIM(#REF!)) + 1, LEN(TRIM(#REF!)))),
      "yyyy-mm-dd hh:mm:ss"
    )
  ),
"")</f>
        <v/>
      </c>
      <c r="AN42" s="190" t="str">
        <f>IFERROR(
  IF(TRIM(#REF!)="", "",
    TEXT(
      DATEVALUE("2026/" &amp; LEFT(TRIM(#REF!), FIND(" ", TRIM(#REF!)) - 1)) +
      TIMEVALUE(MID(TRIM(#REF!), FIND(" ", TRIM(#REF!)) + 1, 5)) +
      TIME(0,0,59),
      "yyyy-mm-dd hh:mm:ss"
    )
  ),
"")</f>
        <v/>
      </c>
      <c r="AO42" s="541" t="s">
        <v>510</v>
      </c>
      <c r="AP42" s="384"/>
      <c r="AQ42" s="384"/>
      <c r="AR42" s="384"/>
      <c r="AS42" s="384"/>
      <c r="AT42" s="385"/>
      <c r="AU42" s="180" t="b">
        <v>0</v>
      </c>
      <c r="AV42" s="180" t="b">
        <v>0</v>
      </c>
      <c r="AW42" s="186"/>
      <c r="AX42" s="187"/>
      <c r="AY42" s="187"/>
      <c r="AZ42" s="187"/>
      <c r="BA42" s="188"/>
      <c r="BB42" s="191" t="s">
        <v>466</v>
      </c>
      <c r="BC42" s="179" t="s">
        <v>467</v>
      </c>
      <c r="BD42" s="198" t="str">
        <f t="shared" si="7"/>
        <v>圖_ImageCollection_輪播 水平滑動(display number per row: 1)</v>
      </c>
      <c r="BE42" s="190" t="str">
        <f>IFERROR(VLOOKUP($BD42,'(勿動)組件目錄表'!$D$15:$R$1110,2,FALSE),"")</f>
        <v>I-38</v>
      </c>
      <c r="BF42" s="205">
        <f>IFERROR(VLOOKUP($BD42, '(勿動)組件目錄表'!$D$15:$R$1110, 5, FALSE),"")</f>
        <v>0.5</v>
      </c>
      <c r="BG42" s="587"/>
      <c r="BH42" s="120"/>
      <c r="BI42" s="118"/>
      <c r="BJ42" s="215"/>
    </row>
    <row r="43" spans="1:62" ht="15.75" customHeight="1">
      <c r="A43" s="160" t="str">
        <f t="array" aca="1" ref="A43" ca="1">IFERROR(TRANSPOSE(INDIRECT(L1_暖正版配!$BB43)),"")</f>
        <v>輪播 水平滑動(display number per row: 1)</v>
      </c>
      <c r="B43" s="160"/>
      <c r="C43" s="160"/>
      <c r="D43" s="160"/>
      <c r="E43" s="160"/>
      <c r="F43" s="160"/>
      <c r="G43" s="160"/>
      <c r="H43" s="160"/>
      <c r="I43" s="160"/>
      <c r="J43" s="160"/>
      <c r="K43" s="160"/>
      <c r="L43" s="160"/>
      <c r="M43" s="160"/>
      <c r="N43" s="160"/>
      <c r="O43" s="160"/>
      <c r="P43" s="160"/>
      <c r="Q43" s="160"/>
      <c r="R43" s="160"/>
      <c r="S43" s="160"/>
      <c r="T43" s="160"/>
      <c r="U43" s="160"/>
      <c r="V43" s="160"/>
      <c r="W43" s="160"/>
      <c r="X43" s="160"/>
      <c r="Y43" s="160"/>
      <c r="Z43" s="160"/>
      <c r="AA43" s="160"/>
      <c r="AB43" s="160"/>
      <c r="AC43" s="160"/>
      <c r="AD43" s="160"/>
      <c r="AE43" s="212" t="b">
        <v>0</v>
      </c>
      <c r="AF43" s="173" t="str">
        <f t="shared" si="15"/>
        <v/>
      </c>
      <c r="AG43" s="174" t="str">
        <f t="shared" si="19"/>
        <v/>
      </c>
      <c r="AH43" s="195" t="s">
        <v>452</v>
      </c>
      <c r="AI43" s="176" t="str">
        <f ca="1">IFERROR(VLOOKUP($AH43, '(勿動)Component Label公版'!$D$1:$E$1000, 2, FALSE), "-")</f>
        <v>-</v>
      </c>
      <c r="AJ43" s="483"/>
      <c r="AK43" s="174"/>
      <c r="AL43" s="174"/>
      <c r="AM43" s="189" t="str">
        <f t="shared" ref="AM43:AM49" si="20">IFERROR(
  IF(TRIM(AK43)="", "",
    TEXT(
      DATEVALUE("2026/" &amp; LEFT(TRIM(AK43), FIND(" ", TRIM(AK43)) - 1)) +
      TIMEVALUE(MID(TRIM(AK43), FIND(" ", TRIM(AK43)) + 1, LEN(TRIM(AK43)))),
      "yyyy-mm-dd hh:mm:ss"
    )
  ),
"")</f>
        <v/>
      </c>
      <c r="AN43" s="190" t="str">
        <f t="shared" ref="AN43:AN49" si="21">IFERROR(
  IF(TRIM(AL43)="", "",
    TEXT(
      DATEVALUE("2026/" &amp; LEFT(TRIM(AL43), FIND(" ", TRIM(AL43)) - 1)) +
      TIMEVALUE(MID(TRIM(AL43), FIND(" ", TRIM(AL43)) + 1, 5)) +
      TIME(0,0,59),
      "yyyy-mm-dd hh:mm:ss"
    )
  ),
"")</f>
        <v/>
      </c>
      <c r="AO43" s="541" t="s">
        <v>511</v>
      </c>
      <c r="AP43" s="384"/>
      <c r="AQ43" s="384"/>
      <c r="AR43" s="384"/>
      <c r="AS43" s="384"/>
      <c r="AT43" s="385"/>
      <c r="AU43" s="180" t="b">
        <v>0</v>
      </c>
      <c r="AV43" s="180" t="b">
        <v>0</v>
      </c>
      <c r="AW43" s="186"/>
      <c r="AX43" s="187"/>
      <c r="AY43" s="187"/>
      <c r="AZ43" s="187"/>
      <c r="BA43" s="188"/>
      <c r="BB43" s="191" t="s">
        <v>466</v>
      </c>
      <c r="BC43" s="179" t="s">
        <v>467</v>
      </c>
      <c r="BD43" s="198" t="str">
        <f t="shared" si="7"/>
        <v>圖_ImageCollection_輪播 水平滑動(display number per row: 1)</v>
      </c>
      <c r="BE43" s="199" t="str">
        <f>IFERROR(VLOOKUP($BD43,'(勿動)組件目錄表'!$D$15:$R$1110,2,FALSE),"")</f>
        <v>I-38</v>
      </c>
      <c r="BF43" s="200">
        <f>IFERROR(VLOOKUP($BD43, '(勿動)組件目錄表'!$D$15:$R$1110, 5, FALSE),"")</f>
        <v>0.5</v>
      </c>
      <c r="BG43" s="181"/>
      <c r="BH43" s="183"/>
      <c r="BI43" s="181"/>
      <c r="BJ43" s="183"/>
    </row>
    <row r="44" spans="1:62" ht="15.75" customHeight="1">
      <c r="A44" s="160" t="str">
        <f t="array" aca="1" ref="A44:AD44" ca="1">IFERROR(TRANSPOSE(INDIRECT(L1_暖正版配!$BB44)),"")</f>
        <v>無CTA</v>
      </c>
      <c r="B44" s="160" t="str">
        <f ca="1"/>
        <v>LINK*1</v>
      </c>
      <c r="C44" s="160" t="str">
        <f ca="1"/>
        <v>LINK*2</v>
      </c>
      <c r="D44" s="160" t="str">
        <f ca="1"/>
        <v>LINK*3</v>
      </c>
      <c r="E44" s="160" t="str">
        <f ca="1"/>
        <v>LINK&gt;3</v>
      </c>
      <c r="F44" s="160" t="str">
        <f ca="1"/>
        <v>Reminder*1</v>
      </c>
      <c r="G44" s="160" t="str">
        <f ca="1"/>
        <v>Reminder*2</v>
      </c>
      <c r="H44" s="160" t="str">
        <f ca="1"/>
        <v>Reminder*3</v>
      </c>
      <c r="I44" s="160" t="str">
        <f ca="1"/>
        <v>Reminder*4</v>
      </c>
      <c r="J44" s="160" t="str">
        <f ca="1"/>
        <v>Reminder*5</v>
      </c>
      <c r="K44" s="160" t="str">
        <f ca="1"/>
        <v>Reminder&gt;5</v>
      </c>
      <c r="L44" s="160" t="str">
        <f ca="1"/>
        <v>LINK*1 + Reminder*1</v>
      </c>
      <c r="M44" s="160" t="str">
        <f ca="1"/>
        <v>LINK*1 + Reminder*2</v>
      </c>
      <c r="N44" s="160" t="str">
        <f ca="1"/>
        <v>LINK*2 + Reminder*1</v>
      </c>
      <c r="O44" s="160" t="str">
        <f ca="1"/>
        <v>Add to Cart*1</v>
      </c>
      <c r="P44" s="160" t="str">
        <f ca="1"/>
        <v>Add to Cart*2</v>
      </c>
      <c r="Q44" s="160" t="str">
        <f ca="1"/>
        <v>Add to Cart*3</v>
      </c>
      <c r="R44" s="160" t="str">
        <f ca="1"/>
        <v>(Reminder+ATC) *1</v>
      </c>
      <c r="S44" s="160" t="str">
        <f ca="1"/>
        <v>(Reminder+ATC) *2</v>
      </c>
      <c r="T44" s="160" t="str">
        <f ca="1"/>
        <v>(Reminder+ATC) *3</v>
      </c>
      <c r="U44" s="160" t="str">
        <f ca="1"/>
        <v>Popup*1</v>
      </c>
      <c r="V44" s="160" t="str">
        <f ca="1"/>
        <v>Popup*2</v>
      </c>
      <c r="W44" s="160" t="str">
        <f ca="1"/>
        <v>Popup*3</v>
      </c>
      <c r="X44" s="160" t="str">
        <f ca="1"/>
        <v>Copy*1</v>
      </c>
      <c r="Y44" s="160" t="str">
        <f ca="1"/>
        <v>Copy*2</v>
      </c>
      <c r="Z44" s="160" t="str">
        <f ca="1"/>
        <v>Copy*3</v>
      </c>
      <c r="AA44" s="160" t="str">
        <f ca="1"/>
        <v>Share*1</v>
      </c>
      <c r="AB44" s="160" t="str">
        <f ca="1"/>
        <v>Share*2</v>
      </c>
      <c r="AC44" s="160" t="str">
        <f ca="1"/>
        <v>Share*3</v>
      </c>
      <c r="AD44" s="160" t="str">
        <f ca="1"/>
        <v>Placeholders</v>
      </c>
      <c r="AE44" s="213" t="b">
        <v>0</v>
      </c>
      <c r="AF44" s="204" t="str">
        <f t="shared" si="15"/>
        <v/>
      </c>
      <c r="AG44" s="203" t="str">
        <f t="shared" si="19"/>
        <v/>
      </c>
      <c r="AH44" s="195" t="s">
        <v>452</v>
      </c>
      <c r="AI44" s="176" t="str">
        <f ca="1">IFERROR(VLOOKUP($AH44, '(勿動)Component Label公版'!$D$1:$E$1000, 2, FALSE), "-")</f>
        <v>-</v>
      </c>
      <c r="AJ44" s="562"/>
      <c r="AK44" s="203"/>
      <c r="AL44" s="203"/>
      <c r="AM44" s="203" t="str">
        <f t="shared" si="20"/>
        <v/>
      </c>
      <c r="AN44" s="204" t="str">
        <f t="shared" si="21"/>
        <v/>
      </c>
      <c r="AO44" s="569" t="s">
        <v>268</v>
      </c>
      <c r="AP44" s="384"/>
      <c r="AQ44" s="384"/>
      <c r="AR44" s="384"/>
      <c r="AS44" s="384"/>
      <c r="AT44" s="385"/>
      <c r="AU44" s="179" t="b">
        <v>1</v>
      </c>
      <c r="AV44" s="180" t="b">
        <v>0</v>
      </c>
      <c r="AW44" s="186"/>
      <c r="AX44" s="187"/>
      <c r="AY44" s="187"/>
      <c r="AZ44" s="187"/>
      <c r="BA44" s="188"/>
      <c r="BB44" s="191" t="s">
        <v>147</v>
      </c>
      <c r="BC44" s="179" t="s">
        <v>154</v>
      </c>
      <c r="BD44" s="198" t="str">
        <f t="shared" si="7"/>
        <v>圖_MSBN_無CTA</v>
      </c>
      <c r="BE44" s="190" t="str">
        <f>IFERROR(VLOOKUP($BD44,'(勿動)組件目錄表'!$D$15:$R$1110,2,FALSE),"")</f>
        <v>I-1</v>
      </c>
      <c r="BF44" s="205">
        <f>IFERROR(VLOOKUP($BD44, '(勿動)組件目錄表'!$D$15:$R$1110, 5, FALSE),"")</f>
        <v>0.5</v>
      </c>
      <c r="BG44" s="214" t="s">
        <v>500</v>
      </c>
      <c r="BH44" s="120"/>
      <c r="BI44" s="118"/>
      <c r="BJ44" s="183"/>
    </row>
    <row r="45" spans="1:62" ht="31.5" hidden="1" customHeight="1">
      <c r="A45" s="160" t="str">
        <f t="array" aca="1" ref="A45:D45" ca="1">IFERROR(TRANSPOSE(INDIRECT(L1_暖正版配!$BB45)),"")</f>
        <v>置中</v>
      </c>
      <c r="B45" s="160" t="str">
        <f ca="1"/>
        <v>置中 + Display See All</v>
      </c>
      <c r="C45" s="160" t="str">
        <f ca="1"/>
        <v>置左</v>
      </c>
      <c r="D45" s="160" t="str">
        <f ca="1"/>
        <v>置左 + Display See All</v>
      </c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72" t="b">
        <v>1</v>
      </c>
      <c r="AF45" s="173" t="s">
        <v>417</v>
      </c>
      <c r="AG45" s="174" t="s">
        <v>512</v>
      </c>
      <c r="AH45" s="195" t="s">
        <v>513</v>
      </c>
      <c r="AI45" s="176" t="str">
        <f ca="1">IFERROR(VLOOKUP($AH45, '(勿動)Component Label公版'!$D$1:$E$1000, 2, FALSE), "-")</f>
        <v>-</v>
      </c>
      <c r="AJ45" s="203"/>
      <c r="AK45" s="216" t="s">
        <v>434</v>
      </c>
      <c r="AL45" s="216" t="s">
        <v>514</v>
      </c>
      <c r="AM45" s="203" t="str">
        <f t="shared" si="20"/>
        <v/>
      </c>
      <c r="AN45" s="209" t="str">
        <f t="shared" si="21"/>
        <v>2026-04-05 23:59:59</v>
      </c>
      <c r="AO45" s="627" t="s">
        <v>515</v>
      </c>
      <c r="AP45" s="384"/>
      <c r="AQ45" s="384"/>
      <c r="AR45" s="384"/>
      <c r="AS45" s="384"/>
      <c r="AT45" s="385"/>
      <c r="AU45" s="180" t="b">
        <v>0</v>
      </c>
      <c r="AV45" s="180" t="b">
        <v>0</v>
      </c>
      <c r="AW45" s="186"/>
      <c r="AX45" s="187"/>
      <c r="AY45" s="187"/>
      <c r="AZ45" s="187"/>
      <c r="BA45" s="188"/>
      <c r="BB45" s="191" t="s">
        <v>159</v>
      </c>
      <c r="BC45" s="179" t="s">
        <v>157</v>
      </c>
      <c r="BD45" s="198" t="str">
        <f t="shared" si="7"/>
        <v>標題_置左</v>
      </c>
      <c r="BE45" s="190" t="str">
        <f>IFERROR(VLOOKUP($BD45,'(勿動)組件目錄表'!$D$15:$R$1110,2,FALSE),"")</f>
        <v>D-3</v>
      </c>
      <c r="BF45" s="205">
        <f>IFERROR(VLOOKUP($BD45, '(勿動)組件目錄表'!$D$15:$R$1110, 5, FALSE),"")</f>
        <v>0.5</v>
      </c>
      <c r="BG45" s="118"/>
      <c r="BH45" s="120"/>
      <c r="BI45" s="118"/>
      <c r="BJ45" s="183"/>
    </row>
    <row r="46" spans="1:62" ht="31.5" hidden="1" customHeight="1">
      <c r="A46" s="160" t="str">
        <f t="array" aca="1" ref="A46:I46" ca="1">IFERROR(TRANSPOSE(INDIRECT(L1_暖正版配!$BB46)),"")</f>
        <v>一排1張(單張/多張)(無一鍵領取)</v>
      </c>
      <c r="B46" s="160" t="str">
        <f ca="1"/>
        <v>一排1張 + Reminder(單張/多張)(無一鍵領取)</v>
      </c>
      <c r="C46" s="160" t="str">
        <f ca="1"/>
        <v>一排1張 + 一鍵領取(多張)</v>
      </c>
      <c r="D46" s="160" t="str">
        <f ca="1"/>
        <v>【僅供MKT Campaign使用】PC：一排兩張；APP：一排1張 + 一鍵領取(多張)</v>
      </c>
      <c r="E46" s="160" t="str">
        <f ca="1"/>
        <v>【僅供MKT Campaign使用】PC：一排兩張；APP：一排1張 + 一鍵領取(多張) + Reminder</v>
      </c>
      <c r="F46" s="160" t="str">
        <f ca="1"/>
        <v>【僅供MKT Campaign使用】PC：一排兩張；APP：一排1張 + 一鍵領取(多張) + Reminder + 查看全部(系統預設加上「優惠券」文案)</v>
      </c>
      <c r="G46" s="160" t="str">
        <f ca="1"/>
        <v>一排2張(單張/多張)(無一鍵領取)</v>
      </c>
      <c r="H46" s="160" t="str">
        <f ca="1"/>
        <v>一排2張 + Reminder(單張/多張)(無一鍵領取)</v>
      </c>
      <c r="I46" s="160" t="str">
        <f ca="1"/>
        <v>一排2張 + 一鍵領取(多張)</v>
      </c>
      <c r="J46" s="160"/>
      <c r="K46" s="160"/>
      <c r="L46" s="160"/>
      <c r="M46" s="160"/>
      <c r="N46" s="160"/>
      <c r="O46" s="160"/>
      <c r="P46" s="160"/>
      <c r="Q46" s="160"/>
      <c r="R46" s="160"/>
      <c r="S46" s="160"/>
      <c r="T46" s="160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208" t="b">
        <v>0</v>
      </c>
      <c r="AF46" s="204" t="str">
        <f>IF(AE46=TRUE,"若有勾選則必填，隱藏錨點請填寫&lt;設隱形錨點&gt;","")</f>
        <v/>
      </c>
      <c r="AG46" s="203" t="str">
        <f>IF(AF46="設隱形錨點","",IF(AE46=FALSE,"",IF(AE46=TRUE, SUBSTITUTE($AI46, "_", ""))))</f>
        <v/>
      </c>
      <c r="AH46" s="195" t="s">
        <v>513</v>
      </c>
      <c r="AI46" s="176" t="str">
        <f ca="1">IFERROR(VLOOKUP($AH46, '(勿動)Component Label公版'!$D$1:$E$1000, 2, FALSE), "-")</f>
        <v>-</v>
      </c>
      <c r="AJ46" s="203"/>
      <c r="AK46" s="216" t="s">
        <v>434</v>
      </c>
      <c r="AL46" s="216" t="s">
        <v>514</v>
      </c>
      <c r="AM46" s="203" t="str">
        <f t="shared" si="20"/>
        <v/>
      </c>
      <c r="AN46" s="209" t="str">
        <f t="shared" si="21"/>
        <v>2026-04-05 23:59:59</v>
      </c>
      <c r="AO46" s="628" t="s">
        <v>516</v>
      </c>
      <c r="AP46" s="384"/>
      <c r="AQ46" s="384"/>
      <c r="AR46" s="384"/>
      <c r="AS46" s="384"/>
      <c r="AT46" s="385"/>
      <c r="AU46" s="180" t="b">
        <v>0</v>
      </c>
      <c r="AV46" s="180" t="b">
        <v>0</v>
      </c>
      <c r="AW46" s="186"/>
      <c r="AX46" s="187"/>
      <c r="AY46" s="187"/>
      <c r="AZ46" s="187"/>
      <c r="BA46" s="188"/>
      <c r="BB46" s="191" t="s">
        <v>182</v>
      </c>
      <c r="BC46" s="179" t="s">
        <v>175</v>
      </c>
      <c r="BD46" s="198" t="str">
        <f t="shared" si="7"/>
        <v>優惠券_真券_一排1張 + 一鍵領取(多張)</v>
      </c>
      <c r="BE46" s="190" t="str">
        <f>IFERROR(VLOOKUP($BD46,'(勿動)組件目錄表'!$D$15:$R$1110,2,FALSE),"")</f>
        <v>F-3</v>
      </c>
      <c r="BF46" s="205">
        <f>IFERROR(VLOOKUP($BD46, '(勿動)組件目錄表'!$D$15:$R$1110, 5, FALSE),"")</f>
        <v>0.5</v>
      </c>
      <c r="BG46" s="118"/>
      <c r="BH46" s="120"/>
      <c r="BI46" s="118"/>
      <c r="BJ46" s="183"/>
    </row>
    <row r="47" spans="1:62" ht="31.5" customHeight="1">
      <c r="A47" s="160" t="str">
        <f t="array" aca="1" ref="A47:D47" ca="1">IFERROR(TRANSPOSE(INDIRECT(L1_暖正版配!$BB47)),"")</f>
        <v>置中</v>
      </c>
      <c r="B47" s="160" t="str">
        <f ca="1"/>
        <v>置中 + Display See All</v>
      </c>
      <c r="C47" s="160" t="str">
        <f ca="1"/>
        <v>置左</v>
      </c>
      <c r="D47" s="160" t="str">
        <f ca="1"/>
        <v>置左 + Display See All</v>
      </c>
      <c r="E47" s="160"/>
      <c r="F47" s="160"/>
      <c r="G47" s="160"/>
      <c r="H47" s="160"/>
      <c r="I47" s="160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  <c r="U47" s="160"/>
      <c r="V47" s="160"/>
      <c r="W47" s="160"/>
      <c r="X47" s="160"/>
      <c r="Y47" s="160"/>
      <c r="Z47" s="160"/>
      <c r="AA47" s="160"/>
      <c r="AB47" s="160"/>
      <c r="AC47" s="160"/>
      <c r="AD47" s="160"/>
      <c r="AE47" s="172" t="b">
        <v>1</v>
      </c>
      <c r="AF47" s="173" t="s">
        <v>418</v>
      </c>
      <c r="AG47" s="174" t="s">
        <v>517</v>
      </c>
      <c r="AH47" s="195" t="s">
        <v>513</v>
      </c>
      <c r="AI47" s="176" t="str">
        <f ca="1">IFERROR(VLOOKUP($AH47, '(勿動)Component Label公版'!$D$1:$E$1000, 2, FALSE), "-")</f>
        <v>-</v>
      </c>
      <c r="AJ47" s="177"/>
      <c r="AK47" s="202"/>
      <c r="AL47" s="202"/>
      <c r="AM47" s="189" t="str">
        <f t="shared" si="20"/>
        <v/>
      </c>
      <c r="AN47" s="190" t="str">
        <f t="shared" si="21"/>
        <v/>
      </c>
      <c r="AO47" s="629" t="s">
        <v>518</v>
      </c>
      <c r="AP47" s="447"/>
      <c r="AQ47" s="447"/>
      <c r="AR47" s="447"/>
      <c r="AS47" s="447"/>
      <c r="AT47" s="490"/>
      <c r="AU47" s="180" t="b">
        <v>0</v>
      </c>
      <c r="AV47" s="180" t="b">
        <v>0</v>
      </c>
      <c r="AW47" s="186"/>
      <c r="AX47" s="187"/>
      <c r="AY47" s="187"/>
      <c r="AZ47" s="187"/>
      <c r="BA47" s="188"/>
      <c r="BB47" s="191" t="s">
        <v>159</v>
      </c>
      <c r="BC47" s="179" t="s">
        <v>157</v>
      </c>
      <c r="BD47" s="198" t="str">
        <f t="shared" si="7"/>
        <v>標題_置左</v>
      </c>
      <c r="BE47" s="199" t="str">
        <f>IFERROR(VLOOKUP($BD47,'(勿動)組件目錄表'!$D$15:$R$1110,2,FALSE),"")</f>
        <v>D-3</v>
      </c>
      <c r="BF47" s="200">
        <f>IFERROR(VLOOKUP($BD47, '(勿動)組件目錄表'!$D$15:$R$1110, 5, FALSE),"")</f>
        <v>0.5</v>
      </c>
      <c r="BG47" s="181"/>
      <c r="BH47" s="183"/>
      <c r="BI47" s="181"/>
      <c r="BJ47" s="183"/>
    </row>
    <row r="48" spans="1:62" ht="20.25" customHeight="1">
      <c r="A48" s="160" t="str">
        <f t="array" aca="1" ref="A48:I48" ca="1">IFERROR(TRANSPOSE(INDIRECT(L1_暖正版配!$BB48)),"")</f>
        <v>一排1張(單張/多張)(無一鍵領取)</v>
      </c>
      <c r="B48" s="160" t="str">
        <f ca="1"/>
        <v>一排1張 + Reminder(單張/多張)(無一鍵領取)</v>
      </c>
      <c r="C48" s="160" t="str">
        <f ca="1"/>
        <v>一排1張 + 一鍵領取(多張)</v>
      </c>
      <c r="D48" s="160" t="str">
        <f ca="1"/>
        <v>【僅供MKT Campaign使用】PC：一排兩張；APP：一排1張 + 一鍵領取(多張)</v>
      </c>
      <c r="E48" s="160" t="str">
        <f ca="1"/>
        <v>【僅供MKT Campaign使用】PC：一排兩張；APP：一排1張 + 一鍵領取(多張) + Reminder</v>
      </c>
      <c r="F48" s="160" t="str">
        <f ca="1"/>
        <v>【僅供MKT Campaign使用】PC：一排兩張；APP：一排1張 + 一鍵領取(多張) + Reminder + 查看全部(系統預設加上「優惠券」文案)</v>
      </c>
      <c r="G48" s="160" t="str">
        <f ca="1"/>
        <v>一排2張(單張/多張)(無一鍵領取)</v>
      </c>
      <c r="H48" s="160" t="str">
        <f ca="1"/>
        <v>一排2張 + Reminder(單張/多張)(無一鍵領取)</v>
      </c>
      <c r="I48" s="160" t="str">
        <f ca="1"/>
        <v>一排2張 + 一鍵領取(多張)</v>
      </c>
      <c r="J48" s="160"/>
      <c r="K48" s="160"/>
      <c r="L48" s="160"/>
      <c r="M48" s="160"/>
      <c r="N48" s="160"/>
      <c r="O48" s="160"/>
      <c r="P48" s="160"/>
      <c r="Q48" s="160"/>
      <c r="R48" s="160"/>
      <c r="S48" s="160"/>
      <c r="T48" s="160"/>
      <c r="U48" s="160"/>
      <c r="V48" s="160"/>
      <c r="W48" s="160"/>
      <c r="X48" s="160"/>
      <c r="Y48" s="160"/>
      <c r="Z48" s="160"/>
      <c r="AA48" s="160"/>
      <c r="AB48" s="160"/>
      <c r="AC48" s="160"/>
      <c r="AD48" s="160"/>
      <c r="AE48" s="212" t="b">
        <v>0</v>
      </c>
      <c r="AF48" s="173" t="str">
        <f t="shared" ref="AF48:AF49" si="22">IF(AE48=TRUE,"若有勾選則必填，隱藏錨點請填寫&lt;設隱形錨點&gt;","")</f>
        <v/>
      </c>
      <c r="AG48" s="174" t="str">
        <f t="shared" ref="AG48:AG49" si="23">IF(AF48="設隱形錨點","",IF(AE48=FALSE,"",IF(AE48=TRUE, SUBSTITUTE($AI48, "_", ""))))</f>
        <v/>
      </c>
      <c r="AH48" s="195" t="s">
        <v>513</v>
      </c>
      <c r="AI48" s="176" t="str">
        <f ca="1">IFERROR(VLOOKUP($AH48, '(勿動)Component Label公版'!$D$1:$E$1000, 2, FALSE), "-")</f>
        <v>-</v>
      </c>
      <c r="AJ48" s="581" t="s">
        <v>519</v>
      </c>
      <c r="AK48" s="174"/>
      <c r="AL48" s="174"/>
      <c r="AM48" s="189" t="str">
        <f t="shared" si="20"/>
        <v/>
      </c>
      <c r="AN48" s="217" t="str">
        <f t="shared" si="21"/>
        <v/>
      </c>
      <c r="AO48" s="218" t="s">
        <v>520</v>
      </c>
      <c r="AP48" s="219" t="s">
        <v>521</v>
      </c>
      <c r="AQ48" s="220" t="s">
        <v>423</v>
      </c>
      <c r="AR48" s="220" t="s">
        <v>522</v>
      </c>
      <c r="AS48" s="220" t="s">
        <v>427</v>
      </c>
      <c r="AT48" s="221" t="s">
        <v>523</v>
      </c>
      <c r="AU48" s="222" t="b">
        <v>0</v>
      </c>
      <c r="AV48" s="180" t="b">
        <v>0</v>
      </c>
      <c r="AW48" s="186"/>
      <c r="AX48" s="187"/>
      <c r="AY48" s="187"/>
      <c r="AZ48" s="187"/>
      <c r="BA48" s="188"/>
      <c r="BB48" s="191" t="s">
        <v>182</v>
      </c>
      <c r="BC48" s="179" t="s">
        <v>181</v>
      </c>
      <c r="BD48" s="198" t="str">
        <f t="shared" si="7"/>
        <v>優惠券_真券_一排2張 + 一鍵領取(多張)</v>
      </c>
      <c r="BE48" s="199" t="str">
        <f>IFERROR(VLOOKUP($BD48,'(勿動)組件目錄表'!$D$15:$R$1110,2,FALSE),"")</f>
        <v>F-11</v>
      </c>
      <c r="BF48" s="200">
        <f>IFERROR(VLOOKUP($BD48, '(勿動)組件目錄表'!$D$15:$R$1110, 5, FALSE),"")</f>
        <v>1</v>
      </c>
      <c r="BG48" s="181"/>
      <c r="BH48" s="183"/>
      <c r="BI48" s="590" t="s">
        <v>524</v>
      </c>
      <c r="BJ48" s="183"/>
    </row>
    <row r="49" spans="1:62" ht="15.75" customHeight="1">
      <c r="A49" s="160" t="str">
        <f t="array" aca="1" ref="A49:I49" ca="1">IFERROR(TRANSPOSE(INDIRECT(L1_暖正版配!$BB49)),"")</f>
        <v>一排1張(單張/多張)(無一鍵領取)</v>
      </c>
      <c r="B49" s="160" t="str">
        <f ca="1"/>
        <v>一排1張 + Reminder(單張/多張)(無一鍵領取)</v>
      </c>
      <c r="C49" s="160" t="str">
        <f ca="1"/>
        <v>一排1張 + 一鍵領取(多張)</v>
      </c>
      <c r="D49" s="160" t="str">
        <f ca="1"/>
        <v>【僅供MKT Campaign使用】PC：一排兩張；APP：一排1張 + 一鍵領取(多張)</v>
      </c>
      <c r="E49" s="160" t="str">
        <f ca="1"/>
        <v>【僅供MKT Campaign使用】PC：一排兩張；APP：一排1張 + 一鍵領取(多張) + Reminder</v>
      </c>
      <c r="F49" s="160" t="str">
        <f ca="1"/>
        <v>【僅供MKT Campaign使用】PC：一排兩張；APP：一排1張 + 一鍵領取(多張) + Reminder + 查看全部(系統預設加上「優惠券」文案)</v>
      </c>
      <c r="G49" s="160" t="str">
        <f ca="1"/>
        <v>一排2張(單張/多張)(無一鍵領取)</v>
      </c>
      <c r="H49" s="160" t="str">
        <f ca="1"/>
        <v>一排2張 + Reminder(單張/多張)(無一鍵領取)</v>
      </c>
      <c r="I49" s="160" t="str">
        <f ca="1"/>
        <v>一排2張 + 一鍵領取(多張)</v>
      </c>
      <c r="J49" s="160"/>
      <c r="K49" s="160"/>
      <c r="L49" s="160"/>
      <c r="M49" s="160"/>
      <c r="N49" s="160"/>
      <c r="O49" s="160"/>
      <c r="P49" s="160"/>
      <c r="Q49" s="160"/>
      <c r="R49" s="160"/>
      <c r="S49" s="160"/>
      <c r="T49" s="160"/>
      <c r="U49" s="160"/>
      <c r="V49" s="160"/>
      <c r="W49" s="160"/>
      <c r="X49" s="160"/>
      <c r="Y49" s="160"/>
      <c r="Z49" s="160"/>
      <c r="AA49" s="160"/>
      <c r="AB49" s="160"/>
      <c r="AC49" s="160"/>
      <c r="AD49" s="160"/>
      <c r="AE49" s="212" t="b">
        <v>0</v>
      </c>
      <c r="AF49" s="173" t="str">
        <f t="shared" si="22"/>
        <v/>
      </c>
      <c r="AG49" s="174" t="str">
        <f t="shared" si="23"/>
        <v/>
      </c>
      <c r="AH49" s="195" t="s">
        <v>513</v>
      </c>
      <c r="AI49" s="176" t="str">
        <f ca="1">IFERROR(VLOOKUP($AH49, '(勿動)Component Label公版'!$D$1:$E$1000, 2, FALSE), "-")</f>
        <v>-</v>
      </c>
      <c r="AJ49" s="483"/>
      <c r="AK49" s="174"/>
      <c r="AL49" s="174"/>
      <c r="AM49" s="189" t="str">
        <f t="shared" si="20"/>
        <v/>
      </c>
      <c r="AN49" s="217" t="str">
        <f t="shared" si="21"/>
        <v/>
      </c>
      <c r="AO49" s="223" t="s">
        <v>525</v>
      </c>
      <c r="AP49" s="224" t="s">
        <v>526</v>
      </c>
      <c r="AQ49" s="224" t="s">
        <v>527</v>
      </c>
      <c r="AR49" s="173" t="s">
        <v>528</v>
      </c>
      <c r="AS49" s="224" t="s">
        <v>529</v>
      </c>
      <c r="AT49" s="225" t="s">
        <v>530</v>
      </c>
      <c r="AU49" s="222" t="b">
        <v>0</v>
      </c>
      <c r="AV49" s="180" t="b">
        <v>0</v>
      </c>
      <c r="AW49" s="186"/>
      <c r="AX49" s="187"/>
      <c r="AY49" s="187"/>
      <c r="AZ49" s="187"/>
      <c r="BA49" s="188"/>
      <c r="BB49" s="191" t="s">
        <v>182</v>
      </c>
      <c r="BC49" s="179" t="s">
        <v>181</v>
      </c>
      <c r="BD49" s="198" t="str">
        <f t="shared" si="7"/>
        <v>優惠券_真券_一排2張 + 一鍵領取(多張)</v>
      </c>
      <c r="BE49" s="199" t="str">
        <f>IFERROR(VLOOKUP($BD49,'(勿動)組件目錄表'!$D$15:$R$1110,2,FALSE),"")</f>
        <v>F-11</v>
      </c>
      <c r="BF49" s="200">
        <f>IFERROR(VLOOKUP($BD49, '(勿動)組件目錄表'!$D$15:$R$1110, 5, FALSE),"")</f>
        <v>1</v>
      </c>
      <c r="BG49" s="181"/>
      <c r="BH49" s="183"/>
      <c r="BI49" s="591"/>
      <c r="BJ49" s="183"/>
    </row>
    <row r="50" spans="1:62" ht="20.25" customHeight="1">
      <c r="A50" s="160" t="str">
        <f t="array" aca="1" ref="A50:I50" ca="1">IFERROR(TRANSPOSE(INDIRECT(L1_暖正版配!$BB50)),"")</f>
        <v>一排1張(單張/多張)(無一鍵領取)</v>
      </c>
      <c r="B50" s="160" t="str">
        <f ca="1"/>
        <v>一排1張 + Reminder(單張/多張)(無一鍵領取)</v>
      </c>
      <c r="C50" s="160" t="str">
        <f ca="1"/>
        <v>一排1張 + 一鍵領取(多張)</v>
      </c>
      <c r="D50" s="160" t="str">
        <f ca="1"/>
        <v>【僅供MKT Campaign使用】PC：一排兩張；APP：一排1張 + 一鍵領取(多張)</v>
      </c>
      <c r="E50" s="160" t="str">
        <f ca="1"/>
        <v>【僅供MKT Campaign使用】PC：一排兩張；APP：一排1張 + 一鍵領取(多張) + Reminder</v>
      </c>
      <c r="F50" s="160" t="str">
        <f ca="1"/>
        <v>【僅供MKT Campaign使用】PC：一排兩張；APP：一排1張 + 一鍵領取(多張) + Reminder + 查看全部(系統預設加上「優惠券」文案)</v>
      </c>
      <c r="G50" s="160" t="str">
        <f ca="1"/>
        <v>一排2張(單張/多張)(無一鍵領取)</v>
      </c>
      <c r="H50" s="160" t="str">
        <f ca="1"/>
        <v>一排2張 + Reminder(單張/多張)(無一鍵領取)</v>
      </c>
      <c r="I50" s="160" t="str">
        <f ca="1"/>
        <v>一排2張 + 一鍵領取(多張)</v>
      </c>
      <c r="J50" s="160"/>
      <c r="K50" s="160"/>
      <c r="L50" s="160"/>
      <c r="M50" s="160"/>
      <c r="N50" s="160"/>
      <c r="O50" s="160"/>
      <c r="P50" s="160"/>
      <c r="Q50" s="160"/>
      <c r="R50" s="160"/>
      <c r="S50" s="160"/>
      <c r="T50" s="160"/>
      <c r="U50" s="160"/>
      <c r="V50" s="160"/>
      <c r="W50" s="160"/>
      <c r="X50" s="160"/>
      <c r="Y50" s="160"/>
      <c r="Z50" s="160"/>
      <c r="AA50" s="160"/>
      <c r="AB50" s="160"/>
      <c r="AC50" s="160"/>
      <c r="AD50" s="160"/>
      <c r="AE50" s="226" t="b">
        <v>0</v>
      </c>
      <c r="AF50" s="173"/>
      <c r="AG50" s="174"/>
      <c r="AH50" s="195" t="s">
        <v>513</v>
      </c>
      <c r="AI50" s="176" t="str">
        <f ca="1">IFERROR(VLOOKUP($AH50, '(勿動)Component Label公版'!$D$1:$E$1000, 2, FALSE), "-")</f>
        <v>-</v>
      </c>
      <c r="AJ50" s="483"/>
      <c r="AK50" s="174"/>
      <c r="AL50" s="174"/>
      <c r="AM50" s="189"/>
      <c r="AN50" s="217"/>
      <c r="AO50" s="223" t="s">
        <v>531</v>
      </c>
      <c r="AP50" s="224" t="s">
        <v>532</v>
      </c>
      <c r="AQ50" s="173" t="s">
        <v>533</v>
      </c>
      <c r="AR50" s="173" t="s">
        <v>534</v>
      </c>
      <c r="AS50" s="619" t="s">
        <v>535</v>
      </c>
      <c r="AT50" s="620"/>
      <c r="AU50" s="222" t="b">
        <v>0</v>
      </c>
      <c r="AV50" s="180" t="b">
        <v>0</v>
      </c>
      <c r="AW50" s="186"/>
      <c r="AX50" s="187"/>
      <c r="AY50" s="187"/>
      <c r="AZ50" s="187"/>
      <c r="BA50" s="188"/>
      <c r="BB50" s="191" t="s">
        <v>182</v>
      </c>
      <c r="BC50" s="179" t="s">
        <v>181</v>
      </c>
      <c r="BD50" s="198"/>
      <c r="BE50" s="199"/>
      <c r="BF50" s="200"/>
      <c r="BG50" s="181"/>
      <c r="BH50" s="183"/>
      <c r="BI50" s="591"/>
      <c r="BJ50" s="589"/>
    </row>
    <row r="51" spans="1:62" ht="15.75" customHeight="1">
      <c r="A51" s="160" t="str">
        <f t="array" aca="1" ref="A51:I51" ca="1">IFERROR(TRANSPOSE(INDIRECT(L1_暖正版配!$BB51)),"")</f>
        <v>一排1張(單張/多張)(無一鍵領取)</v>
      </c>
      <c r="B51" s="160" t="str">
        <f ca="1"/>
        <v>一排1張 + Reminder(單張/多張)(無一鍵領取)</v>
      </c>
      <c r="C51" s="160" t="str">
        <f ca="1"/>
        <v>一排1張 + 一鍵領取(多張)</v>
      </c>
      <c r="D51" s="160" t="str">
        <f ca="1"/>
        <v>【僅供MKT Campaign使用】PC：一排兩張；APP：一排1張 + 一鍵領取(多張)</v>
      </c>
      <c r="E51" s="160" t="str">
        <f ca="1"/>
        <v>【僅供MKT Campaign使用】PC：一排兩張；APP：一排1張 + 一鍵領取(多張) + Reminder</v>
      </c>
      <c r="F51" s="160" t="str">
        <f ca="1"/>
        <v>【僅供MKT Campaign使用】PC：一排兩張；APP：一排1張 + 一鍵領取(多張) + Reminder + 查看全部(系統預設加上「優惠券」文案)</v>
      </c>
      <c r="G51" s="160" t="str">
        <f ca="1"/>
        <v>一排2張(單張/多張)(無一鍵領取)</v>
      </c>
      <c r="H51" s="160" t="str">
        <f ca="1"/>
        <v>一排2張 + Reminder(單張/多張)(無一鍵領取)</v>
      </c>
      <c r="I51" s="160" t="str">
        <f ca="1"/>
        <v>一排2張 + 一鍵領取(多張)</v>
      </c>
      <c r="J51" s="160"/>
      <c r="K51" s="160"/>
      <c r="L51" s="160"/>
      <c r="M51" s="160"/>
      <c r="N51" s="160"/>
      <c r="O51" s="160"/>
      <c r="P51" s="160"/>
      <c r="Q51" s="160"/>
      <c r="R51" s="160"/>
      <c r="S51" s="160"/>
      <c r="T51" s="160"/>
      <c r="U51" s="160"/>
      <c r="V51" s="160"/>
      <c r="W51" s="160"/>
      <c r="X51" s="160"/>
      <c r="Y51" s="160"/>
      <c r="Z51" s="160"/>
      <c r="AA51" s="160"/>
      <c r="AB51" s="160"/>
      <c r="AC51" s="160"/>
      <c r="AD51" s="160"/>
      <c r="AE51" s="226" t="b">
        <v>0</v>
      </c>
      <c r="AF51" s="173"/>
      <c r="AG51" s="174"/>
      <c r="AH51" s="195" t="s">
        <v>513</v>
      </c>
      <c r="AI51" s="176" t="str">
        <f ca="1">IFERROR(VLOOKUP($AH51, '(勿動)Component Label公版'!$D$1:$E$1000, 2, FALSE), "-")</f>
        <v>-</v>
      </c>
      <c r="AJ51" s="379"/>
      <c r="AK51" s="174"/>
      <c r="AL51" s="174"/>
      <c r="AM51" s="189"/>
      <c r="AN51" s="217"/>
      <c r="AO51" s="227" t="s">
        <v>536</v>
      </c>
      <c r="AP51" s="228" t="s">
        <v>537</v>
      </c>
      <c r="AQ51" s="229" t="s">
        <v>538</v>
      </c>
      <c r="AR51" s="229" t="s">
        <v>539</v>
      </c>
      <c r="AS51" s="621"/>
      <c r="AT51" s="622"/>
      <c r="AU51" s="222" t="b">
        <v>0</v>
      </c>
      <c r="AV51" s="180" t="b">
        <v>0</v>
      </c>
      <c r="AW51" s="186"/>
      <c r="AX51" s="187"/>
      <c r="AY51" s="187"/>
      <c r="AZ51" s="187"/>
      <c r="BA51" s="188"/>
      <c r="BB51" s="191" t="s">
        <v>182</v>
      </c>
      <c r="BC51" s="179" t="s">
        <v>181</v>
      </c>
      <c r="BD51" s="198"/>
      <c r="BE51" s="199"/>
      <c r="BF51" s="200"/>
      <c r="BG51" s="181"/>
      <c r="BH51" s="183"/>
      <c r="BI51" s="587"/>
      <c r="BJ51" s="584"/>
    </row>
    <row r="52" spans="1:62" ht="20.25" customHeight="1">
      <c r="A52" s="160" t="str">
        <f t="array" aca="1" ref="A52:I52" ca="1">IFERROR(TRANSPOSE(INDIRECT(L1_暖正版配!$BB52)),"")</f>
        <v>一排1張(單張/多張)(無一鍵領取)</v>
      </c>
      <c r="B52" s="160" t="str">
        <f ca="1"/>
        <v>一排1張 + Reminder(單張/多張)(無一鍵領取)</v>
      </c>
      <c r="C52" s="160" t="str">
        <f ca="1"/>
        <v>一排1張 + 一鍵領取(多張)</v>
      </c>
      <c r="D52" s="160" t="str">
        <f ca="1"/>
        <v>【僅供MKT Campaign使用】PC：一排兩張；APP：一排1張 + 一鍵領取(多張)</v>
      </c>
      <c r="E52" s="160" t="str">
        <f ca="1"/>
        <v>【僅供MKT Campaign使用】PC：一排兩張；APP：一排1張 + 一鍵領取(多張) + Reminder</v>
      </c>
      <c r="F52" s="160" t="str">
        <f ca="1"/>
        <v>【僅供MKT Campaign使用】PC：一排兩張；APP：一排1張 + 一鍵領取(多張) + Reminder + 查看全部(系統預設加上「優惠券」文案)</v>
      </c>
      <c r="G52" s="160" t="str">
        <f ca="1"/>
        <v>一排2張(單張/多張)(無一鍵領取)</v>
      </c>
      <c r="H52" s="160" t="str">
        <f ca="1"/>
        <v>一排2張 + Reminder(單張/多張)(無一鍵領取)</v>
      </c>
      <c r="I52" s="160" t="str">
        <f ca="1"/>
        <v>一排2張 + 一鍵領取(多張)</v>
      </c>
      <c r="J52" s="160"/>
      <c r="K52" s="160"/>
      <c r="L52" s="160"/>
      <c r="M52" s="160"/>
      <c r="N52" s="160"/>
      <c r="O52" s="160"/>
      <c r="P52" s="160"/>
      <c r="Q52" s="160"/>
      <c r="R52" s="160"/>
      <c r="S52" s="160"/>
      <c r="T52" s="160"/>
      <c r="U52" s="160"/>
      <c r="V52" s="160"/>
      <c r="W52" s="160"/>
      <c r="X52" s="160"/>
      <c r="Y52" s="160"/>
      <c r="Z52" s="160"/>
      <c r="AA52" s="160"/>
      <c r="AB52" s="160"/>
      <c r="AC52" s="160"/>
      <c r="AD52" s="160"/>
      <c r="AE52" s="226" t="b">
        <v>0</v>
      </c>
      <c r="AF52" s="173"/>
      <c r="AG52" s="174"/>
      <c r="AH52" s="195" t="s">
        <v>513</v>
      </c>
      <c r="AI52" s="176" t="str">
        <f ca="1">IFERROR(VLOOKUP($AH52, '(勿動)Component Label公版'!$D$1:$E$1000, 2, FALSE), "-")</f>
        <v>-</v>
      </c>
      <c r="AJ52" s="582" t="s">
        <v>519</v>
      </c>
      <c r="AK52" s="174"/>
      <c r="AL52" s="174"/>
      <c r="AM52" s="189"/>
      <c r="AN52" s="217"/>
      <c r="AO52" s="218" t="s">
        <v>540</v>
      </c>
      <c r="AP52" s="219" t="s">
        <v>541</v>
      </c>
      <c r="AQ52" s="220" t="s">
        <v>542</v>
      </c>
      <c r="AR52" s="219" t="s">
        <v>543</v>
      </c>
      <c r="AS52" s="219" t="s">
        <v>544</v>
      </c>
      <c r="AT52" s="221" t="s">
        <v>545</v>
      </c>
      <c r="AU52" s="222" t="b">
        <v>0</v>
      </c>
      <c r="AV52" s="180" t="b">
        <v>0</v>
      </c>
      <c r="AW52" s="186"/>
      <c r="AX52" s="187"/>
      <c r="AY52" s="187"/>
      <c r="AZ52" s="187"/>
      <c r="BA52" s="188"/>
      <c r="BB52" s="191" t="s">
        <v>182</v>
      </c>
      <c r="BC52" s="179" t="s">
        <v>181</v>
      </c>
      <c r="BD52" s="198"/>
      <c r="BE52" s="199"/>
      <c r="BF52" s="200"/>
      <c r="BG52" s="181"/>
      <c r="BH52" s="183"/>
      <c r="BI52" s="590" t="s">
        <v>524</v>
      </c>
      <c r="BJ52" s="183"/>
    </row>
    <row r="53" spans="1:62" ht="15.75" customHeight="1">
      <c r="A53" s="160" t="str">
        <f t="array" aca="1" ref="A53:I53" ca="1">IFERROR(TRANSPOSE(INDIRECT(L1_暖正版配!$BB53)),"")</f>
        <v>一排1張(單張/多張)(無一鍵領取)</v>
      </c>
      <c r="B53" s="160" t="str">
        <f ca="1"/>
        <v>一排1張 + Reminder(單張/多張)(無一鍵領取)</v>
      </c>
      <c r="C53" s="160" t="str">
        <f ca="1"/>
        <v>一排1張 + 一鍵領取(多張)</v>
      </c>
      <c r="D53" s="160" t="str">
        <f ca="1"/>
        <v>【僅供MKT Campaign使用】PC：一排兩張；APP：一排1張 + 一鍵領取(多張)</v>
      </c>
      <c r="E53" s="160" t="str">
        <f ca="1"/>
        <v>【僅供MKT Campaign使用】PC：一排兩張；APP：一排1張 + 一鍵領取(多張) + Reminder</v>
      </c>
      <c r="F53" s="160" t="str">
        <f ca="1"/>
        <v>【僅供MKT Campaign使用】PC：一排兩張；APP：一排1張 + 一鍵領取(多張) + Reminder + 查看全部(系統預設加上「優惠券」文案)</v>
      </c>
      <c r="G53" s="160" t="str">
        <f ca="1"/>
        <v>一排2張(單張/多張)(無一鍵領取)</v>
      </c>
      <c r="H53" s="160" t="str">
        <f ca="1"/>
        <v>一排2張 + Reminder(單張/多張)(無一鍵領取)</v>
      </c>
      <c r="I53" s="160" t="str">
        <f ca="1"/>
        <v>一排2張 + 一鍵領取(多張)</v>
      </c>
      <c r="J53" s="160"/>
      <c r="K53" s="160"/>
      <c r="L53" s="160"/>
      <c r="M53" s="160"/>
      <c r="N53" s="160"/>
      <c r="O53" s="160"/>
      <c r="P53" s="160"/>
      <c r="Q53" s="160"/>
      <c r="R53" s="160"/>
      <c r="S53" s="160"/>
      <c r="T53" s="160"/>
      <c r="U53" s="160"/>
      <c r="V53" s="160"/>
      <c r="W53" s="160"/>
      <c r="X53" s="160"/>
      <c r="Y53" s="160"/>
      <c r="Z53" s="160"/>
      <c r="AA53" s="160"/>
      <c r="AB53" s="160"/>
      <c r="AC53" s="160"/>
      <c r="AD53" s="160"/>
      <c r="AE53" s="226" t="b">
        <v>0</v>
      </c>
      <c r="AF53" s="173"/>
      <c r="AG53" s="174"/>
      <c r="AH53" s="195" t="s">
        <v>513</v>
      </c>
      <c r="AI53" s="176" t="str">
        <f ca="1">IFERROR(VLOOKUP($AH53, '(勿動)Component Label公版'!$D$1:$E$1000, 2, FALSE), "-")</f>
        <v>-</v>
      </c>
      <c r="AJ53" s="483"/>
      <c r="AK53" s="174"/>
      <c r="AL53" s="174"/>
      <c r="AM53" s="189"/>
      <c r="AN53" s="217"/>
      <c r="AO53" s="230" t="s">
        <v>546</v>
      </c>
      <c r="AP53" s="224" t="s">
        <v>547</v>
      </c>
      <c r="AQ53" s="224" t="s">
        <v>548</v>
      </c>
      <c r="AR53" s="224" t="s">
        <v>549</v>
      </c>
      <c r="AS53" s="224" t="s">
        <v>550</v>
      </c>
      <c r="AT53" s="225" t="s">
        <v>551</v>
      </c>
      <c r="AU53" s="222" t="b">
        <v>0</v>
      </c>
      <c r="AV53" s="180" t="b">
        <v>0</v>
      </c>
      <c r="AW53" s="186"/>
      <c r="AX53" s="187"/>
      <c r="AY53" s="187"/>
      <c r="AZ53" s="187"/>
      <c r="BA53" s="188"/>
      <c r="BB53" s="191" t="s">
        <v>182</v>
      </c>
      <c r="BC53" s="179" t="s">
        <v>181</v>
      </c>
      <c r="BD53" s="198"/>
      <c r="BE53" s="199"/>
      <c r="BF53" s="200"/>
      <c r="BG53" s="181"/>
      <c r="BH53" s="183"/>
      <c r="BI53" s="591"/>
      <c r="BJ53" s="183"/>
    </row>
    <row r="54" spans="1:62" ht="20.25" customHeight="1">
      <c r="A54" s="160" t="str">
        <f t="array" aca="1" ref="A54:I54" ca="1">IFERROR(TRANSPOSE(INDIRECT(L1_暖正版配!$BB54)),"")</f>
        <v>一排1張(單張/多張)(無一鍵領取)</v>
      </c>
      <c r="B54" s="160" t="str">
        <f ca="1"/>
        <v>一排1張 + Reminder(單張/多張)(無一鍵領取)</v>
      </c>
      <c r="C54" s="160" t="str">
        <f ca="1"/>
        <v>一排1張 + 一鍵領取(多張)</v>
      </c>
      <c r="D54" s="160" t="str">
        <f ca="1"/>
        <v>【僅供MKT Campaign使用】PC：一排兩張；APP：一排1張 + 一鍵領取(多張)</v>
      </c>
      <c r="E54" s="160" t="str">
        <f ca="1"/>
        <v>【僅供MKT Campaign使用】PC：一排兩張；APP：一排1張 + 一鍵領取(多張) + Reminder</v>
      </c>
      <c r="F54" s="160" t="str">
        <f ca="1"/>
        <v>【僅供MKT Campaign使用】PC：一排兩張；APP：一排1張 + 一鍵領取(多張) + Reminder + 查看全部(系統預設加上「優惠券」文案)</v>
      </c>
      <c r="G54" s="160" t="str">
        <f ca="1"/>
        <v>一排2張(單張/多張)(無一鍵領取)</v>
      </c>
      <c r="H54" s="160" t="str">
        <f ca="1"/>
        <v>一排2張 + Reminder(單張/多張)(無一鍵領取)</v>
      </c>
      <c r="I54" s="160" t="str">
        <f ca="1"/>
        <v>一排2張 + 一鍵領取(多張)</v>
      </c>
      <c r="J54" s="160"/>
      <c r="K54" s="160"/>
      <c r="L54" s="160"/>
      <c r="M54" s="160"/>
      <c r="N54" s="160"/>
      <c r="O54" s="160"/>
      <c r="P54" s="160"/>
      <c r="Q54" s="160"/>
      <c r="R54" s="160"/>
      <c r="S54" s="160"/>
      <c r="T54" s="160"/>
      <c r="U54" s="160"/>
      <c r="V54" s="160"/>
      <c r="W54" s="160"/>
      <c r="X54" s="160"/>
      <c r="Y54" s="160"/>
      <c r="Z54" s="160"/>
      <c r="AA54" s="160"/>
      <c r="AB54" s="160"/>
      <c r="AC54" s="160"/>
      <c r="AD54" s="160"/>
      <c r="AE54" s="226" t="b">
        <v>0</v>
      </c>
      <c r="AF54" s="173"/>
      <c r="AG54" s="174"/>
      <c r="AH54" s="195" t="s">
        <v>513</v>
      </c>
      <c r="AI54" s="176" t="str">
        <f ca="1">IFERROR(VLOOKUP($AH54, '(勿動)Component Label公版'!$D$1:$E$1000, 2, FALSE), "-")</f>
        <v>-</v>
      </c>
      <c r="AJ54" s="483"/>
      <c r="AK54" s="174"/>
      <c r="AL54" s="174"/>
      <c r="AM54" s="189"/>
      <c r="AN54" s="217"/>
      <c r="AO54" s="223" t="s">
        <v>552</v>
      </c>
      <c r="AP54" s="173" t="s">
        <v>553</v>
      </c>
      <c r="AQ54" s="173" t="s">
        <v>554</v>
      </c>
      <c r="AR54" s="231" t="s">
        <v>555</v>
      </c>
      <c r="AS54" s="619" t="s">
        <v>535</v>
      </c>
      <c r="AT54" s="620"/>
      <c r="AU54" s="222" t="b">
        <v>0</v>
      </c>
      <c r="AV54" s="180" t="b">
        <v>0</v>
      </c>
      <c r="AW54" s="186"/>
      <c r="AX54" s="187"/>
      <c r="AY54" s="187"/>
      <c r="AZ54" s="187"/>
      <c r="BA54" s="188"/>
      <c r="BB54" s="191" t="s">
        <v>182</v>
      </c>
      <c r="BC54" s="179" t="s">
        <v>181</v>
      </c>
      <c r="BD54" s="198"/>
      <c r="BE54" s="199"/>
      <c r="BF54" s="200"/>
      <c r="BG54" s="181"/>
      <c r="BH54" s="183"/>
      <c r="BI54" s="591"/>
      <c r="BJ54" s="183"/>
    </row>
    <row r="55" spans="1:62" ht="15.75" customHeight="1">
      <c r="A55" s="160" t="str">
        <f t="array" aca="1" ref="A55:I55" ca="1">IFERROR(TRANSPOSE(INDIRECT(L1_暖正版配!$BB55)),"")</f>
        <v>一排1張(單張/多張)(無一鍵領取)</v>
      </c>
      <c r="B55" s="160" t="str">
        <f ca="1"/>
        <v>一排1張 + Reminder(單張/多張)(無一鍵領取)</v>
      </c>
      <c r="C55" s="160" t="str">
        <f ca="1"/>
        <v>一排1張 + 一鍵領取(多張)</v>
      </c>
      <c r="D55" s="160" t="str">
        <f ca="1"/>
        <v>【僅供MKT Campaign使用】PC：一排兩張；APP：一排1張 + 一鍵領取(多張)</v>
      </c>
      <c r="E55" s="160" t="str">
        <f ca="1"/>
        <v>【僅供MKT Campaign使用】PC：一排兩張；APP：一排1張 + 一鍵領取(多張) + Reminder</v>
      </c>
      <c r="F55" s="160" t="str">
        <f ca="1"/>
        <v>【僅供MKT Campaign使用】PC：一排兩張；APP：一排1張 + 一鍵領取(多張) + Reminder + 查看全部(系統預設加上「優惠券」文案)</v>
      </c>
      <c r="G55" s="160" t="str">
        <f ca="1"/>
        <v>一排2張(單張/多張)(無一鍵領取)</v>
      </c>
      <c r="H55" s="160" t="str">
        <f ca="1"/>
        <v>一排2張 + Reminder(單張/多張)(無一鍵領取)</v>
      </c>
      <c r="I55" s="160" t="str">
        <f ca="1"/>
        <v>一排2張 + 一鍵領取(多張)</v>
      </c>
      <c r="J55" s="160"/>
      <c r="K55" s="160"/>
      <c r="L55" s="160"/>
      <c r="M55" s="160"/>
      <c r="N55" s="160"/>
      <c r="O55" s="160"/>
      <c r="P55" s="160"/>
      <c r="Q55" s="160"/>
      <c r="R55" s="160"/>
      <c r="S55" s="160"/>
      <c r="T55" s="160"/>
      <c r="U55" s="160"/>
      <c r="V55" s="160"/>
      <c r="W55" s="160"/>
      <c r="X55" s="160"/>
      <c r="Y55" s="160"/>
      <c r="Z55" s="160"/>
      <c r="AA55" s="160"/>
      <c r="AB55" s="160"/>
      <c r="AC55" s="160"/>
      <c r="AD55" s="160"/>
      <c r="AE55" s="226" t="b">
        <v>0</v>
      </c>
      <c r="AF55" s="173"/>
      <c r="AG55" s="174"/>
      <c r="AH55" s="195" t="s">
        <v>513</v>
      </c>
      <c r="AI55" s="176" t="str">
        <f ca="1">IFERROR(VLOOKUP($AH55, '(勿動)Component Label公版'!$D$1:$E$1000, 2, FALSE), "-")</f>
        <v>-</v>
      </c>
      <c r="AJ55" s="379"/>
      <c r="AK55" s="174"/>
      <c r="AL55" s="174"/>
      <c r="AM55" s="189"/>
      <c r="AN55" s="217"/>
      <c r="AO55" s="232" t="s">
        <v>556</v>
      </c>
      <c r="AP55" s="229" t="s">
        <v>557</v>
      </c>
      <c r="AQ55" s="229" t="s">
        <v>558</v>
      </c>
      <c r="AR55" s="233" t="s">
        <v>559</v>
      </c>
      <c r="AS55" s="621"/>
      <c r="AT55" s="622"/>
      <c r="AU55" s="222" t="b">
        <v>0</v>
      </c>
      <c r="AV55" s="180" t="b">
        <v>0</v>
      </c>
      <c r="AW55" s="186"/>
      <c r="AX55" s="187"/>
      <c r="AY55" s="187"/>
      <c r="AZ55" s="187"/>
      <c r="BA55" s="188"/>
      <c r="BB55" s="191" t="s">
        <v>182</v>
      </c>
      <c r="BC55" s="179" t="s">
        <v>181</v>
      </c>
      <c r="BD55" s="198"/>
      <c r="BE55" s="199"/>
      <c r="BF55" s="200"/>
      <c r="BG55" s="181"/>
      <c r="BH55" s="183"/>
      <c r="BI55" s="587"/>
      <c r="BJ55" s="183"/>
    </row>
    <row r="56" spans="1:62" ht="31.5" customHeight="1">
      <c r="A56" s="160" t="str">
        <f t="array" aca="1" ref="A56:AD56" ca="1">IFERROR(TRANSPOSE(INDIRECT(L1_暖正版配!$BB56)),"")</f>
        <v>無CTA</v>
      </c>
      <c r="B56" s="160" t="str">
        <f ca="1"/>
        <v>LINK*1</v>
      </c>
      <c r="C56" s="160" t="str">
        <f ca="1"/>
        <v>LINK*2</v>
      </c>
      <c r="D56" s="160" t="str">
        <f ca="1"/>
        <v>LINK*3</v>
      </c>
      <c r="E56" s="160" t="str">
        <f ca="1"/>
        <v>LINK&gt;3</v>
      </c>
      <c r="F56" s="160" t="str">
        <f ca="1"/>
        <v>Reminder*1</v>
      </c>
      <c r="G56" s="160" t="str">
        <f ca="1"/>
        <v>Reminder*2</v>
      </c>
      <c r="H56" s="160" t="str">
        <f ca="1"/>
        <v>Reminder*3</v>
      </c>
      <c r="I56" s="160" t="str">
        <f ca="1"/>
        <v>Reminder*4</v>
      </c>
      <c r="J56" s="160" t="str">
        <f ca="1"/>
        <v>Reminder*5</v>
      </c>
      <c r="K56" s="160" t="str">
        <f ca="1"/>
        <v>Reminder&gt;5</v>
      </c>
      <c r="L56" s="160" t="str">
        <f ca="1"/>
        <v>LINK*1 + Reminder*1</v>
      </c>
      <c r="M56" s="160" t="str">
        <f ca="1"/>
        <v>LINK*1 + Reminder*2</v>
      </c>
      <c r="N56" s="160" t="str">
        <f ca="1"/>
        <v>LINK*2 + Reminder*1</v>
      </c>
      <c r="O56" s="160" t="str">
        <f ca="1"/>
        <v>Add to Cart*1</v>
      </c>
      <c r="P56" s="160" t="str">
        <f ca="1"/>
        <v>Add to Cart*2</v>
      </c>
      <c r="Q56" s="160" t="str">
        <f ca="1"/>
        <v>Add to Cart*3</v>
      </c>
      <c r="R56" s="160" t="str">
        <f ca="1"/>
        <v>(Reminder+ATC) *1</v>
      </c>
      <c r="S56" s="160" t="str">
        <f ca="1"/>
        <v>(Reminder+ATC) *2</v>
      </c>
      <c r="T56" s="160" t="str">
        <f ca="1"/>
        <v>(Reminder+ATC) *3</v>
      </c>
      <c r="U56" s="160" t="str">
        <f ca="1"/>
        <v>Popup*1</v>
      </c>
      <c r="V56" s="160" t="str">
        <f ca="1"/>
        <v>Popup*2</v>
      </c>
      <c r="W56" s="160" t="str">
        <f ca="1"/>
        <v>Popup*3</v>
      </c>
      <c r="X56" s="160" t="str">
        <f ca="1"/>
        <v>Copy*1</v>
      </c>
      <c r="Y56" s="160" t="str">
        <f ca="1"/>
        <v>Copy*2</v>
      </c>
      <c r="Z56" s="160" t="str">
        <f ca="1"/>
        <v>Copy*3</v>
      </c>
      <c r="AA56" s="160" t="str">
        <f ca="1"/>
        <v>Share*1</v>
      </c>
      <c r="AB56" s="160" t="str">
        <f ca="1"/>
        <v>Share*2</v>
      </c>
      <c r="AC56" s="160" t="str">
        <f ca="1"/>
        <v>Share*3</v>
      </c>
      <c r="AD56" s="160" t="str">
        <f ca="1"/>
        <v>Placeholders</v>
      </c>
      <c r="AE56" s="212" t="b">
        <v>1</v>
      </c>
      <c r="AF56" s="234" t="s">
        <v>234</v>
      </c>
      <c r="AG56" s="174" t="str">
        <f>IF(AF56="設隱形錨點","",IF(AE56=FALSE,"",IF(AE56=TRUE, SUBSTITUTE($AI56, "_", ""))))</f>
        <v/>
      </c>
      <c r="AH56" s="195" t="s">
        <v>560</v>
      </c>
      <c r="AI56" s="176" t="str">
        <f ca="1">IFERROR(VLOOKUP($AH56, '(勿動)Component Label公版'!$D$1:$E$1000, 2, FALSE), "-")</f>
        <v>-</v>
      </c>
      <c r="AJ56" s="559" t="s">
        <v>217</v>
      </c>
      <c r="AK56" s="174"/>
      <c r="AL56" s="174"/>
      <c r="AM56" s="189" t="str">
        <f>IFERROR(
  IF(TRIM(AK56)="", "",
    TEXT(
      DATEVALUE("2026/" &amp; LEFT(TRIM(AK56), FIND(" ", TRIM(AK56)) - 1)) +
      TIMEVALUE(MID(TRIM(AK56), FIND(" ", TRIM(AK56)) + 1, LEN(TRIM(AK56)))),
      "yyyy-mm-dd hh:mm:ss"
    )
  ),
"")</f>
        <v/>
      </c>
      <c r="AN56" s="190" t="str">
        <f>IFERROR(
  IF(TRIM(AL56)="", "",
    TEXT(
      DATEVALUE("2026/" &amp; LEFT(TRIM(AL56), FIND(" ", TRIM(AL56)) - 1)) +
      TIMEVALUE(MID(TRIM(AL56), FIND(" ", TRIM(AL56)) + 1, 5)) +
      TIME(0,0,59),
      "yyyy-mm-dd hh:mm:ss"
    )
  ),
"")</f>
        <v/>
      </c>
      <c r="AO56" s="533" t="s">
        <v>561</v>
      </c>
      <c r="AP56" s="384"/>
      <c r="AQ56" s="384"/>
      <c r="AR56" s="384"/>
      <c r="AS56" s="384"/>
      <c r="AT56" s="385"/>
      <c r="AU56" s="235" t="b">
        <v>1</v>
      </c>
      <c r="AV56" s="180" t="b">
        <v>0</v>
      </c>
      <c r="AW56" s="186"/>
      <c r="AX56" s="187"/>
      <c r="AY56" s="187"/>
      <c r="AZ56" s="187"/>
      <c r="BA56" s="188"/>
      <c r="BB56" s="191" t="s">
        <v>147</v>
      </c>
      <c r="BC56" s="179" t="s">
        <v>154</v>
      </c>
      <c r="BD56" s="198" t="str">
        <f>$BB56&amp;"_"&amp;$BC56</f>
        <v>圖_MSBN_無CTA</v>
      </c>
      <c r="BE56" s="199" t="str">
        <f>IFERROR(VLOOKUP($BD56,'(勿動)組件目錄表'!$D$15:$R$1110,2,FALSE),"")</f>
        <v>I-1</v>
      </c>
      <c r="BF56" s="200">
        <f>IFERROR(VLOOKUP($BD56, '(勿動)組件目錄表'!$D$15:$R$1110, 5, FALSE),"")</f>
        <v>0.5</v>
      </c>
      <c r="BG56" s="181"/>
      <c r="BH56" s="183"/>
      <c r="BI56" s="181"/>
      <c r="BJ56" s="183"/>
    </row>
    <row r="57" spans="1:62" ht="31.5" customHeight="1">
      <c r="A57" s="160"/>
      <c r="B57" s="160"/>
      <c r="C57" s="160"/>
      <c r="D57" s="160"/>
      <c r="E57" s="160"/>
      <c r="F57" s="160"/>
      <c r="G57" s="160"/>
      <c r="H57" s="160"/>
      <c r="I57" s="160"/>
      <c r="J57" s="160"/>
      <c r="K57" s="160"/>
      <c r="L57" s="160"/>
      <c r="M57" s="160"/>
      <c r="N57" s="160"/>
      <c r="O57" s="160"/>
      <c r="P57" s="160"/>
      <c r="Q57" s="160"/>
      <c r="R57" s="160"/>
      <c r="S57" s="160"/>
      <c r="T57" s="160"/>
      <c r="U57" s="160"/>
      <c r="V57" s="160"/>
      <c r="W57" s="160"/>
      <c r="X57" s="160"/>
      <c r="Y57" s="160"/>
      <c r="Z57" s="160"/>
      <c r="AA57" s="160"/>
      <c r="AB57" s="160"/>
      <c r="AC57" s="160"/>
      <c r="AD57" s="160"/>
      <c r="AE57" s="212" t="b">
        <v>0</v>
      </c>
      <c r="AF57" s="173"/>
      <c r="AG57" s="174"/>
      <c r="AH57" s="195" t="s">
        <v>560</v>
      </c>
      <c r="AI57" s="176" t="str">
        <f ca="1">IFERROR(VLOOKUP($AH57, '(勿動)Component Label公版'!$D$1:$E$1000, 2, FALSE), "-")</f>
        <v>-</v>
      </c>
      <c r="AJ57" s="412"/>
      <c r="AK57" s="174"/>
      <c r="AL57" s="174"/>
      <c r="AM57" s="189"/>
      <c r="AN57" s="190"/>
      <c r="AO57" s="533" t="s">
        <v>562</v>
      </c>
      <c r="AP57" s="384"/>
      <c r="AQ57" s="384"/>
      <c r="AR57" s="384"/>
      <c r="AS57" s="384"/>
      <c r="AT57" s="385"/>
      <c r="AU57" s="235" t="b">
        <v>1</v>
      </c>
      <c r="AV57" s="180" t="b">
        <v>0</v>
      </c>
      <c r="AW57" s="186"/>
      <c r="AX57" s="187"/>
      <c r="AY57" s="187"/>
      <c r="AZ57" s="187"/>
      <c r="BA57" s="188"/>
      <c r="BB57" s="191" t="s">
        <v>147</v>
      </c>
      <c r="BC57" s="179" t="s">
        <v>154</v>
      </c>
      <c r="BD57" s="198"/>
      <c r="BE57" s="199"/>
      <c r="BF57" s="200"/>
      <c r="BG57" s="181"/>
      <c r="BH57" s="183"/>
      <c r="BI57" s="181"/>
      <c r="BJ57" s="183"/>
    </row>
    <row r="58" spans="1:62" ht="15.75" customHeight="1">
      <c r="A58" s="160" t="str">
        <f t="array" aca="1" ref="A58" ca="1">IFERROR(TRANSPOSE(INDIRECT(L1_暖正版配!$BB58)),"")</f>
        <v>固定</v>
      </c>
      <c r="B58" s="160"/>
      <c r="C58" s="160"/>
      <c r="D58" s="160"/>
      <c r="E58" s="160"/>
      <c r="F58" s="160"/>
      <c r="G58" s="160"/>
      <c r="H58" s="160"/>
      <c r="I58" s="160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  <c r="U58" s="160"/>
      <c r="V58" s="160"/>
      <c r="W58" s="160"/>
      <c r="X58" s="160"/>
      <c r="Y58" s="160"/>
      <c r="Z58" s="160"/>
      <c r="AA58" s="160"/>
      <c r="AB58" s="160"/>
      <c r="AC58" s="160"/>
      <c r="AD58" s="160"/>
      <c r="AE58" s="212" t="b">
        <v>0</v>
      </c>
      <c r="AF58" s="173" t="str">
        <f t="shared" ref="AF58:AF59" si="24">IF(AE58=TRUE,"若有勾選則必填，隱藏錨點請填寫&lt;設隱形錨點&gt;","")</f>
        <v/>
      </c>
      <c r="AG58" s="174" t="str">
        <f t="shared" ref="AG58:AG60" si="25">IF(AF58="設隱形錨點","",IF(AE58=FALSE,"",IF(AE58=TRUE, SUBSTITUTE($AI58, "_", ""))))</f>
        <v/>
      </c>
      <c r="AH58" s="195" t="s">
        <v>560</v>
      </c>
      <c r="AI58" s="176" t="str">
        <f ca="1">IFERROR(VLOOKUP($AH58, '(勿動)Component Label公版'!$D$1:$E$1000, 2, FALSE), "-")</f>
        <v>-</v>
      </c>
      <c r="AJ58" s="400"/>
      <c r="AK58" s="174"/>
      <c r="AL58" s="174"/>
      <c r="AM58" s="189" t="str">
        <f t="shared" ref="AM58:AM60" si="26">IFERROR(
  IF(TRIM(AK58)="", "",
    TEXT(
      DATEVALUE("2026/" &amp; LEFT(TRIM(AK58), FIND(" ", TRIM(AK58)) - 1)) +
      TIMEVALUE(MID(TRIM(AK58), FIND(" ", TRIM(AK58)) + 1, LEN(TRIM(AK58)))),
      "yyyy-mm-dd hh:mm:ss"
    )
  ),
"")</f>
        <v/>
      </c>
      <c r="AN58" s="190" t="str">
        <f t="shared" ref="AN58:AN60" si="27">IFERROR(
  IF(TRIM(AL58)="", "",
    TEXT(
      DATEVALUE("2026/" &amp; LEFT(TRIM(AL58), FIND(" ", TRIM(AL58)) - 1)) +
      TIMEVALUE(MID(TRIM(AL58), FIND(" ", TRIM(AL58)) + 1, 5)) +
      TIME(0,0,59),
      "yyyy-mm-dd hh:mm:ss"
    )
  ),
"")</f>
        <v/>
      </c>
      <c r="AO58" s="530" t="s">
        <v>563</v>
      </c>
      <c r="AP58" s="384"/>
      <c r="AQ58" s="384"/>
      <c r="AR58" s="384"/>
      <c r="AS58" s="384"/>
      <c r="AT58" s="385"/>
      <c r="AU58" s="180" t="b">
        <v>0</v>
      </c>
      <c r="AV58" s="180" t="b">
        <v>0</v>
      </c>
      <c r="AW58" s="186"/>
      <c r="AX58" s="187"/>
      <c r="AY58" s="187"/>
      <c r="AZ58" s="187"/>
      <c r="BA58" s="188"/>
      <c r="BB58" s="191" t="s">
        <v>564</v>
      </c>
      <c r="BC58" s="179" t="s">
        <v>113</v>
      </c>
      <c r="BD58" s="198" t="str">
        <f t="shared" ref="BD58:BD60" si="28">$BB58&amp;"_"&amp;$BC58</f>
        <v>FavouriteGame_固定</v>
      </c>
      <c r="BE58" s="199" t="str">
        <f>IFERROR(VLOOKUP($BD58,'(勿動)組件目錄表'!$D$15:$R$1110,2,FALSE),"")</f>
        <v>P-1</v>
      </c>
      <c r="BF58" s="200">
        <f>IFERROR(VLOOKUP($BD58, '(勿動)組件目錄表'!$D$15:$R$1110, 5, FALSE),"")</f>
        <v>0.5</v>
      </c>
      <c r="BG58" s="181"/>
      <c r="BH58" s="183"/>
      <c r="BI58" s="181"/>
      <c r="BJ58" s="183"/>
    </row>
    <row r="59" spans="1:62" ht="15.75" customHeight="1">
      <c r="A59" s="160" t="str">
        <f t="array" aca="1" ref="A59:AD59" ca="1">IFERROR(TRANSPOSE(INDIRECT(L1_暖正版配!$BB59)),"")</f>
        <v>無CTA</v>
      </c>
      <c r="B59" s="160" t="str">
        <f ca="1"/>
        <v>LINK*1</v>
      </c>
      <c r="C59" s="160" t="str">
        <f ca="1"/>
        <v>LINK*2</v>
      </c>
      <c r="D59" s="160" t="str">
        <f ca="1"/>
        <v>LINK*3</v>
      </c>
      <c r="E59" s="160" t="str">
        <f ca="1"/>
        <v>LINK&gt;3</v>
      </c>
      <c r="F59" s="160" t="str">
        <f ca="1"/>
        <v>Reminder*1</v>
      </c>
      <c r="G59" s="160" t="str">
        <f ca="1"/>
        <v>Reminder*2</v>
      </c>
      <c r="H59" s="160" t="str">
        <f ca="1"/>
        <v>Reminder*3</v>
      </c>
      <c r="I59" s="160" t="str">
        <f ca="1"/>
        <v>Reminder*4</v>
      </c>
      <c r="J59" s="160" t="str">
        <f ca="1"/>
        <v>Reminder*5</v>
      </c>
      <c r="K59" s="160" t="str">
        <f ca="1"/>
        <v>Reminder&gt;5</v>
      </c>
      <c r="L59" s="160" t="str">
        <f ca="1"/>
        <v>LINK*1 + Reminder*1</v>
      </c>
      <c r="M59" s="160" t="str">
        <f ca="1"/>
        <v>LINK*1 + Reminder*2</v>
      </c>
      <c r="N59" s="160" t="str">
        <f ca="1"/>
        <v>LINK*2 + Reminder*1</v>
      </c>
      <c r="O59" s="160" t="str">
        <f ca="1"/>
        <v>Add to Cart*1</v>
      </c>
      <c r="P59" s="160" t="str">
        <f ca="1"/>
        <v>Add to Cart*2</v>
      </c>
      <c r="Q59" s="160" t="str">
        <f ca="1"/>
        <v>Add to Cart*3</v>
      </c>
      <c r="R59" s="160" t="str">
        <f ca="1"/>
        <v>(Reminder+ATC) *1</v>
      </c>
      <c r="S59" s="160" t="str">
        <f ca="1"/>
        <v>(Reminder+ATC) *2</v>
      </c>
      <c r="T59" s="160" t="str">
        <f ca="1"/>
        <v>(Reminder+ATC) *3</v>
      </c>
      <c r="U59" s="160" t="str">
        <f ca="1"/>
        <v>Popup*1</v>
      </c>
      <c r="V59" s="160" t="str">
        <f ca="1"/>
        <v>Popup*2</v>
      </c>
      <c r="W59" s="160" t="str">
        <f ca="1"/>
        <v>Popup*3</v>
      </c>
      <c r="X59" s="160" t="str">
        <f ca="1"/>
        <v>Copy*1</v>
      </c>
      <c r="Y59" s="160" t="str">
        <f ca="1"/>
        <v>Copy*2</v>
      </c>
      <c r="Z59" s="160" t="str">
        <f ca="1"/>
        <v>Copy*3</v>
      </c>
      <c r="AA59" s="160" t="str">
        <f ca="1"/>
        <v>Share*1</v>
      </c>
      <c r="AB59" s="160" t="str">
        <f ca="1"/>
        <v>Share*2</v>
      </c>
      <c r="AC59" s="160" t="str">
        <f ca="1"/>
        <v>Share*3</v>
      </c>
      <c r="AD59" s="160" t="str">
        <f ca="1"/>
        <v>Placeholders</v>
      </c>
      <c r="AE59" s="208" t="b">
        <v>0</v>
      </c>
      <c r="AF59" s="203" t="str">
        <f t="shared" si="24"/>
        <v/>
      </c>
      <c r="AG59" s="203" t="str">
        <f t="shared" si="25"/>
        <v/>
      </c>
      <c r="AH59" s="195" t="s">
        <v>560</v>
      </c>
      <c r="AI59" s="176" t="str">
        <f ca="1">IFERROR(VLOOKUP($AH59, '(勿動)Component Label公版'!$D$1:$E$1000, 2, FALSE), "-")</f>
        <v>-</v>
      </c>
      <c r="AJ59" s="18"/>
      <c r="AK59" s="203"/>
      <c r="AL59" s="203"/>
      <c r="AM59" s="203" t="str">
        <f t="shared" si="26"/>
        <v/>
      </c>
      <c r="AN59" s="204" t="str">
        <f t="shared" si="27"/>
        <v/>
      </c>
      <c r="AO59" s="535" t="s">
        <v>268</v>
      </c>
      <c r="AP59" s="384"/>
      <c r="AQ59" s="384"/>
      <c r="AR59" s="384"/>
      <c r="AS59" s="384"/>
      <c r="AT59" s="385"/>
      <c r="AU59" s="235" t="b">
        <v>1</v>
      </c>
      <c r="AV59" s="180" t="b">
        <v>0</v>
      </c>
      <c r="AW59" s="186"/>
      <c r="AX59" s="187"/>
      <c r="AY59" s="187"/>
      <c r="AZ59" s="187"/>
      <c r="BA59" s="188"/>
      <c r="BB59" s="191" t="s">
        <v>147</v>
      </c>
      <c r="BC59" s="179" t="s">
        <v>154</v>
      </c>
      <c r="BD59" s="198" t="str">
        <f t="shared" si="28"/>
        <v>圖_MSBN_無CTA</v>
      </c>
      <c r="BE59" s="190" t="str">
        <f>IFERROR(VLOOKUP($BD59,'(勿動)組件目錄表'!$D$15:$R$1110,2,FALSE),"")</f>
        <v>I-1</v>
      </c>
      <c r="BF59" s="205">
        <f>IFERROR(VLOOKUP($BD59, '(勿動)組件目錄表'!$D$15:$R$1110, 5, FALSE),"")</f>
        <v>0.5</v>
      </c>
      <c r="BG59" s="118"/>
      <c r="BH59" s="120"/>
      <c r="BI59" s="118"/>
      <c r="BJ59" s="120"/>
    </row>
    <row r="60" spans="1:62" ht="31.5" customHeight="1">
      <c r="A60" s="160" t="str">
        <f t="array" aca="1" ref="A60:AD60" ca="1">IFERROR(TRANSPOSE(INDIRECT(L1_暖正版配!$BB60)),"")</f>
        <v>無CTA</v>
      </c>
      <c r="B60" s="160" t="str">
        <f ca="1"/>
        <v>LINK*1</v>
      </c>
      <c r="C60" s="160" t="str">
        <f ca="1"/>
        <v>LINK*2</v>
      </c>
      <c r="D60" s="160" t="str">
        <f ca="1"/>
        <v>LINK*3</v>
      </c>
      <c r="E60" s="160" t="str">
        <f ca="1"/>
        <v>LINK&gt;3</v>
      </c>
      <c r="F60" s="160" t="str">
        <f ca="1"/>
        <v>Reminder*1</v>
      </c>
      <c r="G60" s="160" t="str">
        <f ca="1"/>
        <v>Reminder*2</v>
      </c>
      <c r="H60" s="160" t="str">
        <f ca="1"/>
        <v>Reminder*3</v>
      </c>
      <c r="I60" s="160" t="str">
        <f ca="1"/>
        <v>Reminder*4</v>
      </c>
      <c r="J60" s="160" t="str">
        <f ca="1"/>
        <v>Reminder*5</v>
      </c>
      <c r="K60" s="160" t="str">
        <f ca="1"/>
        <v>Reminder&gt;5</v>
      </c>
      <c r="L60" s="160" t="str">
        <f ca="1"/>
        <v>LINK*1 + Reminder*1</v>
      </c>
      <c r="M60" s="160" t="str">
        <f ca="1"/>
        <v>LINK*1 + Reminder*2</v>
      </c>
      <c r="N60" s="160" t="str">
        <f ca="1"/>
        <v>LINK*2 + Reminder*1</v>
      </c>
      <c r="O60" s="160" t="str">
        <f ca="1"/>
        <v>Add to Cart*1</v>
      </c>
      <c r="P60" s="160" t="str">
        <f ca="1"/>
        <v>Add to Cart*2</v>
      </c>
      <c r="Q60" s="160" t="str">
        <f ca="1"/>
        <v>Add to Cart*3</v>
      </c>
      <c r="R60" s="160" t="str">
        <f ca="1"/>
        <v>(Reminder+ATC) *1</v>
      </c>
      <c r="S60" s="160" t="str">
        <f ca="1"/>
        <v>(Reminder+ATC) *2</v>
      </c>
      <c r="T60" s="160" t="str">
        <f ca="1"/>
        <v>(Reminder+ATC) *3</v>
      </c>
      <c r="U60" s="160" t="str">
        <f ca="1"/>
        <v>Popup*1</v>
      </c>
      <c r="V60" s="160" t="str">
        <f ca="1"/>
        <v>Popup*2</v>
      </c>
      <c r="W60" s="160" t="str">
        <f ca="1"/>
        <v>Popup*3</v>
      </c>
      <c r="X60" s="160" t="str">
        <f ca="1"/>
        <v>Copy*1</v>
      </c>
      <c r="Y60" s="160" t="str">
        <f ca="1"/>
        <v>Copy*2</v>
      </c>
      <c r="Z60" s="160" t="str">
        <f ca="1"/>
        <v>Copy*3</v>
      </c>
      <c r="AA60" s="160" t="str">
        <f ca="1"/>
        <v>Share*1</v>
      </c>
      <c r="AB60" s="160" t="str">
        <f ca="1"/>
        <v>Share*2</v>
      </c>
      <c r="AC60" s="160" t="str">
        <f ca="1"/>
        <v>Share*3</v>
      </c>
      <c r="AD60" s="160" t="str">
        <f ca="1"/>
        <v>Placeholders</v>
      </c>
      <c r="AE60" s="172" t="b">
        <v>1</v>
      </c>
      <c r="AF60" s="173" t="s">
        <v>419</v>
      </c>
      <c r="AG60" s="174" t="str">
        <f t="shared" ca="1" si="25"/>
        <v>-</v>
      </c>
      <c r="AH60" s="195" t="s">
        <v>214</v>
      </c>
      <c r="AI60" s="176" t="str">
        <f ca="1">IFERROR(VLOOKUP($AH60, '(勿動)Component Label公版'!$D$1:$E$1000, 2, FALSE), "-")</f>
        <v>-</v>
      </c>
      <c r="AJ60" s="579" t="s">
        <v>215</v>
      </c>
      <c r="AK60" s="202"/>
      <c r="AL60" s="202"/>
      <c r="AM60" s="189" t="str">
        <f t="shared" si="26"/>
        <v/>
      </c>
      <c r="AN60" s="190" t="str">
        <f t="shared" si="27"/>
        <v/>
      </c>
      <c r="AO60" s="533" t="s">
        <v>565</v>
      </c>
      <c r="AP60" s="384"/>
      <c r="AQ60" s="384"/>
      <c r="AR60" s="384"/>
      <c r="AS60" s="384"/>
      <c r="AT60" s="385"/>
      <c r="AU60" s="235" t="b">
        <v>1</v>
      </c>
      <c r="AV60" s="180" t="b">
        <v>0</v>
      </c>
      <c r="AW60" s="186"/>
      <c r="AX60" s="187"/>
      <c r="AY60" s="187"/>
      <c r="AZ60" s="187"/>
      <c r="BA60" s="188"/>
      <c r="BB60" s="191" t="s">
        <v>147</v>
      </c>
      <c r="BC60" s="179" t="s">
        <v>154</v>
      </c>
      <c r="BD60" s="198" t="str">
        <f t="shared" si="28"/>
        <v>圖_MSBN_無CTA</v>
      </c>
      <c r="BE60" s="199" t="str">
        <f>IFERROR(VLOOKUP($BD60,'(勿動)組件目錄表'!$D$15:$R$1110,2,FALSE),"")</f>
        <v>I-1</v>
      </c>
      <c r="BF60" s="200">
        <f>IFERROR(VLOOKUP($BD60, '(勿動)組件目錄表'!$D$15:$R$1110, 5, FALSE),"")</f>
        <v>0.5</v>
      </c>
      <c r="BG60" s="181"/>
      <c r="BH60" s="183"/>
      <c r="BI60" s="181"/>
      <c r="BJ60" s="183"/>
    </row>
    <row r="61" spans="1:62" ht="31.5" customHeight="1">
      <c r="A61" s="160"/>
      <c r="B61" s="160"/>
      <c r="C61" s="160"/>
      <c r="D61" s="160"/>
      <c r="E61" s="160"/>
      <c r="F61" s="160"/>
      <c r="G61" s="160"/>
      <c r="H61" s="160"/>
      <c r="I61" s="160"/>
      <c r="J61" s="160"/>
      <c r="K61" s="160"/>
      <c r="L61" s="160"/>
      <c r="M61" s="160"/>
      <c r="N61" s="160"/>
      <c r="O61" s="160"/>
      <c r="P61" s="160"/>
      <c r="Q61" s="160"/>
      <c r="R61" s="160"/>
      <c r="S61" s="160"/>
      <c r="T61" s="160"/>
      <c r="U61" s="160"/>
      <c r="V61" s="160"/>
      <c r="W61" s="160"/>
      <c r="X61" s="160"/>
      <c r="Y61" s="160"/>
      <c r="Z61" s="160"/>
      <c r="AA61" s="160"/>
      <c r="AB61" s="160"/>
      <c r="AC61" s="160"/>
      <c r="AD61" s="160"/>
      <c r="AE61" s="212" t="b">
        <v>0</v>
      </c>
      <c r="AF61" s="173"/>
      <c r="AG61" s="174"/>
      <c r="AH61" s="195" t="s">
        <v>214</v>
      </c>
      <c r="AI61" s="176" t="str">
        <f ca="1">IFERROR(VLOOKUP($AH61, '(勿動)Component Label公版'!$D$1:$E$1000, 2, FALSE), "-")</f>
        <v>-</v>
      </c>
      <c r="AJ61" s="483"/>
      <c r="AK61" s="202"/>
      <c r="AL61" s="202"/>
      <c r="AM61" s="189"/>
      <c r="AN61" s="190"/>
      <c r="AO61" s="533" t="s">
        <v>566</v>
      </c>
      <c r="AP61" s="384"/>
      <c r="AQ61" s="384"/>
      <c r="AR61" s="384"/>
      <c r="AS61" s="384"/>
      <c r="AT61" s="385"/>
      <c r="AU61" s="235" t="b">
        <v>1</v>
      </c>
      <c r="AV61" s="180" t="b">
        <v>0</v>
      </c>
      <c r="AW61" s="186"/>
      <c r="AX61" s="187"/>
      <c r="AY61" s="187"/>
      <c r="AZ61" s="187"/>
      <c r="BA61" s="188"/>
      <c r="BB61" s="191" t="s">
        <v>147</v>
      </c>
      <c r="BC61" s="179" t="s">
        <v>154</v>
      </c>
      <c r="BD61" s="198"/>
      <c r="BE61" s="199"/>
      <c r="BF61" s="200"/>
      <c r="BG61" s="181"/>
      <c r="BH61" s="183"/>
      <c r="BI61" s="181"/>
      <c r="BJ61" s="183"/>
    </row>
    <row r="62" spans="1:62" ht="15.75" customHeight="1">
      <c r="A62" s="160" t="str">
        <f t="array" aca="1" ref="A62:I62" ca="1">IFERROR(TRANSPOSE(INDIRECT(L1_暖正版配!$BB62)),"")</f>
        <v>一排1張(單張/多張)(無一鍵領取)</v>
      </c>
      <c r="B62" s="160" t="str">
        <f ca="1"/>
        <v>一排1張 + Reminder(單張/多張)(無一鍵領取)</v>
      </c>
      <c r="C62" s="160" t="str">
        <f ca="1"/>
        <v>一排1張 + 一鍵領取(多張)</v>
      </c>
      <c r="D62" s="160" t="str">
        <f ca="1"/>
        <v>【僅供MKT Campaign使用】PC：一排兩張；APP：一排1張 + 一鍵領取(多張)</v>
      </c>
      <c r="E62" s="160" t="str">
        <f ca="1"/>
        <v>【僅供MKT Campaign使用】PC：一排兩張；APP：一排1張 + 一鍵領取(多張) + Reminder</v>
      </c>
      <c r="F62" s="160" t="str">
        <f ca="1"/>
        <v>【僅供MKT Campaign使用】PC：一排兩張；APP：一排1張 + 一鍵領取(多張) + Reminder + 查看全部(系統預設加上「優惠券」文案)</v>
      </c>
      <c r="G62" s="160" t="str">
        <f ca="1"/>
        <v>一排2張(單張/多張)(無一鍵領取)</v>
      </c>
      <c r="H62" s="160" t="str">
        <f ca="1"/>
        <v>一排2張 + Reminder(單張/多張)(無一鍵領取)</v>
      </c>
      <c r="I62" s="160" t="str">
        <f ca="1"/>
        <v>一排2張 + 一鍵領取(多張)</v>
      </c>
      <c r="J62" s="160"/>
      <c r="K62" s="160"/>
      <c r="L62" s="160"/>
      <c r="M62" s="160"/>
      <c r="N62" s="160"/>
      <c r="O62" s="160"/>
      <c r="P62" s="160"/>
      <c r="Q62" s="160"/>
      <c r="R62" s="160"/>
      <c r="S62" s="160"/>
      <c r="T62" s="160"/>
      <c r="U62" s="160"/>
      <c r="V62" s="160"/>
      <c r="W62" s="160"/>
      <c r="X62" s="160"/>
      <c r="Y62" s="160"/>
      <c r="Z62" s="160"/>
      <c r="AA62" s="160"/>
      <c r="AB62" s="160"/>
      <c r="AC62" s="160"/>
      <c r="AD62" s="160"/>
      <c r="AE62" s="212" t="b">
        <v>0</v>
      </c>
      <c r="AF62" s="173" t="str">
        <f t="shared" ref="AF62:AF64" si="29">IF(AE62=TRUE,"若有勾選則必填，隱藏錨點請填寫&lt;設隱形錨點&gt;","")</f>
        <v/>
      </c>
      <c r="AG62" s="174" t="str">
        <f t="shared" ref="AG62:AG64" si="30">IF(AF62="設隱形錨點","",IF(AE62=FALSE,"",IF(AE62=TRUE, SUBSTITUTE($AI62, "_", ""))))</f>
        <v/>
      </c>
      <c r="AH62" s="195" t="s">
        <v>214</v>
      </c>
      <c r="AI62" s="176" t="str">
        <f ca="1">IFERROR(VLOOKUP($AH62, '(勿動)Component Label公版'!$D$1:$E$1000, 2, FALSE), "-")</f>
        <v>-</v>
      </c>
      <c r="AJ62" s="483"/>
      <c r="AK62" s="174"/>
      <c r="AL62" s="174"/>
      <c r="AM62" s="189" t="str">
        <f t="shared" ref="AM62:AM101" si="31">IFERROR(
  IF(TRIM(AK62)="", "",
    TEXT(
      DATEVALUE("2026/" &amp; LEFT(TRIM(AK62), FIND(" ", TRIM(AK62)) - 1)) +
      TIMEVALUE(MID(TRIM(AK62), FIND(" ", TRIM(AK62)) + 1, LEN(TRIM(AK62)))),
      "yyyy-mm-dd hh:mm:ss"
    )
  ),
"")</f>
        <v/>
      </c>
      <c r="AN62" s="190" t="str">
        <f t="shared" ref="AN62:AN101" si="32">IFERROR(
  IF(TRIM(AL62)="", "",
    TEXT(
      DATEVALUE("2026/" &amp; LEFT(TRIM(AL62), FIND(" ", TRIM(AL62)) - 1)) +
      TIMEVALUE(MID(TRIM(AL62), FIND(" ", TRIM(AL62)) + 1, 5)) +
      TIME(0,0,59),
      "yyyy-mm-dd hh:mm:ss"
    )
  ),
"")</f>
        <v/>
      </c>
      <c r="AO62" s="530" t="s">
        <v>567</v>
      </c>
      <c r="AP62" s="384"/>
      <c r="AQ62" s="384"/>
      <c r="AR62" s="384"/>
      <c r="AS62" s="384"/>
      <c r="AT62" s="385"/>
      <c r="AU62" s="180" t="b">
        <v>0</v>
      </c>
      <c r="AV62" s="180" t="b">
        <v>0</v>
      </c>
      <c r="AW62" s="186"/>
      <c r="AX62" s="187"/>
      <c r="AY62" s="187"/>
      <c r="AZ62" s="187"/>
      <c r="BA62" s="188"/>
      <c r="BB62" s="191" t="s">
        <v>182</v>
      </c>
      <c r="BC62" s="179" t="s">
        <v>222</v>
      </c>
      <c r="BD62" s="198" t="str">
        <f t="shared" ref="BD62:BD101" si="33">$BB62&amp;"_"&amp;$BC62</f>
        <v>優惠券_真券_一排1張(單張/多張)(無一鍵領取)</v>
      </c>
      <c r="BE62" s="199" t="str">
        <f>IFERROR(VLOOKUP($BD62,'(勿動)組件目錄表'!$D$15:$R$1110,2,FALSE),"")</f>
        <v>F-1</v>
      </c>
      <c r="BF62" s="200">
        <f>IFERROR(VLOOKUP($BD62, '(勿動)組件目錄表'!$D$15:$R$1110, 5, FALSE),"")</f>
        <v>0.5</v>
      </c>
      <c r="BG62" s="181"/>
      <c r="BH62" s="183"/>
      <c r="BI62" s="181"/>
      <c r="BJ62" s="183"/>
    </row>
    <row r="63" spans="1:62" ht="15.75" customHeight="1">
      <c r="A63" s="160" t="str">
        <f t="array" aca="1" ref="A63:I63" ca="1">IFERROR(TRANSPOSE(INDIRECT(L1_暖正版配!$BB63)),"")</f>
        <v>一排1張(單張/多張)(無一鍵領取)</v>
      </c>
      <c r="B63" s="160" t="str">
        <f ca="1"/>
        <v>一排1張 + Reminder(單張/多張)(無一鍵領取)</v>
      </c>
      <c r="C63" s="160" t="str">
        <f ca="1"/>
        <v>一排1張 + 一鍵領取(多張)</v>
      </c>
      <c r="D63" s="160" t="str">
        <f ca="1"/>
        <v>【僅供MKT Campaign使用】PC：一排兩張；APP：一排1張 + 一鍵領取(多張)</v>
      </c>
      <c r="E63" s="160" t="str">
        <f ca="1"/>
        <v>【僅供MKT Campaign使用】PC：一排兩張；APP：一排1張 + 一鍵領取(多張) + Reminder</v>
      </c>
      <c r="F63" s="160" t="str">
        <f ca="1"/>
        <v>【僅供MKT Campaign使用】PC：一排兩張；APP：一排1張 + 一鍵領取(多張) + Reminder + 查看全部(系統預設加上「優惠券」文案)</v>
      </c>
      <c r="G63" s="160" t="str">
        <f ca="1"/>
        <v>一排2張(單張/多張)(無一鍵領取)</v>
      </c>
      <c r="H63" s="160" t="str">
        <f ca="1"/>
        <v>一排2張 + Reminder(單張/多張)(無一鍵領取)</v>
      </c>
      <c r="I63" s="160" t="str">
        <f ca="1"/>
        <v>一排2張 + 一鍵領取(多張)</v>
      </c>
      <c r="J63" s="160"/>
      <c r="K63" s="160"/>
      <c r="L63" s="160"/>
      <c r="M63" s="160"/>
      <c r="N63" s="160"/>
      <c r="O63" s="160"/>
      <c r="P63" s="160"/>
      <c r="Q63" s="160"/>
      <c r="R63" s="160"/>
      <c r="S63" s="160"/>
      <c r="T63" s="160"/>
      <c r="U63" s="160"/>
      <c r="V63" s="160"/>
      <c r="W63" s="160"/>
      <c r="X63" s="160"/>
      <c r="Y63" s="160"/>
      <c r="Z63" s="160"/>
      <c r="AA63" s="160"/>
      <c r="AB63" s="160"/>
      <c r="AC63" s="160"/>
      <c r="AD63" s="160"/>
      <c r="AE63" s="212" t="b">
        <v>0</v>
      </c>
      <c r="AF63" s="173" t="str">
        <f t="shared" si="29"/>
        <v/>
      </c>
      <c r="AG63" s="174" t="str">
        <f t="shared" si="30"/>
        <v/>
      </c>
      <c r="AH63" s="195" t="s">
        <v>214</v>
      </c>
      <c r="AI63" s="176" t="str">
        <f ca="1">IFERROR(VLOOKUP($AH63, '(勿動)Component Label公版'!$D$1:$E$1000, 2, FALSE), "-")</f>
        <v>-</v>
      </c>
      <c r="AJ63" s="483"/>
      <c r="AK63" s="202"/>
      <c r="AL63" s="202"/>
      <c r="AM63" s="189" t="str">
        <f t="shared" si="31"/>
        <v/>
      </c>
      <c r="AN63" s="190" t="str">
        <f t="shared" si="32"/>
        <v/>
      </c>
      <c r="AO63" s="530" t="s">
        <v>568</v>
      </c>
      <c r="AP63" s="384"/>
      <c r="AQ63" s="384"/>
      <c r="AR63" s="384"/>
      <c r="AS63" s="384"/>
      <c r="AT63" s="385"/>
      <c r="AU63" s="180" t="b">
        <v>0</v>
      </c>
      <c r="AV63" s="180" t="b">
        <v>0</v>
      </c>
      <c r="AW63" s="186"/>
      <c r="AX63" s="187"/>
      <c r="AY63" s="187"/>
      <c r="AZ63" s="187"/>
      <c r="BA63" s="188"/>
      <c r="BB63" s="191" t="s">
        <v>182</v>
      </c>
      <c r="BC63" s="179" t="s">
        <v>222</v>
      </c>
      <c r="BD63" s="198" t="str">
        <f t="shared" si="33"/>
        <v>優惠券_真券_一排1張(單張/多張)(無一鍵領取)</v>
      </c>
      <c r="BE63" s="199" t="str">
        <f>IFERROR(VLOOKUP($BD63,'(勿動)組件目錄表'!$D$15:$R$1110,2,FALSE),"")</f>
        <v>F-1</v>
      </c>
      <c r="BF63" s="200">
        <f>IFERROR(VLOOKUP($BD63, '(勿動)組件目錄表'!$D$15:$R$1110, 5, FALSE),"")</f>
        <v>0.5</v>
      </c>
      <c r="BG63" s="181"/>
      <c r="BH63" s="183"/>
      <c r="BI63" s="181"/>
      <c r="BJ63" s="183"/>
    </row>
    <row r="64" spans="1:62" ht="15.75" customHeight="1">
      <c r="A64" s="160" t="str">
        <f t="array" aca="1" ref="A64:AD64" ca="1">IFERROR(TRANSPOSE(INDIRECT(L1_暖正版配!$BB64)),"")</f>
        <v>無CTA</v>
      </c>
      <c r="B64" s="160" t="str">
        <f ca="1"/>
        <v>LINK*1</v>
      </c>
      <c r="C64" s="160" t="str">
        <f ca="1"/>
        <v>LINK*2</v>
      </c>
      <c r="D64" s="160" t="str">
        <f ca="1"/>
        <v>LINK*3</v>
      </c>
      <c r="E64" s="160" t="str">
        <f ca="1"/>
        <v>LINK&gt;3</v>
      </c>
      <c r="F64" s="160" t="str">
        <f ca="1"/>
        <v>Reminder*1</v>
      </c>
      <c r="G64" s="160" t="str">
        <f ca="1"/>
        <v>Reminder*2</v>
      </c>
      <c r="H64" s="160" t="str">
        <f ca="1"/>
        <v>Reminder*3</v>
      </c>
      <c r="I64" s="160" t="str">
        <f ca="1"/>
        <v>Reminder*4</v>
      </c>
      <c r="J64" s="160" t="str">
        <f ca="1"/>
        <v>Reminder*5</v>
      </c>
      <c r="K64" s="160" t="str">
        <f ca="1"/>
        <v>Reminder&gt;5</v>
      </c>
      <c r="L64" s="160" t="str">
        <f ca="1"/>
        <v>LINK*1 + Reminder*1</v>
      </c>
      <c r="M64" s="160" t="str">
        <f ca="1"/>
        <v>LINK*1 + Reminder*2</v>
      </c>
      <c r="N64" s="160" t="str">
        <f ca="1"/>
        <v>LINK*2 + Reminder*1</v>
      </c>
      <c r="O64" s="160" t="str">
        <f ca="1"/>
        <v>Add to Cart*1</v>
      </c>
      <c r="P64" s="160" t="str">
        <f ca="1"/>
        <v>Add to Cart*2</v>
      </c>
      <c r="Q64" s="160" t="str">
        <f ca="1"/>
        <v>Add to Cart*3</v>
      </c>
      <c r="R64" s="160" t="str">
        <f ca="1"/>
        <v>(Reminder+ATC) *1</v>
      </c>
      <c r="S64" s="160" t="str">
        <f ca="1"/>
        <v>(Reminder+ATC) *2</v>
      </c>
      <c r="T64" s="160" t="str">
        <f ca="1"/>
        <v>(Reminder+ATC) *3</v>
      </c>
      <c r="U64" s="160" t="str">
        <f ca="1"/>
        <v>Popup*1</v>
      </c>
      <c r="V64" s="160" t="str">
        <f ca="1"/>
        <v>Popup*2</v>
      </c>
      <c r="W64" s="160" t="str">
        <f ca="1"/>
        <v>Popup*3</v>
      </c>
      <c r="X64" s="160" t="str">
        <f ca="1"/>
        <v>Copy*1</v>
      </c>
      <c r="Y64" s="160" t="str">
        <f ca="1"/>
        <v>Copy*2</v>
      </c>
      <c r="Z64" s="160" t="str">
        <f ca="1"/>
        <v>Copy*3</v>
      </c>
      <c r="AA64" s="160" t="str">
        <f ca="1"/>
        <v>Share*1</v>
      </c>
      <c r="AB64" s="160" t="str">
        <f ca="1"/>
        <v>Share*2</v>
      </c>
      <c r="AC64" s="160" t="str">
        <f ca="1"/>
        <v>Share*3</v>
      </c>
      <c r="AD64" s="160" t="str">
        <f ca="1"/>
        <v>Placeholders</v>
      </c>
      <c r="AE64" s="208" t="b">
        <v>0</v>
      </c>
      <c r="AF64" s="203" t="str">
        <f t="shared" si="29"/>
        <v/>
      </c>
      <c r="AG64" s="203" t="str">
        <f t="shared" si="30"/>
        <v/>
      </c>
      <c r="AH64" s="195" t="s">
        <v>214</v>
      </c>
      <c r="AI64" s="176" t="str">
        <f ca="1">IFERROR(VLOOKUP($AH64, '(勿動)Component Label公版'!$D$1:$E$1000, 2, FALSE), "-")</f>
        <v>-</v>
      </c>
      <c r="AJ64" s="379"/>
      <c r="AK64" s="203"/>
      <c r="AL64" s="203"/>
      <c r="AM64" s="203" t="str">
        <f t="shared" si="31"/>
        <v/>
      </c>
      <c r="AN64" s="204" t="str">
        <f t="shared" si="32"/>
        <v/>
      </c>
      <c r="AO64" s="535" t="s">
        <v>268</v>
      </c>
      <c r="AP64" s="384"/>
      <c r="AQ64" s="384"/>
      <c r="AR64" s="384"/>
      <c r="AS64" s="384"/>
      <c r="AT64" s="385"/>
      <c r="AU64" s="235" t="b">
        <v>1</v>
      </c>
      <c r="AV64" s="180" t="b">
        <v>0</v>
      </c>
      <c r="AW64" s="186"/>
      <c r="AX64" s="187"/>
      <c r="AY64" s="187"/>
      <c r="AZ64" s="187"/>
      <c r="BA64" s="188"/>
      <c r="BB64" s="191" t="s">
        <v>147</v>
      </c>
      <c r="BC64" s="179" t="s">
        <v>154</v>
      </c>
      <c r="BD64" s="198" t="str">
        <f t="shared" si="33"/>
        <v>圖_MSBN_無CTA</v>
      </c>
      <c r="BE64" s="190" t="str">
        <f>IFERROR(VLOOKUP($BD64,'(勿動)組件目錄表'!$D$15:$R$1110,2,FALSE),"")</f>
        <v>I-1</v>
      </c>
      <c r="BF64" s="205">
        <f>IFERROR(VLOOKUP($BD64, '(勿動)組件目錄表'!$D$15:$R$1110, 5, FALSE),"")</f>
        <v>0.5</v>
      </c>
      <c r="BG64" s="118"/>
      <c r="BH64" s="120"/>
      <c r="BI64" s="118"/>
      <c r="BJ64" s="120"/>
    </row>
    <row r="65" spans="1:62" ht="15.75" customHeight="1">
      <c r="A65" s="160" t="str">
        <f t="array" aca="1" ref="A65:AD65" ca="1">IFERROR(TRANSPOSE(INDIRECT(L1_暖正版配!$BB65)),"")</f>
        <v>無CTA</v>
      </c>
      <c r="B65" s="160" t="str">
        <f ca="1"/>
        <v>LINK*1</v>
      </c>
      <c r="C65" s="160" t="str">
        <f ca="1"/>
        <v>LINK*2</v>
      </c>
      <c r="D65" s="160" t="str">
        <f ca="1"/>
        <v>LINK*3</v>
      </c>
      <c r="E65" s="160" t="str">
        <f ca="1"/>
        <v>LINK&gt;3</v>
      </c>
      <c r="F65" s="160" t="str">
        <f ca="1"/>
        <v>Reminder*1</v>
      </c>
      <c r="G65" s="160" t="str">
        <f ca="1"/>
        <v>Reminder*2</v>
      </c>
      <c r="H65" s="160" t="str">
        <f ca="1"/>
        <v>Reminder*3</v>
      </c>
      <c r="I65" s="160" t="str">
        <f ca="1"/>
        <v>Reminder*4</v>
      </c>
      <c r="J65" s="160" t="str">
        <f ca="1"/>
        <v>Reminder*5</v>
      </c>
      <c r="K65" s="160" t="str">
        <f ca="1"/>
        <v>Reminder&gt;5</v>
      </c>
      <c r="L65" s="160" t="str">
        <f ca="1"/>
        <v>LINK*1 + Reminder*1</v>
      </c>
      <c r="M65" s="160" t="str">
        <f ca="1"/>
        <v>LINK*1 + Reminder*2</v>
      </c>
      <c r="N65" s="160" t="str">
        <f ca="1"/>
        <v>LINK*2 + Reminder*1</v>
      </c>
      <c r="O65" s="160" t="str">
        <f ca="1"/>
        <v>Add to Cart*1</v>
      </c>
      <c r="P65" s="160" t="str">
        <f ca="1"/>
        <v>Add to Cart*2</v>
      </c>
      <c r="Q65" s="160" t="str">
        <f ca="1"/>
        <v>Add to Cart*3</v>
      </c>
      <c r="R65" s="160" t="str">
        <f ca="1"/>
        <v>(Reminder+ATC) *1</v>
      </c>
      <c r="S65" s="160" t="str">
        <f ca="1"/>
        <v>(Reminder+ATC) *2</v>
      </c>
      <c r="T65" s="160" t="str">
        <f ca="1"/>
        <v>(Reminder+ATC) *3</v>
      </c>
      <c r="U65" s="160" t="str">
        <f ca="1"/>
        <v>Popup*1</v>
      </c>
      <c r="V65" s="160" t="str">
        <f ca="1"/>
        <v>Popup*2</v>
      </c>
      <c r="W65" s="160" t="str">
        <f ca="1"/>
        <v>Popup*3</v>
      </c>
      <c r="X65" s="160" t="str">
        <f ca="1"/>
        <v>Copy*1</v>
      </c>
      <c r="Y65" s="160" t="str">
        <f ca="1"/>
        <v>Copy*2</v>
      </c>
      <c r="Z65" s="160" t="str">
        <f ca="1"/>
        <v>Copy*3</v>
      </c>
      <c r="AA65" s="160" t="str">
        <f ca="1"/>
        <v>Share*1</v>
      </c>
      <c r="AB65" s="160" t="str">
        <f ca="1"/>
        <v>Share*2</v>
      </c>
      <c r="AC65" s="160" t="str">
        <f ca="1"/>
        <v>Share*3</v>
      </c>
      <c r="AD65" s="160" t="str">
        <f ca="1"/>
        <v>Placeholders</v>
      </c>
      <c r="AE65" s="212" t="b">
        <v>1</v>
      </c>
      <c r="AF65" s="173" t="s">
        <v>420</v>
      </c>
      <c r="AG65" s="174" t="s">
        <v>569</v>
      </c>
      <c r="AH65" s="195" t="s">
        <v>570</v>
      </c>
      <c r="AI65" s="176" t="str">
        <f ca="1">IFERROR(VLOOKUP($AH65, '(勿動)Component Label公版'!$D$1:$E$1000, 2, FALSE), "-")</f>
        <v>-</v>
      </c>
      <c r="AJ65" s="177"/>
      <c r="AK65" s="575" t="s">
        <v>434</v>
      </c>
      <c r="AL65" s="575" t="s">
        <v>440</v>
      </c>
      <c r="AM65" s="189" t="str">
        <f t="shared" si="31"/>
        <v/>
      </c>
      <c r="AN65" s="190" t="str">
        <f t="shared" si="32"/>
        <v>2026-04-17 23:59:59</v>
      </c>
      <c r="AO65" s="533" t="s">
        <v>571</v>
      </c>
      <c r="AP65" s="384"/>
      <c r="AQ65" s="384"/>
      <c r="AR65" s="384"/>
      <c r="AS65" s="384"/>
      <c r="AT65" s="385"/>
      <c r="AU65" s="235" t="b">
        <v>1</v>
      </c>
      <c r="AV65" s="180" t="b">
        <v>0</v>
      </c>
      <c r="AW65" s="186"/>
      <c r="AX65" s="187"/>
      <c r="AY65" s="187"/>
      <c r="AZ65" s="187"/>
      <c r="BA65" s="188"/>
      <c r="BB65" s="191" t="s">
        <v>147</v>
      </c>
      <c r="BC65" s="179" t="s">
        <v>154</v>
      </c>
      <c r="BD65" s="198" t="str">
        <f t="shared" si="33"/>
        <v>圖_MSBN_無CTA</v>
      </c>
      <c r="BE65" s="199" t="str">
        <f>IFERROR(VLOOKUP($BD65,'(勿動)組件目錄表'!$D$15:$R$1110,2,FALSE),"")</f>
        <v>I-1</v>
      </c>
      <c r="BF65" s="200">
        <f>IFERROR(VLOOKUP($BD65, '(勿動)組件目錄表'!$D$15:$R$1110, 5, FALSE),"")</f>
        <v>0.5</v>
      </c>
      <c r="BG65" s="592" t="s">
        <v>572</v>
      </c>
      <c r="BH65" s="183"/>
      <c r="BI65" s="236" t="s">
        <v>573</v>
      </c>
      <c r="BJ65" s="583" t="s">
        <v>456</v>
      </c>
    </row>
    <row r="66" spans="1:62" ht="15.75" customHeight="1">
      <c r="A66" s="160" t="str">
        <f t="array" aca="1" ref="A66:AD66" ca="1">IFERROR(TRANSPOSE(INDIRECT(L1_暖正版配!$BB66)),"")</f>
        <v>無CTA</v>
      </c>
      <c r="B66" s="160" t="str">
        <f ca="1"/>
        <v>LINK*1</v>
      </c>
      <c r="C66" s="160" t="str">
        <f ca="1"/>
        <v>LINK*2</v>
      </c>
      <c r="D66" s="160" t="str">
        <f ca="1"/>
        <v>LINK*3</v>
      </c>
      <c r="E66" s="160" t="str">
        <f ca="1"/>
        <v>LINK&gt;3</v>
      </c>
      <c r="F66" s="160" t="str">
        <f ca="1"/>
        <v>Reminder*1</v>
      </c>
      <c r="G66" s="160" t="str">
        <f ca="1"/>
        <v>Reminder*2</v>
      </c>
      <c r="H66" s="160" t="str">
        <f ca="1"/>
        <v>Reminder*3</v>
      </c>
      <c r="I66" s="160" t="str">
        <f ca="1"/>
        <v>Reminder*4</v>
      </c>
      <c r="J66" s="160" t="str">
        <f ca="1"/>
        <v>Reminder*5</v>
      </c>
      <c r="K66" s="160" t="str">
        <f ca="1"/>
        <v>Reminder&gt;5</v>
      </c>
      <c r="L66" s="160" t="str">
        <f ca="1"/>
        <v>LINK*1 + Reminder*1</v>
      </c>
      <c r="M66" s="160" t="str">
        <f ca="1"/>
        <v>LINK*1 + Reminder*2</v>
      </c>
      <c r="N66" s="160" t="str">
        <f ca="1"/>
        <v>LINK*2 + Reminder*1</v>
      </c>
      <c r="O66" s="160" t="str">
        <f ca="1"/>
        <v>Add to Cart*1</v>
      </c>
      <c r="P66" s="160" t="str">
        <f ca="1"/>
        <v>Add to Cart*2</v>
      </c>
      <c r="Q66" s="160" t="str">
        <f ca="1"/>
        <v>Add to Cart*3</v>
      </c>
      <c r="R66" s="160" t="str">
        <f ca="1"/>
        <v>(Reminder+ATC) *1</v>
      </c>
      <c r="S66" s="160" t="str">
        <f ca="1"/>
        <v>(Reminder+ATC) *2</v>
      </c>
      <c r="T66" s="160" t="str">
        <f ca="1"/>
        <v>(Reminder+ATC) *3</v>
      </c>
      <c r="U66" s="160" t="str">
        <f ca="1"/>
        <v>Popup*1</v>
      </c>
      <c r="V66" s="160" t="str">
        <f ca="1"/>
        <v>Popup*2</v>
      </c>
      <c r="W66" s="160" t="str">
        <f ca="1"/>
        <v>Popup*3</v>
      </c>
      <c r="X66" s="160" t="str">
        <f ca="1"/>
        <v>Copy*1</v>
      </c>
      <c r="Y66" s="160" t="str">
        <f ca="1"/>
        <v>Copy*2</v>
      </c>
      <c r="Z66" s="160" t="str">
        <f ca="1"/>
        <v>Copy*3</v>
      </c>
      <c r="AA66" s="160" t="str">
        <f ca="1"/>
        <v>Share*1</v>
      </c>
      <c r="AB66" s="160" t="str">
        <f ca="1"/>
        <v>Share*2</v>
      </c>
      <c r="AC66" s="160" t="str">
        <f ca="1"/>
        <v>Share*3</v>
      </c>
      <c r="AD66" s="160" t="str">
        <f ca="1"/>
        <v>Placeholders</v>
      </c>
      <c r="AE66" s="226" t="b">
        <v>0</v>
      </c>
      <c r="AF66" s="173" t="str">
        <f t="shared" ref="AF66:AF68" si="34">IF(AE66=TRUE,"若有勾選則必填，隱藏錨點請填寫&lt;設隱形錨點&gt;","")</f>
        <v/>
      </c>
      <c r="AG66" s="174" t="str">
        <f t="shared" ref="AG66:AG68" si="35">IF(AF66="設隱形錨點","",IF(AE66=FALSE,"",IF(AE66=TRUE, SUBSTITUTE($AI66, "_", ""))))</f>
        <v/>
      </c>
      <c r="AH66" s="195" t="s">
        <v>570</v>
      </c>
      <c r="AI66" s="176" t="str">
        <f ca="1">IFERROR(VLOOKUP($AH66, '(勿動)Component Label公版'!$D$1:$E$1000, 2, FALSE), "-")</f>
        <v>-</v>
      </c>
      <c r="AJ66" s="177"/>
      <c r="AK66" s="483"/>
      <c r="AL66" s="483"/>
      <c r="AM66" s="189" t="str">
        <f t="shared" si="31"/>
        <v/>
      </c>
      <c r="AN66" s="190" t="str">
        <f t="shared" si="32"/>
        <v/>
      </c>
      <c r="AO66" s="533" t="s">
        <v>574</v>
      </c>
      <c r="AP66" s="384"/>
      <c r="AQ66" s="384"/>
      <c r="AR66" s="384"/>
      <c r="AS66" s="384"/>
      <c r="AT66" s="385"/>
      <c r="AU66" s="235" t="b">
        <v>1</v>
      </c>
      <c r="AV66" s="180" t="b">
        <v>0</v>
      </c>
      <c r="AW66" s="186"/>
      <c r="AX66" s="187"/>
      <c r="AY66" s="187"/>
      <c r="AZ66" s="187"/>
      <c r="BA66" s="188"/>
      <c r="BB66" s="191" t="s">
        <v>147</v>
      </c>
      <c r="BC66" s="179" t="s">
        <v>154</v>
      </c>
      <c r="BD66" s="198" t="str">
        <f t="shared" si="33"/>
        <v>圖_MSBN_無CTA</v>
      </c>
      <c r="BE66" s="199" t="str">
        <f>IFERROR(VLOOKUP($BD66,'(勿動)組件目錄表'!$D$15:$R$1110,2,FALSE),"")</f>
        <v>I-1</v>
      </c>
      <c r="BF66" s="200">
        <f>IFERROR(VLOOKUP($BD66, '(勿動)組件目錄表'!$D$15:$R$1110, 5, FALSE),"")</f>
        <v>0.5</v>
      </c>
      <c r="BG66" s="587"/>
      <c r="BH66" s="183"/>
      <c r="BI66" s="181"/>
      <c r="BJ66" s="584"/>
    </row>
    <row r="67" spans="1:62" ht="15.75" customHeight="1">
      <c r="A67" s="160" t="str">
        <f t="array" aca="1" ref="A67:I67" ca="1">IFERROR(TRANSPOSE(INDIRECT(L1_暖正版配!$BB67)),"")</f>
        <v>一排1張(單張/多張)(無一鍵領取)</v>
      </c>
      <c r="B67" s="160" t="str">
        <f ca="1"/>
        <v>一排1張 + Reminder(單張/多張)(無一鍵領取)</v>
      </c>
      <c r="C67" s="160" t="str">
        <f ca="1"/>
        <v>一排1張 + 一鍵領取(多張)</v>
      </c>
      <c r="D67" s="160" t="str">
        <f ca="1"/>
        <v>【僅供MKT Campaign使用】PC：一排兩張；APP：一排1張 + 一鍵領取(多張)</v>
      </c>
      <c r="E67" s="160" t="str">
        <f ca="1"/>
        <v>【僅供MKT Campaign使用】PC：一排兩張；APP：一排1張 + 一鍵領取(多張) + Reminder</v>
      </c>
      <c r="F67" s="160" t="str">
        <f ca="1"/>
        <v>【僅供MKT Campaign使用】PC：一排兩張；APP：一排1張 + 一鍵領取(多張) + Reminder + 查看全部(系統預設加上「優惠券」文案)</v>
      </c>
      <c r="G67" s="160" t="str">
        <f ca="1"/>
        <v>一排2張(單張/多張)(無一鍵領取)</v>
      </c>
      <c r="H67" s="160" t="str">
        <f ca="1"/>
        <v>一排2張 + Reminder(單張/多張)(無一鍵領取)</v>
      </c>
      <c r="I67" s="160" t="str">
        <f ca="1"/>
        <v>一排2張 + 一鍵領取(多張)</v>
      </c>
      <c r="J67" s="160"/>
      <c r="K67" s="160"/>
      <c r="L67" s="160"/>
      <c r="M67" s="160"/>
      <c r="N67" s="160"/>
      <c r="O67" s="160"/>
      <c r="P67" s="160"/>
      <c r="Q67" s="160"/>
      <c r="R67" s="160"/>
      <c r="S67" s="160"/>
      <c r="T67" s="160"/>
      <c r="U67" s="160"/>
      <c r="V67" s="160"/>
      <c r="W67" s="160"/>
      <c r="X67" s="160"/>
      <c r="Y67" s="160"/>
      <c r="Z67" s="160"/>
      <c r="AA67" s="160"/>
      <c r="AB67" s="160"/>
      <c r="AC67" s="160"/>
      <c r="AD67" s="160"/>
      <c r="AE67" s="226" t="b">
        <v>0</v>
      </c>
      <c r="AF67" s="173" t="str">
        <f t="shared" si="34"/>
        <v/>
      </c>
      <c r="AG67" s="174" t="str">
        <f t="shared" si="35"/>
        <v/>
      </c>
      <c r="AH67" s="195" t="s">
        <v>570</v>
      </c>
      <c r="AI67" s="176" t="str">
        <f ca="1">IFERROR(VLOOKUP($AH67, '(勿動)Component Label公版'!$D$1:$E$1000, 2, FALSE), "-")</f>
        <v>-</v>
      </c>
      <c r="AJ67" s="177"/>
      <c r="AK67" s="483"/>
      <c r="AL67" s="483"/>
      <c r="AM67" s="189" t="str">
        <f t="shared" si="31"/>
        <v/>
      </c>
      <c r="AN67" s="190" t="str">
        <f t="shared" si="32"/>
        <v/>
      </c>
      <c r="AO67" s="534" t="s">
        <v>575</v>
      </c>
      <c r="AP67" s="384"/>
      <c r="AQ67" s="384"/>
      <c r="AR67" s="384"/>
      <c r="AS67" s="384"/>
      <c r="AT67" s="385"/>
      <c r="AU67" s="180" t="b">
        <v>0</v>
      </c>
      <c r="AV67" s="180" t="b">
        <v>0</v>
      </c>
      <c r="AW67" s="186"/>
      <c r="AX67" s="187"/>
      <c r="AY67" s="187"/>
      <c r="AZ67" s="187"/>
      <c r="BA67" s="188"/>
      <c r="BB67" s="191" t="s">
        <v>182</v>
      </c>
      <c r="BC67" s="179" t="s">
        <v>175</v>
      </c>
      <c r="BD67" s="198" t="str">
        <f t="shared" si="33"/>
        <v>優惠券_真券_一排1張 + 一鍵領取(多張)</v>
      </c>
      <c r="BE67" s="199" t="str">
        <f>IFERROR(VLOOKUP($BD67,'(勿動)組件目錄表'!$D$15:$R$1110,2,FALSE),"")</f>
        <v>F-3</v>
      </c>
      <c r="BF67" s="200">
        <f>IFERROR(VLOOKUP($BD67, '(勿動)組件目錄表'!$D$15:$R$1110, 5, FALSE),"")</f>
        <v>0.5</v>
      </c>
      <c r="BG67" s="181"/>
      <c r="BH67" s="183"/>
      <c r="BI67" s="181"/>
      <c r="BJ67" s="207" t="s">
        <v>576</v>
      </c>
    </row>
    <row r="68" spans="1:62" ht="15.75" customHeight="1">
      <c r="A68" s="160" t="str">
        <f t="array" aca="1" ref="A68:AD68" ca="1">IFERROR(TRANSPOSE(INDIRECT(L1_暖正版配!$BB68)),"")</f>
        <v>無CTA</v>
      </c>
      <c r="B68" s="160" t="str">
        <f ca="1"/>
        <v>LINK*1</v>
      </c>
      <c r="C68" s="160" t="str">
        <f ca="1"/>
        <v>LINK*2</v>
      </c>
      <c r="D68" s="160" t="str">
        <f ca="1"/>
        <v>LINK*3</v>
      </c>
      <c r="E68" s="160" t="str">
        <f ca="1"/>
        <v>LINK&gt;3</v>
      </c>
      <c r="F68" s="160" t="str">
        <f ca="1"/>
        <v>Reminder*1</v>
      </c>
      <c r="G68" s="160" t="str">
        <f ca="1"/>
        <v>Reminder*2</v>
      </c>
      <c r="H68" s="160" t="str">
        <f ca="1"/>
        <v>Reminder*3</v>
      </c>
      <c r="I68" s="160" t="str">
        <f ca="1"/>
        <v>Reminder*4</v>
      </c>
      <c r="J68" s="160" t="str">
        <f ca="1"/>
        <v>Reminder*5</v>
      </c>
      <c r="K68" s="160" t="str">
        <f ca="1"/>
        <v>Reminder&gt;5</v>
      </c>
      <c r="L68" s="160" t="str">
        <f ca="1"/>
        <v>LINK*1 + Reminder*1</v>
      </c>
      <c r="M68" s="160" t="str">
        <f ca="1"/>
        <v>LINK*1 + Reminder*2</v>
      </c>
      <c r="N68" s="160" t="str">
        <f ca="1"/>
        <v>LINK*2 + Reminder*1</v>
      </c>
      <c r="O68" s="160" t="str">
        <f ca="1"/>
        <v>Add to Cart*1</v>
      </c>
      <c r="P68" s="160" t="str">
        <f ca="1"/>
        <v>Add to Cart*2</v>
      </c>
      <c r="Q68" s="160" t="str">
        <f ca="1"/>
        <v>Add to Cart*3</v>
      </c>
      <c r="R68" s="160" t="str">
        <f ca="1"/>
        <v>(Reminder+ATC) *1</v>
      </c>
      <c r="S68" s="160" t="str">
        <f ca="1"/>
        <v>(Reminder+ATC) *2</v>
      </c>
      <c r="T68" s="160" t="str">
        <f ca="1"/>
        <v>(Reminder+ATC) *3</v>
      </c>
      <c r="U68" s="160" t="str">
        <f ca="1"/>
        <v>Popup*1</v>
      </c>
      <c r="V68" s="160" t="str">
        <f ca="1"/>
        <v>Popup*2</v>
      </c>
      <c r="W68" s="160" t="str">
        <f ca="1"/>
        <v>Popup*3</v>
      </c>
      <c r="X68" s="160" t="str">
        <f ca="1"/>
        <v>Copy*1</v>
      </c>
      <c r="Y68" s="160" t="str">
        <f ca="1"/>
        <v>Copy*2</v>
      </c>
      <c r="Z68" s="160" t="str">
        <f ca="1"/>
        <v>Copy*3</v>
      </c>
      <c r="AA68" s="160" t="str">
        <f ca="1"/>
        <v>Share*1</v>
      </c>
      <c r="AB68" s="160" t="str">
        <f ca="1"/>
        <v>Share*2</v>
      </c>
      <c r="AC68" s="160" t="str">
        <f ca="1"/>
        <v>Share*3</v>
      </c>
      <c r="AD68" s="160" t="str">
        <f ca="1"/>
        <v>Placeholders</v>
      </c>
      <c r="AE68" s="208" t="b">
        <v>0</v>
      </c>
      <c r="AF68" s="203" t="str">
        <f t="shared" si="34"/>
        <v/>
      </c>
      <c r="AG68" s="203" t="str">
        <f t="shared" si="35"/>
        <v/>
      </c>
      <c r="AH68" s="195" t="s">
        <v>570</v>
      </c>
      <c r="AI68" s="176" t="str">
        <f ca="1">IFERROR(VLOOKUP($AH68, '(勿動)Component Label公版'!$D$1:$E$1000, 2, FALSE), "-")</f>
        <v>-</v>
      </c>
      <c r="AJ68" s="237"/>
      <c r="AK68" s="379"/>
      <c r="AL68" s="379"/>
      <c r="AM68" s="203" t="str">
        <f t="shared" si="31"/>
        <v/>
      </c>
      <c r="AN68" s="204" t="str">
        <f t="shared" si="32"/>
        <v/>
      </c>
      <c r="AO68" s="535" t="s">
        <v>268</v>
      </c>
      <c r="AP68" s="384"/>
      <c r="AQ68" s="384"/>
      <c r="AR68" s="384"/>
      <c r="AS68" s="384"/>
      <c r="AT68" s="385"/>
      <c r="AU68" s="235" t="b">
        <v>1</v>
      </c>
      <c r="AV68" s="180" t="b">
        <v>0</v>
      </c>
      <c r="AW68" s="186"/>
      <c r="AX68" s="187"/>
      <c r="AY68" s="187"/>
      <c r="AZ68" s="187"/>
      <c r="BA68" s="188"/>
      <c r="BB68" s="191" t="s">
        <v>147</v>
      </c>
      <c r="BC68" s="179" t="s">
        <v>154</v>
      </c>
      <c r="BD68" s="198" t="str">
        <f t="shared" si="33"/>
        <v>圖_MSBN_無CTA</v>
      </c>
      <c r="BE68" s="190" t="str">
        <f>IFERROR(VLOOKUP($BD68,'(勿動)組件目錄表'!$D$15:$R$1110,2,FALSE),"")</f>
        <v>I-1</v>
      </c>
      <c r="BF68" s="205">
        <f>IFERROR(VLOOKUP($BD68, '(勿動)組件目錄表'!$D$15:$R$1110, 5, FALSE),"")</f>
        <v>0.5</v>
      </c>
      <c r="BG68" s="118"/>
      <c r="BH68" s="120"/>
      <c r="BI68" s="118"/>
      <c r="BJ68" s="120"/>
    </row>
    <row r="69" spans="1:62" ht="15.75" customHeight="1">
      <c r="A69" s="160" t="str">
        <f t="array" aca="1" ref="A69:AD69" ca="1">IFERROR(TRANSPOSE(INDIRECT(L1_暖正版配!$BB69)),"")</f>
        <v>無CTA</v>
      </c>
      <c r="B69" s="160" t="str">
        <f ca="1"/>
        <v>LINK*1</v>
      </c>
      <c r="C69" s="160" t="str">
        <f ca="1"/>
        <v>LINK*2</v>
      </c>
      <c r="D69" s="160" t="str">
        <f ca="1"/>
        <v>LINK*3</v>
      </c>
      <c r="E69" s="160" t="str">
        <f ca="1"/>
        <v>LINK&gt;3</v>
      </c>
      <c r="F69" s="160" t="str">
        <f ca="1"/>
        <v>Reminder*1</v>
      </c>
      <c r="G69" s="160" t="str">
        <f ca="1"/>
        <v>Reminder*2</v>
      </c>
      <c r="H69" s="160" t="str">
        <f ca="1"/>
        <v>Reminder*3</v>
      </c>
      <c r="I69" s="160" t="str">
        <f ca="1"/>
        <v>Reminder*4</v>
      </c>
      <c r="J69" s="160" t="str">
        <f ca="1"/>
        <v>Reminder*5</v>
      </c>
      <c r="K69" s="160" t="str">
        <f ca="1"/>
        <v>Reminder&gt;5</v>
      </c>
      <c r="L69" s="160" t="str">
        <f ca="1"/>
        <v>LINK*1 + Reminder*1</v>
      </c>
      <c r="M69" s="160" t="str">
        <f ca="1"/>
        <v>LINK*1 + Reminder*2</v>
      </c>
      <c r="N69" s="160" t="str">
        <f ca="1"/>
        <v>LINK*2 + Reminder*1</v>
      </c>
      <c r="O69" s="160" t="str">
        <f ca="1"/>
        <v>Add to Cart*1</v>
      </c>
      <c r="P69" s="160" t="str">
        <f ca="1"/>
        <v>Add to Cart*2</v>
      </c>
      <c r="Q69" s="160" t="str">
        <f ca="1"/>
        <v>Add to Cart*3</v>
      </c>
      <c r="R69" s="160" t="str">
        <f ca="1"/>
        <v>(Reminder+ATC) *1</v>
      </c>
      <c r="S69" s="160" t="str">
        <f ca="1"/>
        <v>(Reminder+ATC) *2</v>
      </c>
      <c r="T69" s="160" t="str">
        <f ca="1"/>
        <v>(Reminder+ATC) *3</v>
      </c>
      <c r="U69" s="160" t="str">
        <f ca="1"/>
        <v>Popup*1</v>
      </c>
      <c r="V69" s="160" t="str">
        <f ca="1"/>
        <v>Popup*2</v>
      </c>
      <c r="W69" s="160" t="str">
        <f ca="1"/>
        <v>Popup*3</v>
      </c>
      <c r="X69" s="160" t="str">
        <f ca="1"/>
        <v>Copy*1</v>
      </c>
      <c r="Y69" s="160" t="str">
        <f ca="1"/>
        <v>Copy*2</v>
      </c>
      <c r="Z69" s="160" t="str">
        <f ca="1"/>
        <v>Copy*3</v>
      </c>
      <c r="AA69" s="160" t="str">
        <f ca="1"/>
        <v>Share*1</v>
      </c>
      <c r="AB69" s="160" t="str">
        <f ca="1"/>
        <v>Share*2</v>
      </c>
      <c r="AC69" s="160" t="str">
        <f ca="1"/>
        <v>Share*3</v>
      </c>
      <c r="AD69" s="160" t="str">
        <f ca="1"/>
        <v>Placeholders</v>
      </c>
      <c r="AE69" s="212" t="b">
        <v>1</v>
      </c>
      <c r="AF69" s="173" t="s">
        <v>421</v>
      </c>
      <c r="AG69" s="174" t="s">
        <v>577</v>
      </c>
      <c r="AH69" s="195" t="s">
        <v>578</v>
      </c>
      <c r="AI69" s="176" t="str">
        <f ca="1">IFERROR(VLOOKUP($AH69, '(勿動)Component Label公版'!$D$1:$E$1000, 2, FALSE), "-")</f>
        <v>-</v>
      </c>
      <c r="AJ69" s="177"/>
      <c r="AK69" s="575"/>
      <c r="AL69" s="575"/>
      <c r="AM69" s="189" t="str">
        <f t="shared" si="31"/>
        <v/>
      </c>
      <c r="AN69" s="190" t="str">
        <f t="shared" si="32"/>
        <v/>
      </c>
      <c r="AO69" s="533" t="s">
        <v>579</v>
      </c>
      <c r="AP69" s="384"/>
      <c r="AQ69" s="384"/>
      <c r="AR69" s="384"/>
      <c r="AS69" s="384"/>
      <c r="AT69" s="385"/>
      <c r="AU69" s="235" t="b">
        <v>1</v>
      </c>
      <c r="AV69" s="180" t="b">
        <v>0</v>
      </c>
      <c r="AW69" s="186"/>
      <c r="AX69" s="187"/>
      <c r="AY69" s="187"/>
      <c r="AZ69" s="187"/>
      <c r="BA69" s="188"/>
      <c r="BB69" s="191" t="s">
        <v>147</v>
      </c>
      <c r="BC69" s="179" t="s">
        <v>154</v>
      </c>
      <c r="BD69" s="198" t="str">
        <f t="shared" si="33"/>
        <v>圖_MSBN_無CTA</v>
      </c>
      <c r="BE69" s="199" t="str">
        <f>IFERROR(VLOOKUP($BD69,'(勿動)組件目錄表'!$D$15:$R$1110,2,FALSE),"")</f>
        <v>I-1</v>
      </c>
      <c r="BF69" s="200">
        <f>IFERROR(VLOOKUP($BD69, '(勿動)組件目錄表'!$D$15:$R$1110, 5, FALSE),"")</f>
        <v>0.5</v>
      </c>
      <c r="BG69" s="592" t="s">
        <v>580</v>
      </c>
      <c r="BH69" s="183"/>
      <c r="BI69" s="181"/>
      <c r="BJ69" s="583" t="s">
        <v>456</v>
      </c>
    </row>
    <row r="70" spans="1:62" ht="15.75" customHeight="1">
      <c r="A70" s="160" t="str">
        <f t="array" aca="1" ref="A70:AD70" ca="1">IFERROR(TRANSPOSE(INDIRECT(L1_暖正版配!$BB70)),"")</f>
        <v>無CTA</v>
      </c>
      <c r="B70" s="160" t="str">
        <f ca="1"/>
        <v>LINK*1</v>
      </c>
      <c r="C70" s="160" t="str">
        <f ca="1"/>
        <v>LINK*2</v>
      </c>
      <c r="D70" s="160" t="str">
        <f ca="1"/>
        <v>LINK*3</v>
      </c>
      <c r="E70" s="160" t="str">
        <f ca="1"/>
        <v>LINK&gt;3</v>
      </c>
      <c r="F70" s="160" t="str">
        <f ca="1"/>
        <v>Reminder*1</v>
      </c>
      <c r="G70" s="160" t="str">
        <f ca="1"/>
        <v>Reminder*2</v>
      </c>
      <c r="H70" s="160" t="str">
        <f ca="1"/>
        <v>Reminder*3</v>
      </c>
      <c r="I70" s="160" t="str">
        <f ca="1"/>
        <v>Reminder*4</v>
      </c>
      <c r="J70" s="160" t="str">
        <f ca="1"/>
        <v>Reminder*5</v>
      </c>
      <c r="K70" s="160" t="str">
        <f ca="1"/>
        <v>Reminder&gt;5</v>
      </c>
      <c r="L70" s="160" t="str">
        <f ca="1"/>
        <v>LINK*1 + Reminder*1</v>
      </c>
      <c r="M70" s="160" t="str">
        <f ca="1"/>
        <v>LINK*1 + Reminder*2</v>
      </c>
      <c r="N70" s="160" t="str">
        <f ca="1"/>
        <v>LINK*2 + Reminder*1</v>
      </c>
      <c r="O70" s="160" t="str">
        <f ca="1"/>
        <v>Add to Cart*1</v>
      </c>
      <c r="P70" s="160" t="str">
        <f ca="1"/>
        <v>Add to Cart*2</v>
      </c>
      <c r="Q70" s="160" t="str">
        <f ca="1"/>
        <v>Add to Cart*3</v>
      </c>
      <c r="R70" s="160" t="str">
        <f ca="1"/>
        <v>(Reminder+ATC) *1</v>
      </c>
      <c r="S70" s="160" t="str">
        <f ca="1"/>
        <v>(Reminder+ATC) *2</v>
      </c>
      <c r="T70" s="160" t="str">
        <f ca="1"/>
        <v>(Reminder+ATC) *3</v>
      </c>
      <c r="U70" s="160" t="str">
        <f ca="1"/>
        <v>Popup*1</v>
      </c>
      <c r="V70" s="160" t="str">
        <f ca="1"/>
        <v>Popup*2</v>
      </c>
      <c r="W70" s="160" t="str">
        <f ca="1"/>
        <v>Popup*3</v>
      </c>
      <c r="X70" s="160" t="str">
        <f ca="1"/>
        <v>Copy*1</v>
      </c>
      <c r="Y70" s="160" t="str">
        <f ca="1"/>
        <v>Copy*2</v>
      </c>
      <c r="Z70" s="160" t="str">
        <f ca="1"/>
        <v>Copy*3</v>
      </c>
      <c r="AA70" s="160" t="str">
        <f ca="1"/>
        <v>Share*1</v>
      </c>
      <c r="AB70" s="160" t="str">
        <f ca="1"/>
        <v>Share*2</v>
      </c>
      <c r="AC70" s="160" t="str">
        <f ca="1"/>
        <v>Share*3</v>
      </c>
      <c r="AD70" s="160" t="str">
        <f ca="1"/>
        <v>Placeholders</v>
      </c>
      <c r="AE70" s="226" t="b">
        <v>0</v>
      </c>
      <c r="AF70" s="173" t="str">
        <f t="shared" ref="AF70:AF72" si="36">IF(AE70=TRUE,"若有勾選則必填，隱藏錨點請填寫&lt;設隱形錨點&gt;","")</f>
        <v/>
      </c>
      <c r="AG70" s="174" t="str">
        <f t="shared" ref="AG70:AG88" si="37">IF(AF70="設隱形錨點","",IF(AE70=FALSE,"",IF(AE70=TRUE, SUBSTITUTE($AI70, "_", ""))))</f>
        <v/>
      </c>
      <c r="AH70" s="195" t="s">
        <v>578</v>
      </c>
      <c r="AI70" s="176" t="str">
        <f ca="1">IFERROR(VLOOKUP($AH70, '(勿動)Component Label公版'!$D$1:$E$1000, 2, FALSE), "-")</f>
        <v>-</v>
      </c>
      <c r="AJ70" s="177"/>
      <c r="AK70" s="379"/>
      <c r="AL70" s="379"/>
      <c r="AM70" s="189" t="str">
        <f t="shared" si="31"/>
        <v/>
      </c>
      <c r="AN70" s="190" t="str">
        <f t="shared" si="32"/>
        <v/>
      </c>
      <c r="AO70" s="533" t="s">
        <v>581</v>
      </c>
      <c r="AP70" s="384"/>
      <c r="AQ70" s="384"/>
      <c r="AR70" s="384"/>
      <c r="AS70" s="384"/>
      <c r="AT70" s="385"/>
      <c r="AU70" s="235" t="b">
        <v>1</v>
      </c>
      <c r="AV70" s="180" t="b">
        <v>0</v>
      </c>
      <c r="AW70" s="186"/>
      <c r="AX70" s="187"/>
      <c r="AY70" s="187"/>
      <c r="AZ70" s="187"/>
      <c r="BA70" s="188"/>
      <c r="BB70" s="191" t="s">
        <v>147</v>
      </c>
      <c r="BC70" s="179" t="s">
        <v>154</v>
      </c>
      <c r="BD70" s="198" t="str">
        <f t="shared" si="33"/>
        <v>圖_MSBN_無CTA</v>
      </c>
      <c r="BE70" s="199" t="str">
        <f>IFERROR(VLOOKUP($BD70,'(勿動)組件目錄表'!$D$15:$R$1110,2,FALSE),"")</f>
        <v>I-1</v>
      </c>
      <c r="BF70" s="200">
        <f>IFERROR(VLOOKUP($BD70, '(勿動)組件目錄表'!$D$15:$R$1110, 5, FALSE),"")</f>
        <v>0.5</v>
      </c>
      <c r="BG70" s="587"/>
      <c r="BH70" s="183"/>
      <c r="BI70" s="181"/>
      <c r="BJ70" s="584"/>
    </row>
    <row r="71" spans="1:62" ht="15.75" customHeight="1">
      <c r="A71" s="160" t="str">
        <f t="array" aca="1" ref="A71:I71" ca="1">IFERROR(TRANSPOSE(INDIRECT(L1_暖正版配!$BB71)),"")</f>
        <v>一排1張(單張/多張)(無一鍵領取)</v>
      </c>
      <c r="B71" s="160" t="str">
        <f ca="1"/>
        <v>一排1張 + Reminder(單張/多張)(無一鍵領取)</v>
      </c>
      <c r="C71" s="160" t="str">
        <f ca="1"/>
        <v>一排1張 + 一鍵領取(多張)</v>
      </c>
      <c r="D71" s="160" t="str">
        <f ca="1"/>
        <v>【僅供MKT Campaign使用】PC：一排兩張；APP：一排1張 + 一鍵領取(多張)</v>
      </c>
      <c r="E71" s="160" t="str">
        <f ca="1"/>
        <v>【僅供MKT Campaign使用】PC：一排兩張；APP：一排1張 + 一鍵領取(多張) + Reminder</v>
      </c>
      <c r="F71" s="160" t="str">
        <f ca="1"/>
        <v>【僅供MKT Campaign使用】PC：一排兩張；APP：一排1張 + 一鍵領取(多張) + Reminder + 查看全部(系統預設加上「優惠券」文案)</v>
      </c>
      <c r="G71" s="160" t="str">
        <f ca="1"/>
        <v>一排2張(單張/多張)(無一鍵領取)</v>
      </c>
      <c r="H71" s="160" t="str">
        <f ca="1"/>
        <v>一排2張 + Reminder(單張/多張)(無一鍵領取)</v>
      </c>
      <c r="I71" s="160" t="str">
        <f ca="1"/>
        <v>一排2張 + 一鍵領取(多張)</v>
      </c>
      <c r="J71" s="160"/>
      <c r="K71" s="160"/>
      <c r="L71" s="160"/>
      <c r="M71" s="160"/>
      <c r="N71" s="160"/>
      <c r="O71" s="160"/>
      <c r="P71" s="160"/>
      <c r="Q71" s="160"/>
      <c r="R71" s="160"/>
      <c r="S71" s="160"/>
      <c r="T71" s="160"/>
      <c r="U71" s="160"/>
      <c r="V71" s="160"/>
      <c r="W71" s="160"/>
      <c r="X71" s="160"/>
      <c r="Y71" s="160"/>
      <c r="Z71" s="160"/>
      <c r="AA71" s="160"/>
      <c r="AB71" s="160"/>
      <c r="AC71" s="160"/>
      <c r="AD71" s="160"/>
      <c r="AE71" s="226" t="b">
        <v>0</v>
      </c>
      <c r="AF71" s="173" t="str">
        <f t="shared" si="36"/>
        <v/>
      </c>
      <c r="AG71" s="174" t="str">
        <f t="shared" si="37"/>
        <v/>
      </c>
      <c r="AH71" s="195" t="s">
        <v>578</v>
      </c>
      <c r="AI71" s="176" t="str">
        <f ca="1">IFERROR(VLOOKUP($AH71, '(勿動)Component Label公版'!$D$1:$E$1000, 2, FALSE), "-")</f>
        <v>-</v>
      </c>
      <c r="AJ71" s="177"/>
      <c r="AK71" s="174"/>
      <c r="AL71" s="174"/>
      <c r="AM71" s="189" t="str">
        <f t="shared" si="31"/>
        <v/>
      </c>
      <c r="AN71" s="190" t="str">
        <f t="shared" si="32"/>
        <v/>
      </c>
      <c r="AO71" s="534" t="s">
        <v>582</v>
      </c>
      <c r="AP71" s="384"/>
      <c r="AQ71" s="384"/>
      <c r="AR71" s="384"/>
      <c r="AS71" s="384"/>
      <c r="AT71" s="385"/>
      <c r="AU71" s="180" t="b">
        <v>0</v>
      </c>
      <c r="AV71" s="180" t="b">
        <v>0</v>
      </c>
      <c r="AW71" s="186"/>
      <c r="AX71" s="187"/>
      <c r="AY71" s="187"/>
      <c r="AZ71" s="187"/>
      <c r="BA71" s="188"/>
      <c r="BB71" s="191" t="s">
        <v>182</v>
      </c>
      <c r="BC71" s="179" t="s">
        <v>222</v>
      </c>
      <c r="BD71" s="198" t="str">
        <f t="shared" si="33"/>
        <v>優惠券_真券_一排1張(單張/多張)(無一鍵領取)</v>
      </c>
      <c r="BE71" s="199" t="str">
        <f>IFERROR(VLOOKUP($BD71,'(勿動)組件目錄表'!$D$15:$R$1110,2,FALSE),"")</f>
        <v>F-1</v>
      </c>
      <c r="BF71" s="200">
        <f>IFERROR(VLOOKUP($BD71, '(勿動)組件目錄表'!$D$15:$R$1110, 5, FALSE),"")</f>
        <v>0.5</v>
      </c>
      <c r="BG71" s="181"/>
      <c r="BH71" s="183"/>
      <c r="BI71" s="181"/>
      <c r="BJ71" s="207" t="s">
        <v>583</v>
      </c>
    </row>
    <row r="72" spans="1:62" ht="15.75" customHeight="1">
      <c r="A72" s="160" t="str">
        <f t="array" aca="1" ref="A72:AD72" ca="1">IFERROR(TRANSPOSE(INDIRECT(L1_暖正版配!$BB72)),"")</f>
        <v>無CTA</v>
      </c>
      <c r="B72" s="160" t="str">
        <f ca="1"/>
        <v>LINK*1</v>
      </c>
      <c r="C72" s="160" t="str">
        <f ca="1"/>
        <v>LINK*2</v>
      </c>
      <c r="D72" s="160" t="str">
        <f ca="1"/>
        <v>LINK*3</v>
      </c>
      <c r="E72" s="160" t="str">
        <f ca="1"/>
        <v>LINK&gt;3</v>
      </c>
      <c r="F72" s="160" t="str">
        <f ca="1"/>
        <v>Reminder*1</v>
      </c>
      <c r="G72" s="160" t="str">
        <f ca="1"/>
        <v>Reminder*2</v>
      </c>
      <c r="H72" s="160" t="str">
        <f ca="1"/>
        <v>Reminder*3</v>
      </c>
      <c r="I72" s="160" t="str">
        <f ca="1"/>
        <v>Reminder*4</v>
      </c>
      <c r="J72" s="160" t="str">
        <f ca="1"/>
        <v>Reminder*5</v>
      </c>
      <c r="K72" s="160" t="str">
        <f ca="1"/>
        <v>Reminder&gt;5</v>
      </c>
      <c r="L72" s="160" t="str">
        <f ca="1"/>
        <v>LINK*1 + Reminder*1</v>
      </c>
      <c r="M72" s="160" t="str">
        <f ca="1"/>
        <v>LINK*1 + Reminder*2</v>
      </c>
      <c r="N72" s="160" t="str">
        <f ca="1"/>
        <v>LINK*2 + Reminder*1</v>
      </c>
      <c r="O72" s="160" t="str">
        <f ca="1"/>
        <v>Add to Cart*1</v>
      </c>
      <c r="P72" s="160" t="str">
        <f ca="1"/>
        <v>Add to Cart*2</v>
      </c>
      <c r="Q72" s="160" t="str">
        <f ca="1"/>
        <v>Add to Cart*3</v>
      </c>
      <c r="R72" s="160" t="str">
        <f ca="1"/>
        <v>(Reminder+ATC) *1</v>
      </c>
      <c r="S72" s="160" t="str">
        <f ca="1"/>
        <v>(Reminder+ATC) *2</v>
      </c>
      <c r="T72" s="160" t="str">
        <f ca="1"/>
        <v>(Reminder+ATC) *3</v>
      </c>
      <c r="U72" s="160" t="str">
        <f ca="1"/>
        <v>Popup*1</v>
      </c>
      <c r="V72" s="160" t="str">
        <f ca="1"/>
        <v>Popup*2</v>
      </c>
      <c r="W72" s="160" t="str">
        <f ca="1"/>
        <v>Popup*3</v>
      </c>
      <c r="X72" s="160" t="str">
        <f ca="1"/>
        <v>Copy*1</v>
      </c>
      <c r="Y72" s="160" t="str">
        <f ca="1"/>
        <v>Copy*2</v>
      </c>
      <c r="Z72" s="160" t="str">
        <f ca="1"/>
        <v>Copy*3</v>
      </c>
      <c r="AA72" s="160" t="str">
        <f ca="1"/>
        <v>Share*1</v>
      </c>
      <c r="AB72" s="160" t="str">
        <f ca="1"/>
        <v>Share*2</v>
      </c>
      <c r="AC72" s="160" t="str">
        <f ca="1"/>
        <v>Share*3</v>
      </c>
      <c r="AD72" s="160" t="str">
        <f ca="1"/>
        <v>Placeholders</v>
      </c>
      <c r="AE72" s="208" t="b">
        <v>0</v>
      </c>
      <c r="AF72" s="203" t="str">
        <f t="shared" si="36"/>
        <v/>
      </c>
      <c r="AG72" s="203" t="str">
        <f t="shared" si="37"/>
        <v/>
      </c>
      <c r="AH72" s="195" t="s">
        <v>578</v>
      </c>
      <c r="AI72" s="176" t="str">
        <f ca="1">IFERROR(VLOOKUP($AH72, '(勿動)Component Label公版'!$D$1:$E$1000, 2, FALSE), "-")</f>
        <v>-</v>
      </c>
      <c r="AJ72" s="237"/>
      <c r="AK72" s="203"/>
      <c r="AL72" s="203"/>
      <c r="AM72" s="203" t="str">
        <f t="shared" si="31"/>
        <v/>
      </c>
      <c r="AN72" s="204" t="str">
        <f t="shared" si="32"/>
        <v/>
      </c>
      <c r="AO72" s="535" t="s">
        <v>268</v>
      </c>
      <c r="AP72" s="384"/>
      <c r="AQ72" s="384"/>
      <c r="AR72" s="384"/>
      <c r="AS72" s="384"/>
      <c r="AT72" s="385"/>
      <c r="AU72" s="235" t="b">
        <v>1</v>
      </c>
      <c r="AV72" s="180" t="b">
        <v>0</v>
      </c>
      <c r="AW72" s="186"/>
      <c r="AX72" s="187"/>
      <c r="AY72" s="187"/>
      <c r="AZ72" s="187"/>
      <c r="BA72" s="188"/>
      <c r="BB72" s="191" t="s">
        <v>147</v>
      </c>
      <c r="BC72" s="179" t="s">
        <v>154</v>
      </c>
      <c r="BD72" s="198" t="str">
        <f t="shared" si="33"/>
        <v>圖_MSBN_無CTA</v>
      </c>
      <c r="BE72" s="190" t="str">
        <f>IFERROR(VLOOKUP($BD72,'(勿動)組件目錄表'!$D$15:$R$1110,2,FALSE),"")</f>
        <v>I-1</v>
      </c>
      <c r="BF72" s="205">
        <f>IFERROR(VLOOKUP($BD72, '(勿動)組件目錄表'!$D$15:$R$1110, 5, FALSE),"")</f>
        <v>0.5</v>
      </c>
      <c r="BG72" s="118"/>
      <c r="BH72" s="120"/>
      <c r="BI72" s="118"/>
      <c r="BJ72" s="120"/>
    </row>
    <row r="73" spans="1:62" ht="15.75" customHeight="1">
      <c r="A73" s="160" t="str">
        <f t="array" aca="1" ref="A73:AD73" ca="1">IFERROR(TRANSPOSE(INDIRECT(L1_暖正版配!$BB73)),"")</f>
        <v>無CTA</v>
      </c>
      <c r="B73" s="160" t="str">
        <f ca="1"/>
        <v>LINK*1</v>
      </c>
      <c r="C73" s="160" t="str">
        <f ca="1"/>
        <v>LINK*2</v>
      </c>
      <c r="D73" s="160" t="str">
        <f ca="1"/>
        <v>LINK*3</v>
      </c>
      <c r="E73" s="160" t="str">
        <f ca="1"/>
        <v>LINK&gt;3</v>
      </c>
      <c r="F73" s="160" t="str">
        <f ca="1"/>
        <v>Reminder*1</v>
      </c>
      <c r="G73" s="160" t="str">
        <f ca="1"/>
        <v>Reminder*2</v>
      </c>
      <c r="H73" s="160" t="str">
        <f ca="1"/>
        <v>Reminder*3</v>
      </c>
      <c r="I73" s="160" t="str">
        <f ca="1"/>
        <v>Reminder*4</v>
      </c>
      <c r="J73" s="160" t="str">
        <f ca="1"/>
        <v>Reminder*5</v>
      </c>
      <c r="K73" s="160" t="str">
        <f ca="1"/>
        <v>Reminder&gt;5</v>
      </c>
      <c r="L73" s="160" t="str">
        <f ca="1"/>
        <v>LINK*1 + Reminder*1</v>
      </c>
      <c r="M73" s="160" t="str">
        <f ca="1"/>
        <v>LINK*1 + Reminder*2</v>
      </c>
      <c r="N73" s="160" t="str">
        <f ca="1"/>
        <v>LINK*2 + Reminder*1</v>
      </c>
      <c r="O73" s="160" t="str">
        <f ca="1"/>
        <v>Add to Cart*1</v>
      </c>
      <c r="P73" s="160" t="str">
        <f ca="1"/>
        <v>Add to Cart*2</v>
      </c>
      <c r="Q73" s="160" t="str">
        <f ca="1"/>
        <v>Add to Cart*3</v>
      </c>
      <c r="R73" s="160" t="str">
        <f ca="1"/>
        <v>(Reminder+ATC) *1</v>
      </c>
      <c r="S73" s="160" t="str">
        <f ca="1"/>
        <v>(Reminder+ATC) *2</v>
      </c>
      <c r="T73" s="160" t="str">
        <f ca="1"/>
        <v>(Reminder+ATC) *3</v>
      </c>
      <c r="U73" s="160" t="str">
        <f ca="1"/>
        <v>Popup*1</v>
      </c>
      <c r="V73" s="160" t="str">
        <f ca="1"/>
        <v>Popup*2</v>
      </c>
      <c r="W73" s="160" t="str">
        <f ca="1"/>
        <v>Popup*3</v>
      </c>
      <c r="X73" s="160" t="str">
        <f ca="1"/>
        <v>Copy*1</v>
      </c>
      <c r="Y73" s="160" t="str">
        <f ca="1"/>
        <v>Copy*2</v>
      </c>
      <c r="Z73" s="160" t="str">
        <f ca="1"/>
        <v>Copy*3</v>
      </c>
      <c r="AA73" s="160" t="str">
        <f ca="1"/>
        <v>Share*1</v>
      </c>
      <c r="AB73" s="160" t="str">
        <f ca="1"/>
        <v>Share*2</v>
      </c>
      <c r="AC73" s="160" t="str">
        <f ca="1"/>
        <v>Share*3</v>
      </c>
      <c r="AD73" s="160" t="str">
        <f ca="1"/>
        <v>Placeholders</v>
      </c>
      <c r="AE73" s="212" t="b">
        <v>1</v>
      </c>
      <c r="AF73" s="238" t="s">
        <v>422</v>
      </c>
      <c r="AG73" s="174" t="str">
        <f t="shared" ca="1" si="37"/>
        <v>-</v>
      </c>
      <c r="AH73" s="195" t="s">
        <v>204</v>
      </c>
      <c r="AI73" s="176" t="str">
        <f ca="1">IFERROR(VLOOKUP($AH73, '(勿動)Component Label公版'!$D$1:$E$1000, 2, FALSE), "-")</f>
        <v>-</v>
      </c>
      <c r="AJ73" s="177"/>
      <c r="AK73" s="174"/>
      <c r="AL73" s="174"/>
      <c r="AM73" s="189" t="str">
        <f t="shared" si="31"/>
        <v/>
      </c>
      <c r="AN73" s="190" t="str">
        <f t="shared" si="32"/>
        <v/>
      </c>
      <c r="AO73" s="536" t="s">
        <v>584</v>
      </c>
      <c r="AP73" s="399"/>
      <c r="AQ73" s="399"/>
      <c r="AR73" s="399"/>
      <c r="AS73" s="399"/>
      <c r="AT73" s="422"/>
      <c r="AU73" s="235" t="b">
        <v>1</v>
      </c>
      <c r="AV73" s="180" t="b">
        <v>0</v>
      </c>
      <c r="AW73" s="186"/>
      <c r="AX73" s="187"/>
      <c r="AY73" s="187"/>
      <c r="AZ73" s="187"/>
      <c r="BA73" s="188"/>
      <c r="BB73" s="191" t="s">
        <v>147</v>
      </c>
      <c r="BC73" s="179" t="s">
        <v>154</v>
      </c>
      <c r="BD73" s="198" t="str">
        <f t="shared" si="33"/>
        <v>圖_MSBN_無CTA</v>
      </c>
      <c r="BE73" s="199" t="str">
        <f>IFERROR(VLOOKUP($BD73,'(勿動)組件目錄表'!$D$15:$R$1110,2,FALSE),"")</f>
        <v>I-1</v>
      </c>
      <c r="BF73" s="200">
        <f>IFERROR(VLOOKUP($BD73, '(勿動)組件目錄表'!$D$15:$R$1110, 5, FALSE),"")</f>
        <v>0.5</v>
      </c>
      <c r="BG73" s="592" t="s">
        <v>585</v>
      </c>
      <c r="BH73" s="183"/>
      <c r="BI73" s="181"/>
      <c r="BJ73" s="183"/>
    </row>
    <row r="74" spans="1:62" ht="15.75" customHeight="1">
      <c r="A74" s="160" t="str">
        <f t="array" aca="1" ref="A74:AD74" ca="1">IFERROR(TRANSPOSE(INDIRECT(L1_暖正版配!$BB74)),"")</f>
        <v>無CTA</v>
      </c>
      <c r="B74" s="160" t="str">
        <f ca="1"/>
        <v>LINK*1</v>
      </c>
      <c r="C74" s="160" t="str">
        <f ca="1"/>
        <v>LINK*2</v>
      </c>
      <c r="D74" s="160" t="str">
        <f ca="1"/>
        <v>LINK*3</v>
      </c>
      <c r="E74" s="160" t="str">
        <f ca="1"/>
        <v>LINK&gt;3</v>
      </c>
      <c r="F74" s="160" t="str">
        <f ca="1"/>
        <v>Reminder*1</v>
      </c>
      <c r="G74" s="160" t="str">
        <f ca="1"/>
        <v>Reminder*2</v>
      </c>
      <c r="H74" s="160" t="str">
        <f ca="1"/>
        <v>Reminder*3</v>
      </c>
      <c r="I74" s="160" t="str">
        <f ca="1"/>
        <v>Reminder*4</v>
      </c>
      <c r="J74" s="160" t="str">
        <f ca="1"/>
        <v>Reminder*5</v>
      </c>
      <c r="K74" s="160" t="str">
        <f ca="1"/>
        <v>Reminder&gt;5</v>
      </c>
      <c r="L74" s="160" t="str">
        <f ca="1"/>
        <v>LINK*1 + Reminder*1</v>
      </c>
      <c r="M74" s="160" t="str">
        <f ca="1"/>
        <v>LINK*1 + Reminder*2</v>
      </c>
      <c r="N74" s="160" t="str">
        <f ca="1"/>
        <v>LINK*2 + Reminder*1</v>
      </c>
      <c r="O74" s="160" t="str">
        <f ca="1"/>
        <v>Add to Cart*1</v>
      </c>
      <c r="P74" s="160" t="str">
        <f ca="1"/>
        <v>Add to Cart*2</v>
      </c>
      <c r="Q74" s="160" t="str">
        <f ca="1"/>
        <v>Add to Cart*3</v>
      </c>
      <c r="R74" s="160" t="str">
        <f ca="1"/>
        <v>(Reminder+ATC) *1</v>
      </c>
      <c r="S74" s="160" t="str">
        <f ca="1"/>
        <v>(Reminder+ATC) *2</v>
      </c>
      <c r="T74" s="160" t="str">
        <f ca="1"/>
        <v>(Reminder+ATC) *3</v>
      </c>
      <c r="U74" s="160" t="str">
        <f ca="1"/>
        <v>Popup*1</v>
      </c>
      <c r="V74" s="160" t="str">
        <f ca="1"/>
        <v>Popup*2</v>
      </c>
      <c r="W74" s="160" t="str">
        <f ca="1"/>
        <v>Popup*3</v>
      </c>
      <c r="X74" s="160" t="str">
        <f ca="1"/>
        <v>Copy*1</v>
      </c>
      <c r="Y74" s="160" t="str">
        <f ca="1"/>
        <v>Copy*2</v>
      </c>
      <c r="Z74" s="160" t="str">
        <f ca="1"/>
        <v>Copy*3</v>
      </c>
      <c r="AA74" s="160" t="str">
        <f ca="1"/>
        <v>Share*1</v>
      </c>
      <c r="AB74" s="160" t="str">
        <f ca="1"/>
        <v>Share*2</v>
      </c>
      <c r="AC74" s="160" t="str">
        <f ca="1"/>
        <v>Share*3</v>
      </c>
      <c r="AD74" s="160" t="str">
        <f ca="1"/>
        <v>Placeholders</v>
      </c>
      <c r="AE74" s="212" t="b">
        <v>0</v>
      </c>
      <c r="AF74" s="238"/>
      <c r="AG74" s="174" t="str">
        <f t="shared" si="37"/>
        <v/>
      </c>
      <c r="AH74" s="195" t="s">
        <v>204</v>
      </c>
      <c r="AI74" s="176" t="str">
        <f ca="1">IFERROR(VLOOKUP($AH74, '(勿動)Component Label公版'!$D$1:$E$1000, 2, FALSE), "-")</f>
        <v>-</v>
      </c>
      <c r="AJ74" s="177"/>
      <c r="AK74" s="174"/>
      <c r="AL74" s="174"/>
      <c r="AM74" s="189" t="str">
        <f t="shared" si="31"/>
        <v/>
      </c>
      <c r="AN74" s="190" t="str">
        <f t="shared" si="32"/>
        <v/>
      </c>
      <c r="AO74" s="400"/>
      <c r="AP74" s="401"/>
      <c r="AQ74" s="401"/>
      <c r="AR74" s="401"/>
      <c r="AS74" s="401"/>
      <c r="AT74" s="424"/>
      <c r="AU74" s="235" t="b">
        <v>1</v>
      </c>
      <c r="AV74" s="180" t="b">
        <v>0</v>
      </c>
      <c r="AW74" s="186"/>
      <c r="AX74" s="187"/>
      <c r="AY74" s="187"/>
      <c r="AZ74" s="187"/>
      <c r="BA74" s="188"/>
      <c r="BB74" s="191" t="s">
        <v>147</v>
      </c>
      <c r="BC74" s="179" t="s">
        <v>154</v>
      </c>
      <c r="BD74" s="198" t="str">
        <f t="shared" si="33"/>
        <v>圖_MSBN_無CTA</v>
      </c>
      <c r="BE74" s="199" t="str">
        <f>IFERROR(VLOOKUP($BD74,'(勿動)組件目錄表'!$D$15:$R$1110,2,FALSE),"")</f>
        <v>I-1</v>
      </c>
      <c r="BF74" s="200">
        <f>IFERROR(VLOOKUP($BD74, '(勿動)組件目錄表'!$D$15:$R$1110, 5, FALSE),"")</f>
        <v>0.5</v>
      </c>
      <c r="BG74" s="591"/>
      <c r="BH74" s="183"/>
      <c r="BI74" s="181"/>
      <c r="BJ74" s="183"/>
    </row>
    <row r="75" spans="1:62" ht="15.75" customHeight="1">
      <c r="A75" s="160" t="str">
        <f t="array" aca="1" ref="A75:AD75" ca="1">IFERROR(TRANSPOSE(INDIRECT(L1_暖正版配!$BB75)),"")</f>
        <v>無CTA</v>
      </c>
      <c r="B75" s="160" t="str">
        <f ca="1"/>
        <v>LINK*1</v>
      </c>
      <c r="C75" s="160" t="str">
        <f ca="1"/>
        <v>LINK*2</v>
      </c>
      <c r="D75" s="160" t="str">
        <f ca="1"/>
        <v>LINK*3</v>
      </c>
      <c r="E75" s="160" t="str">
        <f ca="1"/>
        <v>LINK&gt;3</v>
      </c>
      <c r="F75" s="160" t="str">
        <f ca="1"/>
        <v>Reminder*1</v>
      </c>
      <c r="G75" s="160" t="str">
        <f ca="1"/>
        <v>Reminder*2</v>
      </c>
      <c r="H75" s="160" t="str">
        <f ca="1"/>
        <v>Reminder*3</v>
      </c>
      <c r="I75" s="160" t="str">
        <f ca="1"/>
        <v>Reminder*4</v>
      </c>
      <c r="J75" s="160" t="str">
        <f ca="1"/>
        <v>Reminder*5</v>
      </c>
      <c r="K75" s="160" t="str">
        <f ca="1"/>
        <v>Reminder&gt;5</v>
      </c>
      <c r="L75" s="160" t="str">
        <f ca="1"/>
        <v>LINK*1 + Reminder*1</v>
      </c>
      <c r="M75" s="160" t="str">
        <f ca="1"/>
        <v>LINK*1 + Reminder*2</v>
      </c>
      <c r="N75" s="160" t="str">
        <f ca="1"/>
        <v>LINK*2 + Reminder*1</v>
      </c>
      <c r="O75" s="160" t="str">
        <f ca="1"/>
        <v>Add to Cart*1</v>
      </c>
      <c r="P75" s="160" t="str">
        <f ca="1"/>
        <v>Add to Cart*2</v>
      </c>
      <c r="Q75" s="160" t="str">
        <f ca="1"/>
        <v>Add to Cart*3</v>
      </c>
      <c r="R75" s="160" t="str">
        <f ca="1"/>
        <v>(Reminder+ATC) *1</v>
      </c>
      <c r="S75" s="160" t="str">
        <f ca="1"/>
        <v>(Reminder+ATC) *2</v>
      </c>
      <c r="T75" s="160" t="str">
        <f ca="1"/>
        <v>(Reminder+ATC) *3</v>
      </c>
      <c r="U75" s="160" t="str">
        <f ca="1"/>
        <v>Popup*1</v>
      </c>
      <c r="V75" s="160" t="str">
        <f ca="1"/>
        <v>Popup*2</v>
      </c>
      <c r="W75" s="160" t="str">
        <f ca="1"/>
        <v>Popup*3</v>
      </c>
      <c r="X75" s="160" t="str">
        <f ca="1"/>
        <v>Copy*1</v>
      </c>
      <c r="Y75" s="160" t="str">
        <f ca="1"/>
        <v>Copy*2</v>
      </c>
      <c r="Z75" s="160" t="str">
        <f ca="1"/>
        <v>Copy*3</v>
      </c>
      <c r="AA75" s="160" t="str">
        <f ca="1"/>
        <v>Share*1</v>
      </c>
      <c r="AB75" s="160" t="str">
        <f ca="1"/>
        <v>Share*2</v>
      </c>
      <c r="AC75" s="160" t="str">
        <f ca="1"/>
        <v>Share*3</v>
      </c>
      <c r="AD75" s="160" t="str">
        <f ca="1"/>
        <v>Placeholders</v>
      </c>
      <c r="AE75" s="212" t="b">
        <v>0</v>
      </c>
      <c r="AF75" s="238"/>
      <c r="AG75" s="174" t="str">
        <f t="shared" si="37"/>
        <v/>
      </c>
      <c r="AH75" s="195" t="s">
        <v>204</v>
      </c>
      <c r="AI75" s="176" t="str">
        <f ca="1">IFERROR(VLOOKUP($AH75, '(勿動)Component Label公版'!$D$1:$E$1000, 2, FALSE), "-")</f>
        <v>-</v>
      </c>
      <c r="AJ75" s="177"/>
      <c r="AK75" s="174"/>
      <c r="AL75" s="174"/>
      <c r="AM75" s="189" t="str">
        <f t="shared" si="31"/>
        <v/>
      </c>
      <c r="AN75" s="190" t="str">
        <f t="shared" si="32"/>
        <v/>
      </c>
      <c r="AO75" s="537" t="s">
        <v>586</v>
      </c>
      <c r="AP75" s="384"/>
      <c r="AQ75" s="384"/>
      <c r="AR75" s="384"/>
      <c r="AS75" s="384"/>
      <c r="AT75" s="385"/>
      <c r="AU75" s="235" t="b">
        <v>1</v>
      </c>
      <c r="AV75" s="180" t="b">
        <v>0</v>
      </c>
      <c r="AW75" s="186"/>
      <c r="AX75" s="187"/>
      <c r="AY75" s="187"/>
      <c r="AZ75" s="187"/>
      <c r="BA75" s="188"/>
      <c r="BB75" s="191" t="s">
        <v>147</v>
      </c>
      <c r="BC75" s="179" t="s">
        <v>154</v>
      </c>
      <c r="BD75" s="198" t="str">
        <f t="shared" si="33"/>
        <v>圖_MSBN_無CTA</v>
      </c>
      <c r="BE75" s="199" t="str">
        <f>IFERROR(VLOOKUP($BD75,'(勿動)組件目錄表'!$D$15:$R$1110,2,FALSE),"")</f>
        <v>I-1</v>
      </c>
      <c r="BF75" s="200">
        <f>IFERROR(VLOOKUP($BD75, '(勿動)組件目錄表'!$D$15:$R$1110, 5, FALSE),"")</f>
        <v>0.5</v>
      </c>
      <c r="BG75" s="593"/>
      <c r="BH75" s="183"/>
      <c r="BI75" s="181"/>
      <c r="BJ75" s="183"/>
    </row>
    <row r="76" spans="1:62" ht="15.75" customHeight="1">
      <c r="A76" s="160" t="str">
        <f t="array" aca="1" ref="A76:AD76" ca="1">IFERROR(TRANSPOSE(INDIRECT(L1_暖正版配!$BB76)),"")</f>
        <v>無CTA</v>
      </c>
      <c r="B76" s="160" t="str">
        <f ca="1"/>
        <v>LINK*1</v>
      </c>
      <c r="C76" s="160" t="str">
        <f ca="1"/>
        <v>LINK*2</v>
      </c>
      <c r="D76" s="160" t="str">
        <f ca="1"/>
        <v>LINK*3</v>
      </c>
      <c r="E76" s="160" t="str">
        <f ca="1"/>
        <v>LINK&gt;3</v>
      </c>
      <c r="F76" s="160" t="str">
        <f ca="1"/>
        <v>Reminder*1</v>
      </c>
      <c r="G76" s="160" t="str">
        <f ca="1"/>
        <v>Reminder*2</v>
      </c>
      <c r="H76" s="160" t="str">
        <f ca="1"/>
        <v>Reminder*3</v>
      </c>
      <c r="I76" s="160" t="str">
        <f ca="1"/>
        <v>Reminder*4</v>
      </c>
      <c r="J76" s="160" t="str">
        <f ca="1"/>
        <v>Reminder*5</v>
      </c>
      <c r="K76" s="160" t="str">
        <f ca="1"/>
        <v>Reminder&gt;5</v>
      </c>
      <c r="L76" s="160" t="str">
        <f ca="1"/>
        <v>LINK*1 + Reminder*1</v>
      </c>
      <c r="M76" s="160" t="str">
        <f ca="1"/>
        <v>LINK*1 + Reminder*2</v>
      </c>
      <c r="N76" s="160" t="str">
        <f ca="1"/>
        <v>LINK*2 + Reminder*1</v>
      </c>
      <c r="O76" s="160" t="str">
        <f ca="1"/>
        <v>Add to Cart*1</v>
      </c>
      <c r="P76" s="160" t="str">
        <f ca="1"/>
        <v>Add to Cart*2</v>
      </c>
      <c r="Q76" s="160" t="str">
        <f ca="1"/>
        <v>Add to Cart*3</v>
      </c>
      <c r="R76" s="160" t="str">
        <f ca="1"/>
        <v>(Reminder+ATC) *1</v>
      </c>
      <c r="S76" s="160" t="str">
        <f ca="1"/>
        <v>(Reminder+ATC) *2</v>
      </c>
      <c r="T76" s="160" t="str">
        <f ca="1"/>
        <v>(Reminder+ATC) *3</v>
      </c>
      <c r="U76" s="160" t="str">
        <f ca="1"/>
        <v>Popup*1</v>
      </c>
      <c r="V76" s="160" t="str">
        <f ca="1"/>
        <v>Popup*2</v>
      </c>
      <c r="W76" s="160" t="str">
        <f ca="1"/>
        <v>Popup*3</v>
      </c>
      <c r="X76" s="160" t="str">
        <f ca="1"/>
        <v>Copy*1</v>
      </c>
      <c r="Y76" s="160" t="str">
        <f ca="1"/>
        <v>Copy*2</v>
      </c>
      <c r="Z76" s="160" t="str">
        <f ca="1"/>
        <v>Copy*3</v>
      </c>
      <c r="AA76" s="160" t="str">
        <f ca="1"/>
        <v>Share*1</v>
      </c>
      <c r="AB76" s="160" t="str">
        <f ca="1"/>
        <v>Share*2</v>
      </c>
      <c r="AC76" s="160" t="str">
        <f ca="1"/>
        <v>Share*3</v>
      </c>
      <c r="AD76" s="160" t="str">
        <f ca="1"/>
        <v>Placeholders</v>
      </c>
      <c r="AE76" s="212" t="b">
        <v>0</v>
      </c>
      <c r="AF76" s="238"/>
      <c r="AG76" s="174" t="str">
        <f t="shared" si="37"/>
        <v/>
      </c>
      <c r="AH76" s="195" t="s">
        <v>204</v>
      </c>
      <c r="AI76" s="176" t="str">
        <f ca="1">IFERROR(VLOOKUP($AH76, '(勿動)Component Label公版'!$D$1:$E$1000, 2, FALSE), "-")</f>
        <v>-</v>
      </c>
      <c r="AJ76" s="177"/>
      <c r="AK76" s="174"/>
      <c r="AL76" s="174"/>
      <c r="AM76" s="189" t="str">
        <f t="shared" si="31"/>
        <v/>
      </c>
      <c r="AN76" s="190" t="str">
        <f t="shared" si="32"/>
        <v/>
      </c>
      <c r="AO76" s="539" t="s">
        <v>587</v>
      </c>
      <c r="AP76" s="422"/>
      <c r="AQ76" s="532" t="s">
        <v>588</v>
      </c>
      <c r="AR76" s="532" t="s">
        <v>589</v>
      </c>
      <c r="AS76" s="532" t="s">
        <v>590</v>
      </c>
      <c r="AT76" s="532" t="s">
        <v>591</v>
      </c>
      <c r="AU76" s="235" t="b">
        <v>1</v>
      </c>
      <c r="AV76" s="180" t="b">
        <v>0</v>
      </c>
      <c r="AW76" s="186"/>
      <c r="AX76" s="187"/>
      <c r="AY76" s="187"/>
      <c r="AZ76" s="187"/>
      <c r="BA76" s="188"/>
      <c r="BB76" s="191" t="s">
        <v>147</v>
      </c>
      <c r="BC76" s="179" t="s">
        <v>154</v>
      </c>
      <c r="BD76" s="198" t="str">
        <f t="shared" si="33"/>
        <v>圖_MSBN_無CTA</v>
      </c>
      <c r="BE76" s="199" t="str">
        <f>IFERROR(VLOOKUP($BD76,'(勿動)組件目錄表'!$D$15:$R$1110,2,FALSE),"")</f>
        <v>I-1</v>
      </c>
      <c r="BF76" s="200">
        <f>IFERROR(VLOOKUP($BD76, '(勿動)組件目錄表'!$D$15:$R$1110, 5, FALSE),"")</f>
        <v>0.5</v>
      </c>
      <c r="BG76" s="592" t="s">
        <v>592</v>
      </c>
      <c r="BH76" s="183"/>
      <c r="BI76" s="181"/>
      <c r="BJ76" s="183"/>
    </row>
    <row r="77" spans="1:62" ht="15.75" customHeight="1">
      <c r="A77" s="160" t="str">
        <f t="array" aca="1" ref="A77:AD77" ca="1">IFERROR(TRANSPOSE(INDIRECT(L1_暖正版配!$BB77)),"")</f>
        <v>無CTA</v>
      </c>
      <c r="B77" s="160" t="str">
        <f ca="1"/>
        <v>LINK*1</v>
      </c>
      <c r="C77" s="160" t="str">
        <f ca="1"/>
        <v>LINK*2</v>
      </c>
      <c r="D77" s="160" t="str">
        <f ca="1"/>
        <v>LINK*3</v>
      </c>
      <c r="E77" s="160" t="str">
        <f ca="1"/>
        <v>LINK&gt;3</v>
      </c>
      <c r="F77" s="160" t="str">
        <f ca="1"/>
        <v>Reminder*1</v>
      </c>
      <c r="G77" s="160" t="str">
        <f ca="1"/>
        <v>Reminder*2</v>
      </c>
      <c r="H77" s="160" t="str">
        <f ca="1"/>
        <v>Reminder*3</v>
      </c>
      <c r="I77" s="160" t="str">
        <f ca="1"/>
        <v>Reminder*4</v>
      </c>
      <c r="J77" s="160" t="str">
        <f ca="1"/>
        <v>Reminder*5</v>
      </c>
      <c r="K77" s="160" t="str">
        <f ca="1"/>
        <v>Reminder&gt;5</v>
      </c>
      <c r="L77" s="160" t="str">
        <f ca="1"/>
        <v>LINK*1 + Reminder*1</v>
      </c>
      <c r="M77" s="160" t="str">
        <f ca="1"/>
        <v>LINK*1 + Reminder*2</v>
      </c>
      <c r="N77" s="160" t="str">
        <f ca="1"/>
        <v>LINK*2 + Reminder*1</v>
      </c>
      <c r="O77" s="160" t="str">
        <f ca="1"/>
        <v>Add to Cart*1</v>
      </c>
      <c r="P77" s="160" t="str">
        <f ca="1"/>
        <v>Add to Cart*2</v>
      </c>
      <c r="Q77" s="160" t="str">
        <f ca="1"/>
        <v>Add to Cart*3</v>
      </c>
      <c r="R77" s="160" t="str">
        <f ca="1"/>
        <v>(Reminder+ATC) *1</v>
      </c>
      <c r="S77" s="160" t="str">
        <f ca="1"/>
        <v>(Reminder+ATC) *2</v>
      </c>
      <c r="T77" s="160" t="str">
        <f ca="1"/>
        <v>(Reminder+ATC) *3</v>
      </c>
      <c r="U77" s="160" t="str">
        <f ca="1"/>
        <v>Popup*1</v>
      </c>
      <c r="V77" s="160" t="str">
        <f ca="1"/>
        <v>Popup*2</v>
      </c>
      <c r="W77" s="160" t="str">
        <f ca="1"/>
        <v>Popup*3</v>
      </c>
      <c r="X77" s="160" t="str">
        <f ca="1"/>
        <v>Copy*1</v>
      </c>
      <c r="Y77" s="160" t="str">
        <f ca="1"/>
        <v>Copy*2</v>
      </c>
      <c r="Z77" s="160" t="str">
        <f ca="1"/>
        <v>Copy*3</v>
      </c>
      <c r="AA77" s="160" t="str">
        <f ca="1"/>
        <v>Share*1</v>
      </c>
      <c r="AB77" s="160" t="str">
        <f ca="1"/>
        <v>Share*2</v>
      </c>
      <c r="AC77" s="160" t="str">
        <f ca="1"/>
        <v>Share*3</v>
      </c>
      <c r="AD77" s="160" t="str">
        <f ca="1"/>
        <v>Placeholders</v>
      </c>
      <c r="AE77" s="212" t="b">
        <v>0</v>
      </c>
      <c r="AF77" s="238"/>
      <c r="AG77" s="174" t="str">
        <f t="shared" si="37"/>
        <v/>
      </c>
      <c r="AH77" s="195" t="s">
        <v>204</v>
      </c>
      <c r="AI77" s="176" t="str">
        <f ca="1">IFERROR(VLOOKUP($AH77, '(勿動)Component Label公版'!$D$1:$E$1000, 2, FALSE), "-")</f>
        <v>-</v>
      </c>
      <c r="AJ77" s="177"/>
      <c r="AK77" s="174"/>
      <c r="AL77" s="174"/>
      <c r="AM77" s="189" t="str">
        <f t="shared" si="31"/>
        <v/>
      </c>
      <c r="AN77" s="190" t="str">
        <f t="shared" si="32"/>
        <v/>
      </c>
      <c r="AO77" s="400"/>
      <c r="AP77" s="424"/>
      <c r="AQ77" s="379"/>
      <c r="AR77" s="379"/>
      <c r="AS77" s="379"/>
      <c r="AT77" s="379"/>
      <c r="AU77" s="235" t="b">
        <v>1</v>
      </c>
      <c r="AV77" s="180" t="b">
        <v>0</v>
      </c>
      <c r="AW77" s="186"/>
      <c r="AX77" s="187"/>
      <c r="AY77" s="187"/>
      <c r="AZ77" s="187"/>
      <c r="BA77" s="188"/>
      <c r="BB77" s="191" t="s">
        <v>147</v>
      </c>
      <c r="BC77" s="179" t="s">
        <v>154</v>
      </c>
      <c r="BD77" s="198" t="str">
        <f t="shared" si="33"/>
        <v>圖_MSBN_無CTA</v>
      </c>
      <c r="BE77" s="199" t="str">
        <f>IFERROR(VLOOKUP($BD77,'(勿動)組件目錄表'!$D$15:$R$1110,2,FALSE),"")</f>
        <v>I-1</v>
      </c>
      <c r="BF77" s="200">
        <f>IFERROR(VLOOKUP($BD77, '(勿動)組件目錄表'!$D$15:$R$1110, 5, FALSE),"")</f>
        <v>0.5</v>
      </c>
      <c r="BG77" s="591"/>
      <c r="BH77" s="183"/>
      <c r="BI77" s="181"/>
      <c r="BJ77" s="183"/>
    </row>
    <row r="78" spans="1:62" ht="15.75" customHeight="1">
      <c r="A78" s="160" t="str">
        <f t="array" aca="1" ref="A78:AD78" ca="1">IFERROR(TRANSPOSE(INDIRECT(L1_暖正版配!$BB78)),"")</f>
        <v>無CTA</v>
      </c>
      <c r="B78" s="160" t="str">
        <f ca="1"/>
        <v>LINK*1</v>
      </c>
      <c r="C78" s="160" t="str">
        <f ca="1"/>
        <v>LINK*2</v>
      </c>
      <c r="D78" s="160" t="str">
        <f ca="1"/>
        <v>LINK*3</v>
      </c>
      <c r="E78" s="160" t="str">
        <f ca="1"/>
        <v>LINK&gt;3</v>
      </c>
      <c r="F78" s="160" t="str">
        <f ca="1"/>
        <v>Reminder*1</v>
      </c>
      <c r="G78" s="160" t="str">
        <f ca="1"/>
        <v>Reminder*2</v>
      </c>
      <c r="H78" s="160" t="str">
        <f ca="1"/>
        <v>Reminder*3</v>
      </c>
      <c r="I78" s="160" t="str">
        <f ca="1"/>
        <v>Reminder*4</v>
      </c>
      <c r="J78" s="160" t="str">
        <f ca="1"/>
        <v>Reminder*5</v>
      </c>
      <c r="K78" s="160" t="str">
        <f ca="1"/>
        <v>Reminder&gt;5</v>
      </c>
      <c r="L78" s="160" t="str">
        <f ca="1"/>
        <v>LINK*1 + Reminder*1</v>
      </c>
      <c r="M78" s="160" t="str">
        <f ca="1"/>
        <v>LINK*1 + Reminder*2</v>
      </c>
      <c r="N78" s="160" t="str">
        <f ca="1"/>
        <v>LINK*2 + Reminder*1</v>
      </c>
      <c r="O78" s="160" t="str">
        <f ca="1"/>
        <v>Add to Cart*1</v>
      </c>
      <c r="P78" s="160" t="str">
        <f ca="1"/>
        <v>Add to Cart*2</v>
      </c>
      <c r="Q78" s="160" t="str">
        <f ca="1"/>
        <v>Add to Cart*3</v>
      </c>
      <c r="R78" s="160" t="str">
        <f ca="1"/>
        <v>(Reminder+ATC) *1</v>
      </c>
      <c r="S78" s="160" t="str">
        <f ca="1"/>
        <v>(Reminder+ATC) *2</v>
      </c>
      <c r="T78" s="160" t="str">
        <f ca="1"/>
        <v>(Reminder+ATC) *3</v>
      </c>
      <c r="U78" s="160" t="str">
        <f ca="1"/>
        <v>Popup*1</v>
      </c>
      <c r="V78" s="160" t="str">
        <f ca="1"/>
        <v>Popup*2</v>
      </c>
      <c r="W78" s="160" t="str">
        <f ca="1"/>
        <v>Popup*3</v>
      </c>
      <c r="X78" s="160" t="str">
        <f ca="1"/>
        <v>Copy*1</v>
      </c>
      <c r="Y78" s="160" t="str">
        <f ca="1"/>
        <v>Copy*2</v>
      </c>
      <c r="Z78" s="160" t="str">
        <f ca="1"/>
        <v>Copy*3</v>
      </c>
      <c r="AA78" s="160" t="str">
        <f ca="1"/>
        <v>Share*1</v>
      </c>
      <c r="AB78" s="160" t="str">
        <f ca="1"/>
        <v>Share*2</v>
      </c>
      <c r="AC78" s="160" t="str">
        <f ca="1"/>
        <v>Share*3</v>
      </c>
      <c r="AD78" s="160" t="str">
        <f ca="1"/>
        <v>Placeholders</v>
      </c>
      <c r="AE78" s="212" t="b">
        <v>0</v>
      </c>
      <c r="AF78" s="238"/>
      <c r="AG78" s="174" t="str">
        <f t="shared" si="37"/>
        <v/>
      </c>
      <c r="AH78" s="195" t="s">
        <v>204</v>
      </c>
      <c r="AI78" s="176" t="str">
        <f ca="1">IFERROR(VLOOKUP($AH78, '(勿動)Component Label公版'!$D$1:$E$1000, 2, FALSE), "-")</f>
        <v>-</v>
      </c>
      <c r="AJ78" s="177"/>
      <c r="AK78" s="174"/>
      <c r="AL78" s="174"/>
      <c r="AM78" s="189" t="str">
        <f t="shared" si="31"/>
        <v/>
      </c>
      <c r="AN78" s="190" t="str">
        <f t="shared" si="32"/>
        <v/>
      </c>
      <c r="AO78" s="539" t="s">
        <v>593</v>
      </c>
      <c r="AP78" s="422"/>
      <c r="AQ78" s="532" t="s">
        <v>594</v>
      </c>
      <c r="AR78" s="532" t="s">
        <v>595</v>
      </c>
      <c r="AS78" s="532" t="s">
        <v>594</v>
      </c>
      <c r="AT78" s="532" t="s">
        <v>596</v>
      </c>
      <c r="AU78" s="235" t="b">
        <v>1</v>
      </c>
      <c r="AV78" s="180" t="b">
        <v>0</v>
      </c>
      <c r="AW78" s="186"/>
      <c r="AX78" s="187"/>
      <c r="AY78" s="187"/>
      <c r="AZ78" s="187"/>
      <c r="BA78" s="188"/>
      <c r="BB78" s="191" t="s">
        <v>147</v>
      </c>
      <c r="BC78" s="179" t="s">
        <v>154</v>
      </c>
      <c r="BD78" s="198" t="str">
        <f t="shared" si="33"/>
        <v>圖_MSBN_無CTA</v>
      </c>
      <c r="BE78" s="199" t="str">
        <f>IFERROR(VLOOKUP($BD78,'(勿動)組件目錄表'!$D$15:$R$1110,2,FALSE),"")</f>
        <v>I-1</v>
      </c>
      <c r="BF78" s="200">
        <f>IFERROR(VLOOKUP($BD78, '(勿動)組件目錄表'!$D$15:$R$1110, 5, FALSE),"")</f>
        <v>0.5</v>
      </c>
      <c r="BG78" s="591"/>
      <c r="BH78" s="183"/>
      <c r="BI78" s="181"/>
      <c r="BJ78" s="183"/>
    </row>
    <row r="79" spans="1:62" ht="15.75" customHeight="1">
      <c r="A79" s="160" t="str">
        <f t="array" aca="1" ref="A79:AD79" ca="1">IFERROR(TRANSPOSE(INDIRECT(L1_暖正版配!$BB79)),"")</f>
        <v>無CTA</v>
      </c>
      <c r="B79" s="160" t="str">
        <f ca="1"/>
        <v>LINK*1</v>
      </c>
      <c r="C79" s="160" t="str">
        <f ca="1"/>
        <v>LINK*2</v>
      </c>
      <c r="D79" s="160" t="str">
        <f ca="1"/>
        <v>LINK*3</v>
      </c>
      <c r="E79" s="160" t="str">
        <f ca="1"/>
        <v>LINK&gt;3</v>
      </c>
      <c r="F79" s="160" t="str">
        <f ca="1"/>
        <v>Reminder*1</v>
      </c>
      <c r="G79" s="160" t="str">
        <f ca="1"/>
        <v>Reminder*2</v>
      </c>
      <c r="H79" s="160" t="str">
        <f ca="1"/>
        <v>Reminder*3</v>
      </c>
      <c r="I79" s="160" t="str">
        <f ca="1"/>
        <v>Reminder*4</v>
      </c>
      <c r="J79" s="160" t="str">
        <f ca="1"/>
        <v>Reminder*5</v>
      </c>
      <c r="K79" s="160" t="str">
        <f ca="1"/>
        <v>Reminder&gt;5</v>
      </c>
      <c r="L79" s="160" t="str">
        <f ca="1"/>
        <v>LINK*1 + Reminder*1</v>
      </c>
      <c r="M79" s="160" t="str">
        <f ca="1"/>
        <v>LINK*1 + Reminder*2</v>
      </c>
      <c r="N79" s="160" t="str">
        <f ca="1"/>
        <v>LINK*2 + Reminder*1</v>
      </c>
      <c r="O79" s="160" t="str">
        <f ca="1"/>
        <v>Add to Cart*1</v>
      </c>
      <c r="P79" s="160" t="str">
        <f ca="1"/>
        <v>Add to Cart*2</v>
      </c>
      <c r="Q79" s="160" t="str">
        <f ca="1"/>
        <v>Add to Cart*3</v>
      </c>
      <c r="R79" s="160" t="str">
        <f ca="1"/>
        <v>(Reminder+ATC) *1</v>
      </c>
      <c r="S79" s="160" t="str">
        <f ca="1"/>
        <v>(Reminder+ATC) *2</v>
      </c>
      <c r="T79" s="160" t="str">
        <f ca="1"/>
        <v>(Reminder+ATC) *3</v>
      </c>
      <c r="U79" s="160" t="str">
        <f ca="1"/>
        <v>Popup*1</v>
      </c>
      <c r="V79" s="160" t="str">
        <f ca="1"/>
        <v>Popup*2</v>
      </c>
      <c r="W79" s="160" t="str">
        <f ca="1"/>
        <v>Popup*3</v>
      </c>
      <c r="X79" s="160" t="str">
        <f ca="1"/>
        <v>Copy*1</v>
      </c>
      <c r="Y79" s="160" t="str">
        <f ca="1"/>
        <v>Copy*2</v>
      </c>
      <c r="Z79" s="160" t="str">
        <f ca="1"/>
        <v>Copy*3</v>
      </c>
      <c r="AA79" s="160" t="str">
        <f ca="1"/>
        <v>Share*1</v>
      </c>
      <c r="AB79" s="160" t="str">
        <f ca="1"/>
        <v>Share*2</v>
      </c>
      <c r="AC79" s="160" t="str">
        <f ca="1"/>
        <v>Share*3</v>
      </c>
      <c r="AD79" s="160" t="str">
        <f ca="1"/>
        <v>Placeholders</v>
      </c>
      <c r="AE79" s="212" t="b">
        <v>0</v>
      </c>
      <c r="AF79" s="238"/>
      <c r="AG79" s="174" t="str">
        <f t="shared" si="37"/>
        <v/>
      </c>
      <c r="AH79" s="195" t="s">
        <v>204</v>
      </c>
      <c r="AI79" s="176" t="str">
        <f ca="1">IFERROR(VLOOKUP($AH79, '(勿動)Component Label公版'!$D$1:$E$1000, 2, FALSE), "-")</f>
        <v>-</v>
      </c>
      <c r="AJ79" s="177"/>
      <c r="AK79" s="174"/>
      <c r="AL79" s="174"/>
      <c r="AM79" s="189" t="str">
        <f t="shared" si="31"/>
        <v/>
      </c>
      <c r="AN79" s="190" t="str">
        <f t="shared" si="32"/>
        <v/>
      </c>
      <c r="AO79" s="400"/>
      <c r="AP79" s="424"/>
      <c r="AQ79" s="379"/>
      <c r="AR79" s="379"/>
      <c r="AS79" s="379"/>
      <c r="AT79" s="379"/>
      <c r="AU79" s="235" t="b">
        <v>1</v>
      </c>
      <c r="AV79" s="180" t="b">
        <v>0</v>
      </c>
      <c r="AW79" s="186"/>
      <c r="AX79" s="187"/>
      <c r="AY79" s="187"/>
      <c r="AZ79" s="187"/>
      <c r="BA79" s="188"/>
      <c r="BB79" s="191" t="s">
        <v>147</v>
      </c>
      <c r="BC79" s="179" t="s">
        <v>154</v>
      </c>
      <c r="BD79" s="198" t="str">
        <f t="shared" si="33"/>
        <v>圖_MSBN_無CTA</v>
      </c>
      <c r="BE79" s="199" t="str">
        <f>IFERROR(VLOOKUP($BD79,'(勿動)組件目錄表'!$D$15:$R$1110,2,FALSE),"")</f>
        <v>I-1</v>
      </c>
      <c r="BF79" s="200">
        <f>IFERROR(VLOOKUP($BD79, '(勿動)組件目錄表'!$D$15:$R$1110, 5, FALSE),"")</f>
        <v>0.5</v>
      </c>
      <c r="BG79" s="591"/>
      <c r="BH79" s="183"/>
      <c r="BI79" s="181"/>
      <c r="BJ79" s="183"/>
    </row>
    <row r="80" spans="1:62" ht="15.75" customHeight="1">
      <c r="A80" s="160" t="str">
        <f t="array" aca="1" ref="A80:AD80" ca="1">IFERROR(TRANSPOSE(INDIRECT(L1_暖正版配!$BB80)),"")</f>
        <v>無CTA</v>
      </c>
      <c r="B80" s="160" t="str">
        <f ca="1"/>
        <v>LINK*1</v>
      </c>
      <c r="C80" s="160" t="str">
        <f ca="1"/>
        <v>LINK*2</v>
      </c>
      <c r="D80" s="160" t="str">
        <f ca="1"/>
        <v>LINK*3</v>
      </c>
      <c r="E80" s="160" t="str">
        <f ca="1"/>
        <v>LINK&gt;3</v>
      </c>
      <c r="F80" s="160" t="str">
        <f ca="1"/>
        <v>Reminder*1</v>
      </c>
      <c r="G80" s="160" t="str">
        <f ca="1"/>
        <v>Reminder*2</v>
      </c>
      <c r="H80" s="160" t="str">
        <f ca="1"/>
        <v>Reminder*3</v>
      </c>
      <c r="I80" s="160" t="str">
        <f ca="1"/>
        <v>Reminder*4</v>
      </c>
      <c r="J80" s="160" t="str">
        <f ca="1"/>
        <v>Reminder*5</v>
      </c>
      <c r="K80" s="160" t="str">
        <f ca="1"/>
        <v>Reminder&gt;5</v>
      </c>
      <c r="L80" s="160" t="str">
        <f ca="1"/>
        <v>LINK*1 + Reminder*1</v>
      </c>
      <c r="M80" s="160" t="str">
        <f ca="1"/>
        <v>LINK*1 + Reminder*2</v>
      </c>
      <c r="N80" s="160" t="str">
        <f ca="1"/>
        <v>LINK*2 + Reminder*1</v>
      </c>
      <c r="O80" s="160" t="str">
        <f ca="1"/>
        <v>Add to Cart*1</v>
      </c>
      <c r="P80" s="160" t="str">
        <f ca="1"/>
        <v>Add to Cart*2</v>
      </c>
      <c r="Q80" s="160" t="str">
        <f ca="1"/>
        <v>Add to Cart*3</v>
      </c>
      <c r="R80" s="160" t="str">
        <f ca="1"/>
        <v>(Reminder+ATC) *1</v>
      </c>
      <c r="S80" s="160" t="str">
        <f ca="1"/>
        <v>(Reminder+ATC) *2</v>
      </c>
      <c r="T80" s="160" t="str">
        <f ca="1"/>
        <v>(Reminder+ATC) *3</v>
      </c>
      <c r="U80" s="160" t="str">
        <f ca="1"/>
        <v>Popup*1</v>
      </c>
      <c r="V80" s="160" t="str">
        <f ca="1"/>
        <v>Popup*2</v>
      </c>
      <c r="W80" s="160" t="str">
        <f ca="1"/>
        <v>Popup*3</v>
      </c>
      <c r="X80" s="160" t="str">
        <f ca="1"/>
        <v>Copy*1</v>
      </c>
      <c r="Y80" s="160" t="str">
        <f ca="1"/>
        <v>Copy*2</v>
      </c>
      <c r="Z80" s="160" t="str">
        <f ca="1"/>
        <v>Copy*3</v>
      </c>
      <c r="AA80" s="160" t="str">
        <f ca="1"/>
        <v>Share*1</v>
      </c>
      <c r="AB80" s="160" t="str">
        <f ca="1"/>
        <v>Share*2</v>
      </c>
      <c r="AC80" s="160" t="str">
        <f ca="1"/>
        <v>Share*3</v>
      </c>
      <c r="AD80" s="160" t="str">
        <f ca="1"/>
        <v>Placeholders</v>
      </c>
      <c r="AE80" s="212" t="b">
        <v>0</v>
      </c>
      <c r="AF80" s="238"/>
      <c r="AG80" s="174" t="str">
        <f t="shared" si="37"/>
        <v/>
      </c>
      <c r="AH80" s="195" t="s">
        <v>204</v>
      </c>
      <c r="AI80" s="176" t="str">
        <f ca="1">IFERROR(VLOOKUP($AH80, '(勿動)Component Label公版'!$D$1:$E$1000, 2, FALSE), "-")</f>
        <v>-</v>
      </c>
      <c r="AJ80" s="177"/>
      <c r="AK80" s="174"/>
      <c r="AL80" s="174"/>
      <c r="AM80" s="189" t="str">
        <f t="shared" si="31"/>
        <v/>
      </c>
      <c r="AN80" s="190" t="str">
        <f t="shared" si="32"/>
        <v/>
      </c>
      <c r="AO80" s="536" t="s">
        <v>597</v>
      </c>
      <c r="AP80" s="422"/>
      <c r="AQ80" s="538" t="s">
        <v>598</v>
      </c>
      <c r="AR80" s="399"/>
      <c r="AS80" s="422"/>
      <c r="AT80" s="532" t="s">
        <v>599</v>
      </c>
      <c r="AU80" s="235" t="b">
        <v>1</v>
      </c>
      <c r="AV80" s="180" t="b">
        <v>0</v>
      </c>
      <c r="AW80" s="186"/>
      <c r="AX80" s="187"/>
      <c r="AY80" s="187"/>
      <c r="AZ80" s="187"/>
      <c r="BA80" s="188"/>
      <c r="BB80" s="191" t="s">
        <v>147</v>
      </c>
      <c r="BC80" s="179" t="s">
        <v>154</v>
      </c>
      <c r="BD80" s="198" t="str">
        <f t="shared" si="33"/>
        <v>圖_MSBN_無CTA</v>
      </c>
      <c r="BE80" s="199" t="str">
        <f>IFERROR(VLOOKUP($BD80,'(勿動)組件目錄表'!$D$15:$R$1110,2,FALSE),"")</f>
        <v>I-1</v>
      </c>
      <c r="BF80" s="200">
        <f>IFERROR(VLOOKUP($BD80, '(勿動)組件目錄表'!$D$15:$R$1110, 5, FALSE),"")</f>
        <v>0.5</v>
      </c>
      <c r="BG80" s="591"/>
      <c r="BH80" s="183"/>
      <c r="BI80" s="181"/>
      <c r="BJ80" s="183"/>
    </row>
    <row r="81" spans="1:62" ht="15.75" customHeight="1">
      <c r="A81" s="160" t="str">
        <f t="array" aca="1" ref="A81:AD81" ca="1">IFERROR(TRANSPOSE(INDIRECT(L1_暖正版配!$BB81)),"")</f>
        <v>無CTA</v>
      </c>
      <c r="B81" s="160" t="str">
        <f ca="1"/>
        <v>LINK*1</v>
      </c>
      <c r="C81" s="160" t="str">
        <f ca="1"/>
        <v>LINK*2</v>
      </c>
      <c r="D81" s="160" t="str">
        <f ca="1"/>
        <v>LINK*3</v>
      </c>
      <c r="E81" s="160" t="str">
        <f ca="1"/>
        <v>LINK&gt;3</v>
      </c>
      <c r="F81" s="160" t="str">
        <f ca="1"/>
        <v>Reminder*1</v>
      </c>
      <c r="G81" s="160" t="str">
        <f ca="1"/>
        <v>Reminder*2</v>
      </c>
      <c r="H81" s="160" t="str">
        <f ca="1"/>
        <v>Reminder*3</v>
      </c>
      <c r="I81" s="160" t="str">
        <f ca="1"/>
        <v>Reminder*4</v>
      </c>
      <c r="J81" s="160" t="str">
        <f ca="1"/>
        <v>Reminder*5</v>
      </c>
      <c r="K81" s="160" t="str">
        <f ca="1"/>
        <v>Reminder&gt;5</v>
      </c>
      <c r="L81" s="160" t="str">
        <f ca="1"/>
        <v>LINK*1 + Reminder*1</v>
      </c>
      <c r="M81" s="160" t="str">
        <f ca="1"/>
        <v>LINK*1 + Reminder*2</v>
      </c>
      <c r="N81" s="160" t="str">
        <f ca="1"/>
        <v>LINK*2 + Reminder*1</v>
      </c>
      <c r="O81" s="160" t="str">
        <f ca="1"/>
        <v>Add to Cart*1</v>
      </c>
      <c r="P81" s="160" t="str">
        <f ca="1"/>
        <v>Add to Cart*2</v>
      </c>
      <c r="Q81" s="160" t="str">
        <f ca="1"/>
        <v>Add to Cart*3</v>
      </c>
      <c r="R81" s="160" t="str">
        <f ca="1"/>
        <v>(Reminder+ATC) *1</v>
      </c>
      <c r="S81" s="160" t="str">
        <f ca="1"/>
        <v>(Reminder+ATC) *2</v>
      </c>
      <c r="T81" s="160" t="str">
        <f ca="1"/>
        <v>(Reminder+ATC) *3</v>
      </c>
      <c r="U81" s="160" t="str">
        <f ca="1"/>
        <v>Popup*1</v>
      </c>
      <c r="V81" s="160" t="str">
        <f ca="1"/>
        <v>Popup*2</v>
      </c>
      <c r="W81" s="160" t="str">
        <f ca="1"/>
        <v>Popup*3</v>
      </c>
      <c r="X81" s="160" t="str">
        <f ca="1"/>
        <v>Copy*1</v>
      </c>
      <c r="Y81" s="160" t="str">
        <f ca="1"/>
        <v>Copy*2</v>
      </c>
      <c r="Z81" s="160" t="str">
        <f ca="1"/>
        <v>Copy*3</v>
      </c>
      <c r="AA81" s="160" t="str">
        <f ca="1"/>
        <v>Share*1</v>
      </c>
      <c r="AB81" s="160" t="str">
        <f ca="1"/>
        <v>Share*2</v>
      </c>
      <c r="AC81" s="160" t="str">
        <f ca="1"/>
        <v>Share*3</v>
      </c>
      <c r="AD81" s="160" t="str">
        <f ca="1"/>
        <v>Placeholders</v>
      </c>
      <c r="AE81" s="212" t="b">
        <v>0</v>
      </c>
      <c r="AF81" s="238"/>
      <c r="AG81" s="174" t="str">
        <f t="shared" si="37"/>
        <v/>
      </c>
      <c r="AH81" s="195" t="s">
        <v>204</v>
      </c>
      <c r="AI81" s="176" t="str">
        <f ca="1">IFERROR(VLOOKUP($AH81, '(勿動)Component Label公版'!$D$1:$E$1000, 2, FALSE), "-")</f>
        <v>-</v>
      </c>
      <c r="AJ81" s="177"/>
      <c r="AK81" s="174"/>
      <c r="AL81" s="174"/>
      <c r="AM81" s="189" t="str">
        <f t="shared" si="31"/>
        <v/>
      </c>
      <c r="AN81" s="190" t="str">
        <f t="shared" si="32"/>
        <v/>
      </c>
      <c r="AO81" s="412"/>
      <c r="AP81" s="423"/>
      <c r="AQ81" s="400"/>
      <c r="AR81" s="401"/>
      <c r="AS81" s="424"/>
      <c r="AT81" s="379"/>
      <c r="AU81" s="235" t="b">
        <v>1</v>
      </c>
      <c r="AV81" s="180" t="b">
        <v>0</v>
      </c>
      <c r="AW81" s="186"/>
      <c r="AX81" s="187"/>
      <c r="AY81" s="187"/>
      <c r="AZ81" s="187"/>
      <c r="BA81" s="188"/>
      <c r="BB81" s="191" t="s">
        <v>147</v>
      </c>
      <c r="BC81" s="179" t="s">
        <v>154</v>
      </c>
      <c r="BD81" s="198" t="str">
        <f t="shared" si="33"/>
        <v>圖_MSBN_無CTA</v>
      </c>
      <c r="BE81" s="199" t="str">
        <f>IFERROR(VLOOKUP($BD81,'(勿動)組件目錄表'!$D$15:$R$1110,2,FALSE),"")</f>
        <v>I-1</v>
      </c>
      <c r="BF81" s="200">
        <f>IFERROR(VLOOKUP($BD81, '(勿動)組件目錄表'!$D$15:$R$1110, 5, FALSE),"")</f>
        <v>0.5</v>
      </c>
      <c r="BG81" s="591"/>
      <c r="BH81" s="183"/>
      <c r="BI81" s="181"/>
      <c r="BJ81" s="183"/>
    </row>
    <row r="82" spans="1:62" ht="15.75" customHeight="1">
      <c r="A82" s="160" t="str">
        <f t="array" aca="1" ref="A82:AD82" ca="1">IFERROR(TRANSPOSE(INDIRECT(L1_暖正版配!$BB82)),"")</f>
        <v>無CTA</v>
      </c>
      <c r="B82" s="160" t="str">
        <f ca="1"/>
        <v>LINK*1</v>
      </c>
      <c r="C82" s="160" t="str">
        <f ca="1"/>
        <v>LINK*2</v>
      </c>
      <c r="D82" s="160" t="str">
        <f ca="1"/>
        <v>LINK*3</v>
      </c>
      <c r="E82" s="160" t="str">
        <f ca="1"/>
        <v>LINK&gt;3</v>
      </c>
      <c r="F82" s="160" t="str">
        <f ca="1"/>
        <v>Reminder*1</v>
      </c>
      <c r="G82" s="160" t="str">
        <f ca="1"/>
        <v>Reminder*2</v>
      </c>
      <c r="H82" s="160" t="str">
        <f ca="1"/>
        <v>Reminder*3</v>
      </c>
      <c r="I82" s="160" t="str">
        <f ca="1"/>
        <v>Reminder*4</v>
      </c>
      <c r="J82" s="160" t="str">
        <f ca="1"/>
        <v>Reminder*5</v>
      </c>
      <c r="K82" s="160" t="str">
        <f ca="1"/>
        <v>Reminder&gt;5</v>
      </c>
      <c r="L82" s="160" t="str">
        <f ca="1"/>
        <v>LINK*1 + Reminder*1</v>
      </c>
      <c r="M82" s="160" t="str">
        <f ca="1"/>
        <v>LINK*1 + Reminder*2</v>
      </c>
      <c r="N82" s="160" t="str">
        <f ca="1"/>
        <v>LINK*2 + Reminder*1</v>
      </c>
      <c r="O82" s="160" t="str">
        <f ca="1"/>
        <v>Add to Cart*1</v>
      </c>
      <c r="P82" s="160" t="str">
        <f ca="1"/>
        <v>Add to Cart*2</v>
      </c>
      <c r="Q82" s="160" t="str">
        <f ca="1"/>
        <v>Add to Cart*3</v>
      </c>
      <c r="R82" s="160" t="str">
        <f ca="1"/>
        <v>(Reminder+ATC) *1</v>
      </c>
      <c r="S82" s="160" t="str">
        <f ca="1"/>
        <v>(Reminder+ATC) *2</v>
      </c>
      <c r="T82" s="160" t="str">
        <f ca="1"/>
        <v>(Reminder+ATC) *3</v>
      </c>
      <c r="U82" s="160" t="str">
        <f ca="1"/>
        <v>Popup*1</v>
      </c>
      <c r="V82" s="160" t="str">
        <f ca="1"/>
        <v>Popup*2</v>
      </c>
      <c r="W82" s="160" t="str">
        <f ca="1"/>
        <v>Popup*3</v>
      </c>
      <c r="X82" s="160" t="str">
        <f ca="1"/>
        <v>Copy*1</v>
      </c>
      <c r="Y82" s="160" t="str">
        <f ca="1"/>
        <v>Copy*2</v>
      </c>
      <c r="Z82" s="160" t="str">
        <f ca="1"/>
        <v>Copy*3</v>
      </c>
      <c r="AA82" s="160" t="str">
        <f ca="1"/>
        <v>Share*1</v>
      </c>
      <c r="AB82" s="160" t="str">
        <f ca="1"/>
        <v>Share*2</v>
      </c>
      <c r="AC82" s="160" t="str">
        <f ca="1"/>
        <v>Share*3</v>
      </c>
      <c r="AD82" s="160" t="str">
        <f ca="1"/>
        <v>Placeholders</v>
      </c>
      <c r="AE82" s="212" t="b">
        <v>0</v>
      </c>
      <c r="AF82" s="238"/>
      <c r="AG82" s="174" t="str">
        <f t="shared" si="37"/>
        <v/>
      </c>
      <c r="AH82" s="195" t="s">
        <v>204</v>
      </c>
      <c r="AI82" s="176" t="str">
        <f ca="1">IFERROR(VLOOKUP($AH82, '(勿動)Component Label公版'!$D$1:$E$1000, 2, FALSE), "-")</f>
        <v>-</v>
      </c>
      <c r="AJ82" s="177"/>
      <c r="AK82" s="174"/>
      <c r="AL82" s="174"/>
      <c r="AM82" s="189" t="str">
        <f t="shared" si="31"/>
        <v/>
      </c>
      <c r="AN82" s="190" t="str">
        <f t="shared" si="32"/>
        <v/>
      </c>
      <c r="AO82" s="400"/>
      <c r="AP82" s="424"/>
      <c r="AQ82" s="540" t="s">
        <v>600</v>
      </c>
      <c r="AR82" s="384"/>
      <c r="AS82" s="385"/>
      <c r="AT82" s="239" t="s">
        <v>601</v>
      </c>
      <c r="AU82" s="235" t="b">
        <v>1</v>
      </c>
      <c r="AV82" s="180" t="b">
        <v>0</v>
      </c>
      <c r="AW82" s="186"/>
      <c r="AX82" s="187"/>
      <c r="AY82" s="187"/>
      <c r="AZ82" s="187"/>
      <c r="BA82" s="188"/>
      <c r="BB82" s="191" t="s">
        <v>147</v>
      </c>
      <c r="BC82" s="179" t="s">
        <v>154</v>
      </c>
      <c r="BD82" s="198" t="str">
        <f t="shared" si="33"/>
        <v>圖_MSBN_無CTA</v>
      </c>
      <c r="BE82" s="199" t="str">
        <f>IFERROR(VLOOKUP($BD82,'(勿動)組件目錄表'!$D$15:$R$1110,2,FALSE),"")</f>
        <v>I-1</v>
      </c>
      <c r="BF82" s="200">
        <f>IFERROR(VLOOKUP($BD82, '(勿動)組件目錄表'!$D$15:$R$1110, 5, FALSE),"")</f>
        <v>0.5</v>
      </c>
      <c r="BG82" s="593"/>
      <c r="BH82" s="183"/>
      <c r="BI82" s="181"/>
      <c r="BJ82" s="183"/>
    </row>
    <row r="83" spans="1:62" ht="15.75" customHeight="1">
      <c r="A83" s="160" t="str">
        <f t="array" aca="1" ref="A83:I83" ca="1">IFERROR(TRANSPOSE(INDIRECT(L1_暖正版配!$BB83)),"")</f>
        <v>一排1張(單張/多張)(無一鍵領取)</v>
      </c>
      <c r="B83" s="160" t="str">
        <f ca="1"/>
        <v>一排1張 + Reminder(單張/多張)(無一鍵領取)</v>
      </c>
      <c r="C83" s="160" t="str">
        <f ca="1"/>
        <v>一排1張 + 一鍵領取(多張)</v>
      </c>
      <c r="D83" s="160" t="str">
        <f ca="1"/>
        <v>【僅供MKT Campaign使用】PC：一排兩張；APP：一排1張 + 一鍵領取(多張)</v>
      </c>
      <c r="E83" s="160" t="str">
        <f ca="1"/>
        <v>【僅供MKT Campaign使用】PC：一排兩張；APP：一排1張 + 一鍵領取(多張) + Reminder</v>
      </c>
      <c r="F83" s="160" t="str">
        <f ca="1"/>
        <v>【僅供MKT Campaign使用】PC：一排兩張；APP：一排1張 + 一鍵領取(多張) + Reminder + 查看全部(系統預設加上「優惠券」文案)</v>
      </c>
      <c r="G83" s="160" t="str">
        <f ca="1"/>
        <v>一排2張(單張/多張)(無一鍵領取)</v>
      </c>
      <c r="H83" s="160" t="str">
        <f ca="1"/>
        <v>一排2張 + Reminder(單張/多張)(無一鍵領取)</v>
      </c>
      <c r="I83" s="160" t="str">
        <f ca="1"/>
        <v>一排2張 + 一鍵領取(多張)</v>
      </c>
      <c r="J83" s="160"/>
      <c r="K83" s="160"/>
      <c r="L83" s="160"/>
      <c r="M83" s="160"/>
      <c r="N83" s="160"/>
      <c r="O83" s="160"/>
      <c r="P83" s="160"/>
      <c r="Q83" s="160"/>
      <c r="R83" s="160"/>
      <c r="S83" s="160"/>
      <c r="T83" s="160"/>
      <c r="U83" s="160"/>
      <c r="V83" s="160"/>
      <c r="W83" s="160"/>
      <c r="X83" s="160"/>
      <c r="Y83" s="160"/>
      <c r="Z83" s="160"/>
      <c r="AA83" s="160"/>
      <c r="AB83" s="160"/>
      <c r="AC83" s="160"/>
      <c r="AD83" s="160"/>
      <c r="AE83" s="212" t="b">
        <v>0</v>
      </c>
      <c r="AF83" s="173" t="str">
        <f t="shared" ref="AF83:AF88" si="38">IF(AE83=TRUE,"若有勾選則必填，隱藏錨點請填寫&lt;設隱形錨點&gt;","")</f>
        <v/>
      </c>
      <c r="AG83" s="174" t="str">
        <f t="shared" si="37"/>
        <v/>
      </c>
      <c r="AH83" s="195" t="s">
        <v>204</v>
      </c>
      <c r="AI83" s="176" t="str">
        <f ca="1">IFERROR(VLOOKUP($AH83, '(勿動)Component Label公版'!$D$1:$E$1000, 2, FALSE), "-")</f>
        <v>-</v>
      </c>
      <c r="AJ83" s="240"/>
      <c r="AK83" s="202"/>
      <c r="AL83" s="202"/>
      <c r="AM83" s="189" t="str">
        <f t="shared" si="31"/>
        <v/>
      </c>
      <c r="AN83" s="190" t="str">
        <f t="shared" si="32"/>
        <v/>
      </c>
      <c r="AO83" s="530" t="s">
        <v>602</v>
      </c>
      <c r="AP83" s="384"/>
      <c r="AQ83" s="384"/>
      <c r="AR83" s="384"/>
      <c r="AS83" s="384"/>
      <c r="AT83" s="385"/>
      <c r="AU83" s="180" t="b">
        <v>0</v>
      </c>
      <c r="AV83" s="180" t="b">
        <v>0</v>
      </c>
      <c r="AW83" s="186"/>
      <c r="AX83" s="187"/>
      <c r="AY83" s="187"/>
      <c r="AZ83" s="187"/>
      <c r="BA83" s="188"/>
      <c r="BB83" s="191" t="s">
        <v>182</v>
      </c>
      <c r="BC83" s="179" t="s">
        <v>175</v>
      </c>
      <c r="BD83" s="198" t="str">
        <f t="shared" si="33"/>
        <v>優惠券_真券_一排1張 + 一鍵領取(多張)</v>
      </c>
      <c r="BE83" s="199" t="str">
        <f>IFERROR(VLOOKUP($BD83,'(勿動)組件目錄表'!$D$15:$R$1110,2,FALSE),"")</f>
        <v>F-3</v>
      </c>
      <c r="BF83" s="200">
        <f>IFERROR(VLOOKUP($BD83, '(勿動)組件目錄表'!$D$15:$R$1110, 5, FALSE),"")</f>
        <v>0.5</v>
      </c>
      <c r="BG83" s="181"/>
      <c r="BH83" s="183"/>
      <c r="BI83" s="181"/>
      <c r="BJ83" s="183"/>
    </row>
    <row r="84" spans="1:62" ht="15.75" customHeight="1">
      <c r="A84" s="160" t="str">
        <f t="array" aca="1" ref="A84" ca="1">IFERROR(TRANSPOSE(INDIRECT(L1_暖正版配!$BB84)),"")</f>
        <v>輪播 水平滑動(display number per row: 1)</v>
      </c>
      <c r="B84" s="160"/>
      <c r="C84" s="160"/>
      <c r="D84" s="160"/>
      <c r="E84" s="160"/>
      <c r="F84" s="160"/>
      <c r="G84" s="160"/>
      <c r="H84" s="160"/>
      <c r="I84" s="160"/>
      <c r="J84" s="160"/>
      <c r="K84" s="160"/>
      <c r="L84" s="160"/>
      <c r="M84" s="160"/>
      <c r="N84" s="160"/>
      <c r="O84" s="160"/>
      <c r="P84" s="160"/>
      <c r="Q84" s="160"/>
      <c r="R84" s="160"/>
      <c r="S84" s="160"/>
      <c r="T84" s="160"/>
      <c r="U84" s="160"/>
      <c r="V84" s="160"/>
      <c r="W84" s="160"/>
      <c r="X84" s="160"/>
      <c r="Y84" s="160"/>
      <c r="Z84" s="160"/>
      <c r="AA84" s="160"/>
      <c r="AB84" s="160"/>
      <c r="AC84" s="160"/>
      <c r="AD84" s="160"/>
      <c r="AE84" s="212" t="b">
        <v>0</v>
      </c>
      <c r="AF84" s="173" t="str">
        <f t="shared" si="38"/>
        <v/>
      </c>
      <c r="AG84" s="174" t="str">
        <f t="shared" si="37"/>
        <v/>
      </c>
      <c r="AH84" s="195" t="s">
        <v>204</v>
      </c>
      <c r="AI84" s="176" t="str">
        <f ca="1">IFERROR(VLOOKUP($AH84, '(勿動)Component Label公版'!$D$1:$E$1000, 2, FALSE), "-")</f>
        <v>-</v>
      </c>
      <c r="AJ84" s="177"/>
      <c r="AK84" s="174"/>
      <c r="AL84" s="174"/>
      <c r="AM84" s="189" t="str">
        <f t="shared" si="31"/>
        <v/>
      </c>
      <c r="AN84" s="190" t="str">
        <f t="shared" si="32"/>
        <v/>
      </c>
      <c r="AO84" s="541" t="s">
        <v>603</v>
      </c>
      <c r="AP84" s="384"/>
      <c r="AQ84" s="384"/>
      <c r="AR84" s="384"/>
      <c r="AS84" s="384"/>
      <c r="AT84" s="385"/>
      <c r="AU84" s="180" t="b">
        <v>0</v>
      </c>
      <c r="AV84" s="180" t="b">
        <v>0</v>
      </c>
      <c r="AW84" s="186"/>
      <c r="AX84" s="187"/>
      <c r="AY84" s="187"/>
      <c r="AZ84" s="187"/>
      <c r="BA84" s="188"/>
      <c r="BB84" s="191" t="s">
        <v>466</v>
      </c>
      <c r="BC84" s="179" t="s">
        <v>467</v>
      </c>
      <c r="BD84" s="198" t="str">
        <f t="shared" si="33"/>
        <v>圖_ImageCollection_輪播 水平滑動(display number per row: 1)</v>
      </c>
      <c r="BE84" s="199" t="str">
        <f>IFERROR(VLOOKUP($BD84,'(勿動)組件目錄表'!$D$15:$R$1110,2,FALSE),"")</f>
        <v>I-38</v>
      </c>
      <c r="BF84" s="200">
        <f>IFERROR(VLOOKUP($BD84, '(勿動)組件目錄表'!$D$15:$R$1110, 5, FALSE),"")</f>
        <v>0.5</v>
      </c>
      <c r="BG84" s="181"/>
      <c r="BH84" s="183"/>
      <c r="BI84" s="181"/>
      <c r="BJ84" s="183"/>
    </row>
    <row r="85" spans="1:62" ht="15.75" hidden="1" customHeight="1">
      <c r="A85" s="160" t="str">
        <f t="array" aca="1" ref="A85:AD85" ca="1">IFERROR(TRANSPOSE(INDIRECT(L1_暖正版配!$BB85)),"")</f>
        <v>無CTA</v>
      </c>
      <c r="B85" s="160" t="str">
        <f ca="1"/>
        <v>LINK*1</v>
      </c>
      <c r="C85" s="160" t="str">
        <f ca="1"/>
        <v>LINK*2</v>
      </c>
      <c r="D85" s="160" t="str">
        <f ca="1"/>
        <v>LINK*3</v>
      </c>
      <c r="E85" s="160" t="str">
        <f ca="1"/>
        <v>LINK&gt;3</v>
      </c>
      <c r="F85" s="160" t="str">
        <f ca="1"/>
        <v>Reminder*1</v>
      </c>
      <c r="G85" s="160" t="str">
        <f ca="1"/>
        <v>Reminder*2</v>
      </c>
      <c r="H85" s="160" t="str">
        <f ca="1"/>
        <v>Reminder*3</v>
      </c>
      <c r="I85" s="160" t="str">
        <f ca="1"/>
        <v>Reminder*4</v>
      </c>
      <c r="J85" s="160" t="str">
        <f ca="1"/>
        <v>Reminder*5</v>
      </c>
      <c r="K85" s="160" t="str">
        <f ca="1"/>
        <v>Reminder&gt;5</v>
      </c>
      <c r="L85" s="160" t="str">
        <f ca="1"/>
        <v>LINK*1 + Reminder*1</v>
      </c>
      <c r="M85" s="160" t="str">
        <f ca="1"/>
        <v>LINK*1 + Reminder*2</v>
      </c>
      <c r="N85" s="160" t="str">
        <f ca="1"/>
        <v>LINK*2 + Reminder*1</v>
      </c>
      <c r="O85" s="160" t="str">
        <f ca="1"/>
        <v>Add to Cart*1</v>
      </c>
      <c r="P85" s="160" t="str">
        <f ca="1"/>
        <v>Add to Cart*2</v>
      </c>
      <c r="Q85" s="160" t="str">
        <f ca="1"/>
        <v>Add to Cart*3</v>
      </c>
      <c r="R85" s="160" t="str">
        <f ca="1"/>
        <v>(Reminder+ATC) *1</v>
      </c>
      <c r="S85" s="160" t="str">
        <f ca="1"/>
        <v>(Reminder+ATC) *2</v>
      </c>
      <c r="T85" s="160" t="str">
        <f ca="1"/>
        <v>(Reminder+ATC) *3</v>
      </c>
      <c r="U85" s="160" t="str">
        <f ca="1"/>
        <v>Popup*1</v>
      </c>
      <c r="V85" s="160" t="str">
        <f ca="1"/>
        <v>Popup*2</v>
      </c>
      <c r="W85" s="160" t="str">
        <f ca="1"/>
        <v>Popup*3</v>
      </c>
      <c r="X85" s="160" t="str">
        <f ca="1"/>
        <v>Copy*1</v>
      </c>
      <c r="Y85" s="160" t="str">
        <f ca="1"/>
        <v>Copy*2</v>
      </c>
      <c r="Z85" s="160" t="str">
        <f ca="1"/>
        <v>Copy*3</v>
      </c>
      <c r="AA85" s="160" t="str">
        <f ca="1"/>
        <v>Share*1</v>
      </c>
      <c r="AB85" s="160" t="str">
        <f ca="1"/>
        <v>Share*2</v>
      </c>
      <c r="AC85" s="160" t="str">
        <f ca="1"/>
        <v>Share*3</v>
      </c>
      <c r="AD85" s="160" t="str">
        <f ca="1"/>
        <v>Placeholders</v>
      </c>
      <c r="AE85" s="212" t="b">
        <v>0</v>
      </c>
      <c r="AF85" s="173" t="str">
        <f t="shared" si="38"/>
        <v/>
      </c>
      <c r="AG85" s="174" t="str">
        <f t="shared" si="37"/>
        <v/>
      </c>
      <c r="AH85" s="195" t="s">
        <v>204</v>
      </c>
      <c r="AI85" s="176" t="str">
        <f ca="1">IFERROR(VLOOKUP($AH85, '(勿動)Component Label公版'!$D$1:$E$1000, 2, FALSE), "-")</f>
        <v>-</v>
      </c>
      <c r="AJ85" s="177"/>
      <c r="AK85" s="174"/>
      <c r="AL85" s="174"/>
      <c r="AM85" s="189" t="str">
        <f t="shared" si="31"/>
        <v/>
      </c>
      <c r="AN85" s="190" t="str">
        <f t="shared" si="32"/>
        <v/>
      </c>
      <c r="AO85" s="542" t="s">
        <v>604</v>
      </c>
      <c r="AP85" s="384"/>
      <c r="AQ85" s="384"/>
      <c r="AR85" s="384"/>
      <c r="AS85" s="384"/>
      <c r="AT85" s="385"/>
      <c r="AU85" s="180" t="b">
        <v>0</v>
      </c>
      <c r="AV85" s="180" t="b">
        <v>0</v>
      </c>
      <c r="AW85" s="186"/>
      <c r="AX85" s="187"/>
      <c r="AY85" s="187"/>
      <c r="AZ85" s="187"/>
      <c r="BA85" s="188"/>
      <c r="BB85" s="191" t="s">
        <v>147</v>
      </c>
      <c r="BC85" s="179" t="s">
        <v>118</v>
      </c>
      <c r="BD85" s="198" t="str">
        <f t="shared" si="33"/>
        <v>圖_MSBN_LINK*1</v>
      </c>
      <c r="BE85" s="199" t="str">
        <f>IFERROR(VLOOKUP($BD85,'(勿動)組件目錄表'!$D$15:$R$1110,2,FALSE),"")</f>
        <v>I-2</v>
      </c>
      <c r="BF85" s="200">
        <f>IFERROR(VLOOKUP($BD85, '(勿動)組件目錄表'!$D$15:$R$1110, 5, FALSE),"")</f>
        <v>0.5</v>
      </c>
      <c r="BG85" s="181"/>
      <c r="BH85" s="183"/>
      <c r="BI85" s="181"/>
      <c r="BJ85" s="183"/>
    </row>
    <row r="86" spans="1:62" ht="15.75" hidden="1" customHeight="1">
      <c r="A86" s="160" t="str">
        <f t="array" aca="1" ref="A86:AD86" ca="1">IFERROR(TRANSPOSE(INDIRECT(L1_暖正版配!$BB86)),"")</f>
        <v>無CTA</v>
      </c>
      <c r="B86" s="160" t="str">
        <f ca="1"/>
        <v>LINK*1</v>
      </c>
      <c r="C86" s="160" t="str">
        <f ca="1"/>
        <v>LINK*2</v>
      </c>
      <c r="D86" s="160" t="str">
        <f ca="1"/>
        <v>LINK*3</v>
      </c>
      <c r="E86" s="160" t="str">
        <f ca="1"/>
        <v>LINK&gt;3</v>
      </c>
      <c r="F86" s="160" t="str">
        <f ca="1"/>
        <v>Reminder*1</v>
      </c>
      <c r="G86" s="160" t="str">
        <f ca="1"/>
        <v>Reminder*2</v>
      </c>
      <c r="H86" s="160" t="str">
        <f ca="1"/>
        <v>Reminder*3</v>
      </c>
      <c r="I86" s="160" t="str">
        <f ca="1"/>
        <v>Reminder*4</v>
      </c>
      <c r="J86" s="160" t="str">
        <f ca="1"/>
        <v>Reminder*5</v>
      </c>
      <c r="K86" s="160" t="str">
        <f ca="1"/>
        <v>Reminder&gt;5</v>
      </c>
      <c r="L86" s="160" t="str">
        <f ca="1"/>
        <v>LINK*1 + Reminder*1</v>
      </c>
      <c r="M86" s="160" t="str">
        <f ca="1"/>
        <v>LINK*1 + Reminder*2</v>
      </c>
      <c r="N86" s="160" t="str">
        <f ca="1"/>
        <v>LINK*2 + Reminder*1</v>
      </c>
      <c r="O86" s="160" t="str">
        <f ca="1"/>
        <v>Add to Cart*1</v>
      </c>
      <c r="P86" s="160" t="str">
        <f ca="1"/>
        <v>Add to Cart*2</v>
      </c>
      <c r="Q86" s="160" t="str">
        <f ca="1"/>
        <v>Add to Cart*3</v>
      </c>
      <c r="R86" s="160" t="str">
        <f ca="1"/>
        <v>(Reminder+ATC) *1</v>
      </c>
      <c r="S86" s="160" t="str">
        <f ca="1"/>
        <v>(Reminder+ATC) *2</v>
      </c>
      <c r="T86" s="160" t="str">
        <f ca="1"/>
        <v>(Reminder+ATC) *3</v>
      </c>
      <c r="U86" s="160" t="str">
        <f ca="1"/>
        <v>Popup*1</v>
      </c>
      <c r="V86" s="160" t="str">
        <f ca="1"/>
        <v>Popup*2</v>
      </c>
      <c r="W86" s="160" t="str">
        <f ca="1"/>
        <v>Popup*3</v>
      </c>
      <c r="X86" s="160" t="str">
        <f ca="1"/>
        <v>Copy*1</v>
      </c>
      <c r="Y86" s="160" t="str">
        <f ca="1"/>
        <v>Copy*2</v>
      </c>
      <c r="Z86" s="160" t="str">
        <f ca="1"/>
        <v>Copy*3</v>
      </c>
      <c r="AA86" s="160" t="str">
        <f ca="1"/>
        <v>Share*1</v>
      </c>
      <c r="AB86" s="160" t="str">
        <f ca="1"/>
        <v>Share*2</v>
      </c>
      <c r="AC86" s="160" t="str">
        <f ca="1"/>
        <v>Share*3</v>
      </c>
      <c r="AD86" s="160" t="str">
        <f ca="1"/>
        <v>Placeholders</v>
      </c>
      <c r="AE86" s="212" t="b">
        <v>0</v>
      </c>
      <c r="AF86" s="173" t="str">
        <f t="shared" si="38"/>
        <v/>
      </c>
      <c r="AG86" s="174" t="str">
        <f t="shared" si="37"/>
        <v/>
      </c>
      <c r="AH86" s="195" t="s">
        <v>204</v>
      </c>
      <c r="AI86" s="176" t="str">
        <f ca="1">IFERROR(VLOOKUP($AH86, '(勿動)Component Label公版'!$D$1:$E$1000, 2, FALSE), "-")</f>
        <v>-</v>
      </c>
      <c r="AJ86" s="177"/>
      <c r="AK86" s="174"/>
      <c r="AL86" s="174"/>
      <c r="AM86" s="189" t="str">
        <f t="shared" si="31"/>
        <v/>
      </c>
      <c r="AN86" s="190" t="str">
        <f t="shared" si="32"/>
        <v/>
      </c>
      <c r="AO86" s="542" t="s">
        <v>605</v>
      </c>
      <c r="AP86" s="384"/>
      <c r="AQ86" s="384"/>
      <c r="AR86" s="384"/>
      <c r="AS86" s="384"/>
      <c r="AT86" s="385"/>
      <c r="AU86" s="180" t="b">
        <v>0</v>
      </c>
      <c r="AV86" s="180" t="b">
        <v>0</v>
      </c>
      <c r="AW86" s="186"/>
      <c r="AX86" s="187"/>
      <c r="AY86" s="187"/>
      <c r="AZ86" s="187"/>
      <c r="BA86" s="188"/>
      <c r="BB86" s="191" t="s">
        <v>147</v>
      </c>
      <c r="BC86" s="179" t="s">
        <v>118</v>
      </c>
      <c r="BD86" s="198" t="str">
        <f t="shared" si="33"/>
        <v>圖_MSBN_LINK*1</v>
      </c>
      <c r="BE86" s="199" t="str">
        <f>IFERROR(VLOOKUP($BD86,'(勿動)組件目錄表'!$D$15:$R$1110,2,FALSE),"")</f>
        <v>I-2</v>
      </c>
      <c r="BF86" s="200">
        <f>IFERROR(VLOOKUP($BD86, '(勿動)組件目錄表'!$D$15:$R$1110, 5, FALSE),"")</f>
        <v>0.5</v>
      </c>
      <c r="BG86" s="181"/>
      <c r="BH86" s="183"/>
      <c r="BI86" s="181"/>
      <c r="BJ86" s="183"/>
    </row>
    <row r="87" spans="1:62" ht="15.75" customHeight="1">
      <c r="A87" s="160" t="str">
        <f t="array" aca="1" ref="A87:B87" ca="1">IFERROR(TRANSPOSE(INDIRECT(L1_暖正版配!$BB87)),"")</f>
        <v>全站</v>
      </c>
      <c r="B87" s="160" t="str">
        <f ca="1"/>
        <v>商城</v>
      </c>
      <c r="C87" s="160"/>
      <c r="D87" s="160"/>
      <c r="E87" s="160"/>
      <c r="F87" s="160"/>
      <c r="G87" s="160"/>
      <c r="H87" s="160"/>
      <c r="I87" s="160"/>
      <c r="J87" s="160"/>
      <c r="K87" s="160"/>
      <c r="L87" s="160"/>
      <c r="M87" s="160"/>
      <c r="N87" s="160"/>
      <c r="O87" s="160"/>
      <c r="P87" s="160"/>
      <c r="Q87" s="160"/>
      <c r="R87" s="160"/>
      <c r="S87" s="160"/>
      <c r="T87" s="160"/>
      <c r="U87" s="160"/>
      <c r="V87" s="160"/>
      <c r="W87" s="160"/>
      <c r="X87" s="160"/>
      <c r="Y87" s="160"/>
      <c r="Z87" s="160"/>
      <c r="AA87" s="160"/>
      <c r="AB87" s="160"/>
      <c r="AC87" s="160"/>
      <c r="AD87" s="160"/>
      <c r="AE87" s="212" t="b">
        <v>0</v>
      </c>
      <c r="AF87" s="173" t="str">
        <f t="shared" si="38"/>
        <v/>
      </c>
      <c r="AG87" s="174" t="str">
        <f t="shared" si="37"/>
        <v/>
      </c>
      <c r="AH87" s="195" t="s">
        <v>204</v>
      </c>
      <c r="AI87" s="176" t="str">
        <f ca="1">IFERROR(VLOOKUP($AH87, '(勿動)Component Label公版'!$D$1:$E$1000, 2, FALSE), "-")</f>
        <v>-</v>
      </c>
      <c r="AJ87" s="177"/>
      <c r="AK87" s="197" t="s">
        <v>443</v>
      </c>
      <c r="AL87" s="197" t="s">
        <v>444</v>
      </c>
      <c r="AM87" s="189" t="str">
        <f t="shared" si="31"/>
        <v>2026-04-18 00:00:00</v>
      </c>
      <c r="AN87" s="190" t="str">
        <f t="shared" si="32"/>
        <v>2026-04-18 23:59:59</v>
      </c>
      <c r="AO87" s="543" t="s">
        <v>607</v>
      </c>
      <c r="AP87" s="384"/>
      <c r="AQ87" s="384"/>
      <c r="AR87" s="384"/>
      <c r="AS87" s="384"/>
      <c r="AT87" s="385"/>
      <c r="AU87" s="180" t="b">
        <v>0</v>
      </c>
      <c r="AV87" s="180" t="b">
        <v>0</v>
      </c>
      <c r="AW87" s="186"/>
      <c r="AX87" s="187"/>
      <c r="AY87" s="187"/>
      <c r="AZ87" s="187"/>
      <c r="BA87" s="188"/>
      <c r="BB87" s="191" t="s">
        <v>608</v>
      </c>
      <c r="BC87" s="179" t="s">
        <v>609</v>
      </c>
      <c r="BD87" s="198" t="str">
        <f t="shared" si="33"/>
        <v>限時特賣_全站</v>
      </c>
      <c r="BE87" s="199" t="str">
        <f>IFERROR(VLOOKUP($BD87,'(勿動)組件目錄表'!$D$15:$R$1110,2,FALSE),"")</f>
        <v>L-1</v>
      </c>
      <c r="BF87" s="200">
        <f>IFERROR(VLOOKUP($BD87, '(勿動)組件目錄表'!$D$15:$R$1110, 5, FALSE),"")</f>
        <v>1</v>
      </c>
      <c r="BG87" s="181"/>
      <c r="BH87" s="183"/>
      <c r="BI87" s="181"/>
      <c r="BJ87" s="183"/>
    </row>
    <row r="88" spans="1:62" ht="15.75" customHeight="1">
      <c r="A88" s="160" t="str">
        <f t="array" aca="1" ref="A88:AD88" ca="1">IFERROR(TRANSPOSE(INDIRECT(L1_暖正版配!$BB88)),"")</f>
        <v>無CTA</v>
      </c>
      <c r="B88" s="160" t="str">
        <f ca="1"/>
        <v>LINK*1</v>
      </c>
      <c r="C88" s="160" t="str">
        <f ca="1"/>
        <v>LINK*2</v>
      </c>
      <c r="D88" s="160" t="str">
        <f ca="1"/>
        <v>LINK*3</v>
      </c>
      <c r="E88" s="160" t="str">
        <f ca="1"/>
        <v>LINK&gt;3</v>
      </c>
      <c r="F88" s="160" t="str">
        <f ca="1"/>
        <v>Reminder*1</v>
      </c>
      <c r="G88" s="160" t="str">
        <f ca="1"/>
        <v>Reminder*2</v>
      </c>
      <c r="H88" s="160" t="str">
        <f ca="1"/>
        <v>Reminder*3</v>
      </c>
      <c r="I88" s="160" t="str">
        <f ca="1"/>
        <v>Reminder*4</v>
      </c>
      <c r="J88" s="160" t="str">
        <f ca="1"/>
        <v>Reminder*5</v>
      </c>
      <c r="K88" s="160" t="str">
        <f ca="1"/>
        <v>Reminder&gt;5</v>
      </c>
      <c r="L88" s="160" t="str">
        <f ca="1"/>
        <v>LINK*1 + Reminder*1</v>
      </c>
      <c r="M88" s="160" t="str">
        <f ca="1"/>
        <v>LINK*1 + Reminder*2</v>
      </c>
      <c r="N88" s="160" t="str">
        <f ca="1"/>
        <v>LINK*2 + Reminder*1</v>
      </c>
      <c r="O88" s="160" t="str">
        <f ca="1"/>
        <v>Add to Cart*1</v>
      </c>
      <c r="P88" s="160" t="str">
        <f ca="1"/>
        <v>Add to Cart*2</v>
      </c>
      <c r="Q88" s="160" t="str">
        <f ca="1"/>
        <v>Add to Cart*3</v>
      </c>
      <c r="R88" s="160" t="str">
        <f ca="1"/>
        <v>(Reminder+ATC) *1</v>
      </c>
      <c r="S88" s="160" t="str">
        <f ca="1"/>
        <v>(Reminder+ATC) *2</v>
      </c>
      <c r="T88" s="160" t="str">
        <f ca="1"/>
        <v>(Reminder+ATC) *3</v>
      </c>
      <c r="U88" s="160" t="str">
        <f ca="1"/>
        <v>Popup*1</v>
      </c>
      <c r="V88" s="160" t="str">
        <f ca="1"/>
        <v>Popup*2</v>
      </c>
      <c r="W88" s="160" t="str">
        <f ca="1"/>
        <v>Popup*3</v>
      </c>
      <c r="X88" s="160" t="str">
        <f ca="1"/>
        <v>Copy*1</v>
      </c>
      <c r="Y88" s="160" t="str">
        <f ca="1"/>
        <v>Copy*2</v>
      </c>
      <c r="Z88" s="160" t="str">
        <f ca="1"/>
        <v>Copy*3</v>
      </c>
      <c r="AA88" s="160" t="str">
        <f ca="1"/>
        <v>Share*1</v>
      </c>
      <c r="AB88" s="160" t="str">
        <f ca="1"/>
        <v>Share*2</v>
      </c>
      <c r="AC88" s="160" t="str">
        <f ca="1"/>
        <v>Share*3</v>
      </c>
      <c r="AD88" s="160" t="str">
        <f ca="1"/>
        <v>Placeholders</v>
      </c>
      <c r="AE88" s="213" t="b">
        <v>0</v>
      </c>
      <c r="AF88" s="203" t="str">
        <f t="shared" si="38"/>
        <v/>
      </c>
      <c r="AG88" s="203" t="str">
        <f t="shared" si="37"/>
        <v/>
      </c>
      <c r="AH88" s="195" t="s">
        <v>204</v>
      </c>
      <c r="AI88" s="176" t="str">
        <f ca="1">IFERROR(VLOOKUP($AH88, '(勿動)Component Label公版'!$D$1:$E$1000, 2, FALSE), "-")</f>
        <v>-</v>
      </c>
      <c r="AJ88" s="237"/>
      <c r="AK88" s="203"/>
      <c r="AL88" s="203"/>
      <c r="AM88" s="203" t="str">
        <f t="shared" si="31"/>
        <v/>
      </c>
      <c r="AN88" s="204" t="str">
        <f t="shared" si="32"/>
        <v/>
      </c>
      <c r="AO88" s="535" t="s">
        <v>268</v>
      </c>
      <c r="AP88" s="384"/>
      <c r="AQ88" s="384"/>
      <c r="AR88" s="384"/>
      <c r="AS88" s="384"/>
      <c r="AT88" s="385"/>
      <c r="AU88" s="235" t="b">
        <v>1</v>
      </c>
      <c r="AV88" s="180" t="b">
        <v>0</v>
      </c>
      <c r="AW88" s="186"/>
      <c r="AX88" s="187"/>
      <c r="AY88" s="187"/>
      <c r="AZ88" s="187"/>
      <c r="BA88" s="188"/>
      <c r="BB88" s="191" t="s">
        <v>147</v>
      </c>
      <c r="BC88" s="179" t="s">
        <v>154</v>
      </c>
      <c r="BD88" s="198" t="str">
        <f t="shared" si="33"/>
        <v>圖_MSBN_無CTA</v>
      </c>
      <c r="BE88" s="190" t="str">
        <f>IFERROR(VLOOKUP($BD88,'(勿動)組件目錄表'!$D$15:$R$1110,2,FALSE),"")</f>
        <v>I-1</v>
      </c>
      <c r="BF88" s="205">
        <f>IFERROR(VLOOKUP($BD88, '(勿動)組件目錄表'!$D$15:$R$1110, 5, FALSE),"")</f>
        <v>0.5</v>
      </c>
      <c r="BG88" s="118"/>
      <c r="BH88" s="120"/>
      <c r="BI88" s="118"/>
      <c r="BJ88" s="120"/>
    </row>
    <row r="89" spans="1:62" ht="15.75" customHeight="1">
      <c r="A89" s="160" t="str">
        <f t="array" aca="1" ref="A89:AD89" ca="1">IFERROR(TRANSPOSE(INDIRECT(L1_暖正版配!$BB89)),"")</f>
        <v>無CTA</v>
      </c>
      <c r="B89" s="160" t="str">
        <f ca="1"/>
        <v>LINK*1</v>
      </c>
      <c r="C89" s="160" t="str">
        <f ca="1"/>
        <v>LINK*2</v>
      </c>
      <c r="D89" s="160" t="str">
        <f ca="1"/>
        <v>LINK*3</v>
      </c>
      <c r="E89" s="160" t="str">
        <f ca="1"/>
        <v>LINK&gt;3</v>
      </c>
      <c r="F89" s="160" t="str">
        <f ca="1"/>
        <v>Reminder*1</v>
      </c>
      <c r="G89" s="160" t="str">
        <f ca="1"/>
        <v>Reminder*2</v>
      </c>
      <c r="H89" s="160" t="str">
        <f ca="1"/>
        <v>Reminder*3</v>
      </c>
      <c r="I89" s="160" t="str">
        <f ca="1"/>
        <v>Reminder*4</v>
      </c>
      <c r="J89" s="160" t="str">
        <f ca="1"/>
        <v>Reminder*5</v>
      </c>
      <c r="K89" s="160" t="str">
        <f ca="1"/>
        <v>Reminder&gt;5</v>
      </c>
      <c r="L89" s="160" t="str">
        <f ca="1"/>
        <v>LINK*1 + Reminder*1</v>
      </c>
      <c r="M89" s="160" t="str">
        <f ca="1"/>
        <v>LINK*1 + Reminder*2</v>
      </c>
      <c r="N89" s="160" t="str">
        <f ca="1"/>
        <v>LINK*2 + Reminder*1</v>
      </c>
      <c r="O89" s="160" t="str">
        <f ca="1"/>
        <v>Add to Cart*1</v>
      </c>
      <c r="P89" s="160" t="str">
        <f ca="1"/>
        <v>Add to Cart*2</v>
      </c>
      <c r="Q89" s="160" t="str">
        <f ca="1"/>
        <v>Add to Cart*3</v>
      </c>
      <c r="R89" s="160" t="str">
        <f ca="1"/>
        <v>(Reminder+ATC) *1</v>
      </c>
      <c r="S89" s="160" t="str">
        <f ca="1"/>
        <v>(Reminder+ATC) *2</v>
      </c>
      <c r="T89" s="160" t="str">
        <f ca="1"/>
        <v>(Reminder+ATC) *3</v>
      </c>
      <c r="U89" s="160" t="str">
        <f ca="1"/>
        <v>Popup*1</v>
      </c>
      <c r="V89" s="160" t="str">
        <f ca="1"/>
        <v>Popup*2</v>
      </c>
      <c r="W89" s="160" t="str">
        <f ca="1"/>
        <v>Popup*3</v>
      </c>
      <c r="X89" s="160" t="str">
        <f ca="1"/>
        <v>Copy*1</v>
      </c>
      <c r="Y89" s="160" t="str">
        <f ca="1"/>
        <v>Copy*2</v>
      </c>
      <c r="Z89" s="160" t="str">
        <f ca="1"/>
        <v>Copy*3</v>
      </c>
      <c r="AA89" s="160" t="str">
        <f ca="1"/>
        <v>Share*1</v>
      </c>
      <c r="AB89" s="160" t="str">
        <f ca="1"/>
        <v>Share*2</v>
      </c>
      <c r="AC89" s="160" t="str">
        <f ca="1"/>
        <v>Share*3</v>
      </c>
      <c r="AD89" s="160" t="str">
        <f ca="1"/>
        <v>Placeholders</v>
      </c>
      <c r="AE89" s="212" t="b">
        <v>1</v>
      </c>
      <c r="AF89" s="173" t="s">
        <v>423</v>
      </c>
      <c r="AG89" s="174" t="s">
        <v>610</v>
      </c>
      <c r="AH89" s="195" t="s">
        <v>423</v>
      </c>
      <c r="AI89" s="176" t="str">
        <f ca="1">IFERROR(VLOOKUP($AH89, '(勿動)Component Label公版'!$D$1:$E$1000, 2, FALSE), "-")</f>
        <v>-</v>
      </c>
      <c r="AJ89" s="177"/>
      <c r="AK89" s="174"/>
      <c r="AL89" s="174"/>
      <c r="AM89" s="189" t="str">
        <f t="shared" si="31"/>
        <v/>
      </c>
      <c r="AN89" s="190" t="str">
        <f t="shared" si="32"/>
        <v/>
      </c>
      <c r="AO89" s="533" t="s">
        <v>611</v>
      </c>
      <c r="AP89" s="384"/>
      <c r="AQ89" s="384"/>
      <c r="AR89" s="384"/>
      <c r="AS89" s="384"/>
      <c r="AT89" s="385"/>
      <c r="AU89" s="235" t="b">
        <v>1</v>
      </c>
      <c r="AV89" s="180" t="b">
        <v>0</v>
      </c>
      <c r="AW89" s="186"/>
      <c r="AX89" s="187"/>
      <c r="AY89" s="187"/>
      <c r="AZ89" s="187"/>
      <c r="BA89" s="188"/>
      <c r="BB89" s="191" t="s">
        <v>147</v>
      </c>
      <c r="BC89" s="179" t="s">
        <v>154</v>
      </c>
      <c r="BD89" s="198" t="str">
        <f t="shared" si="33"/>
        <v>圖_MSBN_無CTA</v>
      </c>
      <c r="BE89" s="199" t="str">
        <f>IFERROR(VLOOKUP($BD89,'(勿動)組件目錄表'!$D$15:$R$1110,2,FALSE),"")</f>
        <v>I-1</v>
      </c>
      <c r="BF89" s="200">
        <f>IFERROR(VLOOKUP($BD89, '(勿動)組件目錄表'!$D$15:$R$1110, 5, FALSE),"")</f>
        <v>0.5</v>
      </c>
      <c r="BG89" s="592" t="s">
        <v>612</v>
      </c>
      <c r="BH89" s="183"/>
      <c r="BI89" s="181"/>
      <c r="BJ89" s="183"/>
    </row>
    <row r="90" spans="1:62" ht="15.75" customHeight="1">
      <c r="A90" s="160" t="str">
        <f t="array" aca="1" ref="A90:AD90" ca="1">IFERROR(TRANSPOSE(INDIRECT(L1_暖正版配!$BB90)),"")</f>
        <v>無CTA</v>
      </c>
      <c r="B90" s="160" t="str">
        <f ca="1"/>
        <v>LINK*1</v>
      </c>
      <c r="C90" s="160" t="str">
        <f ca="1"/>
        <v>LINK*2</v>
      </c>
      <c r="D90" s="160" t="str">
        <f ca="1"/>
        <v>LINK*3</v>
      </c>
      <c r="E90" s="160" t="str">
        <f ca="1"/>
        <v>LINK&gt;3</v>
      </c>
      <c r="F90" s="160" t="str">
        <f ca="1"/>
        <v>Reminder*1</v>
      </c>
      <c r="G90" s="160" t="str">
        <f ca="1"/>
        <v>Reminder*2</v>
      </c>
      <c r="H90" s="160" t="str">
        <f ca="1"/>
        <v>Reminder*3</v>
      </c>
      <c r="I90" s="160" t="str">
        <f ca="1"/>
        <v>Reminder*4</v>
      </c>
      <c r="J90" s="160" t="str">
        <f ca="1"/>
        <v>Reminder*5</v>
      </c>
      <c r="K90" s="160" t="str">
        <f ca="1"/>
        <v>Reminder&gt;5</v>
      </c>
      <c r="L90" s="160" t="str">
        <f ca="1"/>
        <v>LINK*1 + Reminder*1</v>
      </c>
      <c r="M90" s="160" t="str">
        <f ca="1"/>
        <v>LINK*1 + Reminder*2</v>
      </c>
      <c r="N90" s="160" t="str">
        <f ca="1"/>
        <v>LINK*2 + Reminder*1</v>
      </c>
      <c r="O90" s="160" t="str">
        <f ca="1"/>
        <v>Add to Cart*1</v>
      </c>
      <c r="P90" s="160" t="str">
        <f ca="1"/>
        <v>Add to Cart*2</v>
      </c>
      <c r="Q90" s="160" t="str">
        <f ca="1"/>
        <v>Add to Cart*3</v>
      </c>
      <c r="R90" s="160" t="str">
        <f ca="1"/>
        <v>(Reminder+ATC) *1</v>
      </c>
      <c r="S90" s="160" t="str">
        <f ca="1"/>
        <v>(Reminder+ATC) *2</v>
      </c>
      <c r="T90" s="160" t="str">
        <f ca="1"/>
        <v>(Reminder+ATC) *3</v>
      </c>
      <c r="U90" s="160" t="str">
        <f ca="1"/>
        <v>Popup*1</v>
      </c>
      <c r="V90" s="160" t="str">
        <f ca="1"/>
        <v>Popup*2</v>
      </c>
      <c r="W90" s="160" t="str">
        <f ca="1"/>
        <v>Popup*3</v>
      </c>
      <c r="X90" s="160" t="str">
        <f ca="1"/>
        <v>Copy*1</v>
      </c>
      <c r="Y90" s="160" t="str">
        <f ca="1"/>
        <v>Copy*2</v>
      </c>
      <c r="Z90" s="160" t="str">
        <f ca="1"/>
        <v>Copy*3</v>
      </c>
      <c r="AA90" s="160" t="str">
        <f ca="1"/>
        <v>Share*1</v>
      </c>
      <c r="AB90" s="160" t="str">
        <f ca="1"/>
        <v>Share*2</v>
      </c>
      <c r="AC90" s="160" t="str">
        <f ca="1"/>
        <v>Share*3</v>
      </c>
      <c r="AD90" s="160" t="str">
        <f ca="1"/>
        <v>Placeholders</v>
      </c>
      <c r="AE90" s="226" t="b">
        <v>0</v>
      </c>
      <c r="AF90" s="173" t="str">
        <f t="shared" ref="AF90:AF95" si="39">IF(AE90=TRUE,"若有勾選則必填，隱藏錨點請填寫&lt;設隱形錨點&gt;","")</f>
        <v/>
      </c>
      <c r="AG90" s="174" t="str">
        <f t="shared" ref="AG90:AG101" si="40">IF(AF90="設隱形錨點","",IF(AE90=FALSE,"",IF(AE90=TRUE, SUBSTITUTE($AI90, "_", ""))))</f>
        <v/>
      </c>
      <c r="AH90" s="195" t="s">
        <v>423</v>
      </c>
      <c r="AI90" s="176" t="str">
        <f ca="1">IFERROR(VLOOKUP($AH90, '(勿動)Component Label公版'!$D$1:$E$1000, 2, FALSE), "-")</f>
        <v>-</v>
      </c>
      <c r="AJ90" s="177"/>
      <c r="AK90" s="174"/>
      <c r="AL90" s="174"/>
      <c r="AM90" s="189" t="str">
        <f t="shared" si="31"/>
        <v/>
      </c>
      <c r="AN90" s="190" t="str">
        <f t="shared" si="32"/>
        <v/>
      </c>
      <c r="AO90" s="533" t="s">
        <v>613</v>
      </c>
      <c r="AP90" s="384"/>
      <c r="AQ90" s="384"/>
      <c r="AR90" s="384"/>
      <c r="AS90" s="384"/>
      <c r="AT90" s="385"/>
      <c r="AU90" s="235" t="b">
        <v>1</v>
      </c>
      <c r="AV90" s="180" t="b">
        <v>0</v>
      </c>
      <c r="AW90" s="186"/>
      <c r="AX90" s="187"/>
      <c r="AY90" s="187"/>
      <c r="AZ90" s="187"/>
      <c r="BA90" s="188"/>
      <c r="BB90" s="191" t="s">
        <v>147</v>
      </c>
      <c r="BC90" s="179" t="s">
        <v>154</v>
      </c>
      <c r="BD90" s="198" t="str">
        <f t="shared" si="33"/>
        <v>圖_MSBN_無CTA</v>
      </c>
      <c r="BE90" s="199" t="str">
        <f>IFERROR(VLOOKUP($BD90,'(勿動)組件目錄表'!$D$15:$R$1110,2,FALSE),"")</f>
        <v>I-1</v>
      </c>
      <c r="BF90" s="200">
        <f>IFERROR(VLOOKUP($BD90, '(勿動)組件目錄表'!$D$15:$R$1110, 5, FALSE),"")</f>
        <v>0.5</v>
      </c>
      <c r="BG90" s="587"/>
      <c r="BH90" s="183"/>
      <c r="BI90" s="181"/>
      <c r="BJ90" s="183"/>
    </row>
    <row r="91" spans="1:62" ht="15.75" customHeight="1">
      <c r="A91" s="160" t="str">
        <f t="array" aca="1" ref="A91:G91" ca="1">IFERROR(TRANSPOSE(INDIRECT(L1_暖正版配!$BB91)),"")</f>
        <v>一排1品(垂直展示)</v>
      </c>
      <c r="B91" s="160" t="str">
        <f ca="1"/>
        <v>一排2品(垂直展示)</v>
      </c>
      <c r="C91" s="160" t="str">
        <f ca="1"/>
        <v>一排3品(垂直展示)</v>
      </c>
      <c r="D91" s="160" t="str">
        <f ca="1"/>
        <v>Collection 1條(水平展示)</v>
      </c>
      <c r="E91" s="160" t="str">
        <f ca="1"/>
        <v>Collection 1條(水平展示) + 查看全部(Footer)</v>
      </c>
      <c r="F91" s="160" t="str">
        <f ca="1"/>
        <v>Multi tabs</v>
      </c>
      <c r="G91" s="160" t="str">
        <f ca="1"/>
        <v>推薦品 Item Recommendation-固定</v>
      </c>
      <c r="H91" s="160"/>
      <c r="I91" s="160"/>
      <c r="J91" s="160"/>
      <c r="K91" s="160"/>
      <c r="L91" s="160"/>
      <c r="M91" s="160"/>
      <c r="N91" s="160"/>
      <c r="O91" s="160"/>
      <c r="P91" s="160"/>
      <c r="Q91" s="160"/>
      <c r="R91" s="160"/>
      <c r="S91" s="160"/>
      <c r="T91" s="160"/>
      <c r="U91" s="160"/>
      <c r="V91" s="160"/>
      <c r="W91" s="160"/>
      <c r="X91" s="160"/>
      <c r="Y91" s="160"/>
      <c r="Z91" s="160"/>
      <c r="AA91" s="160"/>
      <c r="AB91" s="160"/>
      <c r="AC91" s="160"/>
      <c r="AD91" s="160"/>
      <c r="AE91" s="212" t="b">
        <v>0</v>
      </c>
      <c r="AF91" s="173" t="str">
        <f t="shared" si="39"/>
        <v/>
      </c>
      <c r="AG91" s="174" t="str">
        <f t="shared" si="40"/>
        <v/>
      </c>
      <c r="AH91" s="195" t="s">
        <v>423</v>
      </c>
      <c r="AI91" s="176" t="str">
        <f ca="1">IFERROR(VLOOKUP($AH91, '(勿動)Component Label公版'!$D$1:$E$1000, 2, FALSE), "-")</f>
        <v>-</v>
      </c>
      <c r="AJ91" s="177"/>
      <c r="AK91" s="174"/>
      <c r="AL91" s="174"/>
      <c r="AM91" s="189" t="str">
        <f t="shared" si="31"/>
        <v/>
      </c>
      <c r="AN91" s="190" t="str">
        <f t="shared" si="32"/>
        <v/>
      </c>
      <c r="AO91" s="528" t="s">
        <v>614</v>
      </c>
      <c r="AP91" s="385"/>
      <c r="AQ91" s="528" t="s">
        <v>615</v>
      </c>
      <c r="AR91" s="385"/>
      <c r="AS91" s="528" t="s">
        <v>616</v>
      </c>
      <c r="AT91" s="385"/>
      <c r="AU91" s="180" t="b">
        <v>0</v>
      </c>
      <c r="AV91" s="180" t="b">
        <v>0</v>
      </c>
      <c r="AW91" s="186"/>
      <c r="AX91" s="187"/>
      <c r="AY91" s="187"/>
      <c r="AZ91" s="187"/>
      <c r="BA91" s="188"/>
      <c r="BB91" s="191" t="s">
        <v>264</v>
      </c>
      <c r="BC91" s="179" t="s">
        <v>256</v>
      </c>
      <c r="BD91" s="198" t="str">
        <f t="shared" si="33"/>
        <v>品_一排3品(垂直展示)</v>
      </c>
      <c r="BE91" s="199" t="str">
        <f>IFERROR(VLOOKUP($BD91,'(勿動)組件目錄表'!$D$15:$R$1110,2,FALSE),"")</f>
        <v>G-3</v>
      </c>
      <c r="BF91" s="200">
        <f>IFERROR(VLOOKUP($BD91, '(勿動)組件目錄表'!$D$15:$R$1110, 5, FALSE),"")</f>
        <v>1</v>
      </c>
      <c r="BG91" s="594"/>
      <c r="BH91" s="183"/>
      <c r="BI91" s="181"/>
      <c r="BJ91" s="583" t="s">
        <v>617</v>
      </c>
    </row>
    <row r="92" spans="1:62" ht="15.75" customHeight="1">
      <c r="A92" s="160" t="str">
        <f t="array" aca="1" ref="A92:G92" ca="1">IFERROR(TRANSPOSE(INDIRECT(L1_暖正版配!$BB92)),"")</f>
        <v>一排1品(垂直展示)</v>
      </c>
      <c r="B92" s="160" t="str">
        <f ca="1"/>
        <v>一排2品(垂直展示)</v>
      </c>
      <c r="C92" s="160" t="str">
        <f ca="1"/>
        <v>一排3品(垂直展示)</v>
      </c>
      <c r="D92" s="160" t="str">
        <f ca="1"/>
        <v>Collection 1條(水平展示)</v>
      </c>
      <c r="E92" s="160" t="str">
        <f ca="1"/>
        <v>Collection 1條(水平展示) + 查看全部(Footer)</v>
      </c>
      <c r="F92" s="160" t="str">
        <f ca="1"/>
        <v>Multi tabs</v>
      </c>
      <c r="G92" s="160" t="str">
        <f ca="1"/>
        <v>推薦品 Item Recommendation-固定</v>
      </c>
      <c r="H92" s="160"/>
      <c r="I92" s="160"/>
      <c r="J92" s="160"/>
      <c r="K92" s="160"/>
      <c r="L92" s="160"/>
      <c r="M92" s="160"/>
      <c r="N92" s="160"/>
      <c r="O92" s="160"/>
      <c r="P92" s="160"/>
      <c r="Q92" s="160"/>
      <c r="R92" s="160"/>
      <c r="S92" s="160"/>
      <c r="T92" s="160"/>
      <c r="U92" s="160"/>
      <c r="V92" s="160"/>
      <c r="W92" s="160"/>
      <c r="X92" s="160"/>
      <c r="Y92" s="160"/>
      <c r="Z92" s="160"/>
      <c r="AA92" s="160"/>
      <c r="AB92" s="160"/>
      <c r="AC92" s="160"/>
      <c r="AD92" s="160"/>
      <c r="AE92" s="212" t="b">
        <v>0</v>
      </c>
      <c r="AF92" s="173" t="str">
        <f t="shared" si="39"/>
        <v/>
      </c>
      <c r="AG92" s="174" t="str">
        <f t="shared" si="40"/>
        <v/>
      </c>
      <c r="AH92" s="195" t="s">
        <v>423</v>
      </c>
      <c r="AI92" s="176" t="str">
        <f ca="1">IFERROR(VLOOKUP($AH92, '(勿動)Component Label公版'!$D$1:$E$1000, 2, FALSE), "-")</f>
        <v>-</v>
      </c>
      <c r="AJ92" s="177"/>
      <c r="AK92" s="174"/>
      <c r="AL92" s="174"/>
      <c r="AM92" s="189" t="str">
        <f t="shared" si="31"/>
        <v/>
      </c>
      <c r="AN92" s="190" t="str">
        <f t="shared" si="32"/>
        <v/>
      </c>
      <c r="AO92" s="528" t="s">
        <v>618</v>
      </c>
      <c r="AP92" s="385"/>
      <c r="AQ92" s="528" t="s">
        <v>619</v>
      </c>
      <c r="AR92" s="385"/>
      <c r="AS92" s="528" t="s">
        <v>620</v>
      </c>
      <c r="AT92" s="385"/>
      <c r="AU92" s="180" t="b">
        <v>0</v>
      </c>
      <c r="AV92" s="180" t="b">
        <v>0</v>
      </c>
      <c r="AW92" s="186"/>
      <c r="AX92" s="187"/>
      <c r="AY92" s="187"/>
      <c r="AZ92" s="187"/>
      <c r="BA92" s="188"/>
      <c r="BB92" s="191" t="s">
        <v>264</v>
      </c>
      <c r="BC92" s="179" t="s">
        <v>256</v>
      </c>
      <c r="BD92" s="198" t="str">
        <f t="shared" si="33"/>
        <v>品_一排3品(垂直展示)</v>
      </c>
      <c r="BE92" s="199" t="str">
        <f>IFERROR(VLOOKUP($BD92,'(勿動)組件目錄表'!$D$15:$R$1110,2,FALSE),"")</f>
        <v>G-3</v>
      </c>
      <c r="BF92" s="200">
        <f>IFERROR(VLOOKUP($BD92, '(勿動)組件目錄表'!$D$15:$R$1110, 5, FALSE),"")</f>
        <v>1</v>
      </c>
      <c r="BG92" s="587"/>
      <c r="BH92" s="183"/>
      <c r="BI92" s="181"/>
      <c r="BJ92" s="584"/>
    </row>
    <row r="93" spans="1:62" ht="15.75" hidden="1" customHeight="1">
      <c r="A93" s="160" t="str">
        <f t="array" aca="1" ref="A93:G93" ca="1">IFERROR(TRANSPOSE(INDIRECT(L1_暖正版配!$BB93)),"")</f>
        <v>一排1品(垂直展示)</v>
      </c>
      <c r="B93" s="160" t="str">
        <f ca="1"/>
        <v>一排2品(垂直展示)</v>
      </c>
      <c r="C93" s="160" t="str">
        <f ca="1"/>
        <v>一排3品(垂直展示)</v>
      </c>
      <c r="D93" s="160" t="str">
        <f ca="1"/>
        <v>Collection 1條(水平展示)</v>
      </c>
      <c r="E93" s="160" t="str">
        <f ca="1"/>
        <v>Collection 1條(水平展示) + 查看全部(Footer)</v>
      </c>
      <c r="F93" s="160" t="str">
        <f ca="1"/>
        <v>Multi tabs</v>
      </c>
      <c r="G93" s="160" t="str">
        <f ca="1"/>
        <v>推薦品 Item Recommendation-固定</v>
      </c>
      <c r="H93" s="160"/>
      <c r="I93" s="160"/>
      <c r="J93" s="160"/>
      <c r="K93" s="160"/>
      <c r="L93" s="160"/>
      <c r="M93" s="160"/>
      <c r="N93" s="160"/>
      <c r="O93" s="160"/>
      <c r="P93" s="160"/>
      <c r="Q93" s="160"/>
      <c r="R93" s="160"/>
      <c r="S93" s="160"/>
      <c r="T93" s="160"/>
      <c r="U93" s="160"/>
      <c r="V93" s="160"/>
      <c r="W93" s="160"/>
      <c r="X93" s="160"/>
      <c r="Y93" s="160"/>
      <c r="Z93" s="160"/>
      <c r="AA93" s="160"/>
      <c r="AB93" s="160"/>
      <c r="AC93" s="160"/>
      <c r="AD93" s="160"/>
      <c r="AE93" s="212" t="b">
        <v>0</v>
      </c>
      <c r="AF93" s="173" t="str">
        <f t="shared" si="39"/>
        <v/>
      </c>
      <c r="AG93" s="174" t="str">
        <f t="shared" si="40"/>
        <v/>
      </c>
      <c r="AH93" s="195" t="s">
        <v>423</v>
      </c>
      <c r="AI93" s="176" t="str">
        <f ca="1">IFERROR(VLOOKUP($AH93, '(勿動)Component Label公版'!$D$1:$E$1000, 2, FALSE), "-")</f>
        <v>-</v>
      </c>
      <c r="AJ93" s="177"/>
      <c r="AK93" s="174"/>
      <c r="AL93" s="174"/>
      <c r="AM93" s="189" t="str">
        <f t="shared" si="31"/>
        <v/>
      </c>
      <c r="AN93" s="190" t="str">
        <f t="shared" si="32"/>
        <v/>
      </c>
      <c r="AO93" s="528" t="s">
        <v>621</v>
      </c>
      <c r="AP93" s="385"/>
      <c r="AQ93" s="528" t="s">
        <v>621</v>
      </c>
      <c r="AR93" s="385"/>
      <c r="AS93" s="528" t="s">
        <v>621</v>
      </c>
      <c r="AT93" s="385"/>
      <c r="AU93" s="180" t="b">
        <v>0</v>
      </c>
      <c r="AV93" s="180" t="b">
        <v>0</v>
      </c>
      <c r="AW93" s="186"/>
      <c r="AX93" s="187"/>
      <c r="AY93" s="187"/>
      <c r="AZ93" s="187"/>
      <c r="BA93" s="188"/>
      <c r="BB93" s="191" t="s">
        <v>264</v>
      </c>
      <c r="BC93" s="179" t="s">
        <v>256</v>
      </c>
      <c r="BD93" s="198" t="str">
        <f t="shared" si="33"/>
        <v>品_一排3品(垂直展示)</v>
      </c>
      <c r="BE93" s="199" t="str">
        <f>IFERROR(VLOOKUP($BD93,'(勿動)組件目錄表'!$D$15:$R$1110,2,FALSE),"")</f>
        <v>G-3</v>
      </c>
      <c r="BF93" s="200">
        <f>IFERROR(VLOOKUP($BD93, '(勿動)組件目錄表'!$D$15:$R$1110, 5, FALSE),"")</f>
        <v>1</v>
      </c>
      <c r="BG93" s="181"/>
      <c r="BH93" s="183"/>
      <c r="BI93" s="181"/>
      <c r="BJ93" s="183"/>
    </row>
    <row r="94" spans="1:62" ht="15.75" customHeight="1">
      <c r="A94" s="160" t="str">
        <f t="array" aca="1" ref="A94:G94" ca="1">IFERROR(TRANSPOSE(INDIRECT(L1_暖正版配!$BB94)),"")</f>
        <v>一排1品(垂直展示)</v>
      </c>
      <c r="B94" s="160" t="str">
        <f ca="1"/>
        <v>一排2品(垂直展示)</v>
      </c>
      <c r="C94" s="160" t="str">
        <f ca="1"/>
        <v>一排3品(垂直展示)</v>
      </c>
      <c r="D94" s="160" t="str">
        <f ca="1"/>
        <v>Collection 1條(水平展示)</v>
      </c>
      <c r="E94" s="160" t="str">
        <f ca="1"/>
        <v>Collection 1條(水平展示) + 查看全部(Footer)</v>
      </c>
      <c r="F94" s="160" t="str">
        <f ca="1"/>
        <v>Multi tabs</v>
      </c>
      <c r="G94" s="160" t="str">
        <f ca="1"/>
        <v>推薦品 Item Recommendation-固定</v>
      </c>
      <c r="H94" s="160"/>
      <c r="I94" s="160"/>
      <c r="J94" s="160"/>
      <c r="K94" s="160"/>
      <c r="L94" s="160"/>
      <c r="M94" s="160"/>
      <c r="N94" s="160"/>
      <c r="O94" s="160"/>
      <c r="P94" s="160"/>
      <c r="Q94" s="160"/>
      <c r="R94" s="160"/>
      <c r="S94" s="160"/>
      <c r="T94" s="160"/>
      <c r="U94" s="160"/>
      <c r="V94" s="160"/>
      <c r="W94" s="160"/>
      <c r="X94" s="160"/>
      <c r="Y94" s="160"/>
      <c r="Z94" s="160"/>
      <c r="AA94" s="160"/>
      <c r="AB94" s="160"/>
      <c r="AC94" s="160"/>
      <c r="AD94" s="160"/>
      <c r="AE94" s="172" t="b">
        <v>0</v>
      </c>
      <c r="AF94" s="173" t="str">
        <f t="shared" si="39"/>
        <v/>
      </c>
      <c r="AG94" s="174" t="str">
        <f t="shared" si="40"/>
        <v/>
      </c>
      <c r="AH94" s="195" t="s">
        <v>423</v>
      </c>
      <c r="AI94" s="176" t="str">
        <f ca="1">IFERROR(VLOOKUP($AH94, '(勿動)Component Label公版'!$D$1:$E$1000, 2, FALSE), "-")</f>
        <v>-</v>
      </c>
      <c r="AJ94" s="177"/>
      <c r="AK94" s="174"/>
      <c r="AL94" s="174"/>
      <c r="AM94" s="189" t="str">
        <f t="shared" si="31"/>
        <v/>
      </c>
      <c r="AN94" s="190" t="str">
        <f t="shared" si="32"/>
        <v/>
      </c>
      <c r="AO94" s="541" t="s">
        <v>622</v>
      </c>
      <c r="AP94" s="384"/>
      <c r="AQ94" s="384"/>
      <c r="AR94" s="384"/>
      <c r="AS94" s="384"/>
      <c r="AT94" s="385"/>
      <c r="AU94" s="180" t="b">
        <v>0</v>
      </c>
      <c r="AV94" s="180" t="b">
        <v>0</v>
      </c>
      <c r="AW94" s="186"/>
      <c r="AX94" s="187"/>
      <c r="AY94" s="187"/>
      <c r="AZ94" s="187"/>
      <c r="BA94" s="188"/>
      <c r="BB94" s="191" t="s">
        <v>264</v>
      </c>
      <c r="BC94" s="179" t="s">
        <v>257</v>
      </c>
      <c r="BD94" s="198" t="str">
        <f t="shared" si="33"/>
        <v>品_Collection 1條(水平展示)</v>
      </c>
      <c r="BE94" s="199" t="str">
        <f>IFERROR(VLOOKUP($BD94,'(勿動)組件目錄表'!$D$15:$R$1110,2,FALSE),"")</f>
        <v>G-4</v>
      </c>
      <c r="BF94" s="200">
        <f>IFERROR(VLOOKUP($BD94, '(勿動)組件目錄表'!$D$15:$R$1110, 5, FALSE),"")</f>
        <v>0.5</v>
      </c>
      <c r="BG94" s="181"/>
      <c r="BH94" s="183"/>
      <c r="BI94" s="181"/>
      <c r="BJ94" s="207" t="s">
        <v>623</v>
      </c>
    </row>
    <row r="95" spans="1:62" ht="15.75" customHeight="1">
      <c r="A95" s="160" t="str">
        <f t="array" aca="1" ref="A95:AD95" ca="1">IFERROR(TRANSPOSE(INDIRECT(L1_暖正版配!$BB95)),"")</f>
        <v>無CTA</v>
      </c>
      <c r="B95" s="160" t="str">
        <f ca="1"/>
        <v>LINK*1</v>
      </c>
      <c r="C95" s="160" t="str">
        <f ca="1"/>
        <v>LINK*2</v>
      </c>
      <c r="D95" s="160" t="str">
        <f ca="1"/>
        <v>LINK*3</v>
      </c>
      <c r="E95" s="160" t="str">
        <f ca="1"/>
        <v>LINK&gt;3</v>
      </c>
      <c r="F95" s="160" t="str">
        <f ca="1"/>
        <v>Reminder*1</v>
      </c>
      <c r="G95" s="160" t="str">
        <f ca="1"/>
        <v>Reminder*2</v>
      </c>
      <c r="H95" s="160" t="str">
        <f ca="1"/>
        <v>Reminder*3</v>
      </c>
      <c r="I95" s="160" t="str">
        <f ca="1"/>
        <v>Reminder*4</v>
      </c>
      <c r="J95" s="160" t="str">
        <f ca="1"/>
        <v>Reminder*5</v>
      </c>
      <c r="K95" s="160" t="str">
        <f ca="1"/>
        <v>Reminder&gt;5</v>
      </c>
      <c r="L95" s="160" t="str">
        <f ca="1"/>
        <v>LINK*1 + Reminder*1</v>
      </c>
      <c r="M95" s="160" t="str">
        <f ca="1"/>
        <v>LINK*1 + Reminder*2</v>
      </c>
      <c r="N95" s="160" t="str">
        <f ca="1"/>
        <v>LINK*2 + Reminder*1</v>
      </c>
      <c r="O95" s="160" t="str">
        <f ca="1"/>
        <v>Add to Cart*1</v>
      </c>
      <c r="P95" s="160" t="str">
        <f ca="1"/>
        <v>Add to Cart*2</v>
      </c>
      <c r="Q95" s="160" t="str">
        <f ca="1"/>
        <v>Add to Cart*3</v>
      </c>
      <c r="R95" s="160" t="str">
        <f ca="1"/>
        <v>(Reminder+ATC) *1</v>
      </c>
      <c r="S95" s="160" t="str">
        <f ca="1"/>
        <v>(Reminder+ATC) *2</v>
      </c>
      <c r="T95" s="160" t="str">
        <f ca="1"/>
        <v>(Reminder+ATC) *3</v>
      </c>
      <c r="U95" s="160" t="str">
        <f ca="1"/>
        <v>Popup*1</v>
      </c>
      <c r="V95" s="160" t="str">
        <f ca="1"/>
        <v>Popup*2</v>
      </c>
      <c r="W95" s="160" t="str">
        <f ca="1"/>
        <v>Popup*3</v>
      </c>
      <c r="X95" s="160" t="str">
        <f ca="1"/>
        <v>Copy*1</v>
      </c>
      <c r="Y95" s="160" t="str">
        <f ca="1"/>
        <v>Copy*2</v>
      </c>
      <c r="Z95" s="160" t="str">
        <f ca="1"/>
        <v>Copy*3</v>
      </c>
      <c r="AA95" s="160" t="str">
        <f ca="1"/>
        <v>Share*1</v>
      </c>
      <c r="AB95" s="160" t="str">
        <f ca="1"/>
        <v>Share*2</v>
      </c>
      <c r="AC95" s="160" t="str">
        <f ca="1"/>
        <v>Share*3</v>
      </c>
      <c r="AD95" s="160" t="str">
        <f ca="1"/>
        <v>Placeholders</v>
      </c>
      <c r="AE95" s="213" t="b">
        <v>0</v>
      </c>
      <c r="AF95" s="203" t="str">
        <f t="shared" si="39"/>
        <v/>
      </c>
      <c r="AG95" s="203" t="str">
        <f t="shared" si="40"/>
        <v/>
      </c>
      <c r="AH95" s="195" t="s">
        <v>423</v>
      </c>
      <c r="AI95" s="176" t="str">
        <f ca="1">IFERROR(VLOOKUP($AH95, '(勿動)Component Label公版'!$D$1:$E$1000, 2, FALSE), "-")</f>
        <v>-</v>
      </c>
      <c r="AJ95" s="237"/>
      <c r="AK95" s="203"/>
      <c r="AL95" s="203"/>
      <c r="AM95" s="203" t="str">
        <f t="shared" si="31"/>
        <v/>
      </c>
      <c r="AN95" s="204" t="str">
        <f t="shared" si="32"/>
        <v/>
      </c>
      <c r="AO95" s="535" t="s">
        <v>268</v>
      </c>
      <c r="AP95" s="384"/>
      <c r="AQ95" s="384"/>
      <c r="AR95" s="384"/>
      <c r="AS95" s="384"/>
      <c r="AT95" s="385"/>
      <c r="AU95" s="235" t="b">
        <v>1</v>
      </c>
      <c r="AV95" s="180" t="b">
        <v>0</v>
      </c>
      <c r="AW95" s="186"/>
      <c r="AX95" s="187"/>
      <c r="AY95" s="187"/>
      <c r="AZ95" s="187"/>
      <c r="BA95" s="188"/>
      <c r="BB95" s="191" t="s">
        <v>147</v>
      </c>
      <c r="BC95" s="179" t="s">
        <v>154</v>
      </c>
      <c r="BD95" s="198" t="str">
        <f t="shared" si="33"/>
        <v>圖_MSBN_無CTA</v>
      </c>
      <c r="BE95" s="190" t="str">
        <f>IFERROR(VLOOKUP($BD95,'(勿動)組件目錄表'!$D$15:$R$1110,2,FALSE),"")</f>
        <v>I-1</v>
      </c>
      <c r="BF95" s="205">
        <f>IFERROR(VLOOKUP($BD95, '(勿動)組件目錄表'!$D$15:$R$1110, 5, FALSE),"")</f>
        <v>0.5</v>
      </c>
      <c r="BG95" s="118"/>
      <c r="BH95" s="120"/>
      <c r="BI95" s="118"/>
      <c r="BJ95" s="120"/>
    </row>
    <row r="96" spans="1:62" ht="15.75" customHeight="1">
      <c r="A96" s="160" t="str">
        <f t="array" aca="1" ref="A96:AD96" ca="1">IFERROR(TRANSPOSE(INDIRECT(L1_暖正版配!$BB96)),"")</f>
        <v>無CTA</v>
      </c>
      <c r="B96" s="160" t="str">
        <f ca="1"/>
        <v>LINK*1</v>
      </c>
      <c r="C96" s="160" t="str">
        <f ca="1"/>
        <v>LINK*2</v>
      </c>
      <c r="D96" s="160" t="str">
        <f ca="1"/>
        <v>LINK*3</v>
      </c>
      <c r="E96" s="160" t="str">
        <f ca="1"/>
        <v>LINK&gt;3</v>
      </c>
      <c r="F96" s="160" t="str">
        <f ca="1"/>
        <v>Reminder*1</v>
      </c>
      <c r="G96" s="160" t="str">
        <f ca="1"/>
        <v>Reminder*2</v>
      </c>
      <c r="H96" s="160" t="str">
        <f ca="1"/>
        <v>Reminder*3</v>
      </c>
      <c r="I96" s="160" t="str">
        <f ca="1"/>
        <v>Reminder*4</v>
      </c>
      <c r="J96" s="160" t="str">
        <f ca="1"/>
        <v>Reminder*5</v>
      </c>
      <c r="K96" s="160" t="str">
        <f ca="1"/>
        <v>Reminder&gt;5</v>
      </c>
      <c r="L96" s="160" t="str">
        <f ca="1"/>
        <v>LINK*1 + Reminder*1</v>
      </c>
      <c r="M96" s="160" t="str">
        <f ca="1"/>
        <v>LINK*1 + Reminder*2</v>
      </c>
      <c r="N96" s="160" t="str">
        <f ca="1"/>
        <v>LINK*2 + Reminder*1</v>
      </c>
      <c r="O96" s="160" t="str">
        <f ca="1"/>
        <v>Add to Cart*1</v>
      </c>
      <c r="P96" s="160" t="str">
        <f ca="1"/>
        <v>Add to Cart*2</v>
      </c>
      <c r="Q96" s="160" t="str">
        <f ca="1"/>
        <v>Add to Cart*3</v>
      </c>
      <c r="R96" s="160" t="str">
        <f ca="1"/>
        <v>(Reminder+ATC) *1</v>
      </c>
      <c r="S96" s="160" t="str">
        <f ca="1"/>
        <v>(Reminder+ATC) *2</v>
      </c>
      <c r="T96" s="160" t="str">
        <f ca="1"/>
        <v>(Reminder+ATC) *3</v>
      </c>
      <c r="U96" s="160" t="str">
        <f ca="1"/>
        <v>Popup*1</v>
      </c>
      <c r="V96" s="160" t="str">
        <f ca="1"/>
        <v>Popup*2</v>
      </c>
      <c r="W96" s="160" t="str">
        <f ca="1"/>
        <v>Popup*3</v>
      </c>
      <c r="X96" s="160" t="str">
        <f ca="1"/>
        <v>Copy*1</v>
      </c>
      <c r="Y96" s="160" t="str">
        <f ca="1"/>
        <v>Copy*2</v>
      </c>
      <c r="Z96" s="160" t="str">
        <f ca="1"/>
        <v>Copy*3</v>
      </c>
      <c r="AA96" s="160" t="str">
        <f ca="1"/>
        <v>Share*1</v>
      </c>
      <c r="AB96" s="160" t="str">
        <f ca="1"/>
        <v>Share*2</v>
      </c>
      <c r="AC96" s="160" t="str">
        <f ca="1"/>
        <v>Share*3</v>
      </c>
      <c r="AD96" s="160" t="str">
        <f ca="1"/>
        <v>Placeholders</v>
      </c>
      <c r="AE96" s="212" t="b">
        <v>1</v>
      </c>
      <c r="AF96" s="173" t="s">
        <v>424</v>
      </c>
      <c r="AG96" s="174" t="str">
        <f t="shared" ca="1" si="40"/>
        <v>-</v>
      </c>
      <c r="AH96" s="195" t="s">
        <v>624</v>
      </c>
      <c r="AI96" s="176" t="str">
        <f ca="1">IFERROR(VLOOKUP($AH96, '(勿動)Component Label公版'!$D$1:$E$1000, 2, FALSE), "-")</f>
        <v>-</v>
      </c>
      <c r="AJ96" s="177"/>
      <c r="AK96" s="174"/>
      <c r="AL96" s="174"/>
      <c r="AM96" s="189" t="str">
        <f t="shared" si="31"/>
        <v/>
      </c>
      <c r="AN96" s="190" t="str">
        <f t="shared" si="32"/>
        <v/>
      </c>
      <c r="AO96" s="533" t="s">
        <v>625</v>
      </c>
      <c r="AP96" s="384"/>
      <c r="AQ96" s="384"/>
      <c r="AR96" s="384"/>
      <c r="AS96" s="384"/>
      <c r="AT96" s="385"/>
      <c r="AU96" s="235" t="b">
        <v>1</v>
      </c>
      <c r="AV96" s="180" t="b">
        <v>0</v>
      </c>
      <c r="AW96" s="186"/>
      <c r="AX96" s="187"/>
      <c r="AY96" s="187"/>
      <c r="AZ96" s="187"/>
      <c r="BA96" s="188"/>
      <c r="BB96" s="191" t="s">
        <v>147</v>
      </c>
      <c r="BC96" s="179" t="s">
        <v>154</v>
      </c>
      <c r="BD96" s="198" t="str">
        <f t="shared" si="33"/>
        <v>圖_MSBN_無CTA</v>
      </c>
      <c r="BE96" s="199" t="str">
        <f>IFERROR(VLOOKUP($BD96,'(勿動)組件目錄表'!$D$15:$R$1110,2,FALSE),"")</f>
        <v>I-1</v>
      </c>
      <c r="BF96" s="200">
        <f>IFERROR(VLOOKUP($BD96, '(勿動)組件目錄表'!$D$15:$R$1110, 5, FALSE),"")</f>
        <v>0.5</v>
      </c>
      <c r="BG96" s="592" t="s">
        <v>626</v>
      </c>
      <c r="BH96" s="183"/>
      <c r="BI96" s="181"/>
      <c r="BJ96" s="183"/>
    </row>
    <row r="97" spans="1:62" ht="15.75" customHeight="1">
      <c r="A97" s="160" t="str">
        <f t="array" aca="1" ref="A97:AD97" ca="1">IFERROR(TRANSPOSE(INDIRECT(L1_暖正版配!$BB97)),"")</f>
        <v>無CTA</v>
      </c>
      <c r="B97" s="160" t="str">
        <f ca="1"/>
        <v>LINK*1</v>
      </c>
      <c r="C97" s="160" t="str">
        <f ca="1"/>
        <v>LINK*2</v>
      </c>
      <c r="D97" s="160" t="str">
        <f ca="1"/>
        <v>LINK*3</v>
      </c>
      <c r="E97" s="160" t="str">
        <f ca="1"/>
        <v>LINK&gt;3</v>
      </c>
      <c r="F97" s="160" t="str">
        <f ca="1"/>
        <v>Reminder*1</v>
      </c>
      <c r="G97" s="160" t="str">
        <f ca="1"/>
        <v>Reminder*2</v>
      </c>
      <c r="H97" s="160" t="str">
        <f ca="1"/>
        <v>Reminder*3</v>
      </c>
      <c r="I97" s="160" t="str">
        <f ca="1"/>
        <v>Reminder*4</v>
      </c>
      <c r="J97" s="160" t="str">
        <f ca="1"/>
        <v>Reminder*5</v>
      </c>
      <c r="K97" s="160" t="str">
        <f ca="1"/>
        <v>Reminder&gt;5</v>
      </c>
      <c r="L97" s="160" t="str">
        <f ca="1"/>
        <v>LINK*1 + Reminder*1</v>
      </c>
      <c r="M97" s="160" t="str">
        <f ca="1"/>
        <v>LINK*1 + Reminder*2</v>
      </c>
      <c r="N97" s="160" t="str">
        <f ca="1"/>
        <v>LINK*2 + Reminder*1</v>
      </c>
      <c r="O97" s="160" t="str">
        <f ca="1"/>
        <v>Add to Cart*1</v>
      </c>
      <c r="P97" s="160" t="str">
        <f ca="1"/>
        <v>Add to Cart*2</v>
      </c>
      <c r="Q97" s="160" t="str">
        <f ca="1"/>
        <v>Add to Cart*3</v>
      </c>
      <c r="R97" s="160" t="str">
        <f ca="1"/>
        <v>(Reminder+ATC) *1</v>
      </c>
      <c r="S97" s="160" t="str">
        <f ca="1"/>
        <v>(Reminder+ATC) *2</v>
      </c>
      <c r="T97" s="160" t="str">
        <f ca="1"/>
        <v>(Reminder+ATC) *3</v>
      </c>
      <c r="U97" s="160" t="str">
        <f ca="1"/>
        <v>Popup*1</v>
      </c>
      <c r="V97" s="160" t="str">
        <f ca="1"/>
        <v>Popup*2</v>
      </c>
      <c r="W97" s="160" t="str">
        <f ca="1"/>
        <v>Popup*3</v>
      </c>
      <c r="X97" s="160" t="str">
        <f ca="1"/>
        <v>Copy*1</v>
      </c>
      <c r="Y97" s="160" t="str">
        <f ca="1"/>
        <v>Copy*2</v>
      </c>
      <c r="Z97" s="160" t="str">
        <f ca="1"/>
        <v>Copy*3</v>
      </c>
      <c r="AA97" s="160" t="str">
        <f ca="1"/>
        <v>Share*1</v>
      </c>
      <c r="AB97" s="160" t="str">
        <f ca="1"/>
        <v>Share*2</v>
      </c>
      <c r="AC97" s="160" t="str">
        <f ca="1"/>
        <v>Share*3</v>
      </c>
      <c r="AD97" s="160" t="str">
        <f ca="1"/>
        <v>Placeholders</v>
      </c>
      <c r="AE97" s="212" t="b">
        <v>0</v>
      </c>
      <c r="AF97" s="173" t="str">
        <f t="shared" ref="AF97:AF101" si="41">IF(AE97=TRUE,"若有勾選則必填，隱藏錨點請填寫&lt;設隱形錨點&gt;","")</f>
        <v/>
      </c>
      <c r="AG97" s="174" t="str">
        <f t="shared" si="40"/>
        <v/>
      </c>
      <c r="AH97" s="195" t="s">
        <v>624</v>
      </c>
      <c r="AI97" s="176" t="str">
        <f ca="1">IFERROR(VLOOKUP($AH97, '(勿動)Component Label公版'!$D$1:$E$1000, 2, FALSE), "-")</f>
        <v>-</v>
      </c>
      <c r="AJ97" s="177"/>
      <c r="AK97" s="174"/>
      <c r="AL97" s="174"/>
      <c r="AM97" s="189" t="str">
        <f t="shared" si="31"/>
        <v/>
      </c>
      <c r="AN97" s="190" t="str">
        <f t="shared" si="32"/>
        <v/>
      </c>
      <c r="AO97" s="533" t="s">
        <v>627</v>
      </c>
      <c r="AP97" s="384"/>
      <c r="AQ97" s="384"/>
      <c r="AR97" s="384"/>
      <c r="AS97" s="384"/>
      <c r="AT97" s="385"/>
      <c r="AU97" s="235" t="b">
        <v>1</v>
      </c>
      <c r="AV97" s="180" t="b">
        <v>0</v>
      </c>
      <c r="AW97" s="186"/>
      <c r="AX97" s="187"/>
      <c r="AY97" s="187"/>
      <c r="AZ97" s="187"/>
      <c r="BA97" s="188"/>
      <c r="BB97" s="191" t="s">
        <v>147</v>
      </c>
      <c r="BC97" s="179" t="s">
        <v>154</v>
      </c>
      <c r="BD97" s="198" t="str">
        <f t="shared" si="33"/>
        <v>圖_MSBN_無CTA</v>
      </c>
      <c r="BE97" s="199" t="str">
        <f>IFERROR(VLOOKUP($BD97,'(勿動)組件目錄表'!$D$15:$R$1110,2,FALSE),"")</f>
        <v>I-1</v>
      </c>
      <c r="BF97" s="200">
        <f>IFERROR(VLOOKUP($BD97, '(勿動)組件目錄表'!$D$15:$R$1110, 5, FALSE),"")</f>
        <v>0.5</v>
      </c>
      <c r="BG97" s="587"/>
      <c r="BH97" s="183"/>
      <c r="BI97" s="181"/>
      <c r="BJ97" s="183"/>
    </row>
    <row r="98" spans="1:62" ht="15.75" customHeight="1">
      <c r="A98" s="160" t="str">
        <f t="array" aca="1" ref="A98:G98" ca="1">IFERROR(TRANSPOSE(INDIRECT(L1_暖正版配!$BB98)),"")</f>
        <v>一排1品(垂直展示)</v>
      </c>
      <c r="B98" s="160" t="str">
        <f ca="1"/>
        <v>一排2品(垂直展示)</v>
      </c>
      <c r="C98" s="160" t="str">
        <f ca="1"/>
        <v>一排3品(垂直展示)</v>
      </c>
      <c r="D98" s="160" t="str">
        <f ca="1"/>
        <v>Collection 1條(水平展示)</v>
      </c>
      <c r="E98" s="160" t="str">
        <f ca="1"/>
        <v>Collection 1條(水平展示) + 查看全部(Footer)</v>
      </c>
      <c r="F98" s="160" t="str">
        <f ca="1"/>
        <v>Multi tabs</v>
      </c>
      <c r="G98" s="160" t="str">
        <f ca="1"/>
        <v>推薦品 Item Recommendation-固定</v>
      </c>
      <c r="H98" s="160"/>
      <c r="I98" s="160"/>
      <c r="J98" s="160"/>
      <c r="K98" s="160"/>
      <c r="L98" s="160"/>
      <c r="M98" s="160"/>
      <c r="N98" s="160"/>
      <c r="O98" s="160"/>
      <c r="P98" s="160"/>
      <c r="Q98" s="160"/>
      <c r="R98" s="160"/>
      <c r="S98" s="160"/>
      <c r="T98" s="160"/>
      <c r="U98" s="160"/>
      <c r="V98" s="160"/>
      <c r="W98" s="160"/>
      <c r="X98" s="160"/>
      <c r="Y98" s="160"/>
      <c r="Z98" s="160"/>
      <c r="AA98" s="160"/>
      <c r="AB98" s="160"/>
      <c r="AC98" s="160"/>
      <c r="AD98" s="160"/>
      <c r="AE98" s="212" t="b">
        <v>0</v>
      </c>
      <c r="AF98" s="173" t="str">
        <f t="shared" si="41"/>
        <v/>
      </c>
      <c r="AG98" s="174" t="str">
        <f t="shared" si="40"/>
        <v/>
      </c>
      <c r="AH98" s="195" t="s">
        <v>624</v>
      </c>
      <c r="AI98" s="176" t="str">
        <f ca="1">IFERROR(VLOOKUP($AH98, '(勿動)Component Label公版'!$D$1:$E$1000, 2, FALSE), "-")</f>
        <v>-</v>
      </c>
      <c r="AJ98" s="177"/>
      <c r="AK98" s="174"/>
      <c r="AL98" s="174"/>
      <c r="AM98" s="189" t="str">
        <f t="shared" si="31"/>
        <v/>
      </c>
      <c r="AN98" s="217" t="str">
        <f t="shared" si="32"/>
        <v/>
      </c>
      <c r="AO98" s="630" t="s">
        <v>628</v>
      </c>
      <c r="AP98" s="385"/>
      <c r="AQ98" s="630" t="s">
        <v>629</v>
      </c>
      <c r="AR98" s="385"/>
      <c r="AS98" s="630" t="s">
        <v>630</v>
      </c>
      <c r="AT98" s="385"/>
      <c r="AU98" s="222" t="b">
        <v>0</v>
      </c>
      <c r="AV98" s="180" t="b">
        <v>0</v>
      </c>
      <c r="AW98" s="186"/>
      <c r="AX98" s="187"/>
      <c r="AY98" s="187"/>
      <c r="AZ98" s="187"/>
      <c r="BA98" s="188"/>
      <c r="BB98" s="191" t="s">
        <v>264</v>
      </c>
      <c r="BC98" s="179" t="s">
        <v>256</v>
      </c>
      <c r="BD98" s="198" t="str">
        <f t="shared" si="33"/>
        <v>品_一排3品(垂直展示)</v>
      </c>
      <c r="BE98" s="199" t="str">
        <f>IFERROR(VLOOKUP($BD98,'(勿動)組件目錄表'!$D$15:$R$1110,2,FALSE),"")</f>
        <v>G-3</v>
      </c>
      <c r="BF98" s="200">
        <f>IFERROR(VLOOKUP($BD98, '(勿動)組件目錄表'!$D$15:$R$1110, 5, FALSE),"")</f>
        <v>1</v>
      </c>
      <c r="BG98" s="181"/>
      <c r="BH98" s="183"/>
      <c r="BI98" s="181"/>
      <c r="BJ98" s="183"/>
    </row>
    <row r="99" spans="1:62" ht="15.75" customHeight="1">
      <c r="A99" s="160" t="str">
        <f t="array" aca="1" ref="A99:G99" ca="1">IFERROR(TRANSPOSE(INDIRECT(L1_暖正版配!$BB99)),"")</f>
        <v>一排1品(垂直展示)</v>
      </c>
      <c r="B99" s="160" t="str">
        <f ca="1"/>
        <v>一排2品(垂直展示)</v>
      </c>
      <c r="C99" s="160" t="str">
        <f ca="1"/>
        <v>一排3品(垂直展示)</v>
      </c>
      <c r="D99" s="160" t="str">
        <f ca="1"/>
        <v>Collection 1條(水平展示)</v>
      </c>
      <c r="E99" s="160" t="str">
        <f ca="1"/>
        <v>Collection 1條(水平展示) + 查看全部(Footer)</v>
      </c>
      <c r="F99" s="160" t="str">
        <f ca="1"/>
        <v>Multi tabs</v>
      </c>
      <c r="G99" s="160" t="str">
        <f ca="1"/>
        <v>推薦品 Item Recommendation-固定</v>
      </c>
      <c r="H99" s="160"/>
      <c r="I99" s="160"/>
      <c r="J99" s="160"/>
      <c r="K99" s="160"/>
      <c r="L99" s="160"/>
      <c r="M99" s="160"/>
      <c r="N99" s="160"/>
      <c r="O99" s="160"/>
      <c r="P99" s="160"/>
      <c r="Q99" s="160"/>
      <c r="R99" s="160"/>
      <c r="S99" s="160"/>
      <c r="T99" s="160"/>
      <c r="U99" s="160"/>
      <c r="V99" s="160"/>
      <c r="W99" s="160"/>
      <c r="X99" s="160"/>
      <c r="Y99" s="160"/>
      <c r="Z99" s="160"/>
      <c r="AA99" s="160"/>
      <c r="AB99" s="160"/>
      <c r="AC99" s="160"/>
      <c r="AD99" s="160"/>
      <c r="AE99" s="212" t="b">
        <v>0</v>
      </c>
      <c r="AF99" s="173" t="str">
        <f t="shared" si="41"/>
        <v/>
      </c>
      <c r="AG99" s="174" t="str">
        <f t="shared" si="40"/>
        <v/>
      </c>
      <c r="AH99" s="195" t="s">
        <v>624</v>
      </c>
      <c r="AI99" s="176" t="str">
        <f ca="1">IFERROR(VLOOKUP($AH99, '(勿動)Component Label公版'!$D$1:$E$1000, 2, FALSE), "-")</f>
        <v>-</v>
      </c>
      <c r="AJ99" s="177"/>
      <c r="AK99" s="174"/>
      <c r="AL99" s="174"/>
      <c r="AM99" s="189" t="str">
        <f t="shared" si="31"/>
        <v/>
      </c>
      <c r="AN99" s="217" t="str">
        <f t="shared" si="32"/>
        <v/>
      </c>
      <c r="AO99" s="630" t="s">
        <v>631</v>
      </c>
      <c r="AP99" s="385"/>
      <c r="AQ99" s="630" t="s">
        <v>632</v>
      </c>
      <c r="AR99" s="385"/>
      <c r="AS99" s="630" t="s">
        <v>633</v>
      </c>
      <c r="AT99" s="385"/>
      <c r="AU99" s="222" t="b">
        <v>0</v>
      </c>
      <c r="AV99" s="180" t="b">
        <v>0</v>
      </c>
      <c r="AW99" s="186"/>
      <c r="AX99" s="187"/>
      <c r="AY99" s="187"/>
      <c r="AZ99" s="187"/>
      <c r="BA99" s="188"/>
      <c r="BB99" s="191" t="s">
        <v>264</v>
      </c>
      <c r="BC99" s="179" t="s">
        <v>256</v>
      </c>
      <c r="BD99" s="198" t="str">
        <f t="shared" si="33"/>
        <v>品_一排3品(垂直展示)</v>
      </c>
      <c r="BE99" s="199" t="str">
        <f>IFERROR(VLOOKUP($BD99,'(勿動)組件目錄表'!$D$15:$R$1110,2,FALSE),"")</f>
        <v>G-3</v>
      </c>
      <c r="BF99" s="200">
        <f>IFERROR(VLOOKUP($BD99, '(勿動)組件目錄表'!$D$15:$R$1110, 5, FALSE),"")</f>
        <v>1</v>
      </c>
      <c r="BG99" s="181"/>
      <c r="BH99" s="183"/>
      <c r="BI99" s="181"/>
      <c r="BJ99" s="183"/>
    </row>
    <row r="100" spans="1:62" ht="15.75" customHeight="1">
      <c r="A100" s="160" t="str">
        <f t="array" aca="1" ref="A100:G100" ca="1">IFERROR(TRANSPOSE(INDIRECT(L1_暖正版配!$BB100)),"")</f>
        <v>一排1品(垂直展示)</v>
      </c>
      <c r="B100" s="160" t="str">
        <f ca="1"/>
        <v>一排2品(垂直展示)</v>
      </c>
      <c r="C100" s="160" t="str">
        <f ca="1"/>
        <v>一排3品(垂直展示)</v>
      </c>
      <c r="D100" s="160" t="str">
        <f ca="1"/>
        <v>Collection 1條(水平展示)</v>
      </c>
      <c r="E100" s="160" t="str">
        <f ca="1"/>
        <v>Collection 1條(水平展示) + 查看全部(Footer)</v>
      </c>
      <c r="F100" s="160" t="str">
        <f ca="1"/>
        <v>Multi tabs</v>
      </c>
      <c r="G100" s="160" t="str">
        <f ca="1"/>
        <v>推薦品 Item Recommendation-固定</v>
      </c>
      <c r="H100" s="160"/>
      <c r="I100" s="160"/>
      <c r="J100" s="160"/>
      <c r="K100" s="160"/>
      <c r="L100" s="160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  <c r="AD100" s="160"/>
      <c r="AE100" s="212" t="b">
        <v>0</v>
      </c>
      <c r="AF100" s="173" t="str">
        <f t="shared" si="41"/>
        <v/>
      </c>
      <c r="AG100" s="174" t="str">
        <f t="shared" si="40"/>
        <v/>
      </c>
      <c r="AH100" s="195" t="s">
        <v>624</v>
      </c>
      <c r="AI100" s="176" t="str">
        <f ca="1">IFERROR(VLOOKUP($AH100, '(勿動)Component Label公版'!$D$1:$E$1000, 2, FALSE), "-")</f>
        <v>-</v>
      </c>
      <c r="AJ100" s="177"/>
      <c r="AK100" s="174"/>
      <c r="AL100" s="174"/>
      <c r="AM100" s="189" t="str">
        <f t="shared" si="31"/>
        <v/>
      </c>
      <c r="AN100" s="217" t="str">
        <f t="shared" si="32"/>
        <v/>
      </c>
      <c r="AO100" s="630" t="s">
        <v>634</v>
      </c>
      <c r="AP100" s="385"/>
      <c r="AQ100" s="630" t="s">
        <v>635</v>
      </c>
      <c r="AR100" s="385"/>
      <c r="AS100" s="630" t="s">
        <v>636</v>
      </c>
      <c r="AT100" s="385"/>
      <c r="AU100" s="222" t="b">
        <v>0</v>
      </c>
      <c r="AV100" s="180" t="b">
        <v>0</v>
      </c>
      <c r="AW100" s="186"/>
      <c r="AX100" s="187"/>
      <c r="AY100" s="187"/>
      <c r="AZ100" s="187"/>
      <c r="BA100" s="188"/>
      <c r="BB100" s="191" t="s">
        <v>264</v>
      </c>
      <c r="BC100" s="179" t="s">
        <v>256</v>
      </c>
      <c r="BD100" s="198" t="str">
        <f t="shared" si="33"/>
        <v>品_一排3品(垂直展示)</v>
      </c>
      <c r="BE100" s="199" t="str">
        <f>IFERROR(VLOOKUP($BD100,'(勿動)組件目錄表'!$D$15:$R$1110,2,FALSE),"")</f>
        <v>G-3</v>
      </c>
      <c r="BF100" s="200">
        <f>IFERROR(VLOOKUP($BD100, '(勿動)組件目錄表'!$D$15:$R$1110, 5, FALSE),"")</f>
        <v>1</v>
      </c>
      <c r="BG100" s="181"/>
      <c r="BH100" s="183"/>
      <c r="BI100" s="181"/>
      <c r="BJ100" s="183"/>
    </row>
    <row r="101" spans="1:62" ht="15.75" customHeight="1">
      <c r="A101" s="160" t="str">
        <f t="array" aca="1" ref="A101:G101" ca="1">IFERROR(TRANSPOSE(INDIRECT(L1_暖正版配!$BB101)),"")</f>
        <v>一排1品(垂直展示)</v>
      </c>
      <c r="B101" s="160" t="str">
        <f ca="1"/>
        <v>一排2品(垂直展示)</v>
      </c>
      <c r="C101" s="160" t="str">
        <f ca="1"/>
        <v>一排3品(垂直展示)</v>
      </c>
      <c r="D101" s="160" t="str">
        <f ca="1"/>
        <v>Collection 1條(水平展示)</v>
      </c>
      <c r="E101" s="160" t="str">
        <f ca="1"/>
        <v>Collection 1條(水平展示) + 查看全部(Footer)</v>
      </c>
      <c r="F101" s="160" t="str">
        <f ca="1"/>
        <v>Multi tabs</v>
      </c>
      <c r="G101" s="160" t="str">
        <f ca="1"/>
        <v>推薦品 Item Recommendation-固定</v>
      </c>
      <c r="H101" s="160"/>
      <c r="I101" s="160"/>
      <c r="J101" s="160"/>
      <c r="K101" s="160"/>
      <c r="L101" s="160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  <c r="AD101" s="160"/>
      <c r="AE101" s="212" t="b">
        <v>0</v>
      </c>
      <c r="AF101" s="173" t="str">
        <f t="shared" si="41"/>
        <v/>
      </c>
      <c r="AG101" s="174" t="str">
        <f t="shared" si="40"/>
        <v/>
      </c>
      <c r="AH101" s="195" t="s">
        <v>624</v>
      </c>
      <c r="AI101" s="176" t="str">
        <f ca="1">IFERROR(VLOOKUP($AH101, '(勿動)Component Label公版'!$D$1:$E$1000, 2, FALSE), "-")</f>
        <v>-</v>
      </c>
      <c r="AJ101" s="177"/>
      <c r="AK101" s="174"/>
      <c r="AL101" s="174"/>
      <c r="AM101" s="189" t="str">
        <f t="shared" si="31"/>
        <v/>
      </c>
      <c r="AN101" s="217" t="str">
        <f t="shared" si="32"/>
        <v/>
      </c>
      <c r="AO101" s="630" t="s">
        <v>637</v>
      </c>
      <c r="AP101" s="385"/>
      <c r="AQ101" s="630" t="s">
        <v>638</v>
      </c>
      <c r="AR101" s="385"/>
      <c r="AS101" s="630" t="s">
        <v>639</v>
      </c>
      <c r="AT101" s="385"/>
      <c r="AU101" s="222" t="b">
        <v>0</v>
      </c>
      <c r="AV101" s="180" t="b">
        <v>0</v>
      </c>
      <c r="AW101" s="186"/>
      <c r="AX101" s="187"/>
      <c r="AY101" s="187"/>
      <c r="AZ101" s="187"/>
      <c r="BA101" s="188"/>
      <c r="BB101" s="191" t="s">
        <v>264</v>
      </c>
      <c r="BC101" s="179" t="s">
        <v>256</v>
      </c>
      <c r="BD101" s="198" t="str">
        <f t="shared" si="33"/>
        <v>品_一排3品(垂直展示)</v>
      </c>
      <c r="BE101" s="199" t="str">
        <f>IFERROR(VLOOKUP($BD101,'(勿動)組件目錄表'!$D$15:$R$1110,2,FALSE),"")</f>
        <v>G-3</v>
      </c>
      <c r="BF101" s="200">
        <f>IFERROR(VLOOKUP($BD101, '(勿動)組件目錄表'!$D$15:$R$1110, 5, FALSE),"")</f>
        <v>1</v>
      </c>
      <c r="BG101" s="181"/>
      <c r="BH101" s="183"/>
      <c r="BI101" s="181"/>
      <c r="BJ101" s="183"/>
    </row>
    <row r="102" spans="1:62" ht="15.75" customHeight="1">
      <c r="A102" s="160" t="str">
        <f t="array" aca="1" ref="A102:G102" ca="1">IFERROR(TRANSPOSE(INDIRECT(L1_暖正版配!$BB102)),"")</f>
        <v>一排1品(垂直展示)</v>
      </c>
      <c r="B102" s="160" t="str">
        <f ca="1"/>
        <v>一排2品(垂直展示)</v>
      </c>
      <c r="C102" s="160" t="str">
        <f ca="1"/>
        <v>一排3品(垂直展示)</v>
      </c>
      <c r="D102" s="160" t="str">
        <f ca="1"/>
        <v>Collection 1條(水平展示)</v>
      </c>
      <c r="E102" s="160" t="str">
        <f ca="1"/>
        <v>Collection 1條(水平展示) + 查看全部(Footer)</v>
      </c>
      <c r="F102" s="160" t="str">
        <f ca="1"/>
        <v>Multi tabs</v>
      </c>
      <c r="G102" s="160" t="str">
        <f ca="1"/>
        <v>推薦品 Item Recommendation-固定</v>
      </c>
      <c r="H102" s="160"/>
      <c r="I102" s="160"/>
      <c r="J102" s="160"/>
      <c r="K102" s="160"/>
      <c r="L102" s="160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  <c r="AD102" s="160"/>
      <c r="AE102" s="212" t="b">
        <v>0</v>
      </c>
      <c r="AF102" s="173"/>
      <c r="AG102" s="174"/>
      <c r="AH102" s="195" t="s">
        <v>624</v>
      </c>
      <c r="AI102" s="176" t="str">
        <f ca="1">IFERROR(VLOOKUP($AH102, '(勿動)Component Label公版'!$D$1:$E$1000, 2, FALSE), "-")</f>
        <v>-</v>
      </c>
      <c r="AJ102" s="177"/>
      <c r="AK102" s="174"/>
      <c r="AL102" s="174"/>
      <c r="AM102" s="189"/>
      <c r="AN102" s="217"/>
      <c r="AO102" s="630" t="s">
        <v>640</v>
      </c>
      <c r="AP102" s="385"/>
      <c r="AQ102" s="630" t="s">
        <v>641</v>
      </c>
      <c r="AR102" s="385"/>
      <c r="AS102" s="630" t="s">
        <v>642</v>
      </c>
      <c r="AT102" s="385"/>
      <c r="AU102" s="222" t="b">
        <v>0</v>
      </c>
      <c r="AV102" s="180" t="b">
        <v>0</v>
      </c>
      <c r="AW102" s="186"/>
      <c r="AX102" s="187"/>
      <c r="AY102" s="187"/>
      <c r="AZ102" s="187"/>
      <c r="BA102" s="188"/>
      <c r="BB102" s="191" t="s">
        <v>264</v>
      </c>
      <c r="BC102" s="179" t="s">
        <v>256</v>
      </c>
      <c r="BD102" s="198"/>
      <c r="BE102" s="199"/>
      <c r="BF102" s="200"/>
      <c r="BG102" s="181"/>
      <c r="BH102" s="183"/>
      <c r="BI102" s="181"/>
      <c r="BJ102" s="183"/>
    </row>
    <row r="103" spans="1:62" ht="15.75" customHeight="1">
      <c r="A103" s="160" t="str">
        <f t="array" aca="1" ref="A103:G103" ca="1">IFERROR(TRANSPOSE(INDIRECT(L1_暖正版配!$BB103)),"")</f>
        <v>一排1品(垂直展示)</v>
      </c>
      <c r="B103" s="160" t="str">
        <f ca="1"/>
        <v>一排2品(垂直展示)</v>
      </c>
      <c r="C103" s="160" t="str">
        <f ca="1"/>
        <v>一排3品(垂直展示)</v>
      </c>
      <c r="D103" s="160" t="str">
        <f ca="1"/>
        <v>Collection 1條(水平展示)</v>
      </c>
      <c r="E103" s="160" t="str">
        <f ca="1"/>
        <v>Collection 1條(水平展示) + 查看全部(Footer)</v>
      </c>
      <c r="F103" s="160" t="str">
        <f ca="1"/>
        <v>Multi tabs</v>
      </c>
      <c r="G103" s="160" t="str">
        <f ca="1"/>
        <v>推薦品 Item Recommendation-固定</v>
      </c>
      <c r="H103" s="160"/>
      <c r="I103" s="160"/>
      <c r="J103" s="160"/>
      <c r="K103" s="160"/>
      <c r="L103" s="160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  <c r="AD103" s="160"/>
      <c r="AE103" s="172" t="b">
        <v>0</v>
      </c>
      <c r="AF103" s="173" t="str">
        <f t="shared" ref="AF103:AF106" si="42">IF(AE103=TRUE,"若有勾選則必填，隱藏錨點請填寫&lt;設隱形錨點&gt;","")</f>
        <v/>
      </c>
      <c r="AG103" s="174" t="str">
        <f t="shared" ref="AG103:AG106" si="43">IF(AF103="設隱形錨點","",IF(AE103=FALSE,"",IF(AE103=TRUE, SUBSTITUTE($AI103, "_", ""))))</f>
        <v/>
      </c>
      <c r="AH103" s="195" t="s">
        <v>624</v>
      </c>
      <c r="AI103" s="176" t="str">
        <f ca="1">IFERROR(VLOOKUP($AH103, '(勿動)Component Label公版'!$D$1:$E$1000, 2, FALSE), "-")</f>
        <v>-</v>
      </c>
      <c r="AJ103" s="177"/>
      <c r="AK103" s="174"/>
      <c r="AL103" s="174"/>
      <c r="AM103" s="189" t="str">
        <f t="shared" ref="AM103:AM106" si="44">IFERROR(
  IF(TRIM(AK103)="", "",
    TEXT(
      DATEVALUE("2026/" &amp; LEFT(TRIM(AK103), FIND(" ", TRIM(AK103)) - 1)) +
      TIMEVALUE(MID(TRIM(AK103), FIND(" ", TRIM(AK103)) + 1, LEN(TRIM(AK103)))),
      "yyyy-mm-dd hh:mm:ss"
    )
  ),
"")</f>
        <v/>
      </c>
      <c r="AN103" s="190" t="str">
        <f t="shared" ref="AN103:AN106" si="45">IFERROR(
  IF(TRIM(AL103)="", "",
    TEXT(
      DATEVALUE("2026/" &amp; LEFT(TRIM(AL103), FIND(" ", TRIM(AL103)) - 1)) +
      TIMEVALUE(MID(TRIM(AL103), FIND(" ", TRIM(AL103)) + 1, 5)) +
      TIME(0,0,59),
      "yyyy-mm-dd hh:mm:ss"
    )
  ),
"")</f>
        <v/>
      </c>
      <c r="AO103" s="530" t="s">
        <v>643</v>
      </c>
      <c r="AP103" s="384"/>
      <c r="AQ103" s="384"/>
      <c r="AR103" s="384"/>
      <c r="AS103" s="384"/>
      <c r="AT103" s="385"/>
      <c r="AU103" s="180" t="b">
        <v>0</v>
      </c>
      <c r="AV103" s="180" t="b">
        <v>0</v>
      </c>
      <c r="AW103" s="186"/>
      <c r="AX103" s="187"/>
      <c r="AY103" s="187"/>
      <c r="AZ103" s="187"/>
      <c r="BA103" s="188"/>
      <c r="BB103" s="191" t="s">
        <v>264</v>
      </c>
      <c r="BC103" s="179" t="s">
        <v>257</v>
      </c>
      <c r="BD103" s="198" t="str">
        <f t="shared" ref="BD103:BD106" si="46">$BB103&amp;"_"&amp;$BC103</f>
        <v>品_Collection 1條(水平展示)</v>
      </c>
      <c r="BE103" s="199" t="str">
        <f>IFERROR(VLOOKUP($BD103,'(勿動)組件目錄表'!$D$15:$R$1110,2,FALSE),"")</f>
        <v>G-4</v>
      </c>
      <c r="BF103" s="200">
        <f>IFERROR(VLOOKUP($BD103, '(勿動)組件目錄表'!$D$15:$R$1110, 5, FALSE),"")</f>
        <v>0.5</v>
      </c>
      <c r="BG103" s="181"/>
      <c r="BH103" s="183"/>
      <c r="BI103" s="181"/>
      <c r="BJ103" s="241" t="s">
        <v>469</v>
      </c>
    </row>
    <row r="104" spans="1:62" ht="15.75" customHeight="1">
      <c r="A104" s="160" t="str">
        <f t="array" aca="1" ref="A104:G104" ca="1">IFERROR(TRANSPOSE(INDIRECT(L1_暖正版配!$BB104)),"")</f>
        <v>一排1品(垂直展示)</v>
      </c>
      <c r="B104" s="160" t="str">
        <f ca="1"/>
        <v>一排2品(垂直展示)</v>
      </c>
      <c r="C104" s="160" t="str">
        <f ca="1"/>
        <v>一排3品(垂直展示)</v>
      </c>
      <c r="D104" s="160" t="str">
        <f ca="1"/>
        <v>Collection 1條(水平展示)</v>
      </c>
      <c r="E104" s="160" t="str">
        <f ca="1"/>
        <v>Collection 1條(水平展示) + 查看全部(Footer)</v>
      </c>
      <c r="F104" s="160" t="str">
        <f ca="1"/>
        <v>Multi tabs</v>
      </c>
      <c r="G104" s="160" t="str">
        <f ca="1"/>
        <v>推薦品 Item Recommendation-固定</v>
      </c>
      <c r="H104" s="160"/>
      <c r="I104" s="160"/>
      <c r="J104" s="160"/>
      <c r="K104" s="160"/>
      <c r="L104" s="160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  <c r="AD104" s="160"/>
      <c r="AE104" s="172" t="b">
        <v>0</v>
      </c>
      <c r="AF104" s="173" t="str">
        <f t="shared" si="42"/>
        <v/>
      </c>
      <c r="AG104" s="174" t="str">
        <f t="shared" si="43"/>
        <v/>
      </c>
      <c r="AH104" s="195" t="s">
        <v>624</v>
      </c>
      <c r="AI104" s="176" t="str">
        <f ca="1">IFERROR(VLOOKUP($AH104, '(勿動)Component Label公版'!$D$1:$E$1000, 2, FALSE), "-")</f>
        <v>-</v>
      </c>
      <c r="AJ104" s="177"/>
      <c r="AK104" s="174"/>
      <c r="AL104" s="174"/>
      <c r="AM104" s="189" t="str">
        <f t="shared" si="44"/>
        <v/>
      </c>
      <c r="AN104" s="190" t="str">
        <f t="shared" si="45"/>
        <v/>
      </c>
      <c r="AO104" s="530" t="s">
        <v>644</v>
      </c>
      <c r="AP104" s="384"/>
      <c r="AQ104" s="384"/>
      <c r="AR104" s="384"/>
      <c r="AS104" s="384"/>
      <c r="AT104" s="385"/>
      <c r="AU104" s="180" t="b">
        <v>0</v>
      </c>
      <c r="AV104" s="180" t="b">
        <v>0</v>
      </c>
      <c r="AW104" s="186"/>
      <c r="AX104" s="187"/>
      <c r="AY104" s="187"/>
      <c r="AZ104" s="187"/>
      <c r="BA104" s="188"/>
      <c r="BB104" s="191" t="s">
        <v>264</v>
      </c>
      <c r="BC104" s="179" t="s">
        <v>257</v>
      </c>
      <c r="BD104" s="198" t="str">
        <f t="shared" si="46"/>
        <v>品_Collection 1條(水平展示)</v>
      </c>
      <c r="BE104" s="199" t="str">
        <f>IFERROR(VLOOKUP($BD104,'(勿動)組件目錄表'!$D$15:$R$1110,2,FALSE),"")</f>
        <v>G-4</v>
      </c>
      <c r="BF104" s="200">
        <f>IFERROR(VLOOKUP($BD104, '(勿動)組件目錄表'!$D$15:$R$1110, 5, FALSE),"")</f>
        <v>0.5</v>
      </c>
      <c r="BG104" s="181"/>
      <c r="BH104" s="183"/>
      <c r="BI104" s="181"/>
      <c r="BJ104" s="207" t="s">
        <v>469</v>
      </c>
    </row>
    <row r="105" spans="1:62" ht="15.75" customHeight="1">
      <c r="A105" s="160" t="str">
        <f t="array" aca="1" ref="A105:G105" ca="1">IFERROR(TRANSPOSE(INDIRECT(L1_暖正版配!$BB105)),"")</f>
        <v>一排1品(垂直展示)</v>
      </c>
      <c r="B105" s="160" t="str">
        <f ca="1"/>
        <v>一排2品(垂直展示)</v>
      </c>
      <c r="C105" s="160" t="str">
        <f ca="1"/>
        <v>一排3品(垂直展示)</v>
      </c>
      <c r="D105" s="160" t="str">
        <f ca="1"/>
        <v>Collection 1條(水平展示)</v>
      </c>
      <c r="E105" s="160" t="str">
        <f ca="1"/>
        <v>Collection 1條(水平展示) + 查看全部(Footer)</v>
      </c>
      <c r="F105" s="160" t="str">
        <f ca="1"/>
        <v>Multi tabs</v>
      </c>
      <c r="G105" s="160" t="str">
        <f ca="1"/>
        <v>推薦品 Item Recommendation-固定</v>
      </c>
      <c r="H105" s="160"/>
      <c r="I105" s="160"/>
      <c r="J105" s="160"/>
      <c r="K105" s="160"/>
      <c r="L105" s="160"/>
      <c r="M105" s="160"/>
      <c r="N105" s="160"/>
      <c r="O105" s="160"/>
      <c r="P105" s="160"/>
      <c r="Q105" s="160"/>
      <c r="R105" s="160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  <c r="AD105" s="160"/>
      <c r="AE105" s="212" t="b">
        <v>0</v>
      </c>
      <c r="AF105" s="173" t="str">
        <f t="shared" si="42"/>
        <v/>
      </c>
      <c r="AG105" s="174" t="str">
        <f t="shared" si="43"/>
        <v/>
      </c>
      <c r="AH105" s="195" t="s">
        <v>624</v>
      </c>
      <c r="AI105" s="176" t="str">
        <f ca="1">IFERROR(VLOOKUP($AH105, '(勿動)Component Label公版'!$D$1:$E$1000, 2, FALSE), "-")</f>
        <v>-</v>
      </c>
      <c r="AJ105" s="177"/>
      <c r="AK105" s="174"/>
      <c r="AL105" s="174"/>
      <c r="AM105" s="189" t="str">
        <f t="shared" si="44"/>
        <v/>
      </c>
      <c r="AN105" s="190" t="str">
        <f t="shared" si="45"/>
        <v/>
      </c>
      <c r="AO105" s="242" t="s">
        <v>645</v>
      </c>
      <c r="AP105" s="242" t="s">
        <v>646</v>
      </c>
      <c r="AQ105" s="242" t="s">
        <v>647</v>
      </c>
      <c r="AR105" s="529" t="s">
        <v>648</v>
      </c>
      <c r="AS105" s="399"/>
      <c r="AT105" s="422"/>
      <c r="AU105" s="180" t="b">
        <v>0</v>
      </c>
      <c r="AV105" s="180" t="b">
        <v>0</v>
      </c>
      <c r="AW105" s="186"/>
      <c r="AX105" s="187"/>
      <c r="AY105" s="187"/>
      <c r="AZ105" s="187"/>
      <c r="BA105" s="188"/>
      <c r="BB105" s="191" t="s">
        <v>264</v>
      </c>
      <c r="BC105" s="179" t="s">
        <v>259</v>
      </c>
      <c r="BD105" s="198" t="str">
        <f t="shared" si="46"/>
        <v>品_Multi tabs</v>
      </c>
      <c r="BE105" s="199" t="str">
        <f>IFERROR(VLOOKUP($BD105,'(勿動)組件目錄表'!$D$15:$R$1110,2,FALSE),"")</f>
        <v>G-7</v>
      </c>
      <c r="BF105" s="200">
        <f>IFERROR(VLOOKUP($BD105, '(勿動)組件目錄表'!$D$15:$R$1110, 5, FALSE),"")</f>
        <v>1</v>
      </c>
      <c r="BG105" s="181"/>
      <c r="BH105" s="183"/>
      <c r="BI105" s="181"/>
      <c r="BJ105" s="211" t="s">
        <v>649</v>
      </c>
    </row>
    <row r="106" spans="1:62" ht="15.75" customHeight="1">
      <c r="A106" s="160" t="str">
        <f t="array" aca="1" ref="A106:G106" ca="1">IFERROR(TRANSPOSE(INDIRECT(L1_暖正版配!$BB106)),"")</f>
        <v>一排1品(垂直展示)</v>
      </c>
      <c r="B106" s="160" t="str">
        <f ca="1"/>
        <v>一排2品(垂直展示)</v>
      </c>
      <c r="C106" s="160" t="str">
        <f ca="1"/>
        <v>一排3品(垂直展示)</v>
      </c>
      <c r="D106" s="160" t="str">
        <f ca="1"/>
        <v>Collection 1條(水平展示)</v>
      </c>
      <c r="E106" s="160" t="str">
        <f ca="1"/>
        <v>Collection 1條(水平展示) + 查看全部(Footer)</v>
      </c>
      <c r="F106" s="160" t="str">
        <f ca="1"/>
        <v>Multi tabs</v>
      </c>
      <c r="G106" s="160" t="str">
        <f ca="1"/>
        <v>推薦品 Item Recommendation-固定</v>
      </c>
      <c r="H106" s="160"/>
      <c r="I106" s="160"/>
      <c r="J106" s="160"/>
      <c r="K106" s="160"/>
      <c r="L106" s="160"/>
      <c r="M106" s="160"/>
      <c r="N106" s="160"/>
      <c r="O106" s="160"/>
      <c r="P106" s="160"/>
      <c r="Q106" s="160"/>
      <c r="R106" s="160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  <c r="AD106" s="160"/>
      <c r="AE106" s="212" t="b">
        <v>0</v>
      </c>
      <c r="AF106" s="173" t="str">
        <f t="shared" si="42"/>
        <v/>
      </c>
      <c r="AG106" s="174" t="str">
        <f t="shared" si="43"/>
        <v/>
      </c>
      <c r="AH106" s="195" t="s">
        <v>624</v>
      </c>
      <c r="AI106" s="176" t="str">
        <f ca="1">IFERROR(VLOOKUP($AH106, '(勿動)Component Label公版'!$D$1:$E$1000, 2, FALSE), "-")</f>
        <v>-</v>
      </c>
      <c r="AJ106" s="177"/>
      <c r="AK106" s="174"/>
      <c r="AL106" s="174"/>
      <c r="AM106" s="189" t="str">
        <f t="shared" si="44"/>
        <v/>
      </c>
      <c r="AN106" s="190" t="str">
        <f t="shared" si="45"/>
        <v/>
      </c>
      <c r="AO106" s="242">
        <v>17790184</v>
      </c>
      <c r="AP106" s="242">
        <v>17791188</v>
      </c>
      <c r="AQ106" s="242">
        <v>17791442</v>
      </c>
      <c r="AR106" s="527"/>
      <c r="AS106" s="401"/>
      <c r="AT106" s="424"/>
      <c r="AU106" s="180" t="b">
        <v>0</v>
      </c>
      <c r="AV106" s="180" t="b">
        <v>0</v>
      </c>
      <c r="AW106" s="186"/>
      <c r="AX106" s="187"/>
      <c r="AY106" s="187"/>
      <c r="AZ106" s="187"/>
      <c r="BA106" s="188"/>
      <c r="BB106" s="191" t="s">
        <v>264</v>
      </c>
      <c r="BC106" s="179" t="s">
        <v>259</v>
      </c>
      <c r="BD106" s="198" t="str">
        <f t="shared" si="46"/>
        <v>品_Multi tabs</v>
      </c>
      <c r="BE106" s="199" t="str">
        <f>IFERROR(VLOOKUP($BD106,'(勿動)組件目錄表'!$D$15:$R$1110,2,FALSE),"")</f>
        <v>G-7</v>
      </c>
      <c r="BF106" s="200">
        <f>IFERROR(VLOOKUP($BD106, '(勿動)組件目錄表'!$D$15:$R$1110, 5, FALSE),"")</f>
        <v>1</v>
      </c>
      <c r="BG106" s="181"/>
      <c r="BH106" s="183"/>
      <c r="BI106" s="181"/>
      <c r="BJ106" s="211"/>
    </row>
    <row r="107" spans="1:62" ht="15.75" customHeight="1">
      <c r="A107" s="160" t="str">
        <f t="array" aca="1" ref="A107:D107" ca="1">IFERROR(TRANSPOSE(INDIRECT(L1_暖正版配!$BB107)),"")</f>
        <v>置中</v>
      </c>
      <c r="B107" s="160" t="str">
        <f ca="1"/>
        <v>置中 + Display See All</v>
      </c>
      <c r="C107" s="160" t="str">
        <f ca="1"/>
        <v>置左</v>
      </c>
      <c r="D107" s="160" t="str">
        <f ca="1"/>
        <v>置左 + Display See All</v>
      </c>
      <c r="E107" s="160"/>
      <c r="F107" s="160"/>
      <c r="G107" s="160"/>
      <c r="H107" s="160"/>
      <c r="I107" s="160"/>
      <c r="J107" s="160"/>
      <c r="K107" s="160"/>
      <c r="L107" s="160"/>
      <c r="M107" s="160"/>
      <c r="N107" s="160"/>
      <c r="O107" s="160"/>
      <c r="P107" s="160"/>
      <c r="Q107" s="160"/>
      <c r="R107" s="160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  <c r="AD107" s="160"/>
      <c r="AE107" s="212" t="b">
        <v>0</v>
      </c>
      <c r="AF107" s="173"/>
      <c r="AG107" s="174"/>
      <c r="AH107" s="195" t="s">
        <v>624</v>
      </c>
      <c r="AI107" s="176" t="str">
        <f ca="1">IFERROR(VLOOKUP($AH107, '(勿動)Component Label公版'!$D$1:$E$1000, 2, FALSE), "-")</f>
        <v>-</v>
      </c>
      <c r="AJ107" s="177"/>
      <c r="AK107" s="174"/>
      <c r="AL107" s="174"/>
      <c r="AM107" s="189"/>
      <c r="AN107" s="217"/>
      <c r="AO107" s="531" t="s">
        <v>650</v>
      </c>
      <c r="AP107" s="384"/>
      <c r="AQ107" s="384"/>
      <c r="AR107" s="384"/>
      <c r="AS107" s="384"/>
      <c r="AT107" s="385"/>
      <c r="AU107" s="222" t="b">
        <v>0</v>
      </c>
      <c r="AV107" s="180" t="b">
        <v>0</v>
      </c>
      <c r="AW107" s="186"/>
      <c r="AX107" s="187"/>
      <c r="AY107" s="187"/>
      <c r="AZ107" s="187"/>
      <c r="BA107" s="188"/>
      <c r="BB107" s="191" t="s">
        <v>159</v>
      </c>
      <c r="BC107" s="179" t="s">
        <v>157</v>
      </c>
      <c r="BD107" s="198"/>
      <c r="BE107" s="199"/>
      <c r="BF107" s="200"/>
      <c r="BG107" s="181"/>
      <c r="BH107" s="183"/>
      <c r="BI107" s="181"/>
      <c r="BJ107" s="211"/>
    </row>
    <row r="108" spans="1:62" ht="15.75" customHeight="1">
      <c r="A108" s="160" t="str">
        <f t="array" aca="1" ref="A108:G108" ca="1">IFERROR(TRANSPOSE(INDIRECT(L1_暖正版配!$BB108)),"")</f>
        <v>一排1品(垂直展示)</v>
      </c>
      <c r="B108" s="160" t="str">
        <f ca="1"/>
        <v>一排2品(垂直展示)</v>
      </c>
      <c r="C108" s="160" t="str">
        <f ca="1"/>
        <v>一排3品(垂直展示)</v>
      </c>
      <c r="D108" s="160" t="str">
        <f ca="1"/>
        <v>Collection 1條(水平展示)</v>
      </c>
      <c r="E108" s="160" t="str">
        <f ca="1"/>
        <v>Collection 1條(水平展示) + 查看全部(Footer)</v>
      </c>
      <c r="F108" s="160" t="str">
        <f ca="1"/>
        <v>Multi tabs</v>
      </c>
      <c r="G108" s="160" t="str">
        <f ca="1"/>
        <v>推薦品 Item Recommendation-固定</v>
      </c>
      <c r="H108" s="160"/>
      <c r="I108" s="160"/>
      <c r="J108" s="160"/>
      <c r="K108" s="160"/>
      <c r="L108" s="160"/>
      <c r="M108" s="160"/>
      <c r="N108" s="160"/>
      <c r="O108" s="160"/>
      <c r="P108" s="160"/>
      <c r="Q108" s="160"/>
      <c r="R108" s="160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  <c r="AD108" s="160"/>
      <c r="AE108" s="212" t="b">
        <v>0</v>
      </c>
      <c r="AF108" s="173" t="str">
        <f>IF(AE108=TRUE,"若有勾選則必填，隱藏錨點請填寫&lt;設隱形錨點&gt;","")</f>
        <v/>
      </c>
      <c r="AG108" s="174" t="str">
        <f>IF(AF108="設隱形錨點","",IF(AE108=FALSE,"",IF(AE108=TRUE, SUBSTITUTE($AI108, "_", ""))))</f>
        <v/>
      </c>
      <c r="AH108" s="195" t="s">
        <v>624</v>
      </c>
      <c r="AI108" s="176" t="str">
        <f ca="1">IFERROR(VLOOKUP($AH108, '(勿動)Component Label公版'!$D$1:$E$1000, 2, FALSE), "-")</f>
        <v>-</v>
      </c>
      <c r="AJ108" s="177"/>
      <c r="AK108" s="174"/>
      <c r="AL108" s="174"/>
      <c r="AM108" s="189" t="str">
        <f>IFERROR(
  IF(TRIM(AK108)="", "",
    TEXT(
      DATEVALUE("2026/" &amp; LEFT(TRIM(AK108), FIND(" ", TRIM(AK108)) - 1)) +
      TIMEVALUE(MID(TRIM(AK108), FIND(" ", TRIM(AK108)) + 1, LEN(TRIM(AK108)))),
      "yyyy-mm-dd hh:mm:ss"
    )
  ),
"")</f>
        <v/>
      </c>
      <c r="AN108" s="217" t="str">
        <f>IFERROR(
  IF(TRIM(AL108)="", "",
    TEXT(
      DATEVALUE("2026/" &amp; LEFT(TRIM(AL108), FIND(" ", TRIM(AL108)) - 1)) +
      TIMEVALUE(MID(TRIM(AL108), FIND(" ", TRIM(AL108)) + 1, 5)) +
      TIME(0,0,59),
      "yyyy-mm-dd hh:mm:ss"
    )
  ),
"")</f>
        <v/>
      </c>
      <c r="AO108" s="528" t="s">
        <v>651</v>
      </c>
      <c r="AP108" s="385"/>
      <c r="AQ108" s="528" t="s">
        <v>652</v>
      </c>
      <c r="AR108" s="385"/>
      <c r="AS108" s="528" t="s">
        <v>653</v>
      </c>
      <c r="AT108" s="385"/>
      <c r="AU108" s="222" t="b">
        <v>0</v>
      </c>
      <c r="AV108" s="180" t="b">
        <v>0</v>
      </c>
      <c r="AW108" s="186"/>
      <c r="AX108" s="187"/>
      <c r="AY108" s="187"/>
      <c r="AZ108" s="187"/>
      <c r="BA108" s="188"/>
      <c r="BB108" s="191" t="s">
        <v>264</v>
      </c>
      <c r="BC108" s="179" t="s">
        <v>256</v>
      </c>
      <c r="BD108" s="198" t="str">
        <f>$BB108&amp;"_"&amp;$BC108</f>
        <v>品_一排3品(垂直展示)</v>
      </c>
      <c r="BE108" s="199" t="str">
        <f>IFERROR(VLOOKUP($BD108,'(勿動)組件目錄表'!$D$15:$R$1110,2,FALSE),"")</f>
        <v>G-3</v>
      </c>
      <c r="BF108" s="200">
        <f>IFERROR(VLOOKUP($BD108, '(勿動)組件目錄表'!$D$15:$R$1110, 5, FALSE),"")</f>
        <v>1</v>
      </c>
      <c r="BG108" s="181"/>
      <c r="BH108" s="183"/>
      <c r="BI108" s="181"/>
      <c r="BJ108" s="211" t="s">
        <v>654</v>
      </c>
    </row>
    <row r="109" spans="1:62" ht="15.75" customHeight="1">
      <c r="A109" s="160" t="str">
        <f t="array" aca="1" ref="A109:D109" ca="1">IFERROR(TRANSPOSE(INDIRECT(L1_暖正版配!$BB109)),"")</f>
        <v>置中</v>
      </c>
      <c r="B109" s="160" t="str">
        <f ca="1"/>
        <v>置中 + Display See All</v>
      </c>
      <c r="C109" s="160" t="str">
        <f ca="1"/>
        <v>置左</v>
      </c>
      <c r="D109" s="160" t="str">
        <f ca="1"/>
        <v>置左 + Display See All</v>
      </c>
      <c r="E109" s="160"/>
      <c r="F109" s="160"/>
      <c r="G109" s="160"/>
      <c r="H109" s="160"/>
      <c r="I109" s="160"/>
      <c r="J109" s="160"/>
      <c r="K109" s="160"/>
      <c r="L109" s="160"/>
      <c r="M109" s="160"/>
      <c r="N109" s="160"/>
      <c r="O109" s="160"/>
      <c r="P109" s="160"/>
      <c r="Q109" s="160"/>
      <c r="R109" s="160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  <c r="AD109" s="160"/>
      <c r="AE109" s="212" t="b">
        <v>0</v>
      </c>
      <c r="AF109" s="173"/>
      <c r="AG109" s="174"/>
      <c r="AH109" s="195" t="s">
        <v>624</v>
      </c>
      <c r="AI109" s="176" t="str">
        <f ca="1">IFERROR(VLOOKUP($AH109, '(勿動)Component Label公版'!$D$1:$E$1000, 2, FALSE), "-")</f>
        <v>-</v>
      </c>
      <c r="AJ109" s="177"/>
      <c r="AK109" s="174"/>
      <c r="AL109" s="174"/>
      <c r="AM109" s="189"/>
      <c r="AN109" s="217"/>
      <c r="AO109" s="531" t="s">
        <v>655</v>
      </c>
      <c r="AP109" s="384"/>
      <c r="AQ109" s="384"/>
      <c r="AR109" s="384"/>
      <c r="AS109" s="384"/>
      <c r="AT109" s="385"/>
      <c r="AU109" s="222" t="b">
        <v>0</v>
      </c>
      <c r="AV109" s="180" t="b">
        <v>0</v>
      </c>
      <c r="AW109" s="186"/>
      <c r="AX109" s="187"/>
      <c r="AY109" s="187"/>
      <c r="AZ109" s="187"/>
      <c r="BA109" s="188"/>
      <c r="BB109" s="191" t="s">
        <v>159</v>
      </c>
      <c r="BC109" s="179" t="s">
        <v>157</v>
      </c>
      <c r="BD109" s="198"/>
      <c r="BE109" s="199"/>
      <c r="BF109" s="200"/>
      <c r="BG109" s="181"/>
      <c r="BH109" s="183"/>
      <c r="BI109" s="181"/>
      <c r="BJ109" s="211"/>
    </row>
    <row r="110" spans="1:62" ht="15.75" customHeight="1">
      <c r="A110" s="160" t="str">
        <f t="array" aca="1" ref="A110:G110" ca="1">IFERROR(TRANSPOSE(INDIRECT(L1_暖正版配!$BB110)),"")</f>
        <v>一排1品(垂直展示)</v>
      </c>
      <c r="B110" s="160" t="str">
        <f ca="1"/>
        <v>一排2品(垂直展示)</v>
      </c>
      <c r="C110" s="160" t="str">
        <f ca="1"/>
        <v>一排3品(垂直展示)</v>
      </c>
      <c r="D110" s="160" t="str">
        <f ca="1"/>
        <v>Collection 1條(水平展示)</v>
      </c>
      <c r="E110" s="160" t="str">
        <f ca="1"/>
        <v>Collection 1條(水平展示) + 查看全部(Footer)</v>
      </c>
      <c r="F110" s="160" t="str">
        <f ca="1"/>
        <v>Multi tabs</v>
      </c>
      <c r="G110" s="160" t="str">
        <f ca="1"/>
        <v>推薦品 Item Recommendation-固定</v>
      </c>
      <c r="H110" s="160"/>
      <c r="I110" s="160"/>
      <c r="J110" s="160"/>
      <c r="K110" s="160"/>
      <c r="L110" s="160"/>
      <c r="M110" s="160"/>
      <c r="N110" s="160"/>
      <c r="O110" s="160"/>
      <c r="P110" s="160"/>
      <c r="Q110" s="160"/>
      <c r="R110" s="160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  <c r="AD110" s="160"/>
      <c r="AE110" s="212" t="b">
        <v>0</v>
      </c>
      <c r="AF110" s="173"/>
      <c r="AG110" s="174"/>
      <c r="AH110" s="195" t="s">
        <v>624</v>
      </c>
      <c r="AI110" s="176" t="str">
        <f ca="1">IFERROR(VLOOKUP($AH110, '(勿動)Component Label公版'!$D$1:$E$1000, 2, FALSE), "-")</f>
        <v>-</v>
      </c>
      <c r="AJ110" s="177"/>
      <c r="AK110" s="174"/>
      <c r="AL110" s="174"/>
      <c r="AM110" s="189"/>
      <c r="AN110" s="217"/>
      <c r="AO110" s="242" t="s">
        <v>656</v>
      </c>
      <c r="AP110" s="242" t="s">
        <v>657</v>
      </c>
      <c r="AQ110" s="242" t="s">
        <v>658</v>
      </c>
      <c r="AR110" s="242" t="s">
        <v>659</v>
      </c>
      <c r="AS110" s="529"/>
      <c r="AT110" s="422"/>
      <c r="AU110" s="222" t="b">
        <v>0</v>
      </c>
      <c r="AV110" s="180" t="b">
        <v>0</v>
      </c>
      <c r="AW110" s="186"/>
      <c r="AX110" s="187"/>
      <c r="AY110" s="187"/>
      <c r="AZ110" s="187"/>
      <c r="BA110" s="188"/>
      <c r="BB110" s="191" t="s">
        <v>264</v>
      </c>
      <c r="BC110" s="179" t="s">
        <v>259</v>
      </c>
      <c r="BD110" s="198"/>
      <c r="BE110" s="199"/>
      <c r="BF110" s="200"/>
      <c r="BG110" s="181"/>
      <c r="BH110" s="183"/>
      <c r="BI110" s="181"/>
      <c r="BJ110" s="211"/>
    </row>
    <row r="111" spans="1:62" ht="15.75" customHeight="1">
      <c r="A111" s="160" t="str">
        <f t="array" aca="1" ref="A111:G111" ca="1">IFERROR(TRANSPOSE(INDIRECT(L1_暖正版配!$BB111)),"")</f>
        <v>一排1品(垂直展示)</v>
      </c>
      <c r="B111" s="160" t="str">
        <f ca="1"/>
        <v>一排2品(垂直展示)</v>
      </c>
      <c r="C111" s="160" t="str">
        <f ca="1"/>
        <v>一排3品(垂直展示)</v>
      </c>
      <c r="D111" s="160" t="str">
        <f ca="1"/>
        <v>Collection 1條(水平展示)</v>
      </c>
      <c r="E111" s="160" t="str">
        <f ca="1"/>
        <v>Collection 1條(水平展示) + 查看全部(Footer)</v>
      </c>
      <c r="F111" s="160" t="str">
        <f ca="1"/>
        <v>Multi tabs</v>
      </c>
      <c r="G111" s="160" t="str">
        <f ca="1"/>
        <v>推薦品 Item Recommendation-固定</v>
      </c>
      <c r="H111" s="160"/>
      <c r="I111" s="160"/>
      <c r="J111" s="160"/>
      <c r="K111" s="160"/>
      <c r="L111" s="160"/>
      <c r="M111" s="160"/>
      <c r="N111" s="160"/>
      <c r="O111" s="160"/>
      <c r="P111" s="160"/>
      <c r="Q111" s="160"/>
      <c r="R111" s="160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  <c r="AD111" s="160"/>
      <c r="AE111" s="212" t="b">
        <v>0</v>
      </c>
      <c r="AF111" s="173"/>
      <c r="AG111" s="174"/>
      <c r="AH111" s="195" t="s">
        <v>624</v>
      </c>
      <c r="AI111" s="176" t="str">
        <f ca="1">IFERROR(VLOOKUP($AH111, '(勿動)Component Label公版'!$D$1:$E$1000, 2, FALSE), "-")</f>
        <v>-</v>
      </c>
      <c r="AJ111" s="177"/>
      <c r="AK111" s="174"/>
      <c r="AL111" s="174"/>
      <c r="AM111" s="189"/>
      <c r="AN111" s="217"/>
      <c r="AO111" s="242">
        <v>17677420</v>
      </c>
      <c r="AP111" s="242">
        <v>17677542</v>
      </c>
      <c r="AQ111" s="242">
        <v>7308568</v>
      </c>
      <c r="AR111" s="242">
        <v>5374834</v>
      </c>
      <c r="AS111" s="527"/>
      <c r="AT111" s="424"/>
      <c r="AU111" s="222" t="b">
        <v>0</v>
      </c>
      <c r="AV111" s="180" t="b">
        <v>0</v>
      </c>
      <c r="AW111" s="186"/>
      <c r="AX111" s="187"/>
      <c r="AY111" s="187"/>
      <c r="AZ111" s="187"/>
      <c r="BA111" s="188"/>
      <c r="BB111" s="191" t="s">
        <v>264</v>
      </c>
      <c r="BC111" s="179" t="s">
        <v>259</v>
      </c>
      <c r="BD111" s="198"/>
      <c r="BE111" s="199"/>
      <c r="BF111" s="200"/>
      <c r="BG111" s="181"/>
      <c r="BH111" s="183"/>
      <c r="BI111" s="181"/>
      <c r="BJ111" s="211"/>
    </row>
    <row r="112" spans="1:62" ht="15.75" customHeight="1">
      <c r="A112" s="160" t="str">
        <f t="array" aca="1" ref="A112:AD112" ca="1">IFERROR(TRANSPOSE(INDIRECT(L1_暖正版配!$BB112)),"")</f>
        <v>無CTA</v>
      </c>
      <c r="B112" s="160" t="str">
        <f ca="1"/>
        <v>LINK*1</v>
      </c>
      <c r="C112" s="160" t="str">
        <f ca="1"/>
        <v>LINK*2</v>
      </c>
      <c r="D112" s="160" t="str">
        <f ca="1"/>
        <v>LINK*3</v>
      </c>
      <c r="E112" s="160" t="str">
        <f ca="1"/>
        <v>LINK&gt;3</v>
      </c>
      <c r="F112" s="160" t="str">
        <f ca="1"/>
        <v>Reminder*1</v>
      </c>
      <c r="G112" s="160" t="str">
        <f ca="1"/>
        <v>Reminder*2</v>
      </c>
      <c r="H112" s="160" t="str">
        <f ca="1"/>
        <v>Reminder*3</v>
      </c>
      <c r="I112" s="160" t="str">
        <f ca="1"/>
        <v>Reminder*4</v>
      </c>
      <c r="J112" s="160" t="str">
        <f ca="1"/>
        <v>Reminder*5</v>
      </c>
      <c r="K112" s="160" t="str">
        <f ca="1"/>
        <v>Reminder&gt;5</v>
      </c>
      <c r="L112" s="160" t="str">
        <f ca="1"/>
        <v>LINK*1 + Reminder*1</v>
      </c>
      <c r="M112" s="160" t="str">
        <f ca="1"/>
        <v>LINK*1 + Reminder*2</v>
      </c>
      <c r="N112" s="160" t="str">
        <f ca="1"/>
        <v>LINK*2 + Reminder*1</v>
      </c>
      <c r="O112" s="160" t="str">
        <f ca="1"/>
        <v>Add to Cart*1</v>
      </c>
      <c r="P112" s="160" t="str">
        <f ca="1"/>
        <v>Add to Cart*2</v>
      </c>
      <c r="Q112" s="160" t="str">
        <f ca="1"/>
        <v>Add to Cart*3</v>
      </c>
      <c r="R112" s="160" t="str">
        <f ca="1"/>
        <v>(Reminder+ATC) *1</v>
      </c>
      <c r="S112" s="160" t="str">
        <f ca="1"/>
        <v>(Reminder+ATC) *2</v>
      </c>
      <c r="T112" s="160" t="str">
        <f ca="1"/>
        <v>(Reminder+ATC) *3</v>
      </c>
      <c r="U112" s="160" t="str">
        <f ca="1"/>
        <v>Popup*1</v>
      </c>
      <c r="V112" s="160" t="str">
        <f ca="1"/>
        <v>Popup*2</v>
      </c>
      <c r="W112" s="160" t="str">
        <f ca="1"/>
        <v>Popup*3</v>
      </c>
      <c r="X112" s="160" t="str">
        <f ca="1"/>
        <v>Copy*1</v>
      </c>
      <c r="Y112" s="160" t="str">
        <f ca="1"/>
        <v>Copy*2</v>
      </c>
      <c r="Z112" s="160" t="str">
        <f ca="1"/>
        <v>Copy*3</v>
      </c>
      <c r="AA112" s="160" t="str">
        <f ca="1"/>
        <v>Share*1</v>
      </c>
      <c r="AB112" s="160" t="str">
        <f ca="1"/>
        <v>Share*2</v>
      </c>
      <c r="AC112" s="160" t="str">
        <f ca="1"/>
        <v>Share*3</v>
      </c>
      <c r="AD112" s="160" t="str">
        <f ca="1"/>
        <v>Placeholders</v>
      </c>
      <c r="AE112" s="212" t="b">
        <v>0</v>
      </c>
      <c r="AF112" s="173"/>
      <c r="AG112" s="174"/>
      <c r="AH112" s="195" t="s">
        <v>624</v>
      </c>
      <c r="AI112" s="176" t="str">
        <f ca="1">IFERROR(VLOOKUP($AH112, '(勿動)Component Label公版'!$D$1:$E$1000, 2, FALSE), "-")</f>
        <v>-</v>
      </c>
      <c r="AJ112" s="177"/>
      <c r="AK112" s="174"/>
      <c r="AL112" s="174"/>
      <c r="AM112" s="189"/>
      <c r="AN112" s="217"/>
      <c r="AO112" s="535" t="s">
        <v>268</v>
      </c>
      <c r="AP112" s="384"/>
      <c r="AQ112" s="384"/>
      <c r="AR112" s="384"/>
      <c r="AS112" s="384"/>
      <c r="AT112" s="385"/>
      <c r="AU112" s="222" t="b">
        <v>0</v>
      </c>
      <c r="AV112" s="180" t="b">
        <v>0</v>
      </c>
      <c r="AW112" s="186"/>
      <c r="AX112" s="187"/>
      <c r="AY112" s="187"/>
      <c r="AZ112" s="187"/>
      <c r="BA112" s="188"/>
      <c r="BB112" s="191" t="s">
        <v>147</v>
      </c>
      <c r="BC112" s="179" t="s">
        <v>154</v>
      </c>
      <c r="BD112" s="198"/>
      <c r="BE112" s="199"/>
      <c r="BF112" s="200"/>
      <c r="BG112" s="181"/>
      <c r="BH112" s="183"/>
      <c r="BI112" s="181"/>
      <c r="BJ112" s="211"/>
    </row>
    <row r="113" spans="1:62" ht="15.75" customHeight="1">
      <c r="A113" s="160" t="str">
        <f t="array" aca="1" ref="A113:AD113" ca="1">IFERROR(TRANSPOSE(INDIRECT(L1_暖正版配!$BB113)),"")</f>
        <v>無CTA</v>
      </c>
      <c r="B113" s="160" t="str">
        <f ca="1"/>
        <v>LINK*1</v>
      </c>
      <c r="C113" s="160" t="str">
        <f ca="1"/>
        <v>LINK*2</v>
      </c>
      <c r="D113" s="160" t="str">
        <f ca="1"/>
        <v>LINK*3</v>
      </c>
      <c r="E113" s="160" t="str">
        <f ca="1"/>
        <v>LINK&gt;3</v>
      </c>
      <c r="F113" s="160" t="str">
        <f ca="1"/>
        <v>Reminder*1</v>
      </c>
      <c r="G113" s="160" t="str">
        <f ca="1"/>
        <v>Reminder*2</v>
      </c>
      <c r="H113" s="160" t="str">
        <f ca="1"/>
        <v>Reminder*3</v>
      </c>
      <c r="I113" s="160" t="str">
        <f ca="1"/>
        <v>Reminder*4</v>
      </c>
      <c r="J113" s="160" t="str">
        <f ca="1"/>
        <v>Reminder*5</v>
      </c>
      <c r="K113" s="160" t="str">
        <f ca="1"/>
        <v>Reminder&gt;5</v>
      </c>
      <c r="L113" s="160" t="str">
        <f ca="1"/>
        <v>LINK*1 + Reminder*1</v>
      </c>
      <c r="M113" s="160" t="str">
        <f ca="1"/>
        <v>LINK*1 + Reminder*2</v>
      </c>
      <c r="N113" s="160" t="str">
        <f ca="1"/>
        <v>LINK*2 + Reminder*1</v>
      </c>
      <c r="O113" s="160" t="str">
        <f ca="1"/>
        <v>Add to Cart*1</v>
      </c>
      <c r="P113" s="160" t="str">
        <f ca="1"/>
        <v>Add to Cart*2</v>
      </c>
      <c r="Q113" s="160" t="str">
        <f ca="1"/>
        <v>Add to Cart*3</v>
      </c>
      <c r="R113" s="160" t="str">
        <f ca="1"/>
        <v>(Reminder+ATC) *1</v>
      </c>
      <c r="S113" s="160" t="str">
        <f ca="1"/>
        <v>(Reminder+ATC) *2</v>
      </c>
      <c r="T113" s="160" t="str">
        <f ca="1"/>
        <v>(Reminder+ATC) *3</v>
      </c>
      <c r="U113" s="160" t="str">
        <f ca="1"/>
        <v>Popup*1</v>
      </c>
      <c r="V113" s="160" t="str">
        <f ca="1"/>
        <v>Popup*2</v>
      </c>
      <c r="W113" s="160" t="str">
        <f ca="1"/>
        <v>Popup*3</v>
      </c>
      <c r="X113" s="160" t="str">
        <f ca="1"/>
        <v>Copy*1</v>
      </c>
      <c r="Y113" s="160" t="str">
        <f ca="1"/>
        <v>Copy*2</v>
      </c>
      <c r="Z113" s="160" t="str">
        <f ca="1"/>
        <v>Copy*3</v>
      </c>
      <c r="AA113" s="160" t="str">
        <f ca="1"/>
        <v>Share*1</v>
      </c>
      <c r="AB113" s="160" t="str">
        <f ca="1"/>
        <v>Share*2</v>
      </c>
      <c r="AC113" s="160" t="str">
        <f ca="1"/>
        <v>Share*3</v>
      </c>
      <c r="AD113" s="160" t="str">
        <f ca="1"/>
        <v>Placeholders</v>
      </c>
      <c r="AE113" s="176" t="b">
        <v>1</v>
      </c>
      <c r="AF113" s="173" t="s">
        <v>425</v>
      </c>
      <c r="AG113" s="174" t="s">
        <v>660</v>
      </c>
      <c r="AH113" s="195" t="s">
        <v>661</v>
      </c>
      <c r="AI113" s="176" t="str">
        <f ca="1">IFERROR(VLOOKUP($AH113, '(勿動)Component Label公版'!$D$1:$E$1000, 2, FALSE), "-")</f>
        <v>-</v>
      </c>
      <c r="AJ113" s="177"/>
      <c r="AK113" s="174"/>
      <c r="AL113" s="174"/>
      <c r="AM113" s="189"/>
      <c r="AN113" s="217"/>
      <c r="AO113" s="533" t="s">
        <v>662</v>
      </c>
      <c r="AP113" s="384"/>
      <c r="AQ113" s="384"/>
      <c r="AR113" s="384"/>
      <c r="AS113" s="384"/>
      <c r="AT113" s="385"/>
      <c r="AU113" s="222" t="b">
        <v>0</v>
      </c>
      <c r="AV113" s="180" t="b">
        <v>0</v>
      </c>
      <c r="AW113" s="186"/>
      <c r="AX113" s="187"/>
      <c r="AY113" s="187"/>
      <c r="AZ113" s="187"/>
      <c r="BA113" s="188"/>
      <c r="BB113" s="191" t="s">
        <v>147</v>
      </c>
      <c r="BC113" s="179" t="s">
        <v>154</v>
      </c>
      <c r="BD113" s="198"/>
      <c r="BE113" s="199"/>
      <c r="BF113" s="200"/>
      <c r="BG113" s="592" t="s">
        <v>663</v>
      </c>
      <c r="BH113" s="183"/>
      <c r="BI113" s="590" t="s">
        <v>664</v>
      </c>
      <c r="BJ113" s="211"/>
    </row>
    <row r="114" spans="1:62" ht="15.75" customHeight="1">
      <c r="A114" s="160" t="str">
        <f t="array" aca="1" ref="A114:AD114" ca="1">IFERROR(TRANSPOSE(INDIRECT(L1_暖正版配!$BB114)),"")</f>
        <v>無CTA</v>
      </c>
      <c r="B114" s="160" t="str">
        <f ca="1"/>
        <v>LINK*1</v>
      </c>
      <c r="C114" s="160" t="str">
        <f ca="1"/>
        <v>LINK*2</v>
      </c>
      <c r="D114" s="160" t="str">
        <f ca="1"/>
        <v>LINK*3</v>
      </c>
      <c r="E114" s="160" t="str">
        <f ca="1"/>
        <v>LINK&gt;3</v>
      </c>
      <c r="F114" s="160" t="str">
        <f ca="1"/>
        <v>Reminder*1</v>
      </c>
      <c r="G114" s="160" t="str">
        <f ca="1"/>
        <v>Reminder*2</v>
      </c>
      <c r="H114" s="160" t="str">
        <f ca="1"/>
        <v>Reminder*3</v>
      </c>
      <c r="I114" s="160" t="str">
        <f ca="1"/>
        <v>Reminder*4</v>
      </c>
      <c r="J114" s="160" t="str">
        <f ca="1"/>
        <v>Reminder*5</v>
      </c>
      <c r="K114" s="160" t="str">
        <f ca="1"/>
        <v>Reminder&gt;5</v>
      </c>
      <c r="L114" s="160" t="str">
        <f ca="1"/>
        <v>LINK*1 + Reminder*1</v>
      </c>
      <c r="M114" s="160" t="str">
        <f ca="1"/>
        <v>LINK*1 + Reminder*2</v>
      </c>
      <c r="N114" s="160" t="str">
        <f ca="1"/>
        <v>LINK*2 + Reminder*1</v>
      </c>
      <c r="O114" s="160" t="str">
        <f ca="1"/>
        <v>Add to Cart*1</v>
      </c>
      <c r="P114" s="160" t="str">
        <f ca="1"/>
        <v>Add to Cart*2</v>
      </c>
      <c r="Q114" s="160" t="str">
        <f ca="1"/>
        <v>Add to Cart*3</v>
      </c>
      <c r="R114" s="160" t="str">
        <f ca="1"/>
        <v>(Reminder+ATC) *1</v>
      </c>
      <c r="S114" s="160" t="str">
        <f ca="1"/>
        <v>(Reminder+ATC) *2</v>
      </c>
      <c r="T114" s="160" t="str">
        <f ca="1"/>
        <v>(Reminder+ATC) *3</v>
      </c>
      <c r="U114" s="160" t="str">
        <f ca="1"/>
        <v>Popup*1</v>
      </c>
      <c r="V114" s="160" t="str">
        <f ca="1"/>
        <v>Popup*2</v>
      </c>
      <c r="W114" s="160" t="str">
        <f ca="1"/>
        <v>Popup*3</v>
      </c>
      <c r="X114" s="160" t="str">
        <f ca="1"/>
        <v>Copy*1</v>
      </c>
      <c r="Y114" s="160" t="str">
        <f ca="1"/>
        <v>Copy*2</v>
      </c>
      <c r="Z114" s="160" t="str">
        <f ca="1"/>
        <v>Copy*3</v>
      </c>
      <c r="AA114" s="160" t="str">
        <f ca="1"/>
        <v>Share*1</v>
      </c>
      <c r="AB114" s="160" t="str">
        <f ca="1"/>
        <v>Share*2</v>
      </c>
      <c r="AC114" s="160" t="str">
        <f ca="1"/>
        <v>Share*3</v>
      </c>
      <c r="AD114" s="160" t="str">
        <f ca="1"/>
        <v>Placeholders</v>
      </c>
      <c r="AE114" s="212" t="b">
        <v>0</v>
      </c>
      <c r="AF114" s="173"/>
      <c r="AG114" s="174"/>
      <c r="AH114" s="195" t="s">
        <v>661</v>
      </c>
      <c r="AI114" s="176" t="str">
        <f ca="1">IFERROR(VLOOKUP($AH114, '(勿動)Component Label公版'!$D$1:$E$1000, 2, FALSE), "-")</f>
        <v>-</v>
      </c>
      <c r="AJ114" s="177"/>
      <c r="AK114" s="174"/>
      <c r="AL114" s="174"/>
      <c r="AM114" s="189"/>
      <c r="AN114" s="217"/>
      <c r="AO114" s="533" t="s">
        <v>665</v>
      </c>
      <c r="AP114" s="384"/>
      <c r="AQ114" s="384"/>
      <c r="AR114" s="384"/>
      <c r="AS114" s="384"/>
      <c r="AT114" s="385"/>
      <c r="AU114" s="222" t="b">
        <v>0</v>
      </c>
      <c r="AV114" s="180" t="b">
        <v>0</v>
      </c>
      <c r="AW114" s="186"/>
      <c r="AX114" s="187"/>
      <c r="AY114" s="187"/>
      <c r="AZ114" s="187"/>
      <c r="BA114" s="188"/>
      <c r="BB114" s="191" t="s">
        <v>147</v>
      </c>
      <c r="BC114" s="179" t="s">
        <v>118</v>
      </c>
      <c r="BD114" s="198"/>
      <c r="BE114" s="199"/>
      <c r="BF114" s="200"/>
      <c r="BG114" s="587"/>
      <c r="BH114" s="183"/>
      <c r="BI114" s="587"/>
      <c r="BJ114" s="211"/>
    </row>
    <row r="115" spans="1:62" ht="15.75" customHeight="1">
      <c r="A115" s="160" t="str">
        <f t="array" aca="1" ref="A115:G115" ca="1">IFERROR(TRANSPOSE(INDIRECT(L1_暖正版配!$BB115)),"")</f>
        <v>一排1品(垂直展示)</v>
      </c>
      <c r="B115" s="160" t="str">
        <f ca="1"/>
        <v>一排2品(垂直展示)</v>
      </c>
      <c r="C115" s="160" t="str">
        <f ca="1"/>
        <v>一排3品(垂直展示)</v>
      </c>
      <c r="D115" s="160" t="str">
        <f ca="1"/>
        <v>Collection 1條(水平展示)</v>
      </c>
      <c r="E115" s="160" t="str">
        <f ca="1"/>
        <v>Collection 1條(水平展示) + 查看全部(Footer)</v>
      </c>
      <c r="F115" s="160" t="str">
        <f ca="1"/>
        <v>Multi tabs</v>
      </c>
      <c r="G115" s="160" t="str">
        <f ca="1"/>
        <v>推薦品 Item Recommendation-固定</v>
      </c>
      <c r="H115" s="160"/>
      <c r="I115" s="160"/>
      <c r="J115" s="160"/>
      <c r="K115" s="160"/>
      <c r="L115" s="160"/>
      <c r="M115" s="160"/>
      <c r="N115" s="160"/>
      <c r="O115" s="160"/>
      <c r="P115" s="160"/>
      <c r="Q115" s="160"/>
      <c r="R115" s="160"/>
      <c r="S115" s="160"/>
      <c r="T115" s="160"/>
      <c r="U115" s="160"/>
      <c r="V115" s="160"/>
      <c r="W115" s="160"/>
      <c r="X115" s="160"/>
      <c r="Y115" s="160"/>
      <c r="Z115" s="160"/>
      <c r="AA115" s="160"/>
      <c r="AB115" s="160"/>
      <c r="AC115" s="160"/>
      <c r="AD115" s="160"/>
      <c r="AE115" s="212" t="b">
        <v>0</v>
      </c>
      <c r="AF115" s="173"/>
      <c r="AG115" s="174"/>
      <c r="AH115" s="195" t="s">
        <v>661</v>
      </c>
      <c r="AI115" s="176" t="str">
        <f ca="1">IFERROR(VLOOKUP($AH115, '(勿動)Component Label公版'!$D$1:$E$1000, 2, FALSE), "-")</f>
        <v>-</v>
      </c>
      <c r="AJ115" s="177"/>
      <c r="AK115" s="174"/>
      <c r="AL115" s="174"/>
      <c r="AM115" s="189"/>
      <c r="AN115" s="217"/>
      <c r="AO115" s="528" t="s">
        <v>666</v>
      </c>
      <c r="AP115" s="385"/>
      <c r="AQ115" s="528" t="s">
        <v>667</v>
      </c>
      <c r="AR115" s="385"/>
      <c r="AS115" s="528" t="s">
        <v>668</v>
      </c>
      <c r="AT115" s="385"/>
      <c r="AU115" s="222" t="b">
        <v>0</v>
      </c>
      <c r="AV115" s="180" t="b">
        <v>0</v>
      </c>
      <c r="AW115" s="186"/>
      <c r="AX115" s="187"/>
      <c r="AY115" s="187"/>
      <c r="AZ115" s="187"/>
      <c r="BA115" s="188"/>
      <c r="BB115" s="191" t="s">
        <v>264</v>
      </c>
      <c r="BC115" s="179" t="s">
        <v>256</v>
      </c>
      <c r="BD115" s="198"/>
      <c r="BE115" s="199"/>
      <c r="BF115" s="200"/>
      <c r="BG115" s="181"/>
      <c r="BH115" s="183"/>
      <c r="BI115" s="181"/>
      <c r="BJ115" s="211"/>
    </row>
    <row r="116" spans="1:62" ht="15.75" customHeight="1">
      <c r="A116" s="160" t="str">
        <f t="array" aca="1" ref="A116:G116" ca="1">IFERROR(TRANSPOSE(INDIRECT(L1_暖正版配!$BB116)),"")</f>
        <v>一排1品(垂直展示)</v>
      </c>
      <c r="B116" s="160" t="str">
        <f ca="1"/>
        <v>一排2品(垂直展示)</v>
      </c>
      <c r="C116" s="160" t="str">
        <f ca="1"/>
        <v>一排3品(垂直展示)</v>
      </c>
      <c r="D116" s="160" t="str">
        <f ca="1"/>
        <v>Collection 1條(水平展示)</v>
      </c>
      <c r="E116" s="160" t="str">
        <f ca="1"/>
        <v>Collection 1條(水平展示) + 查看全部(Footer)</v>
      </c>
      <c r="F116" s="160" t="str">
        <f ca="1"/>
        <v>Multi tabs</v>
      </c>
      <c r="G116" s="160" t="str">
        <f ca="1"/>
        <v>推薦品 Item Recommendation-固定</v>
      </c>
      <c r="H116" s="160"/>
      <c r="I116" s="160"/>
      <c r="J116" s="160"/>
      <c r="K116" s="160"/>
      <c r="L116" s="160"/>
      <c r="M116" s="160"/>
      <c r="N116" s="160"/>
      <c r="O116" s="160"/>
      <c r="P116" s="160"/>
      <c r="Q116" s="160"/>
      <c r="R116" s="160"/>
      <c r="S116" s="160"/>
      <c r="T116" s="160"/>
      <c r="U116" s="160"/>
      <c r="V116" s="160"/>
      <c r="W116" s="160"/>
      <c r="X116" s="160"/>
      <c r="Y116" s="160"/>
      <c r="Z116" s="160"/>
      <c r="AA116" s="160"/>
      <c r="AB116" s="160"/>
      <c r="AC116" s="160"/>
      <c r="AD116" s="160"/>
      <c r="AE116" s="212" t="b">
        <v>0</v>
      </c>
      <c r="AF116" s="173"/>
      <c r="AG116" s="174"/>
      <c r="AH116" s="195" t="s">
        <v>661</v>
      </c>
      <c r="AI116" s="176" t="str">
        <f ca="1">IFERROR(VLOOKUP($AH116, '(勿動)Component Label公版'!$D$1:$E$1000, 2, FALSE), "-")</f>
        <v>-</v>
      </c>
      <c r="AJ116" s="177"/>
      <c r="AK116" s="174"/>
      <c r="AL116" s="174"/>
      <c r="AM116" s="189"/>
      <c r="AN116" s="217"/>
      <c r="AO116" s="242" t="s">
        <v>669</v>
      </c>
      <c r="AP116" s="242" t="s">
        <v>670</v>
      </c>
      <c r="AQ116" s="242" t="s">
        <v>671</v>
      </c>
      <c r="AR116" s="242" t="s">
        <v>672</v>
      </c>
      <c r="AS116" s="544"/>
      <c r="AT116" s="385"/>
      <c r="AU116" s="222" t="b">
        <v>0</v>
      </c>
      <c r="AV116" s="180" t="b">
        <v>0</v>
      </c>
      <c r="AW116" s="186"/>
      <c r="AX116" s="187"/>
      <c r="AY116" s="187"/>
      <c r="AZ116" s="187"/>
      <c r="BA116" s="188"/>
      <c r="BB116" s="191" t="s">
        <v>264</v>
      </c>
      <c r="BC116" s="179" t="s">
        <v>259</v>
      </c>
      <c r="BD116" s="198"/>
      <c r="BE116" s="199"/>
      <c r="BF116" s="200"/>
      <c r="BG116" s="181"/>
      <c r="BH116" s="183"/>
      <c r="BI116" s="181"/>
      <c r="BJ116" s="211"/>
    </row>
    <row r="117" spans="1:62" ht="15.75" customHeight="1">
      <c r="A117" s="160" t="str">
        <f t="array" aca="1" ref="A117:G117" ca="1">IFERROR(TRANSPOSE(INDIRECT(L1_暖正版配!$BB117)),"")</f>
        <v>一排1品(垂直展示)</v>
      </c>
      <c r="B117" s="160" t="str">
        <f ca="1"/>
        <v>一排2品(垂直展示)</v>
      </c>
      <c r="C117" s="160" t="str">
        <f ca="1"/>
        <v>一排3品(垂直展示)</v>
      </c>
      <c r="D117" s="160" t="str">
        <f ca="1"/>
        <v>Collection 1條(水平展示)</v>
      </c>
      <c r="E117" s="160" t="str">
        <f ca="1"/>
        <v>Collection 1條(水平展示) + 查看全部(Footer)</v>
      </c>
      <c r="F117" s="160" t="str">
        <f ca="1"/>
        <v>Multi tabs</v>
      </c>
      <c r="G117" s="160" t="str">
        <f ca="1"/>
        <v>推薦品 Item Recommendation-固定</v>
      </c>
      <c r="H117" s="160"/>
      <c r="I117" s="160"/>
      <c r="J117" s="160"/>
      <c r="K117" s="160"/>
      <c r="L117" s="160"/>
      <c r="M117" s="160"/>
      <c r="N117" s="160"/>
      <c r="O117" s="160"/>
      <c r="P117" s="160"/>
      <c r="Q117" s="160"/>
      <c r="R117" s="160"/>
      <c r="S117" s="160"/>
      <c r="T117" s="160"/>
      <c r="U117" s="160"/>
      <c r="V117" s="160"/>
      <c r="W117" s="160"/>
      <c r="X117" s="160"/>
      <c r="Y117" s="160"/>
      <c r="Z117" s="160"/>
      <c r="AA117" s="160"/>
      <c r="AB117" s="160"/>
      <c r="AC117" s="160"/>
      <c r="AD117" s="160"/>
      <c r="AE117" s="212" t="b">
        <v>0</v>
      </c>
      <c r="AF117" s="173"/>
      <c r="AG117" s="174"/>
      <c r="AH117" s="195" t="s">
        <v>661</v>
      </c>
      <c r="AI117" s="176" t="str">
        <f ca="1">IFERROR(VLOOKUP($AH117, '(勿動)Component Label公版'!$D$1:$E$1000, 2, FALSE), "-")</f>
        <v>-</v>
      </c>
      <c r="AJ117" s="177"/>
      <c r="AK117" s="174"/>
      <c r="AL117" s="174"/>
      <c r="AM117" s="189"/>
      <c r="AN117" s="217"/>
      <c r="AO117" s="242">
        <v>17686466</v>
      </c>
      <c r="AP117" s="242">
        <v>17686468</v>
      </c>
      <c r="AQ117" s="242">
        <v>17686596</v>
      </c>
      <c r="AR117" s="242">
        <v>17686646</v>
      </c>
      <c r="AS117" s="544"/>
      <c r="AT117" s="385"/>
      <c r="AU117" s="222" t="b">
        <v>0</v>
      </c>
      <c r="AV117" s="180" t="b">
        <v>0</v>
      </c>
      <c r="AW117" s="186"/>
      <c r="AX117" s="187"/>
      <c r="AY117" s="187"/>
      <c r="AZ117" s="187"/>
      <c r="BA117" s="188"/>
      <c r="BB117" s="191" t="s">
        <v>264</v>
      </c>
      <c r="BC117" s="179" t="s">
        <v>259</v>
      </c>
      <c r="BD117" s="198"/>
      <c r="BE117" s="199"/>
      <c r="BF117" s="200"/>
      <c r="BG117" s="181"/>
      <c r="BH117" s="183"/>
      <c r="BI117" s="181"/>
      <c r="BJ117" s="211"/>
    </row>
    <row r="118" spans="1:62" ht="15.75" customHeight="1">
      <c r="A118" s="160" t="str">
        <f t="array" aca="1" ref="A118:AD118" ca="1">IFERROR(TRANSPOSE(INDIRECT(L1_暖正版配!$BB118)),"")</f>
        <v>無CTA</v>
      </c>
      <c r="B118" s="160" t="str">
        <f ca="1"/>
        <v>LINK*1</v>
      </c>
      <c r="C118" s="160" t="str">
        <f ca="1"/>
        <v>LINK*2</v>
      </c>
      <c r="D118" s="160" t="str">
        <f ca="1"/>
        <v>LINK*3</v>
      </c>
      <c r="E118" s="160" t="str">
        <f ca="1"/>
        <v>LINK&gt;3</v>
      </c>
      <c r="F118" s="160" t="str">
        <f ca="1"/>
        <v>Reminder*1</v>
      </c>
      <c r="G118" s="160" t="str">
        <f ca="1"/>
        <v>Reminder*2</v>
      </c>
      <c r="H118" s="160" t="str">
        <f ca="1"/>
        <v>Reminder*3</v>
      </c>
      <c r="I118" s="160" t="str">
        <f ca="1"/>
        <v>Reminder*4</v>
      </c>
      <c r="J118" s="160" t="str">
        <f ca="1"/>
        <v>Reminder*5</v>
      </c>
      <c r="K118" s="160" t="str">
        <f ca="1"/>
        <v>Reminder&gt;5</v>
      </c>
      <c r="L118" s="160" t="str">
        <f ca="1"/>
        <v>LINK*1 + Reminder*1</v>
      </c>
      <c r="M118" s="160" t="str">
        <f ca="1"/>
        <v>LINK*1 + Reminder*2</v>
      </c>
      <c r="N118" s="160" t="str">
        <f ca="1"/>
        <v>LINK*2 + Reminder*1</v>
      </c>
      <c r="O118" s="160" t="str">
        <f ca="1"/>
        <v>Add to Cart*1</v>
      </c>
      <c r="P118" s="160" t="str">
        <f ca="1"/>
        <v>Add to Cart*2</v>
      </c>
      <c r="Q118" s="160" t="str">
        <f ca="1"/>
        <v>Add to Cart*3</v>
      </c>
      <c r="R118" s="160" t="str">
        <f ca="1"/>
        <v>(Reminder+ATC) *1</v>
      </c>
      <c r="S118" s="160" t="str">
        <f ca="1"/>
        <v>(Reminder+ATC) *2</v>
      </c>
      <c r="T118" s="160" t="str">
        <f ca="1"/>
        <v>(Reminder+ATC) *3</v>
      </c>
      <c r="U118" s="160" t="str">
        <f ca="1"/>
        <v>Popup*1</v>
      </c>
      <c r="V118" s="160" t="str">
        <f ca="1"/>
        <v>Popup*2</v>
      </c>
      <c r="W118" s="160" t="str">
        <f ca="1"/>
        <v>Popup*3</v>
      </c>
      <c r="X118" s="160" t="str">
        <f ca="1"/>
        <v>Copy*1</v>
      </c>
      <c r="Y118" s="160" t="str">
        <f ca="1"/>
        <v>Copy*2</v>
      </c>
      <c r="Z118" s="160" t="str">
        <f ca="1"/>
        <v>Copy*3</v>
      </c>
      <c r="AA118" s="160" t="str">
        <f ca="1"/>
        <v>Share*1</v>
      </c>
      <c r="AB118" s="160" t="str">
        <f ca="1"/>
        <v>Share*2</v>
      </c>
      <c r="AC118" s="160" t="str">
        <f ca="1"/>
        <v>Share*3</v>
      </c>
      <c r="AD118" s="160" t="str">
        <f ca="1"/>
        <v>Placeholders</v>
      </c>
      <c r="AE118" s="213" t="b">
        <v>0</v>
      </c>
      <c r="AF118" s="203" t="str">
        <f>IF(AE118=TRUE,"若有勾選則必填，隱藏錨點請填寫&lt;設隱形錨點&gt;","")</f>
        <v/>
      </c>
      <c r="AG118" s="203" t="str">
        <f>IF(AF118="設隱形錨點","",IF(AE118=FALSE,"",IF(AE118=TRUE, SUBSTITUTE($AI118, "_", ""))))</f>
        <v/>
      </c>
      <c r="AH118" s="195" t="s">
        <v>661</v>
      </c>
      <c r="AI118" s="176" t="str">
        <f ca="1">IFERROR(VLOOKUP($AH118, '(勿動)Component Label公版'!$D$1:$E$1000, 2, FALSE), "-")</f>
        <v>-</v>
      </c>
      <c r="AJ118" s="237"/>
      <c r="AK118" s="203"/>
      <c r="AL118" s="203"/>
      <c r="AM118" s="203" t="str">
        <f t="shared" ref="AM118:AM125" si="47">IFERROR(
  IF(TRIM(AK118)="", "",
    TEXT(
      DATEVALUE("2026/" &amp; LEFT(TRIM(AK118), FIND(" ", TRIM(AK118)) - 1)) +
      TIMEVALUE(MID(TRIM(AK118), FIND(" ", TRIM(AK118)) + 1, LEN(TRIM(AK118)))),
      "yyyy-mm-dd hh:mm:ss"
    )
  ),
"")</f>
        <v/>
      </c>
      <c r="AN118" s="204" t="str">
        <f t="shared" ref="AN118:AN125" si="48">IFERROR(
  IF(TRIM(AL118)="", "",
    TEXT(
      DATEVALUE("2026/" &amp; LEFT(TRIM(AL118), FIND(" ", TRIM(AL118)) - 1)) +
      TIMEVALUE(MID(TRIM(AL118), FIND(" ", TRIM(AL118)) + 1, 5)) +
      TIME(0,0,59),
      "yyyy-mm-dd hh:mm:ss"
    )
  ),
"")</f>
        <v/>
      </c>
      <c r="AO118" s="535" t="s">
        <v>268</v>
      </c>
      <c r="AP118" s="384"/>
      <c r="AQ118" s="384"/>
      <c r="AR118" s="384"/>
      <c r="AS118" s="384"/>
      <c r="AT118" s="385"/>
      <c r="AU118" s="235" t="b">
        <v>1</v>
      </c>
      <c r="AV118" s="180" t="b">
        <v>0</v>
      </c>
      <c r="AW118" s="186"/>
      <c r="AX118" s="187"/>
      <c r="AY118" s="187"/>
      <c r="AZ118" s="187"/>
      <c r="BA118" s="188"/>
      <c r="BB118" s="191" t="s">
        <v>147</v>
      </c>
      <c r="BC118" s="179" t="s">
        <v>154</v>
      </c>
      <c r="BD118" s="198" t="str">
        <f t="shared" ref="BD118:BD238" si="49">$BB118&amp;"_"&amp;$BC118</f>
        <v>圖_MSBN_無CTA</v>
      </c>
      <c r="BE118" s="190" t="str">
        <f>IFERROR(VLOOKUP($BD118,'(勿動)組件目錄表'!$D$15:$R$1110,2,FALSE),"")</f>
        <v>I-1</v>
      </c>
      <c r="BF118" s="205">
        <f>IFERROR(VLOOKUP($BD118, '(勿動)組件目錄表'!$D$15:$R$1110, 5, FALSE),"")</f>
        <v>0.5</v>
      </c>
      <c r="BG118" s="118"/>
      <c r="BH118" s="120"/>
      <c r="BI118" s="118"/>
      <c r="BJ118" s="183"/>
    </row>
    <row r="119" spans="1:62" ht="15.75" customHeight="1">
      <c r="A119" s="160" t="str">
        <f t="array" aca="1" ref="A119:AD119" ca="1">IFERROR(TRANSPOSE(INDIRECT(L1_暖正版配!$BB119)),"")</f>
        <v>無CTA</v>
      </c>
      <c r="B119" s="160" t="str">
        <f ca="1"/>
        <v>LINK*1</v>
      </c>
      <c r="C119" s="160" t="str">
        <f ca="1"/>
        <v>LINK*2</v>
      </c>
      <c r="D119" s="160" t="str">
        <f ca="1"/>
        <v>LINK*3</v>
      </c>
      <c r="E119" s="160" t="str">
        <f ca="1"/>
        <v>LINK&gt;3</v>
      </c>
      <c r="F119" s="160" t="str">
        <f ca="1"/>
        <v>Reminder*1</v>
      </c>
      <c r="G119" s="160" t="str">
        <f ca="1"/>
        <v>Reminder*2</v>
      </c>
      <c r="H119" s="160" t="str">
        <f ca="1"/>
        <v>Reminder*3</v>
      </c>
      <c r="I119" s="160" t="str">
        <f ca="1"/>
        <v>Reminder*4</v>
      </c>
      <c r="J119" s="160" t="str">
        <f ca="1"/>
        <v>Reminder*5</v>
      </c>
      <c r="K119" s="160" t="str">
        <f ca="1"/>
        <v>Reminder&gt;5</v>
      </c>
      <c r="L119" s="160" t="str">
        <f ca="1"/>
        <v>LINK*1 + Reminder*1</v>
      </c>
      <c r="M119" s="160" t="str">
        <f ca="1"/>
        <v>LINK*1 + Reminder*2</v>
      </c>
      <c r="N119" s="160" t="str">
        <f ca="1"/>
        <v>LINK*2 + Reminder*1</v>
      </c>
      <c r="O119" s="160" t="str">
        <f ca="1"/>
        <v>Add to Cart*1</v>
      </c>
      <c r="P119" s="160" t="str">
        <f ca="1"/>
        <v>Add to Cart*2</v>
      </c>
      <c r="Q119" s="160" t="str">
        <f ca="1"/>
        <v>Add to Cart*3</v>
      </c>
      <c r="R119" s="160" t="str">
        <f ca="1"/>
        <v>(Reminder+ATC) *1</v>
      </c>
      <c r="S119" s="160" t="str">
        <f ca="1"/>
        <v>(Reminder+ATC) *2</v>
      </c>
      <c r="T119" s="160" t="str">
        <f ca="1"/>
        <v>(Reminder+ATC) *3</v>
      </c>
      <c r="U119" s="160" t="str">
        <f ca="1"/>
        <v>Popup*1</v>
      </c>
      <c r="V119" s="160" t="str">
        <f ca="1"/>
        <v>Popup*2</v>
      </c>
      <c r="W119" s="160" t="str">
        <f ca="1"/>
        <v>Popup*3</v>
      </c>
      <c r="X119" s="160" t="str">
        <f ca="1"/>
        <v>Copy*1</v>
      </c>
      <c r="Y119" s="160" t="str">
        <f ca="1"/>
        <v>Copy*2</v>
      </c>
      <c r="Z119" s="160" t="str">
        <f ca="1"/>
        <v>Copy*3</v>
      </c>
      <c r="AA119" s="160" t="str">
        <f ca="1"/>
        <v>Share*1</v>
      </c>
      <c r="AB119" s="160" t="str">
        <f ca="1"/>
        <v>Share*2</v>
      </c>
      <c r="AC119" s="160" t="str">
        <f ca="1"/>
        <v>Share*3</v>
      </c>
      <c r="AD119" s="160" t="str">
        <f ca="1"/>
        <v>Placeholders</v>
      </c>
      <c r="AE119" s="172" t="b">
        <v>1</v>
      </c>
      <c r="AF119" s="173" t="s">
        <v>426</v>
      </c>
      <c r="AG119" s="174" t="s">
        <v>673</v>
      </c>
      <c r="AH119" s="195" t="s">
        <v>674</v>
      </c>
      <c r="AI119" s="176" t="str">
        <f ca="1">IFERROR(VLOOKUP($AH119, '(勿動)Component Label公版'!$D$1:$E$1000, 2, FALSE), "-")</f>
        <v>-</v>
      </c>
      <c r="AJ119" s="177"/>
      <c r="AK119" s="174"/>
      <c r="AL119" s="174"/>
      <c r="AM119" s="189" t="str">
        <f t="shared" si="47"/>
        <v/>
      </c>
      <c r="AN119" s="190" t="str">
        <f t="shared" si="48"/>
        <v/>
      </c>
      <c r="AO119" s="569" t="s">
        <v>675</v>
      </c>
      <c r="AP119" s="384"/>
      <c r="AQ119" s="384"/>
      <c r="AR119" s="384"/>
      <c r="AS119" s="384"/>
      <c r="AT119" s="385"/>
      <c r="AU119" s="235" t="b">
        <v>1</v>
      </c>
      <c r="AV119" s="180" t="b">
        <v>0</v>
      </c>
      <c r="AW119" s="186"/>
      <c r="AX119" s="187"/>
      <c r="AY119" s="187"/>
      <c r="AZ119" s="187"/>
      <c r="BA119" s="188"/>
      <c r="BB119" s="191" t="s">
        <v>147</v>
      </c>
      <c r="BC119" s="179" t="s">
        <v>154</v>
      </c>
      <c r="BD119" s="198" t="str">
        <f t="shared" si="49"/>
        <v>圖_MSBN_無CTA</v>
      </c>
      <c r="BE119" s="199" t="str">
        <f>IFERROR(VLOOKUP($BD119,'(勿動)組件目錄表'!$D$15:$R$1110,2,FALSE),"")</f>
        <v>I-1</v>
      </c>
      <c r="BF119" s="200">
        <f>IFERROR(VLOOKUP($BD119, '(勿動)組件目錄表'!$D$15:$R$1110, 5, FALSE),"")</f>
        <v>0.5</v>
      </c>
      <c r="BG119" s="592" t="s">
        <v>676</v>
      </c>
      <c r="BH119" s="183"/>
      <c r="BI119" s="181"/>
      <c r="BJ119" s="183"/>
    </row>
    <row r="120" spans="1:62" ht="15.75" customHeight="1">
      <c r="A120" s="160" t="str">
        <f t="array" aca="1" ref="A120:AD120" ca="1">IFERROR(TRANSPOSE(INDIRECT(L1_暖正版配!$BB120)),"")</f>
        <v>無CTA</v>
      </c>
      <c r="B120" s="160" t="str">
        <f ca="1"/>
        <v>LINK*1</v>
      </c>
      <c r="C120" s="160" t="str">
        <f ca="1"/>
        <v>LINK*2</v>
      </c>
      <c r="D120" s="160" t="str">
        <f ca="1"/>
        <v>LINK*3</v>
      </c>
      <c r="E120" s="160" t="str">
        <f ca="1"/>
        <v>LINK&gt;3</v>
      </c>
      <c r="F120" s="160" t="str">
        <f ca="1"/>
        <v>Reminder*1</v>
      </c>
      <c r="G120" s="160" t="str">
        <f ca="1"/>
        <v>Reminder*2</v>
      </c>
      <c r="H120" s="160" t="str">
        <f ca="1"/>
        <v>Reminder*3</v>
      </c>
      <c r="I120" s="160" t="str">
        <f ca="1"/>
        <v>Reminder*4</v>
      </c>
      <c r="J120" s="160" t="str">
        <f ca="1"/>
        <v>Reminder*5</v>
      </c>
      <c r="K120" s="160" t="str">
        <f ca="1"/>
        <v>Reminder&gt;5</v>
      </c>
      <c r="L120" s="160" t="str">
        <f ca="1"/>
        <v>LINK*1 + Reminder*1</v>
      </c>
      <c r="M120" s="160" t="str">
        <f ca="1"/>
        <v>LINK*1 + Reminder*2</v>
      </c>
      <c r="N120" s="160" t="str">
        <f ca="1"/>
        <v>LINK*2 + Reminder*1</v>
      </c>
      <c r="O120" s="160" t="str">
        <f ca="1"/>
        <v>Add to Cart*1</v>
      </c>
      <c r="P120" s="160" t="str">
        <f ca="1"/>
        <v>Add to Cart*2</v>
      </c>
      <c r="Q120" s="160" t="str">
        <f ca="1"/>
        <v>Add to Cart*3</v>
      </c>
      <c r="R120" s="160" t="str">
        <f ca="1"/>
        <v>(Reminder+ATC) *1</v>
      </c>
      <c r="S120" s="160" t="str">
        <f ca="1"/>
        <v>(Reminder+ATC) *2</v>
      </c>
      <c r="T120" s="160" t="str">
        <f ca="1"/>
        <v>(Reminder+ATC) *3</v>
      </c>
      <c r="U120" s="160" t="str">
        <f ca="1"/>
        <v>Popup*1</v>
      </c>
      <c r="V120" s="160" t="str">
        <f ca="1"/>
        <v>Popup*2</v>
      </c>
      <c r="W120" s="160" t="str">
        <f ca="1"/>
        <v>Popup*3</v>
      </c>
      <c r="X120" s="160" t="str">
        <f ca="1"/>
        <v>Copy*1</v>
      </c>
      <c r="Y120" s="160" t="str">
        <f ca="1"/>
        <v>Copy*2</v>
      </c>
      <c r="Z120" s="160" t="str">
        <f ca="1"/>
        <v>Copy*3</v>
      </c>
      <c r="AA120" s="160" t="str">
        <f ca="1"/>
        <v>Share*1</v>
      </c>
      <c r="AB120" s="160" t="str">
        <f ca="1"/>
        <v>Share*2</v>
      </c>
      <c r="AC120" s="160" t="str">
        <f ca="1"/>
        <v>Share*3</v>
      </c>
      <c r="AD120" s="160" t="str">
        <f ca="1"/>
        <v>Placeholders</v>
      </c>
      <c r="AE120" s="212" t="b">
        <v>0</v>
      </c>
      <c r="AF120" s="173" t="str">
        <f t="shared" ref="AF120:AF123" si="50">IF(AE120=TRUE,"若有勾選則必填，隱藏錨點請填寫&lt;設隱形錨點&gt;","")</f>
        <v/>
      </c>
      <c r="AG120" s="174" t="str">
        <f t="shared" ref="AG120:AG133" si="51">IF(AF120="設隱形錨點","",IF(AE120=FALSE,"",IF(AE120=TRUE, SUBSTITUTE($AI120, "_", ""))))</f>
        <v/>
      </c>
      <c r="AH120" s="195" t="s">
        <v>674</v>
      </c>
      <c r="AI120" s="176" t="str">
        <f ca="1">IFERROR(VLOOKUP($AH120, '(勿動)Component Label公版'!$D$1:$E$1000, 2, FALSE), "-")</f>
        <v>-</v>
      </c>
      <c r="AJ120" s="177"/>
      <c r="AK120" s="174"/>
      <c r="AL120" s="174"/>
      <c r="AM120" s="189" t="str">
        <f t="shared" si="47"/>
        <v/>
      </c>
      <c r="AN120" s="190" t="str">
        <f t="shared" si="48"/>
        <v/>
      </c>
      <c r="AO120" s="533" t="s">
        <v>677</v>
      </c>
      <c r="AP120" s="384"/>
      <c r="AQ120" s="384"/>
      <c r="AR120" s="384"/>
      <c r="AS120" s="384"/>
      <c r="AT120" s="385"/>
      <c r="AU120" s="235" t="b">
        <v>1</v>
      </c>
      <c r="AV120" s="180" t="b">
        <v>0</v>
      </c>
      <c r="AW120" s="186"/>
      <c r="AX120" s="187"/>
      <c r="AY120" s="187"/>
      <c r="AZ120" s="187"/>
      <c r="BA120" s="188"/>
      <c r="BB120" s="191" t="s">
        <v>147</v>
      </c>
      <c r="BC120" s="179" t="s">
        <v>154</v>
      </c>
      <c r="BD120" s="198" t="str">
        <f t="shared" si="49"/>
        <v>圖_MSBN_無CTA</v>
      </c>
      <c r="BE120" s="199" t="str">
        <f>IFERROR(VLOOKUP($BD120,'(勿動)組件目錄表'!$D$15:$R$1110,2,FALSE),"")</f>
        <v>I-1</v>
      </c>
      <c r="BF120" s="200">
        <f>IFERROR(VLOOKUP($BD120, '(勿動)組件目錄表'!$D$15:$R$1110, 5, FALSE),"")</f>
        <v>0.5</v>
      </c>
      <c r="BG120" s="587"/>
      <c r="BH120" s="183"/>
      <c r="BI120" s="181"/>
      <c r="BJ120" s="183"/>
    </row>
    <row r="121" spans="1:62" ht="15.75" customHeight="1">
      <c r="A121" s="160" t="str">
        <f t="array" aca="1" ref="A121:G121" ca="1">IFERROR(TRANSPOSE(INDIRECT(L1_暖正版配!$BB121)),"")</f>
        <v>一排1品(垂直展示)</v>
      </c>
      <c r="B121" s="160" t="str">
        <f ca="1"/>
        <v>一排2品(垂直展示)</v>
      </c>
      <c r="C121" s="160" t="str">
        <f ca="1"/>
        <v>一排3品(垂直展示)</v>
      </c>
      <c r="D121" s="160" t="str">
        <f ca="1"/>
        <v>Collection 1條(水平展示)</v>
      </c>
      <c r="E121" s="160" t="str">
        <f ca="1"/>
        <v>Collection 1條(水平展示) + 查看全部(Footer)</v>
      </c>
      <c r="F121" s="160" t="str">
        <f ca="1"/>
        <v>Multi tabs</v>
      </c>
      <c r="G121" s="160" t="str">
        <f ca="1"/>
        <v>推薦品 Item Recommendation-固定</v>
      </c>
      <c r="H121" s="160"/>
      <c r="I121" s="160"/>
      <c r="J121" s="160"/>
      <c r="K121" s="160"/>
      <c r="L121" s="160"/>
      <c r="M121" s="160"/>
      <c r="N121" s="160"/>
      <c r="O121" s="160"/>
      <c r="P121" s="160"/>
      <c r="Q121" s="160"/>
      <c r="R121" s="160"/>
      <c r="S121" s="160"/>
      <c r="T121" s="160"/>
      <c r="U121" s="160"/>
      <c r="V121" s="160"/>
      <c r="W121" s="160"/>
      <c r="X121" s="160"/>
      <c r="Y121" s="160"/>
      <c r="Z121" s="160"/>
      <c r="AA121" s="160"/>
      <c r="AB121" s="160"/>
      <c r="AC121" s="160"/>
      <c r="AD121" s="160"/>
      <c r="AE121" s="212" t="b">
        <v>0</v>
      </c>
      <c r="AF121" s="173" t="str">
        <f t="shared" si="50"/>
        <v/>
      </c>
      <c r="AG121" s="174" t="str">
        <f t="shared" si="51"/>
        <v/>
      </c>
      <c r="AH121" s="195" t="s">
        <v>674</v>
      </c>
      <c r="AI121" s="176" t="str">
        <f ca="1">IFERROR(VLOOKUP($AH121, '(勿動)Component Label公版'!$D$1:$E$1000, 2, FALSE), "-")</f>
        <v>-</v>
      </c>
      <c r="AJ121" s="177"/>
      <c r="AK121" s="174"/>
      <c r="AL121" s="174"/>
      <c r="AM121" s="189" t="str">
        <f t="shared" si="47"/>
        <v/>
      </c>
      <c r="AN121" s="190" t="str">
        <f t="shared" si="48"/>
        <v/>
      </c>
      <c r="AO121" s="630" t="s">
        <v>678</v>
      </c>
      <c r="AP121" s="385"/>
      <c r="AQ121" s="630" t="s">
        <v>679</v>
      </c>
      <c r="AR121" s="385"/>
      <c r="AS121" s="630" t="s">
        <v>680</v>
      </c>
      <c r="AT121" s="385"/>
      <c r="AU121" s="180" t="b">
        <v>0</v>
      </c>
      <c r="AV121" s="180" t="b">
        <v>0</v>
      </c>
      <c r="AW121" s="186"/>
      <c r="AX121" s="187"/>
      <c r="AY121" s="187"/>
      <c r="AZ121" s="187"/>
      <c r="BA121" s="188"/>
      <c r="BB121" s="191" t="s">
        <v>264</v>
      </c>
      <c r="BC121" s="179" t="s">
        <v>256</v>
      </c>
      <c r="BD121" s="198" t="str">
        <f t="shared" si="49"/>
        <v>品_一排3品(垂直展示)</v>
      </c>
      <c r="BE121" s="199" t="str">
        <f>IFERROR(VLOOKUP($BD121,'(勿動)組件目錄表'!$D$15:$R$1110,2,FALSE),"")</f>
        <v>G-3</v>
      </c>
      <c r="BF121" s="200">
        <f>IFERROR(VLOOKUP($BD121, '(勿動)組件目錄表'!$D$15:$R$1110, 5, FALSE),"")</f>
        <v>1</v>
      </c>
      <c r="BG121" s="243" t="s">
        <v>681</v>
      </c>
      <c r="BH121" s="183"/>
      <c r="BI121" s="181"/>
      <c r="BJ121" s="183"/>
    </row>
    <row r="122" spans="1:62" ht="15.75" customHeight="1">
      <c r="A122" s="160" t="str">
        <f t="array" aca="1" ref="A122:B122" ca="1">IFERROR(TRANSPOSE(INDIRECT(L1_暖正版配!$BB122)),"")</f>
        <v>全站</v>
      </c>
      <c r="B122" s="160" t="str">
        <f ca="1"/>
        <v>商城</v>
      </c>
      <c r="C122" s="160"/>
      <c r="D122" s="160"/>
      <c r="E122" s="160"/>
      <c r="F122" s="160"/>
      <c r="G122" s="160"/>
      <c r="H122" s="160"/>
      <c r="I122" s="160"/>
      <c r="J122" s="160"/>
      <c r="K122" s="160"/>
      <c r="L122" s="160"/>
      <c r="M122" s="160"/>
      <c r="N122" s="160"/>
      <c r="O122" s="160"/>
      <c r="P122" s="160"/>
      <c r="Q122" s="160"/>
      <c r="R122" s="160"/>
      <c r="S122" s="160"/>
      <c r="T122" s="160"/>
      <c r="U122" s="160"/>
      <c r="V122" s="160"/>
      <c r="W122" s="160"/>
      <c r="X122" s="160"/>
      <c r="Y122" s="160"/>
      <c r="Z122" s="160"/>
      <c r="AA122" s="160"/>
      <c r="AB122" s="160"/>
      <c r="AC122" s="160"/>
      <c r="AD122" s="160"/>
      <c r="AE122" s="212" t="b">
        <v>0</v>
      </c>
      <c r="AF122" s="173" t="str">
        <f t="shared" si="50"/>
        <v/>
      </c>
      <c r="AG122" s="174" t="str">
        <f t="shared" si="51"/>
        <v/>
      </c>
      <c r="AH122" s="195" t="s">
        <v>674</v>
      </c>
      <c r="AI122" s="176" t="str">
        <f ca="1">IFERROR(VLOOKUP($AH122, '(勿動)Component Label公版'!$D$1:$E$1000, 2, FALSE), "-")</f>
        <v>-</v>
      </c>
      <c r="AJ122" s="160"/>
      <c r="AK122" s="174"/>
      <c r="AL122" s="174"/>
      <c r="AM122" s="189" t="str">
        <f t="shared" si="47"/>
        <v/>
      </c>
      <c r="AN122" s="190" t="str">
        <f t="shared" si="48"/>
        <v/>
      </c>
      <c r="AO122" s="543" t="s">
        <v>682</v>
      </c>
      <c r="AP122" s="384"/>
      <c r="AQ122" s="384"/>
      <c r="AR122" s="384"/>
      <c r="AS122" s="384"/>
      <c r="AT122" s="385"/>
      <c r="AU122" s="180" t="b">
        <v>0</v>
      </c>
      <c r="AV122" s="180" t="b">
        <v>0</v>
      </c>
      <c r="AW122" s="186"/>
      <c r="AX122" s="187"/>
      <c r="AY122" s="187"/>
      <c r="AZ122" s="187"/>
      <c r="BA122" s="188"/>
      <c r="BB122" s="191" t="s">
        <v>608</v>
      </c>
      <c r="BC122" s="179" t="s">
        <v>609</v>
      </c>
      <c r="BD122" s="198" t="str">
        <f t="shared" si="49"/>
        <v>限時特賣_全站</v>
      </c>
      <c r="BE122" s="199" t="str">
        <f>IFERROR(VLOOKUP($BD122,'(勿動)組件目錄表'!$D$15:$R$1110,2,FALSE),"")</f>
        <v>L-1</v>
      </c>
      <c r="BF122" s="200">
        <f>IFERROR(VLOOKUP($BD122, '(勿動)組件目錄表'!$D$15:$R$1110, 5, FALSE),"")</f>
        <v>1</v>
      </c>
      <c r="BG122" s="181"/>
      <c r="BH122" s="183"/>
      <c r="BI122" s="181"/>
      <c r="BJ122" s="183"/>
    </row>
    <row r="123" spans="1:62" ht="15.75" customHeight="1">
      <c r="A123" s="160" t="str">
        <f t="array" aca="1" ref="A123:AD123" ca="1">IFERROR(TRANSPOSE(INDIRECT(L1_暖正版配!$BB123)),"")</f>
        <v>無CTA</v>
      </c>
      <c r="B123" s="160" t="str">
        <f ca="1"/>
        <v>LINK*1</v>
      </c>
      <c r="C123" s="160" t="str">
        <f ca="1"/>
        <v>LINK*2</v>
      </c>
      <c r="D123" s="160" t="str">
        <f ca="1"/>
        <v>LINK*3</v>
      </c>
      <c r="E123" s="160" t="str">
        <f ca="1"/>
        <v>LINK&gt;3</v>
      </c>
      <c r="F123" s="160" t="str">
        <f ca="1"/>
        <v>Reminder*1</v>
      </c>
      <c r="G123" s="160" t="str">
        <f ca="1"/>
        <v>Reminder*2</v>
      </c>
      <c r="H123" s="160" t="str">
        <f ca="1"/>
        <v>Reminder*3</v>
      </c>
      <c r="I123" s="160" t="str">
        <f ca="1"/>
        <v>Reminder*4</v>
      </c>
      <c r="J123" s="160" t="str">
        <f ca="1"/>
        <v>Reminder*5</v>
      </c>
      <c r="K123" s="160" t="str">
        <f ca="1"/>
        <v>Reminder&gt;5</v>
      </c>
      <c r="L123" s="160" t="str">
        <f ca="1"/>
        <v>LINK*1 + Reminder*1</v>
      </c>
      <c r="M123" s="160" t="str">
        <f ca="1"/>
        <v>LINK*1 + Reminder*2</v>
      </c>
      <c r="N123" s="160" t="str">
        <f ca="1"/>
        <v>LINK*2 + Reminder*1</v>
      </c>
      <c r="O123" s="160" t="str">
        <f ca="1"/>
        <v>Add to Cart*1</v>
      </c>
      <c r="P123" s="160" t="str">
        <f ca="1"/>
        <v>Add to Cart*2</v>
      </c>
      <c r="Q123" s="160" t="str">
        <f ca="1"/>
        <v>Add to Cart*3</v>
      </c>
      <c r="R123" s="160" t="str">
        <f ca="1"/>
        <v>(Reminder+ATC) *1</v>
      </c>
      <c r="S123" s="160" t="str">
        <f ca="1"/>
        <v>(Reminder+ATC) *2</v>
      </c>
      <c r="T123" s="160" t="str">
        <f ca="1"/>
        <v>(Reminder+ATC) *3</v>
      </c>
      <c r="U123" s="160" t="str">
        <f ca="1"/>
        <v>Popup*1</v>
      </c>
      <c r="V123" s="160" t="str">
        <f ca="1"/>
        <v>Popup*2</v>
      </c>
      <c r="W123" s="160" t="str">
        <f ca="1"/>
        <v>Popup*3</v>
      </c>
      <c r="X123" s="160" t="str">
        <f ca="1"/>
        <v>Copy*1</v>
      </c>
      <c r="Y123" s="160" t="str">
        <f ca="1"/>
        <v>Copy*2</v>
      </c>
      <c r="Z123" s="160" t="str">
        <f ca="1"/>
        <v>Copy*3</v>
      </c>
      <c r="AA123" s="160" t="str">
        <f ca="1"/>
        <v>Share*1</v>
      </c>
      <c r="AB123" s="160" t="str">
        <f ca="1"/>
        <v>Share*2</v>
      </c>
      <c r="AC123" s="160" t="str">
        <f ca="1"/>
        <v>Share*3</v>
      </c>
      <c r="AD123" s="160" t="str">
        <f ca="1"/>
        <v>Placeholders</v>
      </c>
      <c r="AE123" s="213" t="b">
        <v>0</v>
      </c>
      <c r="AF123" s="203" t="str">
        <f t="shared" si="50"/>
        <v/>
      </c>
      <c r="AG123" s="203" t="str">
        <f t="shared" si="51"/>
        <v/>
      </c>
      <c r="AH123" s="195" t="s">
        <v>674</v>
      </c>
      <c r="AI123" s="176" t="str">
        <f ca="1">IFERROR(VLOOKUP($AH123, '(勿動)Component Label公版'!$D$1:$E$1000, 2, FALSE), "-")</f>
        <v>-</v>
      </c>
      <c r="AJ123" s="237"/>
      <c r="AK123" s="203"/>
      <c r="AL123" s="203"/>
      <c r="AM123" s="203" t="str">
        <f t="shared" si="47"/>
        <v/>
      </c>
      <c r="AN123" s="204" t="str">
        <f t="shared" si="48"/>
        <v/>
      </c>
      <c r="AO123" s="535" t="s">
        <v>268</v>
      </c>
      <c r="AP123" s="384"/>
      <c r="AQ123" s="384"/>
      <c r="AR123" s="384"/>
      <c r="AS123" s="384"/>
      <c r="AT123" s="385"/>
      <c r="AU123" s="235" t="b">
        <v>1</v>
      </c>
      <c r="AV123" s="180" t="b">
        <v>0</v>
      </c>
      <c r="AW123" s="186"/>
      <c r="AX123" s="187"/>
      <c r="AY123" s="187"/>
      <c r="AZ123" s="187"/>
      <c r="BA123" s="188"/>
      <c r="BB123" s="191" t="s">
        <v>147</v>
      </c>
      <c r="BC123" s="179" t="s">
        <v>154</v>
      </c>
      <c r="BD123" s="198" t="str">
        <f t="shared" si="49"/>
        <v>圖_MSBN_無CTA</v>
      </c>
      <c r="BE123" s="190" t="str">
        <f>IFERROR(VLOOKUP($BD123,'(勿動)組件目錄表'!$D$15:$R$1110,2,FALSE),"")</f>
        <v>I-1</v>
      </c>
      <c r="BF123" s="205">
        <f>IFERROR(VLOOKUP($BD123, '(勿動)組件目錄表'!$D$15:$R$1110, 5, FALSE),"")</f>
        <v>0.5</v>
      </c>
      <c r="BG123" s="118"/>
      <c r="BH123" s="120"/>
      <c r="BI123" s="118"/>
      <c r="BJ123" s="120"/>
    </row>
    <row r="124" spans="1:62" ht="15.75" customHeight="1">
      <c r="A124" s="160" t="str">
        <f t="array" aca="1" ref="A124:AD124" ca="1">IFERROR(TRANSPOSE(INDIRECT(L1_暖正版配!$BB124)),"")</f>
        <v>無CTA</v>
      </c>
      <c r="B124" s="160" t="str">
        <f ca="1"/>
        <v>LINK*1</v>
      </c>
      <c r="C124" s="160" t="str">
        <f ca="1"/>
        <v>LINK*2</v>
      </c>
      <c r="D124" s="160" t="str">
        <f ca="1"/>
        <v>LINK*3</v>
      </c>
      <c r="E124" s="160" t="str">
        <f ca="1"/>
        <v>LINK&gt;3</v>
      </c>
      <c r="F124" s="160" t="str">
        <f ca="1"/>
        <v>Reminder*1</v>
      </c>
      <c r="G124" s="160" t="str">
        <f ca="1"/>
        <v>Reminder*2</v>
      </c>
      <c r="H124" s="160" t="str">
        <f ca="1"/>
        <v>Reminder*3</v>
      </c>
      <c r="I124" s="160" t="str">
        <f ca="1"/>
        <v>Reminder*4</v>
      </c>
      <c r="J124" s="160" t="str">
        <f ca="1"/>
        <v>Reminder*5</v>
      </c>
      <c r="K124" s="160" t="str">
        <f ca="1"/>
        <v>Reminder&gt;5</v>
      </c>
      <c r="L124" s="160" t="str">
        <f ca="1"/>
        <v>LINK*1 + Reminder*1</v>
      </c>
      <c r="M124" s="160" t="str">
        <f ca="1"/>
        <v>LINK*1 + Reminder*2</v>
      </c>
      <c r="N124" s="160" t="str">
        <f ca="1"/>
        <v>LINK*2 + Reminder*1</v>
      </c>
      <c r="O124" s="160" t="str">
        <f ca="1"/>
        <v>Add to Cart*1</v>
      </c>
      <c r="P124" s="160" t="str">
        <f ca="1"/>
        <v>Add to Cart*2</v>
      </c>
      <c r="Q124" s="160" t="str">
        <f ca="1"/>
        <v>Add to Cart*3</v>
      </c>
      <c r="R124" s="160" t="str">
        <f ca="1"/>
        <v>(Reminder+ATC) *1</v>
      </c>
      <c r="S124" s="160" t="str">
        <f ca="1"/>
        <v>(Reminder+ATC) *2</v>
      </c>
      <c r="T124" s="160" t="str">
        <f ca="1"/>
        <v>(Reminder+ATC) *3</v>
      </c>
      <c r="U124" s="160" t="str">
        <f ca="1"/>
        <v>Popup*1</v>
      </c>
      <c r="V124" s="160" t="str">
        <f ca="1"/>
        <v>Popup*2</v>
      </c>
      <c r="W124" s="160" t="str">
        <f ca="1"/>
        <v>Popup*3</v>
      </c>
      <c r="X124" s="160" t="str">
        <f ca="1"/>
        <v>Copy*1</v>
      </c>
      <c r="Y124" s="160" t="str">
        <f ca="1"/>
        <v>Copy*2</v>
      </c>
      <c r="Z124" s="160" t="str">
        <f ca="1"/>
        <v>Copy*3</v>
      </c>
      <c r="AA124" s="160" t="str">
        <f ca="1"/>
        <v>Share*1</v>
      </c>
      <c r="AB124" s="160" t="str">
        <f ca="1"/>
        <v>Share*2</v>
      </c>
      <c r="AC124" s="160" t="str">
        <f ca="1"/>
        <v>Share*3</v>
      </c>
      <c r="AD124" s="160" t="str">
        <f ca="1"/>
        <v>Placeholders</v>
      </c>
      <c r="AE124" s="172" t="b">
        <v>1</v>
      </c>
      <c r="AF124" s="173" t="s">
        <v>427</v>
      </c>
      <c r="AG124" s="174" t="str">
        <f t="shared" ca="1" si="51"/>
        <v>-</v>
      </c>
      <c r="AH124" s="195" t="s">
        <v>427</v>
      </c>
      <c r="AI124" s="176" t="str">
        <f ca="1">IFERROR(VLOOKUP($AH124, '(勿動)Component Label公版'!$D$1:$E$1000, 2, FALSE), "-")</f>
        <v>-</v>
      </c>
      <c r="AJ124" s="631" t="s">
        <v>217</v>
      </c>
      <c r="AK124" s="174"/>
      <c r="AL124" s="174"/>
      <c r="AM124" s="189" t="str">
        <f t="shared" si="47"/>
        <v/>
      </c>
      <c r="AN124" s="190" t="str">
        <f t="shared" si="48"/>
        <v/>
      </c>
      <c r="AO124" s="533" t="s">
        <v>683</v>
      </c>
      <c r="AP124" s="384"/>
      <c r="AQ124" s="384"/>
      <c r="AR124" s="384"/>
      <c r="AS124" s="384"/>
      <c r="AT124" s="385"/>
      <c r="AU124" s="235" t="b">
        <v>1</v>
      </c>
      <c r="AV124" s="180" t="b">
        <v>0</v>
      </c>
      <c r="AW124" s="186"/>
      <c r="AX124" s="187"/>
      <c r="AY124" s="187"/>
      <c r="AZ124" s="187"/>
      <c r="BA124" s="188"/>
      <c r="BB124" s="191" t="s">
        <v>147</v>
      </c>
      <c r="BC124" s="179" t="s">
        <v>154</v>
      </c>
      <c r="BD124" s="198" t="str">
        <f t="shared" si="49"/>
        <v>圖_MSBN_無CTA</v>
      </c>
      <c r="BE124" s="199" t="str">
        <f>IFERROR(VLOOKUP($BD124,'(勿動)組件目錄表'!$D$15:$R$1110,2,FALSE),"")</f>
        <v>I-1</v>
      </c>
      <c r="BF124" s="200">
        <f>IFERROR(VLOOKUP($BD124, '(勿動)組件目錄表'!$D$15:$R$1110, 5, FALSE),"")</f>
        <v>0.5</v>
      </c>
      <c r="BG124" s="592" t="s">
        <v>684</v>
      </c>
      <c r="BH124" s="183"/>
      <c r="BI124" s="181"/>
      <c r="BJ124" s="183"/>
    </row>
    <row r="125" spans="1:62" ht="15.75" customHeight="1">
      <c r="A125" s="160" t="str">
        <f t="array" aca="1" ref="A125:AD125" ca="1">IFERROR(TRANSPOSE(INDIRECT(L1_暖正版配!$BB125)),"")</f>
        <v>無CTA</v>
      </c>
      <c r="B125" s="160" t="str">
        <f ca="1"/>
        <v>LINK*1</v>
      </c>
      <c r="C125" s="160" t="str">
        <f ca="1"/>
        <v>LINK*2</v>
      </c>
      <c r="D125" s="160" t="str">
        <f ca="1"/>
        <v>LINK*3</v>
      </c>
      <c r="E125" s="160" t="str">
        <f ca="1"/>
        <v>LINK&gt;3</v>
      </c>
      <c r="F125" s="160" t="str">
        <f ca="1"/>
        <v>Reminder*1</v>
      </c>
      <c r="G125" s="160" t="str">
        <f ca="1"/>
        <v>Reminder*2</v>
      </c>
      <c r="H125" s="160" t="str">
        <f ca="1"/>
        <v>Reminder*3</v>
      </c>
      <c r="I125" s="160" t="str">
        <f ca="1"/>
        <v>Reminder*4</v>
      </c>
      <c r="J125" s="160" t="str">
        <f ca="1"/>
        <v>Reminder*5</v>
      </c>
      <c r="K125" s="160" t="str">
        <f ca="1"/>
        <v>Reminder&gt;5</v>
      </c>
      <c r="L125" s="160" t="str">
        <f ca="1"/>
        <v>LINK*1 + Reminder*1</v>
      </c>
      <c r="M125" s="160" t="str">
        <f ca="1"/>
        <v>LINK*1 + Reminder*2</v>
      </c>
      <c r="N125" s="160" t="str">
        <f ca="1"/>
        <v>LINK*2 + Reminder*1</v>
      </c>
      <c r="O125" s="160" t="str">
        <f ca="1"/>
        <v>Add to Cart*1</v>
      </c>
      <c r="P125" s="160" t="str">
        <f ca="1"/>
        <v>Add to Cart*2</v>
      </c>
      <c r="Q125" s="160" t="str">
        <f ca="1"/>
        <v>Add to Cart*3</v>
      </c>
      <c r="R125" s="160" t="str">
        <f ca="1"/>
        <v>(Reminder+ATC) *1</v>
      </c>
      <c r="S125" s="160" t="str">
        <f ca="1"/>
        <v>(Reminder+ATC) *2</v>
      </c>
      <c r="T125" s="160" t="str">
        <f ca="1"/>
        <v>(Reminder+ATC) *3</v>
      </c>
      <c r="U125" s="160" t="str">
        <f ca="1"/>
        <v>Popup*1</v>
      </c>
      <c r="V125" s="160" t="str">
        <f ca="1"/>
        <v>Popup*2</v>
      </c>
      <c r="W125" s="160" t="str">
        <f ca="1"/>
        <v>Popup*3</v>
      </c>
      <c r="X125" s="160" t="str">
        <f ca="1"/>
        <v>Copy*1</v>
      </c>
      <c r="Y125" s="160" t="str">
        <f ca="1"/>
        <v>Copy*2</v>
      </c>
      <c r="Z125" s="160" t="str">
        <f ca="1"/>
        <v>Copy*3</v>
      </c>
      <c r="AA125" s="160" t="str">
        <f ca="1"/>
        <v>Share*1</v>
      </c>
      <c r="AB125" s="160" t="str">
        <f ca="1"/>
        <v>Share*2</v>
      </c>
      <c r="AC125" s="160" t="str">
        <f ca="1"/>
        <v>Share*3</v>
      </c>
      <c r="AD125" s="160" t="str">
        <f ca="1"/>
        <v>Placeholders</v>
      </c>
      <c r="AE125" s="226" t="b">
        <v>0</v>
      </c>
      <c r="AF125" s="173" t="str">
        <f t="shared" ref="AF125:AF127" si="52">IF(AE125=TRUE,"若有勾選則必填，隱藏錨點請填寫&lt;設隱形錨點&gt;","")</f>
        <v/>
      </c>
      <c r="AG125" s="174" t="str">
        <f t="shared" si="51"/>
        <v/>
      </c>
      <c r="AH125" s="195" t="s">
        <v>427</v>
      </c>
      <c r="AI125" s="176" t="str">
        <f ca="1">IFERROR(VLOOKUP($AH125, '(勿動)Component Label公版'!$D$1:$E$1000, 2, FALSE), "-")</f>
        <v>-</v>
      </c>
      <c r="AJ125" s="412"/>
      <c r="AK125" s="174"/>
      <c r="AL125" s="174"/>
      <c r="AM125" s="189" t="str">
        <f t="shared" si="47"/>
        <v/>
      </c>
      <c r="AN125" s="190" t="str">
        <f t="shared" si="48"/>
        <v/>
      </c>
      <c r="AO125" s="533" t="s">
        <v>685</v>
      </c>
      <c r="AP125" s="384"/>
      <c r="AQ125" s="384"/>
      <c r="AR125" s="384"/>
      <c r="AS125" s="384"/>
      <c r="AT125" s="385"/>
      <c r="AU125" s="235" t="b">
        <v>1</v>
      </c>
      <c r="AV125" s="180" t="b">
        <v>0</v>
      </c>
      <c r="AW125" s="186"/>
      <c r="AX125" s="187"/>
      <c r="AY125" s="187"/>
      <c r="AZ125" s="187"/>
      <c r="BA125" s="188"/>
      <c r="BB125" s="191" t="s">
        <v>147</v>
      </c>
      <c r="BC125" s="179" t="s">
        <v>154</v>
      </c>
      <c r="BD125" s="198" t="str">
        <f t="shared" si="49"/>
        <v>圖_MSBN_無CTA</v>
      </c>
      <c r="BE125" s="199" t="str">
        <f>IFERROR(VLOOKUP($BD125,'(勿動)組件目錄表'!$D$15:$R$1110,2,FALSE),"")</f>
        <v>I-1</v>
      </c>
      <c r="BF125" s="200">
        <f>IFERROR(VLOOKUP($BD125, '(勿動)組件目錄表'!$D$15:$R$1110, 5, FALSE),"")</f>
        <v>0.5</v>
      </c>
      <c r="BG125" s="587"/>
      <c r="BH125" s="183"/>
      <c r="BI125" s="181"/>
      <c r="BJ125" s="183"/>
    </row>
    <row r="126" spans="1:62" ht="15.75" customHeight="1">
      <c r="A126" s="160" t="str">
        <f t="array" aca="1" ref="A126" ca="1">IFERROR(TRANSPOSE(INDIRECT(L1_暖正版配!$BB126)),"")</f>
        <v>固定</v>
      </c>
      <c r="B126" s="160"/>
      <c r="C126" s="160"/>
      <c r="D126" s="160"/>
      <c r="E126" s="160"/>
      <c r="F126" s="160"/>
      <c r="G126" s="160"/>
      <c r="H126" s="160"/>
      <c r="I126" s="160"/>
      <c r="J126" s="160"/>
      <c r="K126" s="160"/>
      <c r="L126" s="160"/>
      <c r="M126" s="160"/>
      <c r="N126" s="160"/>
      <c r="O126" s="160"/>
      <c r="P126" s="160"/>
      <c r="Q126" s="160"/>
      <c r="R126" s="160"/>
      <c r="S126" s="160"/>
      <c r="T126" s="160"/>
      <c r="U126" s="160"/>
      <c r="V126" s="160"/>
      <c r="W126" s="160"/>
      <c r="X126" s="160"/>
      <c r="Y126" s="160"/>
      <c r="Z126" s="160"/>
      <c r="AA126" s="160"/>
      <c r="AB126" s="160"/>
      <c r="AC126" s="160"/>
      <c r="AD126" s="160"/>
      <c r="AE126" s="172" t="b">
        <v>0</v>
      </c>
      <c r="AF126" s="173" t="str">
        <f t="shared" si="52"/>
        <v/>
      </c>
      <c r="AG126" s="174" t="str">
        <f t="shared" si="51"/>
        <v/>
      </c>
      <c r="AH126" s="195" t="s">
        <v>427</v>
      </c>
      <c r="AI126" s="176" t="str">
        <f ca="1">IFERROR(VLOOKUP($AH126, '(勿動)Component Label公版'!$D$1:$E$1000, 2, FALSE), "-")</f>
        <v>-</v>
      </c>
      <c r="AJ126" s="412"/>
      <c r="AK126" s="174"/>
      <c r="AL126" s="174"/>
      <c r="AM126" s="189" t="str">
        <f>IFERROR(
  IF(TRIM(AL130)="", "",
    TEXT(
      DATEVALUE("2026/" &amp; LEFT(TRIM(AL130), FIND(" ", TRIM(AL130)) - 1)) +
      TIMEVALUE(MID(TRIM(AL130), FIND(" ", TRIM(AL130)) + 1, LEN(TRIM(AL130)))),
      "yyyy-mm-dd hh:mm:ss"
    )
  ),
"")</f>
        <v/>
      </c>
      <c r="AN126" s="190" t="str">
        <f>IFERROR(
  IF(TRIM(AM130)="", "",
    TEXT(
      DATEVALUE("2026/" &amp; LEFT(TRIM(AM130), FIND(" ", TRIM(AM130)) - 1)) +
      TIMEVALUE(MID(TRIM(AM130), FIND(" ", TRIM(AM130)) + 1, 5)) +
      TIME(0,0,59),
      "yyyy-mm-dd hh:mm:ss"
    )
  ),
"")</f>
        <v/>
      </c>
      <c r="AO126" s="541" t="s">
        <v>686</v>
      </c>
      <c r="AP126" s="384"/>
      <c r="AQ126" s="384"/>
      <c r="AR126" s="384"/>
      <c r="AS126" s="384"/>
      <c r="AT126" s="385"/>
      <c r="AU126" s="180" t="b">
        <v>0</v>
      </c>
      <c r="AV126" s="180" t="b">
        <v>0</v>
      </c>
      <c r="AW126" s="186"/>
      <c r="AX126" s="187"/>
      <c r="AY126" s="187"/>
      <c r="AZ126" s="187"/>
      <c r="BA126" s="188"/>
      <c r="BB126" s="191" t="s">
        <v>116</v>
      </c>
      <c r="BC126" s="179" t="s">
        <v>113</v>
      </c>
      <c r="BD126" s="198" t="str">
        <f t="shared" si="49"/>
        <v>短影音_固定</v>
      </c>
      <c r="BE126" s="199" t="str">
        <f>IFERROR(VLOOKUP($BD126,'(勿動)組件目錄表'!$D$15:$R$1110,2,FALSE),"")</f>
        <v>W-1</v>
      </c>
      <c r="BF126" s="200">
        <f>IFERROR(VLOOKUP($BD126, '(勿動)組件目錄表'!$D$15:$R$1110, 5, FALSE),"")</f>
        <v>0.2</v>
      </c>
      <c r="BG126" s="181"/>
      <c r="BH126" s="183"/>
      <c r="BI126" s="181"/>
      <c r="BJ126" s="183"/>
    </row>
    <row r="127" spans="1:62" ht="15.75" customHeight="1">
      <c r="A127" s="160" t="str">
        <f t="array" aca="1" ref="A127:AD127" ca="1">IFERROR(TRANSPOSE(INDIRECT(L1_暖正版配!$BB127)),"")</f>
        <v>無CTA</v>
      </c>
      <c r="B127" s="160" t="str">
        <f ca="1"/>
        <v>LINK*1</v>
      </c>
      <c r="C127" s="160" t="str">
        <f ca="1"/>
        <v>LINK*2</v>
      </c>
      <c r="D127" s="160" t="str">
        <f ca="1"/>
        <v>LINK*3</v>
      </c>
      <c r="E127" s="160" t="str">
        <f ca="1"/>
        <v>LINK&gt;3</v>
      </c>
      <c r="F127" s="160" t="str">
        <f ca="1"/>
        <v>Reminder*1</v>
      </c>
      <c r="G127" s="160" t="str">
        <f ca="1"/>
        <v>Reminder*2</v>
      </c>
      <c r="H127" s="160" t="str">
        <f ca="1"/>
        <v>Reminder*3</v>
      </c>
      <c r="I127" s="160" t="str">
        <f ca="1"/>
        <v>Reminder*4</v>
      </c>
      <c r="J127" s="160" t="str">
        <f ca="1"/>
        <v>Reminder*5</v>
      </c>
      <c r="K127" s="160" t="str">
        <f ca="1"/>
        <v>Reminder&gt;5</v>
      </c>
      <c r="L127" s="160" t="str">
        <f ca="1"/>
        <v>LINK*1 + Reminder*1</v>
      </c>
      <c r="M127" s="160" t="str">
        <f ca="1"/>
        <v>LINK*1 + Reminder*2</v>
      </c>
      <c r="N127" s="160" t="str">
        <f ca="1"/>
        <v>LINK*2 + Reminder*1</v>
      </c>
      <c r="O127" s="160" t="str">
        <f ca="1"/>
        <v>Add to Cart*1</v>
      </c>
      <c r="P127" s="160" t="str">
        <f ca="1"/>
        <v>Add to Cart*2</v>
      </c>
      <c r="Q127" s="160" t="str">
        <f ca="1"/>
        <v>Add to Cart*3</v>
      </c>
      <c r="R127" s="160" t="str">
        <f ca="1"/>
        <v>(Reminder+ATC) *1</v>
      </c>
      <c r="S127" s="160" t="str">
        <f ca="1"/>
        <v>(Reminder+ATC) *2</v>
      </c>
      <c r="T127" s="160" t="str">
        <f ca="1"/>
        <v>(Reminder+ATC) *3</v>
      </c>
      <c r="U127" s="160" t="str">
        <f ca="1"/>
        <v>Popup*1</v>
      </c>
      <c r="V127" s="160" t="str">
        <f ca="1"/>
        <v>Popup*2</v>
      </c>
      <c r="W127" s="160" t="str">
        <f ca="1"/>
        <v>Popup*3</v>
      </c>
      <c r="X127" s="160" t="str">
        <f ca="1"/>
        <v>Copy*1</v>
      </c>
      <c r="Y127" s="160" t="str">
        <f ca="1"/>
        <v>Copy*2</v>
      </c>
      <c r="Z127" s="160" t="str">
        <f ca="1"/>
        <v>Copy*3</v>
      </c>
      <c r="AA127" s="160" t="str">
        <f ca="1"/>
        <v>Share*1</v>
      </c>
      <c r="AB127" s="160" t="str">
        <f ca="1"/>
        <v>Share*2</v>
      </c>
      <c r="AC127" s="160" t="str">
        <f ca="1"/>
        <v>Share*3</v>
      </c>
      <c r="AD127" s="160" t="str">
        <f ca="1"/>
        <v>Placeholders</v>
      </c>
      <c r="AE127" s="213" t="b">
        <v>0</v>
      </c>
      <c r="AF127" s="203" t="str">
        <f t="shared" si="52"/>
        <v/>
      </c>
      <c r="AG127" s="203" t="str">
        <f t="shared" si="51"/>
        <v/>
      </c>
      <c r="AH127" s="195" t="s">
        <v>427</v>
      </c>
      <c r="AI127" s="176" t="str">
        <f ca="1">IFERROR(VLOOKUP($AH127, '(勿動)Component Label公版'!$D$1:$E$1000, 2, FALSE), "-")</f>
        <v>-</v>
      </c>
      <c r="AJ127" s="412"/>
      <c r="AK127" s="203"/>
      <c r="AL127" s="203"/>
      <c r="AM127" s="203" t="str">
        <f t="shared" ref="AM127:AM129" si="53">IFERROR(
  IF(TRIM(AK127)="", "",
    TEXT(
      DATEVALUE("2026/" &amp; LEFT(TRIM(AK127), FIND(" ", TRIM(AK127)) - 1)) +
      TIMEVALUE(MID(TRIM(AK127), FIND(" ", TRIM(AK127)) + 1, LEN(TRIM(AK127)))),
      "yyyy-mm-dd hh:mm:ss"
    )
  ),
"")</f>
        <v/>
      </c>
      <c r="AN127" s="204" t="str">
        <f t="shared" ref="AN127:AN129" si="54">IFERROR(
  IF(TRIM(AL127)="", "",
    TEXT(
      DATEVALUE("2026/" &amp; LEFT(TRIM(AL127), FIND(" ", TRIM(AL127)) - 1)) +
      TIMEVALUE(MID(TRIM(AL127), FIND(" ", TRIM(AL127)) + 1, 5)) +
      TIME(0,0,59),
      "yyyy-mm-dd hh:mm:ss"
    )
  ),
"")</f>
        <v/>
      </c>
      <c r="AO127" s="535" t="s">
        <v>268</v>
      </c>
      <c r="AP127" s="384"/>
      <c r="AQ127" s="384"/>
      <c r="AR127" s="384"/>
      <c r="AS127" s="384"/>
      <c r="AT127" s="385"/>
      <c r="AU127" s="235" t="b">
        <v>1</v>
      </c>
      <c r="AV127" s="180" t="b">
        <v>0</v>
      </c>
      <c r="AW127" s="186"/>
      <c r="AX127" s="187"/>
      <c r="AY127" s="187"/>
      <c r="AZ127" s="187"/>
      <c r="BA127" s="188"/>
      <c r="BB127" s="191" t="s">
        <v>147</v>
      </c>
      <c r="BC127" s="179" t="s">
        <v>154</v>
      </c>
      <c r="BD127" s="198" t="str">
        <f t="shared" si="49"/>
        <v>圖_MSBN_無CTA</v>
      </c>
      <c r="BE127" s="190" t="str">
        <f>IFERROR(VLOOKUP($BD127,'(勿動)組件目錄表'!$D$15:$R$1110,2,FALSE),"")</f>
        <v>I-1</v>
      </c>
      <c r="BF127" s="205">
        <f>IFERROR(VLOOKUP($BD127, '(勿動)組件目錄表'!$D$15:$R$1110, 5, FALSE),"")</f>
        <v>0.5</v>
      </c>
      <c r="BG127" s="118"/>
      <c r="BH127" s="120"/>
      <c r="BI127" s="118"/>
      <c r="BJ127" s="120"/>
    </row>
    <row r="128" spans="1:62" ht="15.75" customHeight="1">
      <c r="A128" s="160" t="str">
        <f t="array" aca="1" ref="A128:AD128" ca="1">IFERROR(TRANSPOSE(INDIRECT(L1_暖正版配!$BB128)),"")</f>
        <v>無CTA</v>
      </c>
      <c r="B128" s="160" t="str">
        <f ca="1"/>
        <v>LINK*1</v>
      </c>
      <c r="C128" s="160" t="str">
        <f ca="1"/>
        <v>LINK*2</v>
      </c>
      <c r="D128" s="160" t="str">
        <f ca="1"/>
        <v>LINK*3</v>
      </c>
      <c r="E128" s="160" t="str">
        <f ca="1"/>
        <v>LINK&gt;3</v>
      </c>
      <c r="F128" s="160" t="str">
        <f ca="1"/>
        <v>Reminder*1</v>
      </c>
      <c r="G128" s="160" t="str">
        <f ca="1"/>
        <v>Reminder*2</v>
      </c>
      <c r="H128" s="160" t="str">
        <f ca="1"/>
        <v>Reminder*3</v>
      </c>
      <c r="I128" s="160" t="str">
        <f ca="1"/>
        <v>Reminder*4</v>
      </c>
      <c r="J128" s="160" t="str">
        <f ca="1"/>
        <v>Reminder*5</v>
      </c>
      <c r="K128" s="160" t="str">
        <f ca="1"/>
        <v>Reminder&gt;5</v>
      </c>
      <c r="L128" s="160" t="str">
        <f ca="1"/>
        <v>LINK*1 + Reminder*1</v>
      </c>
      <c r="M128" s="160" t="str">
        <f ca="1"/>
        <v>LINK*1 + Reminder*2</v>
      </c>
      <c r="N128" s="160" t="str">
        <f ca="1"/>
        <v>LINK*2 + Reminder*1</v>
      </c>
      <c r="O128" s="160" t="str">
        <f ca="1"/>
        <v>Add to Cart*1</v>
      </c>
      <c r="P128" s="160" t="str">
        <f ca="1"/>
        <v>Add to Cart*2</v>
      </c>
      <c r="Q128" s="160" t="str">
        <f ca="1"/>
        <v>Add to Cart*3</v>
      </c>
      <c r="R128" s="160" t="str">
        <f ca="1"/>
        <v>(Reminder+ATC) *1</v>
      </c>
      <c r="S128" s="160" t="str">
        <f ca="1"/>
        <v>(Reminder+ATC) *2</v>
      </c>
      <c r="T128" s="160" t="str">
        <f ca="1"/>
        <v>(Reminder+ATC) *3</v>
      </c>
      <c r="U128" s="160" t="str">
        <f ca="1"/>
        <v>Popup*1</v>
      </c>
      <c r="V128" s="160" t="str">
        <f ca="1"/>
        <v>Popup*2</v>
      </c>
      <c r="W128" s="160" t="str">
        <f ca="1"/>
        <v>Popup*3</v>
      </c>
      <c r="X128" s="160" t="str">
        <f ca="1"/>
        <v>Copy*1</v>
      </c>
      <c r="Y128" s="160" t="str">
        <f ca="1"/>
        <v>Copy*2</v>
      </c>
      <c r="Z128" s="160" t="str">
        <f ca="1"/>
        <v>Copy*3</v>
      </c>
      <c r="AA128" s="160" t="str">
        <f ca="1"/>
        <v>Share*1</v>
      </c>
      <c r="AB128" s="160" t="str">
        <f ca="1"/>
        <v>Share*2</v>
      </c>
      <c r="AC128" s="160" t="str">
        <f ca="1"/>
        <v>Share*3</v>
      </c>
      <c r="AD128" s="160" t="str">
        <f ca="1"/>
        <v>Placeholders</v>
      </c>
      <c r="AE128" s="172" t="b">
        <v>1</v>
      </c>
      <c r="AF128" s="173" t="s">
        <v>428</v>
      </c>
      <c r="AG128" s="174" t="str">
        <f t="shared" ca="1" si="51"/>
        <v>-</v>
      </c>
      <c r="AH128" s="195" t="s">
        <v>522</v>
      </c>
      <c r="AI128" s="176" t="str">
        <f ca="1">IFERROR(VLOOKUP($AH128, '(勿動)Component Label公版'!$D$1:$E$1000, 2, FALSE), "-")</f>
        <v>-</v>
      </c>
      <c r="AJ128" s="631" t="s">
        <v>217</v>
      </c>
      <c r="AK128" s="174"/>
      <c r="AL128" s="174"/>
      <c r="AM128" s="189" t="str">
        <f t="shared" si="53"/>
        <v/>
      </c>
      <c r="AN128" s="190" t="str">
        <f t="shared" si="54"/>
        <v/>
      </c>
      <c r="AO128" s="533" t="s">
        <v>687</v>
      </c>
      <c r="AP128" s="384"/>
      <c r="AQ128" s="384"/>
      <c r="AR128" s="384"/>
      <c r="AS128" s="384"/>
      <c r="AT128" s="385"/>
      <c r="AU128" s="235" t="b">
        <v>1</v>
      </c>
      <c r="AV128" s="180" t="b">
        <v>0</v>
      </c>
      <c r="AW128" s="186"/>
      <c r="AX128" s="187"/>
      <c r="AY128" s="187"/>
      <c r="AZ128" s="187"/>
      <c r="BA128" s="188"/>
      <c r="BB128" s="191" t="s">
        <v>147</v>
      </c>
      <c r="BC128" s="179" t="s">
        <v>154</v>
      </c>
      <c r="BD128" s="198" t="str">
        <f t="shared" si="49"/>
        <v>圖_MSBN_無CTA</v>
      </c>
      <c r="BE128" s="199" t="str">
        <f>IFERROR(VLOOKUP($BD128,'(勿動)組件目錄表'!$D$15:$R$1110,2,FALSE),"")</f>
        <v>I-1</v>
      </c>
      <c r="BF128" s="200">
        <f>IFERROR(VLOOKUP($BD128, '(勿動)組件目錄表'!$D$15:$R$1110, 5, FALSE),"")</f>
        <v>0.5</v>
      </c>
      <c r="BG128" s="592" t="s">
        <v>688</v>
      </c>
      <c r="BH128" s="183"/>
      <c r="BI128" s="181"/>
      <c r="BJ128" s="183"/>
    </row>
    <row r="129" spans="1:62" ht="15.75" customHeight="1">
      <c r="A129" s="160" t="str">
        <f t="array" aca="1" ref="A129:AD129" ca="1">IFERROR(TRANSPOSE(INDIRECT(L1_暖正版配!$BB129)),"")</f>
        <v>無CTA</v>
      </c>
      <c r="B129" s="160" t="str">
        <f ca="1"/>
        <v>LINK*1</v>
      </c>
      <c r="C129" s="160" t="str">
        <f ca="1"/>
        <v>LINK*2</v>
      </c>
      <c r="D129" s="160" t="str">
        <f ca="1"/>
        <v>LINK*3</v>
      </c>
      <c r="E129" s="160" t="str">
        <f ca="1"/>
        <v>LINK&gt;3</v>
      </c>
      <c r="F129" s="160" t="str">
        <f ca="1"/>
        <v>Reminder*1</v>
      </c>
      <c r="G129" s="160" t="str">
        <f ca="1"/>
        <v>Reminder*2</v>
      </c>
      <c r="H129" s="160" t="str">
        <f ca="1"/>
        <v>Reminder*3</v>
      </c>
      <c r="I129" s="160" t="str">
        <f ca="1"/>
        <v>Reminder*4</v>
      </c>
      <c r="J129" s="160" t="str">
        <f ca="1"/>
        <v>Reminder*5</v>
      </c>
      <c r="K129" s="160" t="str">
        <f ca="1"/>
        <v>Reminder&gt;5</v>
      </c>
      <c r="L129" s="160" t="str">
        <f ca="1"/>
        <v>LINK*1 + Reminder*1</v>
      </c>
      <c r="M129" s="160" t="str">
        <f ca="1"/>
        <v>LINK*1 + Reminder*2</v>
      </c>
      <c r="N129" s="160" t="str">
        <f ca="1"/>
        <v>LINK*2 + Reminder*1</v>
      </c>
      <c r="O129" s="160" t="str">
        <f ca="1"/>
        <v>Add to Cart*1</v>
      </c>
      <c r="P129" s="160" t="str">
        <f ca="1"/>
        <v>Add to Cart*2</v>
      </c>
      <c r="Q129" s="160" t="str">
        <f ca="1"/>
        <v>Add to Cart*3</v>
      </c>
      <c r="R129" s="160" t="str">
        <f ca="1"/>
        <v>(Reminder+ATC) *1</v>
      </c>
      <c r="S129" s="160" t="str">
        <f ca="1"/>
        <v>(Reminder+ATC) *2</v>
      </c>
      <c r="T129" s="160" t="str">
        <f ca="1"/>
        <v>(Reminder+ATC) *3</v>
      </c>
      <c r="U129" s="160" t="str">
        <f ca="1"/>
        <v>Popup*1</v>
      </c>
      <c r="V129" s="160" t="str">
        <f ca="1"/>
        <v>Popup*2</v>
      </c>
      <c r="W129" s="160" t="str">
        <f ca="1"/>
        <v>Popup*3</v>
      </c>
      <c r="X129" s="160" t="str">
        <f ca="1"/>
        <v>Copy*1</v>
      </c>
      <c r="Y129" s="160" t="str">
        <f ca="1"/>
        <v>Copy*2</v>
      </c>
      <c r="Z129" s="160" t="str">
        <f ca="1"/>
        <v>Copy*3</v>
      </c>
      <c r="AA129" s="160" t="str">
        <f ca="1"/>
        <v>Share*1</v>
      </c>
      <c r="AB129" s="160" t="str">
        <f ca="1"/>
        <v>Share*2</v>
      </c>
      <c r="AC129" s="160" t="str">
        <f ca="1"/>
        <v>Share*3</v>
      </c>
      <c r="AD129" s="160" t="str">
        <f ca="1"/>
        <v>Placeholders</v>
      </c>
      <c r="AE129" s="226" t="b">
        <v>0</v>
      </c>
      <c r="AF129" s="173" t="str">
        <f t="shared" ref="AF129:AF131" si="55">IF(AE129=TRUE,"若有勾選則必填，隱藏錨點請填寫&lt;設隱形錨點&gt;","")</f>
        <v/>
      </c>
      <c r="AG129" s="174" t="str">
        <f t="shared" si="51"/>
        <v/>
      </c>
      <c r="AH129" s="195" t="s">
        <v>522</v>
      </c>
      <c r="AI129" s="176" t="str">
        <f ca="1">IFERROR(VLOOKUP($AH129, '(勿動)Component Label公版'!$D$1:$E$1000, 2, FALSE), "-")</f>
        <v>-</v>
      </c>
      <c r="AJ129" s="412"/>
      <c r="AK129" s="174"/>
      <c r="AL129" s="174"/>
      <c r="AM129" s="189" t="str">
        <f t="shared" si="53"/>
        <v/>
      </c>
      <c r="AN129" s="190" t="str">
        <f t="shared" si="54"/>
        <v/>
      </c>
      <c r="AO129" s="533" t="s">
        <v>689</v>
      </c>
      <c r="AP129" s="384"/>
      <c r="AQ129" s="384"/>
      <c r="AR129" s="384"/>
      <c r="AS129" s="384"/>
      <c r="AT129" s="385"/>
      <c r="AU129" s="235" t="b">
        <v>1</v>
      </c>
      <c r="AV129" s="180" t="b">
        <v>0</v>
      </c>
      <c r="AW129" s="186"/>
      <c r="AX129" s="187"/>
      <c r="AY129" s="187"/>
      <c r="AZ129" s="187"/>
      <c r="BA129" s="188"/>
      <c r="BB129" s="191" t="s">
        <v>147</v>
      </c>
      <c r="BC129" s="179" t="s">
        <v>154</v>
      </c>
      <c r="BD129" s="198" t="str">
        <f t="shared" si="49"/>
        <v>圖_MSBN_無CTA</v>
      </c>
      <c r="BE129" s="199" t="str">
        <f>IFERROR(VLOOKUP($BD129,'(勿動)組件目錄表'!$D$15:$R$1110,2,FALSE),"")</f>
        <v>I-1</v>
      </c>
      <c r="BF129" s="200">
        <f>IFERROR(VLOOKUP($BD129, '(勿動)組件目錄表'!$D$15:$R$1110, 5, FALSE),"")</f>
        <v>0.5</v>
      </c>
      <c r="BG129" s="587"/>
      <c r="BH129" s="183"/>
      <c r="BI129" s="181"/>
      <c r="BJ129" s="183"/>
    </row>
    <row r="130" spans="1:62" ht="15.75" customHeight="1">
      <c r="A130" s="160" t="str">
        <f t="array" aca="1" ref="A130" ca="1">IFERROR(TRANSPOSE(INDIRECT(L1_暖正版配!$BB130)),"")</f>
        <v>水平滑動</v>
      </c>
      <c r="B130" s="160"/>
      <c r="C130" s="160"/>
      <c r="D130" s="160"/>
      <c r="E130" s="160"/>
      <c r="F130" s="160"/>
      <c r="G130" s="160"/>
      <c r="H130" s="160"/>
      <c r="I130" s="160"/>
      <c r="J130" s="160"/>
      <c r="K130" s="160"/>
      <c r="L130" s="160"/>
      <c r="M130" s="160"/>
      <c r="N130" s="160"/>
      <c r="O130" s="160"/>
      <c r="P130" s="160"/>
      <c r="Q130" s="160"/>
      <c r="R130" s="160"/>
      <c r="S130" s="160"/>
      <c r="T130" s="160"/>
      <c r="U130" s="160"/>
      <c r="V130" s="160"/>
      <c r="W130" s="160"/>
      <c r="X130" s="160"/>
      <c r="Y130" s="160"/>
      <c r="Z130" s="160"/>
      <c r="AA130" s="160"/>
      <c r="AB130" s="160"/>
      <c r="AC130" s="160"/>
      <c r="AD130" s="160"/>
      <c r="AE130" s="172" t="b">
        <v>0</v>
      </c>
      <c r="AF130" s="173" t="str">
        <f t="shared" si="55"/>
        <v/>
      </c>
      <c r="AG130" s="174" t="str">
        <f t="shared" si="51"/>
        <v/>
      </c>
      <c r="AH130" s="195" t="s">
        <v>522</v>
      </c>
      <c r="AI130" s="176" t="str">
        <f ca="1">IFERROR(VLOOKUP($AH130, '(勿動)Component Label公版'!$D$1:$E$1000, 2, FALSE), "-")</f>
        <v>-</v>
      </c>
      <c r="AJ130" s="412"/>
      <c r="AK130" s="174"/>
      <c r="AL130" s="174"/>
      <c r="AM130" s="203"/>
      <c r="AN130" s="190" t="str">
        <f>IFERROR(
  IF(TRIM(#REF!)="", "",
    TEXT(
      DATEVALUE("2026/" &amp; LEFT(TRIM(#REF!), FIND(" ", TRIM(#REF!)) - 1)) +
      TIMEVALUE(MID(TRIM(#REF!), FIND(" ", TRIM(#REF!)) + 1, 5)) +
      TIME(0,0,59),
      "yyyy-mm-dd hh:mm:ss"
    )
  ),
"")</f>
        <v/>
      </c>
      <c r="AO130" s="534" t="s">
        <v>690</v>
      </c>
      <c r="AP130" s="384"/>
      <c r="AQ130" s="384"/>
      <c r="AR130" s="384"/>
      <c r="AS130" s="384"/>
      <c r="AT130" s="385"/>
      <c r="AU130" s="180" t="b">
        <v>0</v>
      </c>
      <c r="AV130" s="180" t="b">
        <v>0</v>
      </c>
      <c r="AW130" s="186"/>
      <c r="AX130" s="187"/>
      <c r="AY130" s="187"/>
      <c r="AZ130" s="187"/>
      <c r="BA130" s="188"/>
      <c r="BB130" s="191" t="s">
        <v>691</v>
      </c>
      <c r="BC130" s="179" t="s">
        <v>692</v>
      </c>
      <c r="BD130" s="198" t="str">
        <f t="shared" si="49"/>
        <v>直播間_水平滑動</v>
      </c>
      <c r="BE130" s="199" t="str">
        <f>IFERROR(VLOOKUP($BD130,'(勿動)組件目錄表'!$D$15:$R$1110,2,FALSE),"")</f>
        <v>Q-3</v>
      </c>
      <c r="BF130" s="200">
        <f>IFERROR(VLOOKUP($BD130, '(勿動)組件目錄表'!$D$15:$R$1110, 5, FALSE),"")</f>
        <v>0.5</v>
      </c>
      <c r="BG130" s="181"/>
      <c r="BH130" s="183"/>
      <c r="BI130" s="181"/>
      <c r="BJ130" s="183"/>
    </row>
    <row r="131" spans="1:62" ht="15.75" customHeight="1">
      <c r="A131" s="160" t="str">
        <f t="array" aca="1" ref="A131:AD131" ca="1">IFERROR(TRANSPOSE(INDIRECT(L1_暖正版配!$BB131)),"")</f>
        <v>無CTA</v>
      </c>
      <c r="B131" s="160" t="str">
        <f ca="1"/>
        <v>LINK*1</v>
      </c>
      <c r="C131" s="160" t="str">
        <f ca="1"/>
        <v>LINK*2</v>
      </c>
      <c r="D131" s="160" t="str">
        <f ca="1"/>
        <v>LINK*3</v>
      </c>
      <c r="E131" s="160" t="str">
        <f ca="1"/>
        <v>LINK&gt;3</v>
      </c>
      <c r="F131" s="160" t="str">
        <f ca="1"/>
        <v>Reminder*1</v>
      </c>
      <c r="G131" s="160" t="str">
        <f ca="1"/>
        <v>Reminder*2</v>
      </c>
      <c r="H131" s="160" t="str">
        <f ca="1"/>
        <v>Reminder*3</v>
      </c>
      <c r="I131" s="160" t="str">
        <f ca="1"/>
        <v>Reminder*4</v>
      </c>
      <c r="J131" s="160" t="str">
        <f ca="1"/>
        <v>Reminder*5</v>
      </c>
      <c r="K131" s="160" t="str">
        <f ca="1"/>
        <v>Reminder&gt;5</v>
      </c>
      <c r="L131" s="160" t="str">
        <f ca="1"/>
        <v>LINK*1 + Reminder*1</v>
      </c>
      <c r="M131" s="160" t="str">
        <f ca="1"/>
        <v>LINK*1 + Reminder*2</v>
      </c>
      <c r="N131" s="160" t="str">
        <f ca="1"/>
        <v>LINK*2 + Reminder*1</v>
      </c>
      <c r="O131" s="160" t="str">
        <f ca="1"/>
        <v>Add to Cart*1</v>
      </c>
      <c r="P131" s="160" t="str">
        <f ca="1"/>
        <v>Add to Cart*2</v>
      </c>
      <c r="Q131" s="160" t="str">
        <f ca="1"/>
        <v>Add to Cart*3</v>
      </c>
      <c r="R131" s="160" t="str">
        <f ca="1"/>
        <v>(Reminder+ATC) *1</v>
      </c>
      <c r="S131" s="160" t="str">
        <f ca="1"/>
        <v>(Reminder+ATC) *2</v>
      </c>
      <c r="T131" s="160" t="str">
        <f ca="1"/>
        <v>(Reminder+ATC) *3</v>
      </c>
      <c r="U131" s="160" t="str">
        <f ca="1"/>
        <v>Popup*1</v>
      </c>
      <c r="V131" s="160" t="str">
        <f ca="1"/>
        <v>Popup*2</v>
      </c>
      <c r="W131" s="160" t="str">
        <f ca="1"/>
        <v>Popup*3</v>
      </c>
      <c r="X131" s="160" t="str">
        <f ca="1"/>
        <v>Copy*1</v>
      </c>
      <c r="Y131" s="160" t="str">
        <f ca="1"/>
        <v>Copy*2</v>
      </c>
      <c r="Z131" s="160" t="str">
        <f ca="1"/>
        <v>Copy*3</v>
      </c>
      <c r="AA131" s="160" t="str">
        <f ca="1"/>
        <v>Share*1</v>
      </c>
      <c r="AB131" s="160" t="str">
        <f ca="1"/>
        <v>Share*2</v>
      </c>
      <c r="AC131" s="160" t="str">
        <f ca="1"/>
        <v>Share*3</v>
      </c>
      <c r="AD131" s="160" t="str">
        <f ca="1"/>
        <v>Placeholders</v>
      </c>
      <c r="AE131" s="213" t="b">
        <v>0</v>
      </c>
      <c r="AF131" s="203" t="str">
        <f t="shared" si="55"/>
        <v/>
      </c>
      <c r="AG131" s="203" t="str">
        <f t="shared" si="51"/>
        <v/>
      </c>
      <c r="AH131" s="195" t="s">
        <v>522</v>
      </c>
      <c r="AI131" s="176" t="str">
        <f ca="1">IFERROR(VLOOKUP($AH131, '(勿動)Component Label公版'!$D$1:$E$1000, 2, FALSE), "-")</f>
        <v>-</v>
      </c>
      <c r="AJ131" s="412"/>
      <c r="AK131" s="203"/>
      <c r="AL131" s="203"/>
      <c r="AM131" s="203" t="str">
        <f t="shared" ref="AM131:AM238" si="56">IFERROR(
  IF(TRIM(AK131)="", "",
    TEXT(
      DATEVALUE("2026/" &amp; LEFT(TRIM(AK131), FIND(" ", TRIM(AK131)) - 1)) +
      TIMEVALUE(MID(TRIM(AK131), FIND(" ", TRIM(AK131)) + 1, LEN(TRIM(AK131)))),
      "yyyy-mm-dd hh:mm:ss"
    )
  ),
"")</f>
        <v/>
      </c>
      <c r="AN131" s="204" t="str">
        <f t="shared" ref="AN131:AN238" si="57">IFERROR(
  IF(TRIM(AL131)="", "",
    TEXT(
      DATEVALUE("2026/" &amp; LEFT(TRIM(AL131), FIND(" ", TRIM(AL131)) - 1)) +
      TIMEVALUE(MID(TRIM(AL131), FIND(" ", TRIM(AL131)) + 1, 5)) +
      TIME(0,0,59),
      "yyyy-mm-dd hh:mm:ss"
    )
  ),
"")</f>
        <v/>
      </c>
      <c r="AO131" s="535" t="s">
        <v>268</v>
      </c>
      <c r="AP131" s="384"/>
      <c r="AQ131" s="384"/>
      <c r="AR131" s="384"/>
      <c r="AS131" s="384"/>
      <c r="AT131" s="385"/>
      <c r="AU131" s="235" t="b">
        <v>1</v>
      </c>
      <c r="AV131" s="180" t="b">
        <v>0</v>
      </c>
      <c r="AW131" s="186"/>
      <c r="AX131" s="187"/>
      <c r="AY131" s="187"/>
      <c r="AZ131" s="187"/>
      <c r="BA131" s="188"/>
      <c r="BB131" s="191" t="s">
        <v>147</v>
      </c>
      <c r="BC131" s="179" t="s">
        <v>154</v>
      </c>
      <c r="BD131" s="198" t="str">
        <f t="shared" si="49"/>
        <v>圖_MSBN_無CTA</v>
      </c>
      <c r="BE131" s="190" t="str">
        <f>IFERROR(VLOOKUP($BD131,'(勿動)組件目錄表'!$D$15:$R$1110,2,FALSE),"")</f>
        <v>I-1</v>
      </c>
      <c r="BF131" s="205">
        <f>IFERROR(VLOOKUP($BD131, '(勿動)組件目錄表'!$D$15:$R$1110, 5, FALSE),"")</f>
        <v>0.5</v>
      </c>
      <c r="BG131" s="118"/>
      <c r="BH131" s="120"/>
      <c r="BI131" s="118"/>
      <c r="BJ131" s="120"/>
    </row>
    <row r="132" spans="1:62" ht="15.75" customHeight="1">
      <c r="A132" s="160" t="str">
        <f t="array" aca="1" ref="A132:AD132" ca="1">IFERROR(TRANSPOSE(INDIRECT(L1_暖正版配!$BB132)),"")</f>
        <v>無CTA</v>
      </c>
      <c r="B132" s="160" t="str">
        <f ca="1"/>
        <v>LINK*1</v>
      </c>
      <c r="C132" s="160" t="str">
        <f ca="1"/>
        <v>LINK*2</v>
      </c>
      <c r="D132" s="160" t="str">
        <f ca="1"/>
        <v>LINK*3</v>
      </c>
      <c r="E132" s="160" t="str">
        <f ca="1"/>
        <v>LINK&gt;3</v>
      </c>
      <c r="F132" s="160" t="str">
        <f ca="1"/>
        <v>Reminder*1</v>
      </c>
      <c r="G132" s="160" t="str">
        <f ca="1"/>
        <v>Reminder*2</v>
      </c>
      <c r="H132" s="160" t="str">
        <f ca="1"/>
        <v>Reminder*3</v>
      </c>
      <c r="I132" s="160" t="str">
        <f ca="1"/>
        <v>Reminder*4</v>
      </c>
      <c r="J132" s="160" t="str">
        <f ca="1"/>
        <v>Reminder*5</v>
      </c>
      <c r="K132" s="160" t="str">
        <f ca="1"/>
        <v>Reminder&gt;5</v>
      </c>
      <c r="L132" s="160" t="str">
        <f ca="1"/>
        <v>LINK*1 + Reminder*1</v>
      </c>
      <c r="M132" s="160" t="str">
        <f ca="1"/>
        <v>LINK*1 + Reminder*2</v>
      </c>
      <c r="N132" s="160" t="str">
        <f ca="1"/>
        <v>LINK*2 + Reminder*1</v>
      </c>
      <c r="O132" s="160" t="str">
        <f ca="1"/>
        <v>Add to Cart*1</v>
      </c>
      <c r="P132" s="160" t="str">
        <f ca="1"/>
        <v>Add to Cart*2</v>
      </c>
      <c r="Q132" s="160" t="str">
        <f ca="1"/>
        <v>Add to Cart*3</v>
      </c>
      <c r="R132" s="160" t="str">
        <f ca="1"/>
        <v>(Reminder+ATC) *1</v>
      </c>
      <c r="S132" s="160" t="str">
        <f ca="1"/>
        <v>(Reminder+ATC) *2</v>
      </c>
      <c r="T132" s="160" t="str">
        <f ca="1"/>
        <v>(Reminder+ATC) *3</v>
      </c>
      <c r="U132" s="160" t="str">
        <f ca="1"/>
        <v>Popup*1</v>
      </c>
      <c r="V132" s="160" t="str">
        <f ca="1"/>
        <v>Popup*2</v>
      </c>
      <c r="W132" s="160" t="str">
        <f ca="1"/>
        <v>Popup*3</v>
      </c>
      <c r="X132" s="160" t="str">
        <f ca="1"/>
        <v>Copy*1</v>
      </c>
      <c r="Y132" s="160" t="str">
        <f ca="1"/>
        <v>Copy*2</v>
      </c>
      <c r="Z132" s="160" t="str">
        <f ca="1"/>
        <v>Copy*3</v>
      </c>
      <c r="AA132" s="160" t="str">
        <f ca="1"/>
        <v>Share*1</v>
      </c>
      <c r="AB132" s="160" t="str">
        <f ca="1"/>
        <v>Share*2</v>
      </c>
      <c r="AC132" s="160" t="str">
        <f ca="1"/>
        <v>Share*3</v>
      </c>
      <c r="AD132" s="160" t="str">
        <f ca="1"/>
        <v>Placeholders</v>
      </c>
      <c r="AE132" s="172" t="b">
        <v>1</v>
      </c>
      <c r="AF132" s="173" t="s">
        <v>429</v>
      </c>
      <c r="AG132" s="174" t="str">
        <f t="shared" ca="1" si="51"/>
        <v>-</v>
      </c>
      <c r="AH132" s="195" t="s">
        <v>693</v>
      </c>
      <c r="AI132" s="176" t="str">
        <f ca="1">IFERROR(VLOOKUP($AH132, '(勿動)Component Label公版'!$D$1:$E$1000, 2, FALSE), "-")</f>
        <v>-</v>
      </c>
      <c r="AJ132" s="177"/>
      <c r="AK132" s="174"/>
      <c r="AL132" s="174"/>
      <c r="AM132" s="189" t="str">
        <f t="shared" si="56"/>
        <v/>
      </c>
      <c r="AN132" s="190" t="str">
        <f t="shared" si="57"/>
        <v/>
      </c>
      <c r="AO132" s="533" t="s">
        <v>694</v>
      </c>
      <c r="AP132" s="384"/>
      <c r="AQ132" s="384"/>
      <c r="AR132" s="384"/>
      <c r="AS132" s="384"/>
      <c r="AT132" s="385"/>
      <c r="AU132" s="235" t="b">
        <v>1</v>
      </c>
      <c r="AV132" s="180" t="b">
        <v>0</v>
      </c>
      <c r="AW132" s="186"/>
      <c r="AX132" s="187"/>
      <c r="AY132" s="187"/>
      <c r="AZ132" s="187"/>
      <c r="BA132" s="188"/>
      <c r="BB132" s="191" t="s">
        <v>147</v>
      </c>
      <c r="BC132" s="179" t="s">
        <v>154</v>
      </c>
      <c r="BD132" s="198" t="str">
        <f t="shared" si="49"/>
        <v>圖_MSBN_無CTA</v>
      </c>
      <c r="BE132" s="199" t="str">
        <f>IFERROR(VLOOKUP($BD132,'(勿動)組件目錄表'!$D$15:$R$1110,2,FALSE),"")</f>
        <v>I-1</v>
      </c>
      <c r="BF132" s="200">
        <f>IFERROR(VLOOKUP($BD132, '(勿動)組件目錄表'!$D$15:$R$1110, 5, FALSE),"")</f>
        <v>0.5</v>
      </c>
      <c r="BG132" s="592" t="s">
        <v>695</v>
      </c>
      <c r="BH132" s="183"/>
      <c r="BI132" s="181"/>
      <c r="BJ132" s="183"/>
    </row>
    <row r="133" spans="1:62" ht="15.75" customHeight="1">
      <c r="A133" s="160" t="str">
        <f t="array" aca="1" ref="A133:AD133" ca="1">IFERROR(TRANSPOSE(INDIRECT(L1_暖正版配!$BB133)),"")</f>
        <v>無CTA</v>
      </c>
      <c r="B133" s="160" t="str">
        <f ca="1"/>
        <v>LINK*1</v>
      </c>
      <c r="C133" s="160" t="str">
        <f ca="1"/>
        <v>LINK*2</v>
      </c>
      <c r="D133" s="160" t="str">
        <f ca="1"/>
        <v>LINK*3</v>
      </c>
      <c r="E133" s="160" t="str">
        <f ca="1"/>
        <v>LINK&gt;3</v>
      </c>
      <c r="F133" s="160" t="str">
        <f ca="1"/>
        <v>Reminder*1</v>
      </c>
      <c r="G133" s="160" t="str">
        <f ca="1"/>
        <v>Reminder*2</v>
      </c>
      <c r="H133" s="160" t="str">
        <f ca="1"/>
        <v>Reminder*3</v>
      </c>
      <c r="I133" s="160" t="str">
        <f ca="1"/>
        <v>Reminder*4</v>
      </c>
      <c r="J133" s="160" t="str">
        <f ca="1"/>
        <v>Reminder*5</v>
      </c>
      <c r="K133" s="160" t="str">
        <f ca="1"/>
        <v>Reminder&gt;5</v>
      </c>
      <c r="L133" s="160" t="str">
        <f ca="1"/>
        <v>LINK*1 + Reminder*1</v>
      </c>
      <c r="M133" s="160" t="str">
        <f ca="1"/>
        <v>LINK*1 + Reminder*2</v>
      </c>
      <c r="N133" s="160" t="str">
        <f ca="1"/>
        <v>LINK*2 + Reminder*1</v>
      </c>
      <c r="O133" s="160" t="str">
        <f ca="1"/>
        <v>Add to Cart*1</v>
      </c>
      <c r="P133" s="160" t="str">
        <f ca="1"/>
        <v>Add to Cart*2</v>
      </c>
      <c r="Q133" s="160" t="str">
        <f ca="1"/>
        <v>Add to Cart*3</v>
      </c>
      <c r="R133" s="160" t="str">
        <f ca="1"/>
        <v>(Reminder+ATC) *1</v>
      </c>
      <c r="S133" s="160" t="str">
        <f ca="1"/>
        <v>(Reminder+ATC) *2</v>
      </c>
      <c r="T133" s="160" t="str">
        <f ca="1"/>
        <v>(Reminder+ATC) *3</v>
      </c>
      <c r="U133" s="160" t="str">
        <f ca="1"/>
        <v>Popup*1</v>
      </c>
      <c r="V133" s="160" t="str">
        <f ca="1"/>
        <v>Popup*2</v>
      </c>
      <c r="W133" s="160" t="str">
        <f ca="1"/>
        <v>Popup*3</v>
      </c>
      <c r="X133" s="160" t="str">
        <f ca="1"/>
        <v>Copy*1</v>
      </c>
      <c r="Y133" s="160" t="str">
        <f ca="1"/>
        <v>Copy*2</v>
      </c>
      <c r="Z133" s="160" t="str">
        <f ca="1"/>
        <v>Copy*3</v>
      </c>
      <c r="AA133" s="160" t="str">
        <f ca="1"/>
        <v>Share*1</v>
      </c>
      <c r="AB133" s="160" t="str">
        <f ca="1"/>
        <v>Share*2</v>
      </c>
      <c r="AC133" s="160" t="str">
        <f ca="1"/>
        <v>Share*3</v>
      </c>
      <c r="AD133" s="160" t="str">
        <f ca="1"/>
        <v>Placeholders</v>
      </c>
      <c r="AE133" s="226" t="b">
        <v>0</v>
      </c>
      <c r="AF133" s="173" t="str">
        <f>IF(AE133=TRUE,"若有勾選則必填，隱藏錨點請填寫&lt;設隱形錨點&gt;","")</f>
        <v/>
      </c>
      <c r="AG133" s="174" t="str">
        <f t="shared" si="51"/>
        <v/>
      </c>
      <c r="AH133" s="195" t="s">
        <v>693</v>
      </c>
      <c r="AI133" s="176" t="str">
        <f ca="1">IFERROR(VLOOKUP($AH133, '(勿動)Component Label公版'!$D$1:$E$1000, 2, FALSE), "-")</f>
        <v>-</v>
      </c>
      <c r="AJ133" s="177"/>
      <c r="AK133" s="174"/>
      <c r="AL133" s="174"/>
      <c r="AM133" s="189" t="str">
        <f t="shared" si="56"/>
        <v/>
      </c>
      <c r="AN133" s="190" t="str">
        <f t="shared" si="57"/>
        <v/>
      </c>
      <c r="AO133" s="533" t="s">
        <v>696</v>
      </c>
      <c r="AP133" s="384"/>
      <c r="AQ133" s="384"/>
      <c r="AR133" s="384"/>
      <c r="AS133" s="384"/>
      <c r="AT133" s="385"/>
      <c r="AU133" s="235" t="b">
        <v>1</v>
      </c>
      <c r="AV133" s="180" t="b">
        <v>0</v>
      </c>
      <c r="AW133" s="186"/>
      <c r="AX133" s="187"/>
      <c r="AY133" s="187"/>
      <c r="AZ133" s="187"/>
      <c r="BA133" s="188"/>
      <c r="BB133" s="191" t="s">
        <v>147</v>
      </c>
      <c r="BC133" s="179" t="s">
        <v>154</v>
      </c>
      <c r="BD133" s="198" t="str">
        <f t="shared" si="49"/>
        <v>圖_MSBN_無CTA</v>
      </c>
      <c r="BE133" s="199" t="str">
        <f>IFERROR(VLOOKUP($BD133,'(勿動)組件目錄表'!$D$15:$R$1110,2,FALSE),"")</f>
        <v>I-1</v>
      </c>
      <c r="BF133" s="200">
        <f>IFERROR(VLOOKUP($BD133, '(勿動)組件目錄表'!$D$15:$R$1110, 5, FALSE),"")</f>
        <v>0.5</v>
      </c>
      <c r="BG133" s="587"/>
      <c r="BH133" s="183"/>
      <c r="BI133" s="181"/>
      <c r="BJ133" s="183"/>
    </row>
    <row r="134" spans="1:62" ht="15.75" customHeight="1">
      <c r="A134" s="160" t="str">
        <f t="array" aca="1" ref="A134:G134" ca="1">IFERROR(TRANSPOSE(INDIRECT(L1_暖正版配!$BB134)),"")</f>
        <v>一排1品(垂直展示)</v>
      </c>
      <c r="B134" s="160" t="str">
        <f ca="1"/>
        <v>一排2品(垂直展示)</v>
      </c>
      <c r="C134" s="160" t="str">
        <f ca="1"/>
        <v>一排3品(垂直展示)</v>
      </c>
      <c r="D134" s="160" t="str">
        <f ca="1"/>
        <v>Collection 1條(水平展示)</v>
      </c>
      <c r="E134" s="160" t="str">
        <f ca="1"/>
        <v>Collection 1條(水平展示) + 查看全部(Footer)</v>
      </c>
      <c r="F134" s="160" t="str">
        <f ca="1"/>
        <v>Multi tabs</v>
      </c>
      <c r="G134" s="160" t="str">
        <f ca="1"/>
        <v>推薦品 Item Recommendation-固定</v>
      </c>
      <c r="H134" s="160"/>
      <c r="I134" s="160"/>
      <c r="J134" s="160"/>
      <c r="K134" s="160"/>
      <c r="L134" s="160"/>
      <c r="M134" s="160"/>
      <c r="N134" s="160"/>
      <c r="O134" s="160"/>
      <c r="P134" s="160"/>
      <c r="Q134" s="160"/>
      <c r="R134" s="160"/>
      <c r="S134" s="160"/>
      <c r="T134" s="160"/>
      <c r="U134" s="160"/>
      <c r="V134" s="160"/>
      <c r="W134" s="160"/>
      <c r="X134" s="160"/>
      <c r="Y134" s="160"/>
      <c r="Z134" s="160"/>
      <c r="AA134" s="160"/>
      <c r="AB134" s="160"/>
      <c r="AC134" s="160"/>
      <c r="AD134" s="160"/>
      <c r="AE134" s="172" t="b">
        <v>0</v>
      </c>
      <c r="AF134" s="174" t="str">
        <f t="shared" ref="AF134:AG134" si="58">IF(AE134="設隱形錨點","",IF(AD134=FALSE,"",IF(AD134=TRUE, SUBSTITUTE($AI134, "_", ""))))</f>
        <v/>
      </c>
      <c r="AG134" s="174" t="str">
        <f t="shared" si="58"/>
        <v/>
      </c>
      <c r="AH134" s="195" t="s">
        <v>693</v>
      </c>
      <c r="AI134" s="176" t="str">
        <f ca="1">IFERROR(VLOOKUP($AH134, '(勿動)Component Label公版'!$D$1:$E$1000, 2, FALSE), "-")</f>
        <v>-</v>
      </c>
      <c r="AJ134" s="177"/>
      <c r="AK134" s="174"/>
      <c r="AL134" s="174"/>
      <c r="AM134" s="189" t="str">
        <f t="shared" si="56"/>
        <v/>
      </c>
      <c r="AN134" s="190" t="str">
        <f t="shared" si="57"/>
        <v/>
      </c>
      <c r="AO134" s="528" t="s">
        <v>697</v>
      </c>
      <c r="AP134" s="385"/>
      <c r="AQ134" s="528" t="s">
        <v>698</v>
      </c>
      <c r="AR134" s="385"/>
      <c r="AS134" s="528" t="s">
        <v>699</v>
      </c>
      <c r="AT134" s="385"/>
      <c r="AU134" s="180" t="b">
        <v>0</v>
      </c>
      <c r="AV134" s="180" t="b">
        <v>0</v>
      </c>
      <c r="AW134" s="186"/>
      <c r="AX134" s="187"/>
      <c r="AY134" s="187"/>
      <c r="AZ134" s="187"/>
      <c r="BA134" s="188"/>
      <c r="BB134" s="191" t="s">
        <v>264</v>
      </c>
      <c r="BC134" s="179" t="s">
        <v>256</v>
      </c>
      <c r="BD134" s="198" t="str">
        <f t="shared" si="49"/>
        <v>品_一排3品(垂直展示)</v>
      </c>
      <c r="BE134" s="199" t="str">
        <f>IFERROR(VLOOKUP($BD134,'(勿動)組件目錄表'!$D$15:$R$1110,2,FALSE),"")</f>
        <v>G-3</v>
      </c>
      <c r="BF134" s="200">
        <f>IFERROR(VLOOKUP($BD134, '(勿動)組件目錄表'!$D$15:$R$1110, 5, FALSE),"")</f>
        <v>1</v>
      </c>
      <c r="BG134" s="181"/>
      <c r="BH134" s="183"/>
      <c r="BI134" s="181"/>
      <c r="BJ134" s="183"/>
    </row>
    <row r="135" spans="1:62" ht="15.75" customHeight="1">
      <c r="A135" s="160" t="str">
        <f t="array" aca="1" ref="A135:G135" ca="1">IFERROR(TRANSPOSE(INDIRECT(L1_暖正版配!$BB135)),"")</f>
        <v>一排1品(垂直展示)</v>
      </c>
      <c r="B135" s="160" t="str">
        <f ca="1"/>
        <v>一排2品(垂直展示)</v>
      </c>
      <c r="C135" s="160" t="str">
        <f ca="1"/>
        <v>一排3品(垂直展示)</v>
      </c>
      <c r="D135" s="160" t="str">
        <f ca="1"/>
        <v>Collection 1條(水平展示)</v>
      </c>
      <c r="E135" s="160" t="str">
        <f ca="1"/>
        <v>Collection 1條(水平展示) + 查看全部(Footer)</v>
      </c>
      <c r="F135" s="160" t="str">
        <f ca="1"/>
        <v>Multi tabs</v>
      </c>
      <c r="G135" s="160" t="str">
        <f ca="1"/>
        <v>推薦品 Item Recommendation-固定</v>
      </c>
      <c r="H135" s="160"/>
      <c r="I135" s="160"/>
      <c r="J135" s="160"/>
      <c r="K135" s="160"/>
      <c r="L135" s="160"/>
      <c r="M135" s="160"/>
      <c r="N135" s="160"/>
      <c r="O135" s="160"/>
      <c r="P135" s="160"/>
      <c r="Q135" s="160"/>
      <c r="R135" s="160"/>
      <c r="S135" s="160"/>
      <c r="T135" s="160"/>
      <c r="U135" s="160"/>
      <c r="V135" s="160"/>
      <c r="W135" s="160"/>
      <c r="X135" s="160"/>
      <c r="Y135" s="160"/>
      <c r="Z135" s="160"/>
      <c r="AA135" s="160"/>
      <c r="AB135" s="160"/>
      <c r="AC135" s="160"/>
      <c r="AD135" s="160"/>
      <c r="AE135" s="172" t="b">
        <v>0</v>
      </c>
      <c r="AF135" s="174" t="str">
        <f t="shared" ref="AF135:AG135" si="59">IF(AE135="設隱形錨點","",IF(AD135=FALSE,"",IF(AD135=TRUE, SUBSTITUTE($AI135, "_", ""))))</f>
        <v/>
      </c>
      <c r="AG135" s="174" t="str">
        <f t="shared" si="59"/>
        <v/>
      </c>
      <c r="AH135" s="195" t="s">
        <v>693</v>
      </c>
      <c r="AI135" s="176" t="str">
        <f ca="1">IFERROR(VLOOKUP($AH135, '(勿動)Component Label公版'!$D$1:$E$1000, 2, FALSE), "-")</f>
        <v>-</v>
      </c>
      <c r="AJ135" s="177"/>
      <c r="AK135" s="174"/>
      <c r="AL135" s="174"/>
      <c r="AM135" s="189" t="str">
        <f t="shared" si="56"/>
        <v/>
      </c>
      <c r="AN135" s="190" t="str">
        <f t="shared" si="57"/>
        <v/>
      </c>
      <c r="AO135" s="174" t="s">
        <v>700</v>
      </c>
      <c r="AP135" s="174" t="s">
        <v>701</v>
      </c>
      <c r="AQ135" s="174" t="s">
        <v>702</v>
      </c>
      <c r="AR135" s="174" t="s">
        <v>703</v>
      </c>
      <c r="AS135" s="174" t="s">
        <v>704</v>
      </c>
      <c r="AT135" s="571"/>
      <c r="AU135" s="180" t="b">
        <v>0</v>
      </c>
      <c r="AV135" s="180" t="b">
        <v>0</v>
      </c>
      <c r="AW135" s="186"/>
      <c r="AX135" s="187"/>
      <c r="AY135" s="187"/>
      <c r="AZ135" s="187"/>
      <c r="BA135" s="188"/>
      <c r="BB135" s="191" t="s">
        <v>264</v>
      </c>
      <c r="BC135" s="179" t="s">
        <v>259</v>
      </c>
      <c r="BD135" s="198" t="str">
        <f t="shared" si="49"/>
        <v>品_Multi tabs</v>
      </c>
      <c r="BE135" s="199" t="str">
        <f>IFERROR(VLOOKUP($BD135,'(勿動)組件目錄表'!$D$15:$R$1110,2,FALSE),"")</f>
        <v>G-7</v>
      </c>
      <c r="BF135" s="200">
        <f>IFERROR(VLOOKUP($BD135, '(勿動)組件目錄表'!$D$15:$R$1110, 5, FALSE),"")</f>
        <v>1</v>
      </c>
      <c r="BG135" s="181"/>
      <c r="BH135" s="183"/>
      <c r="BI135" s="181"/>
      <c r="BJ135" s="183"/>
    </row>
    <row r="136" spans="1:62" ht="15.75" customHeight="1">
      <c r="A136" s="160" t="str">
        <f t="array" aca="1" ref="A136:G136" ca="1">IFERROR(TRANSPOSE(INDIRECT(L1_暖正版配!$BB136)),"")</f>
        <v>一排1品(垂直展示)</v>
      </c>
      <c r="B136" s="160" t="str">
        <f ca="1"/>
        <v>一排2品(垂直展示)</v>
      </c>
      <c r="C136" s="160" t="str">
        <f ca="1"/>
        <v>一排3品(垂直展示)</v>
      </c>
      <c r="D136" s="160" t="str">
        <f ca="1"/>
        <v>Collection 1條(水平展示)</v>
      </c>
      <c r="E136" s="160" t="str">
        <f ca="1"/>
        <v>Collection 1條(水平展示) + 查看全部(Footer)</v>
      </c>
      <c r="F136" s="160" t="str">
        <f ca="1"/>
        <v>Multi tabs</v>
      </c>
      <c r="G136" s="160" t="str">
        <f ca="1"/>
        <v>推薦品 Item Recommendation-固定</v>
      </c>
      <c r="H136" s="160"/>
      <c r="I136" s="160"/>
      <c r="J136" s="160"/>
      <c r="K136" s="160"/>
      <c r="L136" s="160"/>
      <c r="M136" s="160"/>
      <c r="N136" s="160"/>
      <c r="O136" s="160"/>
      <c r="P136" s="160"/>
      <c r="Q136" s="160"/>
      <c r="R136" s="160"/>
      <c r="S136" s="160"/>
      <c r="T136" s="160"/>
      <c r="U136" s="160"/>
      <c r="V136" s="160"/>
      <c r="W136" s="160"/>
      <c r="X136" s="160"/>
      <c r="Y136" s="160"/>
      <c r="Z136" s="160"/>
      <c r="AA136" s="160"/>
      <c r="AB136" s="160"/>
      <c r="AC136" s="160"/>
      <c r="AD136" s="160"/>
      <c r="AE136" s="172" t="b">
        <v>0</v>
      </c>
      <c r="AF136" s="174" t="str">
        <f t="shared" ref="AF136:AG136" si="60">IF(AE136="設隱形錨點","",IF(AD136=FALSE,"",IF(AD136=TRUE, SUBSTITUTE($AI136, "_", ""))))</f>
        <v/>
      </c>
      <c r="AG136" s="174" t="str">
        <f t="shared" si="60"/>
        <v/>
      </c>
      <c r="AH136" s="195" t="s">
        <v>693</v>
      </c>
      <c r="AI136" s="176" t="str">
        <f ca="1">IFERROR(VLOOKUP($AH136, '(勿動)Component Label公版'!$D$1:$E$1000, 2, FALSE), "-")</f>
        <v>-</v>
      </c>
      <c r="AJ136" s="177"/>
      <c r="AK136" s="174"/>
      <c r="AL136" s="174"/>
      <c r="AM136" s="189" t="str">
        <f t="shared" si="56"/>
        <v/>
      </c>
      <c r="AN136" s="190" t="str">
        <f t="shared" si="57"/>
        <v/>
      </c>
      <c r="AO136" s="174" t="s">
        <v>705</v>
      </c>
      <c r="AP136" s="174" t="s">
        <v>706</v>
      </c>
      <c r="AQ136" s="174" t="s">
        <v>707</v>
      </c>
      <c r="AR136" s="174" t="s">
        <v>708</v>
      </c>
      <c r="AS136" s="174" t="s">
        <v>709</v>
      </c>
      <c r="AT136" s="568"/>
      <c r="AU136" s="180" t="b">
        <v>0</v>
      </c>
      <c r="AV136" s="180" t="b">
        <v>0</v>
      </c>
      <c r="AW136" s="186"/>
      <c r="AX136" s="187"/>
      <c r="AY136" s="187"/>
      <c r="AZ136" s="187"/>
      <c r="BA136" s="188"/>
      <c r="BB136" s="191" t="s">
        <v>264</v>
      </c>
      <c r="BC136" s="179" t="s">
        <v>259</v>
      </c>
      <c r="BD136" s="198" t="str">
        <f t="shared" si="49"/>
        <v>品_Multi tabs</v>
      </c>
      <c r="BE136" s="199" t="str">
        <f>IFERROR(VLOOKUP($BD136,'(勿動)組件目錄表'!$D$15:$R$1110,2,FALSE),"")</f>
        <v>G-7</v>
      </c>
      <c r="BF136" s="200">
        <f>IFERROR(VLOOKUP($BD136, '(勿動)組件目錄表'!$D$15:$R$1110, 5, FALSE),"")</f>
        <v>1</v>
      </c>
      <c r="BG136" s="181"/>
      <c r="BH136" s="183"/>
      <c r="BI136" s="181"/>
      <c r="BJ136" s="183"/>
    </row>
    <row r="137" spans="1:62" ht="15.75" customHeight="1">
      <c r="A137" s="160" t="str">
        <f t="array" aca="1" ref="A137:AD137" ca="1">IFERROR(TRANSPOSE(INDIRECT(L1_暖正版配!$BB137)),"")</f>
        <v>無CTA</v>
      </c>
      <c r="B137" s="160" t="str">
        <f ca="1"/>
        <v>LINK*1</v>
      </c>
      <c r="C137" s="160" t="str">
        <f ca="1"/>
        <v>LINK*2</v>
      </c>
      <c r="D137" s="160" t="str">
        <f ca="1"/>
        <v>LINK*3</v>
      </c>
      <c r="E137" s="160" t="str">
        <f ca="1"/>
        <v>LINK&gt;3</v>
      </c>
      <c r="F137" s="160" t="str">
        <f ca="1"/>
        <v>Reminder*1</v>
      </c>
      <c r="G137" s="160" t="str">
        <f ca="1"/>
        <v>Reminder*2</v>
      </c>
      <c r="H137" s="160" t="str">
        <f ca="1"/>
        <v>Reminder*3</v>
      </c>
      <c r="I137" s="160" t="str">
        <f ca="1"/>
        <v>Reminder*4</v>
      </c>
      <c r="J137" s="160" t="str">
        <f ca="1"/>
        <v>Reminder*5</v>
      </c>
      <c r="K137" s="160" t="str">
        <f ca="1"/>
        <v>Reminder&gt;5</v>
      </c>
      <c r="L137" s="160" t="str">
        <f ca="1"/>
        <v>LINK*1 + Reminder*1</v>
      </c>
      <c r="M137" s="160" t="str">
        <f ca="1"/>
        <v>LINK*1 + Reminder*2</v>
      </c>
      <c r="N137" s="160" t="str">
        <f ca="1"/>
        <v>LINK*2 + Reminder*1</v>
      </c>
      <c r="O137" s="160" t="str">
        <f ca="1"/>
        <v>Add to Cart*1</v>
      </c>
      <c r="P137" s="160" t="str">
        <f ca="1"/>
        <v>Add to Cart*2</v>
      </c>
      <c r="Q137" s="160" t="str">
        <f ca="1"/>
        <v>Add to Cart*3</v>
      </c>
      <c r="R137" s="160" t="str">
        <f ca="1"/>
        <v>(Reminder+ATC) *1</v>
      </c>
      <c r="S137" s="160" t="str">
        <f ca="1"/>
        <v>(Reminder+ATC) *2</v>
      </c>
      <c r="T137" s="160" t="str">
        <f ca="1"/>
        <v>(Reminder+ATC) *3</v>
      </c>
      <c r="U137" s="160" t="str">
        <f ca="1"/>
        <v>Popup*1</v>
      </c>
      <c r="V137" s="160" t="str">
        <f ca="1"/>
        <v>Popup*2</v>
      </c>
      <c r="W137" s="160" t="str">
        <f ca="1"/>
        <v>Popup*3</v>
      </c>
      <c r="X137" s="160" t="str">
        <f ca="1"/>
        <v>Copy*1</v>
      </c>
      <c r="Y137" s="160" t="str">
        <f ca="1"/>
        <v>Copy*2</v>
      </c>
      <c r="Z137" s="160" t="str">
        <f ca="1"/>
        <v>Copy*3</v>
      </c>
      <c r="AA137" s="160" t="str">
        <f ca="1"/>
        <v>Share*1</v>
      </c>
      <c r="AB137" s="160" t="str">
        <f ca="1"/>
        <v>Share*2</v>
      </c>
      <c r="AC137" s="160" t="str">
        <f ca="1"/>
        <v>Share*3</v>
      </c>
      <c r="AD137" s="160" t="str">
        <f ca="1"/>
        <v>Placeholders</v>
      </c>
      <c r="AE137" s="213" t="b">
        <v>0</v>
      </c>
      <c r="AF137" s="203" t="str">
        <f>IF(AE137=TRUE,"若有勾選則必填，隱藏錨點請填寫&lt;設隱形錨點&gt;","")</f>
        <v/>
      </c>
      <c r="AG137" s="203" t="str">
        <f t="shared" ref="AG137:AG238" si="61">IF(AF137="設隱形錨點","",IF(AE137=FALSE,"",IF(AE137=TRUE, SUBSTITUTE($AI137, "_", ""))))</f>
        <v/>
      </c>
      <c r="AH137" s="195" t="s">
        <v>693</v>
      </c>
      <c r="AI137" s="176" t="str">
        <f ca="1">IFERROR(VLOOKUP($AH137, '(勿動)Component Label公版'!$D$1:$E$1000, 2, FALSE), "-")</f>
        <v>-</v>
      </c>
      <c r="AJ137" s="237"/>
      <c r="AK137" s="203"/>
      <c r="AL137" s="203"/>
      <c r="AM137" s="203" t="str">
        <f t="shared" si="56"/>
        <v/>
      </c>
      <c r="AN137" s="204" t="str">
        <f t="shared" si="57"/>
        <v/>
      </c>
      <c r="AO137" s="535" t="s">
        <v>268</v>
      </c>
      <c r="AP137" s="384"/>
      <c r="AQ137" s="384"/>
      <c r="AR137" s="384"/>
      <c r="AS137" s="384"/>
      <c r="AT137" s="385"/>
      <c r="AU137" s="235" t="b">
        <v>1</v>
      </c>
      <c r="AV137" s="180" t="b">
        <v>0</v>
      </c>
      <c r="AW137" s="186"/>
      <c r="AX137" s="187"/>
      <c r="AY137" s="187"/>
      <c r="AZ137" s="187"/>
      <c r="BA137" s="188"/>
      <c r="BB137" s="191" t="s">
        <v>147</v>
      </c>
      <c r="BC137" s="179" t="s">
        <v>154</v>
      </c>
      <c r="BD137" s="198" t="str">
        <f t="shared" si="49"/>
        <v>圖_MSBN_無CTA</v>
      </c>
      <c r="BE137" s="190" t="str">
        <f>IFERROR(VLOOKUP($BD137,'(勿動)組件目錄表'!$D$15:$R$1110,2,FALSE),"")</f>
        <v>I-1</v>
      </c>
      <c r="BF137" s="205">
        <f>IFERROR(VLOOKUP($BD137, '(勿動)組件目錄表'!$D$15:$R$1110, 5, FALSE),"")</f>
        <v>0.5</v>
      </c>
      <c r="BG137" s="206" t="s">
        <v>710</v>
      </c>
      <c r="BH137" s="120"/>
      <c r="BI137" s="118"/>
      <c r="BJ137" s="244" t="s">
        <v>711</v>
      </c>
    </row>
    <row r="138" spans="1:62" ht="15.75" customHeight="1">
      <c r="A138" s="160" t="str">
        <f t="array" aca="1" ref="A138:AD138" ca="1">IFERROR(TRANSPOSE(INDIRECT(L1_暖正版配!$BB138)),"")</f>
        <v>無CTA</v>
      </c>
      <c r="B138" s="160" t="str">
        <f ca="1"/>
        <v>LINK*1</v>
      </c>
      <c r="C138" s="160" t="str">
        <f ca="1"/>
        <v>LINK*2</v>
      </c>
      <c r="D138" s="160" t="str">
        <f ca="1"/>
        <v>LINK*3</v>
      </c>
      <c r="E138" s="160" t="str">
        <f ca="1"/>
        <v>LINK&gt;3</v>
      </c>
      <c r="F138" s="160" t="str">
        <f ca="1"/>
        <v>Reminder*1</v>
      </c>
      <c r="G138" s="160" t="str">
        <f ca="1"/>
        <v>Reminder*2</v>
      </c>
      <c r="H138" s="160" t="str">
        <f ca="1"/>
        <v>Reminder*3</v>
      </c>
      <c r="I138" s="160" t="str">
        <f ca="1"/>
        <v>Reminder*4</v>
      </c>
      <c r="J138" s="160" t="str">
        <f ca="1"/>
        <v>Reminder*5</v>
      </c>
      <c r="K138" s="160" t="str">
        <f ca="1"/>
        <v>Reminder&gt;5</v>
      </c>
      <c r="L138" s="160" t="str">
        <f ca="1"/>
        <v>LINK*1 + Reminder*1</v>
      </c>
      <c r="M138" s="160" t="str">
        <f ca="1"/>
        <v>LINK*1 + Reminder*2</v>
      </c>
      <c r="N138" s="160" t="str">
        <f ca="1"/>
        <v>LINK*2 + Reminder*1</v>
      </c>
      <c r="O138" s="160" t="str">
        <f ca="1"/>
        <v>Add to Cart*1</v>
      </c>
      <c r="P138" s="160" t="str">
        <f ca="1"/>
        <v>Add to Cart*2</v>
      </c>
      <c r="Q138" s="160" t="str">
        <f ca="1"/>
        <v>Add to Cart*3</v>
      </c>
      <c r="R138" s="160" t="str">
        <f ca="1"/>
        <v>(Reminder+ATC) *1</v>
      </c>
      <c r="S138" s="160" t="str">
        <f ca="1"/>
        <v>(Reminder+ATC) *2</v>
      </c>
      <c r="T138" s="160" t="str">
        <f ca="1"/>
        <v>(Reminder+ATC) *3</v>
      </c>
      <c r="U138" s="160" t="str">
        <f ca="1"/>
        <v>Popup*1</v>
      </c>
      <c r="V138" s="160" t="str">
        <f ca="1"/>
        <v>Popup*2</v>
      </c>
      <c r="W138" s="160" t="str">
        <f ca="1"/>
        <v>Popup*3</v>
      </c>
      <c r="X138" s="160" t="str">
        <f ca="1"/>
        <v>Copy*1</v>
      </c>
      <c r="Y138" s="160" t="str">
        <f ca="1"/>
        <v>Copy*2</v>
      </c>
      <c r="Z138" s="160" t="str">
        <f ca="1"/>
        <v>Copy*3</v>
      </c>
      <c r="AA138" s="160" t="str">
        <f ca="1"/>
        <v>Share*1</v>
      </c>
      <c r="AB138" s="160" t="str">
        <f ca="1"/>
        <v>Share*2</v>
      </c>
      <c r="AC138" s="160" t="str">
        <f ca="1"/>
        <v>Share*3</v>
      </c>
      <c r="AD138" s="160" t="str">
        <f ca="1"/>
        <v>Placeholders</v>
      </c>
      <c r="AE138" s="172" t="b">
        <v>1</v>
      </c>
      <c r="AF138" s="173" t="s">
        <v>430</v>
      </c>
      <c r="AG138" s="174" t="str">
        <f t="shared" ca="1" si="61"/>
        <v>-</v>
      </c>
      <c r="AH138" s="195" t="s">
        <v>712</v>
      </c>
      <c r="AI138" s="176" t="str">
        <f ca="1">IFERROR(VLOOKUP($AH138, '(勿動)Component Label公版'!$D$1:$E$1000, 2, FALSE), "-")</f>
        <v>-</v>
      </c>
      <c r="AJ138" s="177"/>
      <c r="AK138" s="174"/>
      <c r="AL138" s="174"/>
      <c r="AM138" s="189" t="str">
        <f t="shared" si="56"/>
        <v/>
      </c>
      <c r="AN138" s="190" t="str">
        <f t="shared" si="57"/>
        <v/>
      </c>
      <c r="AO138" s="533" t="s">
        <v>713</v>
      </c>
      <c r="AP138" s="384"/>
      <c r="AQ138" s="384"/>
      <c r="AR138" s="384"/>
      <c r="AS138" s="384"/>
      <c r="AT138" s="385"/>
      <c r="AU138" s="235" t="b">
        <v>1</v>
      </c>
      <c r="AV138" s="180" t="b">
        <v>0</v>
      </c>
      <c r="AW138" s="186"/>
      <c r="AX138" s="187"/>
      <c r="AY138" s="187"/>
      <c r="AZ138" s="187"/>
      <c r="BA138" s="188"/>
      <c r="BB138" s="191" t="s">
        <v>147</v>
      </c>
      <c r="BC138" s="179" t="s">
        <v>154</v>
      </c>
      <c r="BD138" s="198" t="str">
        <f t="shared" si="49"/>
        <v>圖_MSBN_無CTA</v>
      </c>
      <c r="BE138" s="199" t="str">
        <f>IFERROR(VLOOKUP($BD138,'(勿動)組件目錄表'!$D$15:$R$1110,2,FALSE),"")</f>
        <v>I-1</v>
      </c>
      <c r="BF138" s="200">
        <f>IFERROR(VLOOKUP($BD138, '(勿動)組件目錄表'!$D$15:$R$1110, 5, FALSE),"")</f>
        <v>0.5</v>
      </c>
      <c r="BG138" s="592" t="s">
        <v>714</v>
      </c>
      <c r="BH138" s="183"/>
      <c r="BI138" s="181"/>
      <c r="BJ138" s="183"/>
    </row>
    <row r="139" spans="1:62" ht="15.75" customHeight="1">
      <c r="A139" s="160" t="str">
        <f t="array" aca="1" ref="A139:AD139" ca="1">IFERROR(TRANSPOSE(INDIRECT(L1_暖正版配!$BB139)),"")</f>
        <v>無CTA</v>
      </c>
      <c r="B139" s="160" t="str">
        <f ca="1"/>
        <v>LINK*1</v>
      </c>
      <c r="C139" s="160" t="str">
        <f ca="1"/>
        <v>LINK*2</v>
      </c>
      <c r="D139" s="160" t="str">
        <f ca="1"/>
        <v>LINK*3</v>
      </c>
      <c r="E139" s="160" t="str">
        <f ca="1"/>
        <v>LINK&gt;3</v>
      </c>
      <c r="F139" s="160" t="str">
        <f ca="1"/>
        <v>Reminder*1</v>
      </c>
      <c r="G139" s="160" t="str">
        <f ca="1"/>
        <v>Reminder*2</v>
      </c>
      <c r="H139" s="160" t="str">
        <f ca="1"/>
        <v>Reminder*3</v>
      </c>
      <c r="I139" s="160" t="str">
        <f ca="1"/>
        <v>Reminder*4</v>
      </c>
      <c r="J139" s="160" t="str">
        <f ca="1"/>
        <v>Reminder*5</v>
      </c>
      <c r="K139" s="160" t="str">
        <f ca="1"/>
        <v>Reminder&gt;5</v>
      </c>
      <c r="L139" s="160" t="str">
        <f ca="1"/>
        <v>LINK*1 + Reminder*1</v>
      </c>
      <c r="M139" s="160" t="str">
        <f ca="1"/>
        <v>LINK*1 + Reminder*2</v>
      </c>
      <c r="N139" s="160" t="str">
        <f ca="1"/>
        <v>LINK*2 + Reminder*1</v>
      </c>
      <c r="O139" s="160" t="str">
        <f ca="1"/>
        <v>Add to Cart*1</v>
      </c>
      <c r="P139" s="160" t="str">
        <f ca="1"/>
        <v>Add to Cart*2</v>
      </c>
      <c r="Q139" s="160" t="str">
        <f ca="1"/>
        <v>Add to Cart*3</v>
      </c>
      <c r="R139" s="160" t="str">
        <f ca="1"/>
        <v>(Reminder+ATC) *1</v>
      </c>
      <c r="S139" s="160" t="str">
        <f ca="1"/>
        <v>(Reminder+ATC) *2</v>
      </c>
      <c r="T139" s="160" t="str">
        <f ca="1"/>
        <v>(Reminder+ATC) *3</v>
      </c>
      <c r="U139" s="160" t="str">
        <f ca="1"/>
        <v>Popup*1</v>
      </c>
      <c r="V139" s="160" t="str">
        <f ca="1"/>
        <v>Popup*2</v>
      </c>
      <c r="W139" s="160" t="str">
        <f ca="1"/>
        <v>Popup*3</v>
      </c>
      <c r="X139" s="160" t="str">
        <f ca="1"/>
        <v>Copy*1</v>
      </c>
      <c r="Y139" s="160" t="str">
        <f ca="1"/>
        <v>Copy*2</v>
      </c>
      <c r="Z139" s="160" t="str">
        <f ca="1"/>
        <v>Copy*3</v>
      </c>
      <c r="AA139" s="160" t="str">
        <f ca="1"/>
        <v>Share*1</v>
      </c>
      <c r="AB139" s="160" t="str">
        <f ca="1"/>
        <v>Share*2</v>
      </c>
      <c r="AC139" s="160" t="str">
        <f ca="1"/>
        <v>Share*3</v>
      </c>
      <c r="AD139" s="160" t="str">
        <f ca="1"/>
        <v>Placeholders</v>
      </c>
      <c r="AE139" s="226" t="b">
        <v>0</v>
      </c>
      <c r="AF139" s="173" t="str">
        <f t="shared" ref="AF139:AF146" si="62">IF(AE139=TRUE,"若有勾選則必填，隱藏錨點請填寫&lt;設隱形錨點&gt;","")</f>
        <v/>
      </c>
      <c r="AG139" s="174" t="str">
        <f t="shared" si="61"/>
        <v/>
      </c>
      <c r="AH139" s="195" t="s">
        <v>712</v>
      </c>
      <c r="AI139" s="176" t="str">
        <f ca="1">IFERROR(VLOOKUP($AH139, '(勿動)Component Label公版'!$D$1:$E$1000, 2, FALSE), "-")</f>
        <v>-</v>
      </c>
      <c r="AJ139" s="177"/>
      <c r="AK139" s="174"/>
      <c r="AL139" s="174"/>
      <c r="AM139" s="189" t="str">
        <f t="shared" si="56"/>
        <v/>
      </c>
      <c r="AN139" s="190" t="str">
        <f t="shared" si="57"/>
        <v/>
      </c>
      <c r="AO139" s="533" t="s">
        <v>715</v>
      </c>
      <c r="AP139" s="384"/>
      <c r="AQ139" s="385"/>
      <c r="AR139" s="632" t="s">
        <v>716</v>
      </c>
      <c r="AS139" s="469"/>
      <c r="AT139" s="470"/>
      <c r="AU139" s="235" t="b">
        <v>1</v>
      </c>
      <c r="AV139" s="180" t="b">
        <v>0</v>
      </c>
      <c r="AW139" s="186"/>
      <c r="AX139" s="187"/>
      <c r="AY139" s="187"/>
      <c r="AZ139" s="187"/>
      <c r="BA139" s="188"/>
      <c r="BB139" s="191" t="s">
        <v>147</v>
      </c>
      <c r="BC139" s="179" t="s">
        <v>154</v>
      </c>
      <c r="BD139" s="198" t="str">
        <f t="shared" si="49"/>
        <v>圖_MSBN_無CTA</v>
      </c>
      <c r="BE139" s="199" t="str">
        <f>IFERROR(VLOOKUP($BD139,'(勿動)組件目錄表'!$D$15:$R$1110,2,FALSE),"")</f>
        <v>I-1</v>
      </c>
      <c r="BF139" s="200">
        <f>IFERROR(VLOOKUP($BD139, '(勿動)組件目錄表'!$D$15:$R$1110, 5, FALSE),"")</f>
        <v>0.5</v>
      </c>
      <c r="BG139" s="587"/>
      <c r="BH139" s="183"/>
      <c r="BI139" s="181"/>
      <c r="BJ139" s="183"/>
    </row>
    <row r="140" spans="1:62" ht="15.75" customHeight="1">
      <c r="A140" s="160" t="str">
        <f t="array" aca="1" ref="A140:I140" ca="1">IFERROR(TRANSPOSE(INDIRECT(L1_暖正版配!$BB140)),"")</f>
        <v>一排1張(單張/多張)(無一鍵領取)</v>
      </c>
      <c r="B140" s="160" t="str">
        <f ca="1"/>
        <v>一排1張 + Reminder(單張/多張)(無一鍵領取)</v>
      </c>
      <c r="C140" s="160" t="str">
        <f ca="1"/>
        <v>一排1張 + 一鍵領取(多張)</v>
      </c>
      <c r="D140" s="160" t="str">
        <f ca="1"/>
        <v>【僅供MKT Campaign使用】PC：一排兩張；APP：一排1張 + 一鍵領取(多張)</v>
      </c>
      <c r="E140" s="160" t="str">
        <f ca="1"/>
        <v>【僅供MKT Campaign使用】PC：一排兩張；APP：一排1張 + 一鍵領取(多張) + Reminder</v>
      </c>
      <c r="F140" s="160" t="str">
        <f ca="1"/>
        <v>【僅供MKT Campaign使用】PC：一排兩張；APP：一排1張 + 一鍵領取(多張) + Reminder + 查看全部(系統預設加上「優惠券」文案)</v>
      </c>
      <c r="G140" s="160" t="str">
        <f ca="1"/>
        <v>一排2張(單張/多張)(無一鍵領取)</v>
      </c>
      <c r="H140" s="160" t="str">
        <f ca="1"/>
        <v>一排2張 + Reminder(單張/多張)(無一鍵領取)</v>
      </c>
      <c r="I140" s="160" t="str">
        <f ca="1"/>
        <v>一排2張 + 一鍵領取(多張)</v>
      </c>
      <c r="J140" s="160"/>
      <c r="K140" s="160"/>
      <c r="L140" s="160"/>
      <c r="M140" s="160"/>
      <c r="N140" s="160"/>
      <c r="O140" s="160"/>
      <c r="P140" s="160"/>
      <c r="Q140" s="160"/>
      <c r="R140" s="160"/>
      <c r="S140" s="160"/>
      <c r="T140" s="160"/>
      <c r="U140" s="160"/>
      <c r="V140" s="160"/>
      <c r="W140" s="160"/>
      <c r="X140" s="160"/>
      <c r="Y140" s="160"/>
      <c r="Z140" s="160"/>
      <c r="AA140" s="160"/>
      <c r="AB140" s="160"/>
      <c r="AC140" s="160"/>
      <c r="AD140" s="160"/>
      <c r="AE140" s="205" t="b">
        <v>0</v>
      </c>
      <c r="AF140" s="173" t="str">
        <f t="shared" si="62"/>
        <v/>
      </c>
      <c r="AG140" s="174" t="str">
        <f t="shared" si="61"/>
        <v/>
      </c>
      <c r="AH140" s="195" t="s">
        <v>712</v>
      </c>
      <c r="AI140" s="176" t="str">
        <f ca="1">IFERROR(VLOOKUP($AH140, '(勿動)Component Label公版'!$D$1:$E$1000, 2, FALSE), "-")</f>
        <v>-</v>
      </c>
      <c r="AJ140" s="245" t="s">
        <v>717</v>
      </c>
      <c r="AK140" s="174"/>
      <c r="AL140" s="174"/>
      <c r="AM140" s="189" t="str">
        <f t="shared" si="56"/>
        <v/>
      </c>
      <c r="AN140" s="190" t="str">
        <f t="shared" si="57"/>
        <v/>
      </c>
      <c r="AO140" s="541" t="s">
        <v>718</v>
      </c>
      <c r="AP140" s="384"/>
      <c r="AQ140" s="384"/>
      <c r="AR140" s="384"/>
      <c r="AS140" s="384"/>
      <c r="AT140" s="385"/>
      <c r="AU140" s="180" t="b">
        <v>0</v>
      </c>
      <c r="AV140" s="180" t="b">
        <v>0</v>
      </c>
      <c r="AW140" s="186"/>
      <c r="AX140" s="187"/>
      <c r="AY140" s="187"/>
      <c r="AZ140" s="187"/>
      <c r="BA140" s="188"/>
      <c r="BB140" s="191" t="s">
        <v>182</v>
      </c>
      <c r="BC140" s="179" t="s">
        <v>222</v>
      </c>
      <c r="BD140" s="191" t="str">
        <f t="shared" si="49"/>
        <v>優惠券_真券_一排1張(單張/多張)(無一鍵領取)</v>
      </c>
      <c r="BE140" s="200" t="str">
        <f>IFERROR(VLOOKUP($BD140,'(勿動)組件目錄表'!$D$15:$R$1110,2,FALSE),"")</f>
        <v>F-1</v>
      </c>
      <c r="BF140" s="200">
        <f>IFERROR(VLOOKUP($BD140, '(勿動)組件目錄表'!$D$15:$R$1110, 5, FALSE),"")</f>
        <v>0.5</v>
      </c>
      <c r="BG140" s="181"/>
      <c r="BH140" s="183"/>
      <c r="BI140" s="181"/>
      <c r="BJ140" s="183"/>
    </row>
    <row r="141" spans="1:62" ht="15.75" customHeight="1">
      <c r="A141" s="160" t="str">
        <f t="array" aca="1" ref="A141:I141" ca="1">IFERROR(TRANSPOSE(INDIRECT(L1_暖正版配!$BB141)),"")</f>
        <v>一排1張(單張/多張)(無一鍵領取)</v>
      </c>
      <c r="B141" s="160" t="str">
        <f ca="1"/>
        <v>一排1張 + Reminder(單張/多張)(無一鍵領取)</v>
      </c>
      <c r="C141" s="160" t="str">
        <f ca="1"/>
        <v>一排1張 + 一鍵領取(多張)</v>
      </c>
      <c r="D141" s="160" t="str">
        <f ca="1"/>
        <v>【僅供MKT Campaign使用】PC：一排兩張；APP：一排1張 + 一鍵領取(多張)</v>
      </c>
      <c r="E141" s="160" t="str">
        <f ca="1"/>
        <v>【僅供MKT Campaign使用】PC：一排兩張；APP：一排1張 + 一鍵領取(多張) + Reminder</v>
      </c>
      <c r="F141" s="160" t="str">
        <f ca="1"/>
        <v>【僅供MKT Campaign使用】PC：一排兩張；APP：一排1張 + 一鍵領取(多張) + Reminder + 查看全部(系統預設加上「優惠券」文案)</v>
      </c>
      <c r="G141" s="160" t="str">
        <f ca="1"/>
        <v>一排2張(單張/多張)(無一鍵領取)</v>
      </c>
      <c r="H141" s="160" t="str">
        <f ca="1"/>
        <v>一排2張 + Reminder(單張/多張)(無一鍵領取)</v>
      </c>
      <c r="I141" s="160" t="str">
        <f ca="1"/>
        <v>一排2張 + 一鍵領取(多張)</v>
      </c>
      <c r="J141" s="160"/>
      <c r="K141" s="160"/>
      <c r="L141" s="160"/>
      <c r="M141" s="160"/>
      <c r="N141" s="160"/>
      <c r="O141" s="160"/>
      <c r="P141" s="160"/>
      <c r="Q141" s="160"/>
      <c r="R141" s="160"/>
      <c r="S141" s="160"/>
      <c r="T141" s="160"/>
      <c r="U141" s="160"/>
      <c r="V141" s="160"/>
      <c r="W141" s="160"/>
      <c r="X141" s="160"/>
      <c r="Y141" s="160"/>
      <c r="Z141" s="160"/>
      <c r="AA141" s="160"/>
      <c r="AB141" s="160"/>
      <c r="AC141" s="160"/>
      <c r="AD141" s="160"/>
      <c r="AE141" s="205" t="b">
        <v>0</v>
      </c>
      <c r="AF141" s="173" t="str">
        <f t="shared" si="62"/>
        <v/>
      </c>
      <c r="AG141" s="174" t="str">
        <f t="shared" si="61"/>
        <v/>
      </c>
      <c r="AH141" s="195" t="s">
        <v>712</v>
      </c>
      <c r="AI141" s="176" t="str">
        <f ca="1">IFERROR(VLOOKUP($AH141, '(勿動)Component Label公版'!$D$1:$E$1000, 2, FALSE), "-")</f>
        <v>-</v>
      </c>
      <c r="AJ141" s="245" t="s">
        <v>719</v>
      </c>
      <c r="AK141" s="174"/>
      <c r="AL141" s="174"/>
      <c r="AM141" s="189" t="str">
        <f t="shared" si="56"/>
        <v/>
      </c>
      <c r="AN141" s="190" t="str">
        <f t="shared" si="57"/>
        <v/>
      </c>
      <c r="AO141" s="541" t="s">
        <v>720</v>
      </c>
      <c r="AP141" s="384"/>
      <c r="AQ141" s="384"/>
      <c r="AR141" s="384"/>
      <c r="AS141" s="384"/>
      <c r="AT141" s="385"/>
      <c r="AU141" s="180" t="b">
        <v>0</v>
      </c>
      <c r="AV141" s="180" t="b">
        <v>0</v>
      </c>
      <c r="AW141" s="186"/>
      <c r="AX141" s="187"/>
      <c r="AY141" s="187"/>
      <c r="AZ141" s="187"/>
      <c r="BA141" s="188"/>
      <c r="BB141" s="191" t="s">
        <v>182</v>
      </c>
      <c r="BC141" s="179" t="s">
        <v>222</v>
      </c>
      <c r="BD141" s="191" t="str">
        <f t="shared" si="49"/>
        <v>優惠券_真券_一排1張(單張/多張)(無一鍵領取)</v>
      </c>
      <c r="BE141" s="200" t="str">
        <f>IFERROR(VLOOKUP($BD141,'(勿動)組件目錄表'!$D$15:$R$1110,2,FALSE),"")</f>
        <v>F-1</v>
      </c>
      <c r="BF141" s="200">
        <f>IFERROR(VLOOKUP($BD141, '(勿動)組件目錄表'!$D$15:$R$1110, 5, FALSE),"")</f>
        <v>0.5</v>
      </c>
      <c r="BG141" s="181"/>
      <c r="BH141" s="183"/>
      <c r="BI141" s="181"/>
      <c r="BJ141" s="183"/>
    </row>
    <row r="142" spans="1:62" ht="15.75" customHeight="1">
      <c r="A142" s="160" t="str">
        <f t="array" aca="1" ref="A142:AD142" ca="1">IFERROR(TRANSPOSE(INDIRECT(L1_暖正版配!$BB142)),"")</f>
        <v>無CTA</v>
      </c>
      <c r="B142" s="160" t="str">
        <f ca="1"/>
        <v>LINK*1</v>
      </c>
      <c r="C142" s="160" t="str">
        <f ca="1"/>
        <v>LINK*2</v>
      </c>
      <c r="D142" s="160" t="str">
        <f ca="1"/>
        <v>LINK*3</v>
      </c>
      <c r="E142" s="160" t="str">
        <f ca="1"/>
        <v>LINK&gt;3</v>
      </c>
      <c r="F142" s="160" t="str">
        <f ca="1"/>
        <v>Reminder*1</v>
      </c>
      <c r="G142" s="160" t="str">
        <f ca="1"/>
        <v>Reminder*2</v>
      </c>
      <c r="H142" s="160" t="str">
        <f ca="1"/>
        <v>Reminder*3</v>
      </c>
      <c r="I142" s="160" t="str">
        <f ca="1"/>
        <v>Reminder*4</v>
      </c>
      <c r="J142" s="160" t="str">
        <f ca="1"/>
        <v>Reminder*5</v>
      </c>
      <c r="K142" s="160" t="str">
        <f ca="1"/>
        <v>Reminder&gt;5</v>
      </c>
      <c r="L142" s="160" t="str">
        <f ca="1"/>
        <v>LINK*1 + Reminder*1</v>
      </c>
      <c r="M142" s="160" t="str">
        <f ca="1"/>
        <v>LINK*1 + Reminder*2</v>
      </c>
      <c r="N142" s="160" t="str">
        <f ca="1"/>
        <v>LINK*2 + Reminder*1</v>
      </c>
      <c r="O142" s="160" t="str">
        <f ca="1"/>
        <v>Add to Cart*1</v>
      </c>
      <c r="P142" s="160" t="str">
        <f ca="1"/>
        <v>Add to Cart*2</v>
      </c>
      <c r="Q142" s="160" t="str">
        <f ca="1"/>
        <v>Add to Cart*3</v>
      </c>
      <c r="R142" s="160" t="str">
        <f ca="1"/>
        <v>(Reminder+ATC) *1</v>
      </c>
      <c r="S142" s="160" t="str">
        <f ca="1"/>
        <v>(Reminder+ATC) *2</v>
      </c>
      <c r="T142" s="160" t="str">
        <f ca="1"/>
        <v>(Reminder+ATC) *3</v>
      </c>
      <c r="U142" s="160" t="str">
        <f ca="1"/>
        <v>Popup*1</v>
      </c>
      <c r="V142" s="160" t="str">
        <f ca="1"/>
        <v>Popup*2</v>
      </c>
      <c r="W142" s="160" t="str">
        <f ca="1"/>
        <v>Popup*3</v>
      </c>
      <c r="X142" s="160" t="str">
        <f ca="1"/>
        <v>Copy*1</v>
      </c>
      <c r="Y142" s="160" t="str">
        <f ca="1"/>
        <v>Copy*2</v>
      </c>
      <c r="Z142" s="160" t="str">
        <f ca="1"/>
        <v>Copy*3</v>
      </c>
      <c r="AA142" s="160" t="str">
        <f ca="1"/>
        <v>Share*1</v>
      </c>
      <c r="AB142" s="160" t="str">
        <f ca="1"/>
        <v>Share*2</v>
      </c>
      <c r="AC142" s="160" t="str">
        <f ca="1"/>
        <v>Share*3</v>
      </c>
      <c r="AD142" s="160" t="str">
        <f ca="1"/>
        <v>Placeholders</v>
      </c>
      <c r="AE142" s="213" t="b">
        <v>0</v>
      </c>
      <c r="AF142" s="204" t="str">
        <f t="shared" si="62"/>
        <v/>
      </c>
      <c r="AG142" s="203" t="str">
        <f t="shared" si="61"/>
        <v/>
      </c>
      <c r="AH142" s="195" t="s">
        <v>712</v>
      </c>
      <c r="AI142" s="176" t="str">
        <f ca="1">IFERROR(VLOOKUP($AH142, '(勿動)Component Label公版'!$D$1:$E$1000, 2, FALSE), "-")</f>
        <v>-</v>
      </c>
      <c r="AJ142" s="237"/>
      <c r="AK142" s="203"/>
      <c r="AL142" s="203"/>
      <c r="AM142" s="203" t="str">
        <f t="shared" si="56"/>
        <v/>
      </c>
      <c r="AN142" s="204" t="str">
        <f t="shared" si="57"/>
        <v/>
      </c>
      <c r="AO142" s="569" t="s">
        <v>268</v>
      </c>
      <c r="AP142" s="384"/>
      <c r="AQ142" s="384"/>
      <c r="AR142" s="384"/>
      <c r="AS142" s="384"/>
      <c r="AT142" s="385"/>
      <c r="AU142" s="235" t="b">
        <v>1</v>
      </c>
      <c r="AV142" s="180" t="b">
        <v>0</v>
      </c>
      <c r="AW142" s="186"/>
      <c r="AX142" s="187"/>
      <c r="AY142" s="187"/>
      <c r="AZ142" s="187"/>
      <c r="BA142" s="188"/>
      <c r="BB142" s="191" t="s">
        <v>147</v>
      </c>
      <c r="BC142" s="179" t="s">
        <v>154</v>
      </c>
      <c r="BD142" s="198" t="str">
        <f t="shared" si="49"/>
        <v>圖_MSBN_無CTA</v>
      </c>
      <c r="BE142" s="190" t="str">
        <f>IFERROR(VLOOKUP($BD142,'(勿動)組件目錄表'!$D$15:$R$1110,2,FALSE),"")</f>
        <v>I-1</v>
      </c>
      <c r="BF142" s="205">
        <f>IFERROR(VLOOKUP($BD142, '(勿動)組件目錄表'!$D$15:$R$1110, 5, FALSE),"")</f>
        <v>0.5</v>
      </c>
      <c r="BG142" s="206" t="s">
        <v>721</v>
      </c>
      <c r="BH142" s="183"/>
      <c r="BI142" s="118"/>
      <c r="BJ142" s="244" t="s">
        <v>711</v>
      </c>
    </row>
    <row r="143" spans="1:62" ht="15.75" customHeight="1">
      <c r="A143" s="160" t="str">
        <f t="array" aca="1" ref="A143:AD143" ca="1">IFERROR(TRANSPOSE(INDIRECT(L1_暖正版配!$BB143)),"")</f>
        <v>無CTA</v>
      </c>
      <c r="B143" s="160" t="str">
        <f ca="1"/>
        <v>LINK*1</v>
      </c>
      <c r="C143" s="160" t="str">
        <f ca="1"/>
        <v>LINK*2</v>
      </c>
      <c r="D143" s="160" t="str">
        <f ca="1"/>
        <v>LINK*3</v>
      </c>
      <c r="E143" s="160" t="str">
        <f ca="1"/>
        <v>LINK&gt;3</v>
      </c>
      <c r="F143" s="160" t="str">
        <f ca="1"/>
        <v>Reminder*1</v>
      </c>
      <c r="G143" s="160" t="str">
        <f ca="1"/>
        <v>Reminder*2</v>
      </c>
      <c r="H143" s="160" t="str">
        <f ca="1"/>
        <v>Reminder*3</v>
      </c>
      <c r="I143" s="160" t="str">
        <f ca="1"/>
        <v>Reminder*4</v>
      </c>
      <c r="J143" s="160" t="str">
        <f ca="1"/>
        <v>Reminder*5</v>
      </c>
      <c r="K143" s="160" t="str">
        <f ca="1"/>
        <v>Reminder&gt;5</v>
      </c>
      <c r="L143" s="160" t="str">
        <f ca="1"/>
        <v>LINK*1 + Reminder*1</v>
      </c>
      <c r="M143" s="160" t="str">
        <f ca="1"/>
        <v>LINK*1 + Reminder*2</v>
      </c>
      <c r="N143" s="160" t="str">
        <f ca="1"/>
        <v>LINK*2 + Reminder*1</v>
      </c>
      <c r="O143" s="160" t="str">
        <f ca="1"/>
        <v>Add to Cart*1</v>
      </c>
      <c r="P143" s="160" t="str">
        <f ca="1"/>
        <v>Add to Cart*2</v>
      </c>
      <c r="Q143" s="160" t="str">
        <f ca="1"/>
        <v>Add to Cart*3</v>
      </c>
      <c r="R143" s="160" t="str">
        <f ca="1"/>
        <v>(Reminder+ATC) *1</v>
      </c>
      <c r="S143" s="160" t="str">
        <f ca="1"/>
        <v>(Reminder+ATC) *2</v>
      </c>
      <c r="T143" s="160" t="str">
        <f ca="1"/>
        <v>(Reminder+ATC) *3</v>
      </c>
      <c r="U143" s="160" t="str">
        <f ca="1"/>
        <v>Popup*1</v>
      </c>
      <c r="V143" s="160" t="str">
        <f ca="1"/>
        <v>Popup*2</v>
      </c>
      <c r="W143" s="160" t="str">
        <f ca="1"/>
        <v>Popup*3</v>
      </c>
      <c r="X143" s="160" t="str">
        <f ca="1"/>
        <v>Copy*1</v>
      </c>
      <c r="Y143" s="160" t="str">
        <f ca="1"/>
        <v>Copy*2</v>
      </c>
      <c r="Z143" s="160" t="str">
        <f ca="1"/>
        <v>Copy*3</v>
      </c>
      <c r="AA143" s="160" t="str">
        <f ca="1"/>
        <v>Share*1</v>
      </c>
      <c r="AB143" s="160" t="str">
        <f ca="1"/>
        <v>Share*2</v>
      </c>
      <c r="AC143" s="160" t="str">
        <f ca="1"/>
        <v>Share*3</v>
      </c>
      <c r="AD143" s="160" t="str">
        <f ca="1"/>
        <v>Placeholders</v>
      </c>
      <c r="AE143" s="212" t="b">
        <v>0</v>
      </c>
      <c r="AF143" s="173" t="str">
        <f t="shared" si="62"/>
        <v/>
      </c>
      <c r="AG143" s="174" t="str">
        <f t="shared" si="61"/>
        <v/>
      </c>
      <c r="AH143" s="195" t="s">
        <v>712</v>
      </c>
      <c r="AI143" s="176" t="str">
        <f ca="1">IFERROR(VLOOKUP($AH143, '(勿動)Component Label公版'!$D$1:$E$1000, 2, FALSE), "-")</f>
        <v>-</v>
      </c>
      <c r="AJ143" s="177"/>
      <c r="AK143" s="174"/>
      <c r="AL143" s="174"/>
      <c r="AM143" s="189" t="str">
        <f t="shared" si="56"/>
        <v/>
      </c>
      <c r="AN143" s="190" t="str">
        <f t="shared" si="57"/>
        <v/>
      </c>
      <c r="AO143" s="572" t="s">
        <v>722</v>
      </c>
      <c r="AP143" s="384"/>
      <c r="AQ143" s="384"/>
      <c r="AR143" s="384"/>
      <c r="AS143" s="384"/>
      <c r="AT143" s="385"/>
      <c r="AU143" s="180" t="b">
        <v>0</v>
      </c>
      <c r="AV143" s="180" t="b">
        <v>0</v>
      </c>
      <c r="AW143" s="186"/>
      <c r="AX143" s="187"/>
      <c r="AY143" s="187"/>
      <c r="AZ143" s="187"/>
      <c r="BA143" s="188"/>
      <c r="BB143" s="191" t="s">
        <v>147</v>
      </c>
      <c r="BC143" s="179" t="s">
        <v>154</v>
      </c>
      <c r="BD143" s="198" t="str">
        <f t="shared" si="49"/>
        <v>圖_MSBN_無CTA</v>
      </c>
      <c r="BE143" s="199" t="str">
        <f>IFERROR(VLOOKUP($BD143,'(勿動)組件目錄表'!$D$15:$R$1110,2,FALSE),"")</f>
        <v>I-1</v>
      </c>
      <c r="BF143" s="200">
        <f>IFERROR(VLOOKUP($BD143, '(勿動)組件目錄表'!$D$15:$R$1110, 5, FALSE),"")</f>
        <v>0.5</v>
      </c>
      <c r="BG143" s="181"/>
      <c r="BH143" s="183"/>
      <c r="BI143" s="181"/>
      <c r="BJ143" s="207" t="s">
        <v>723</v>
      </c>
    </row>
    <row r="144" spans="1:62" ht="15.75" customHeight="1">
      <c r="A144" s="160" t="str">
        <f t="array" aca="1" ref="A144" ca="1">IFERROR(TRANSPOSE(INDIRECT(L1_暖正版配!$BB144)),"")</f>
        <v>輪播 水平滑動(display number per row: 1)</v>
      </c>
      <c r="B144" s="160"/>
      <c r="C144" s="160"/>
      <c r="D144" s="160"/>
      <c r="E144" s="160"/>
      <c r="F144" s="160"/>
      <c r="G144" s="160"/>
      <c r="H144" s="160"/>
      <c r="I144" s="160"/>
      <c r="J144" s="160"/>
      <c r="K144" s="160"/>
      <c r="L144" s="160"/>
      <c r="M144" s="160"/>
      <c r="N144" s="160"/>
      <c r="O144" s="160"/>
      <c r="P144" s="160"/>
      <c r="Q144" s="160"/>
      <c r="R144" s="160"/>
      <c r="S144" s="160"/>
      <c r="T144" s="160"/>
      <c r="U144" s="160"/>
      <c r="V144" s="160"/>
      <c r="W144" s="160"/>
      <c r="X144" s="160"/>
      <c r="Y144" s="160"/>
      <c r="Z144" s="160"/>
      <c r="AA144" s="160"/>
      <c r="AB144" s="160"/>
      <c r="AC144" s="160"/>
      <c r="AD144" s="160"/>
      <c r="AE144" s="205" t="b">
        <v>0</v>
      </c>
      <c r="AF144" s="173" t="str">
        <f t="shared" si="62"/>
        <v/>
      </c>
      <c r="AG144" s="174" t="str">
        <f t="shared" si="61"/>
        <v/>
      </c>
      <c r="AH144" s="195" t="s">
        <v>712</v>
      </c>
      <c r="AI144" s="176" t="str">
        <f ca="1">IFERROR(VLOOKUP($AH144, '(勿動)Component Label公版'!$D$1:$E$1000, 2, FALSE), "-")</f>
        <v>-</v>
      </c>
      <c r="AJ144" s="177"/>
      <c r="AK144" s="174"/>
      <c r="AL144" s="174"/>
      <c r="AM144" s="189" t="str">
        <f t="shared" si="56"/>
        <v/>
      </c>
      <c r="AN144" s="190" t="str">
        <f t="shared" si="57"/>
        <v/>
      </c>
      <c r="AO144" s="541" t="s">
        <v>724</v>
      </c>
      <c r="AP144" s="384"/>
      <c r="AQ144" s="384"/>
      <c r="AR144" s="384"/>
      <c r="AS144" s="384"/>
      <c r="AT144" s="385"/>
      <c r="AU144" s="180" t="b">
        <v>0</v>
      </c>
      <c r="AV144" s="180" t="b">
        <v>0</v>
      </c>
      <c r="AW144" s="186"/>
      <c r="AX144" s="187"/>
      <c r="AY144" s="187"/>
      <c r="AZ144" s="187"/>
      <c r="BA144" s="188"/>
      <c r="BB144" s="191" t="s">
        <v>466</v>
      </c>
      <c r="BC144" s="179" t="s">
        <v>467</v>
      </c>
      <c r="BD144" s="198" t="str">
        <f t="shared" si="49"/>
        <v>圖_ImageCollection_輪播 水平滑動(display number per row: 1)</v>
      </c>
      <c r="BE144" s="199" t="str">
        <f>IFERROR(VLOOKUP($BD144,'(勿動)組件目錄表'!$D$15:$R$1110,2,FALSE),"")</f>
        <v>I-38</v>
      </c>
      <c r="BF144" s="200">
        <f>IFERROR(VLOOKUP($BD144, '(勿動)組件目錄表'!$D$15:$R$1110, 5, FALSE),"")</f>
        <v>0.5</v>
      </c>
      <c r="BG144" s="181"/>
      <c r="BH144" s="183"/>
      <c r="BI144" s="181"/>
      <c r="BJ144" s="183"/>
    </row>
    <row r="145" spans="1:62" ht="15.75" customHeight="1">
      <c r="A145" s="160" t="str">
        <f t="array" aca="1" ref="A145" ca="1">IFERROR(TRANSPOSE(INDIRECT(L1_暖正版配!$BB145)),"")</f>
        <v>輪播 水平滑動(display number per row: 1)</v>
      </c>
      <c r="B145" s="160"/>
      <c r="C145" s="160"/>
      <c r="D145" s="160"/>
      <c r="E145" s="160"/>
      <c r="F145" s="160"/>
      <c r="G145" s="160"/>
      <c r="H145" s="160"/>
      <c r="I145" s="160"/>
      <c r="J145" s="160"/>
      <c r="K145" s="160"/>
      <c r="L145" s="160"/>
      <c r="M145" s="160"/>
      <c r="N145" s="160"/>
      <c r="O145" s="160"/>
      <c r="P145" s="160"/>
      <c r="Q145" s="160"/>
      <c r="R145" s="160"/>
      <c r="S145" s="160"/>
      <c r="T145" s="160"/>
      <c r="U145" s="160"/>
      <c r="V145" s="160"/>
      <c r="W145" s="160"/>
      <c r="X145" s="160"/>
      <c r="Y145" s="160"/>
      <c r="Z145" s="160"/>
      <c r="AA145" s="160"/>
      <c r="AB145" s="160"/>
      <c r="AC145" s="160"/>
      <c r="AD145" s="160"/>
      <c r="AE145" s="172" t="b">
        <v>0</v>
      </c>
      <c r="AF145" s="173" t="str">
        <f t="shared" si="62"/>
        <v/>
      </c>
      <c r="AG145" s="174" t="str">
        <f t="shared" si="61"/>
        <v/>
      </c>
      <c r="AH145" s="195" t="s">
        <v>712</v>
      </c>
      <c r="AI145" s="176" t="str">
        <f ca="1">IFERROR(VLOOKUP($AH145, '(勿動)Component Label公版'!$D$1:$E$1000, 2, FALSE), "-")</f>
        <v>-</v>
      </c>
      <c r="AJ145" s="177"/>
      <c r="AK145" s="174"/>
      <c r="AL145" s="174"/>
      <c r="AM145" s="189" t="str">
        <f t="shared" si="56"/>
        <v/>
      </c>
      <c r="AN145" s="190" t="str">
        <f t="shared" si="57"/>
        <v/>
      </c>
      <c r="AO145" s="541" t="s">
        <v>725</v>
      </c>
      <c r="AP145" s="384"/>
      <c r="AQ145" s="384"/>
      <c r="AR145" s="384"/>
      <c r="AS145" s="384"/>
      <c r="AT145" s="385"/>
      <c r="AU145" s="180" t="b">
        <v>0</v>
      </c>
      <c r="AV145" s="180" t="b">
        <v>0</v>
      </c>
      <c r="AW145" s="186"/>
      <c r="AX145" s="187"/>
      <c r="AY145" s="187"/>
      <c r="AZ145" s="187"/>
      <c r="BA145" s="188"/>
      <c r="BB145" s="191" t="s">
        <v>466</v>
      </c>
      <c r="BC145" s="179" t="s">
        <v>726</v>
      </c>
      <c r="BD145" s="198" t="str">
        <f t="shared" si="49"/>
        <v>圖_ImageCollection_輪播 水平滑動(display number per row: 0.5+1+0.5)</v>
      </c>
      <c r="BE145" s="199" t="str">
        <f>IFERROR(VLOOKUP($BD145,'(勿動)組件目錄表'!$D$15:$R$1110,2,FALSE),"")</f>
        <v/>
      </c>
      <c r="BF145" s="200" t="str">
        <f>IFERROR(VLOOKUP($BD145, '(勿動)組件目錄表'!$D$15:$R$1110, 5, FALSE),"")</f>
        <v/>
      </c>
      <c r="BG145" s="181"/>
      <c r="BH145" s="183"/>
      <c r="BI145" s="181"/>
      <c r="BJ145" s="207" t="s">
        <v>727</v>
      </c>
    </row>
    <row r="146" spans="1:62" ht="15.75" customHeight="1">
      <c r="A146" s="160" t="str">
        <f t="array" aca="1" ref="A146:AD146" ca="1">IFERROR(TRANSPOSE(INDIRECT(L1_暖正版配!$BB146)),"")</f>
        <v>無CTA</v>
      </c>
      <c r="B146" s="160" t="str">
        <f ca="1"/>
        <v>LINK*1</v>
      </c>
      <c r="C146" s="160" t="str">
        <f ca="1"/>
        <v>LINK*2</v>
      </c>
      <c r="D146" s="160" t="str">
        <f ca="1"/>
        <v>LINK*3</v>
      </c>
      <c r="E146" s="160" t="str">
        <f ca="1"/>
        <v>LINK&gt;3</v>
      </c>
      <c r="F146" s="160" t="str">
        <f ca="1"/>
        <v>Reminder*1</v>
      </c>
      <c r="G146" s="160" t="str">
        <f ca="1"/>
        <v>Reminder*2</v>
      </c>
      <c r="H146" s="160" t="str">
        <f ca="1"/>
        <v>Reminder*3</v>
      </c>
      <c r="I146" s="160" t="str">
        <f ca="1"/>
        <v>Reminder*4</v>
      </c>
      <c r="J146" s="160" t="str">
        <f ca="1"/>
        <v>Reminder*5</v>
      </c>
      <c r="K146" s="160" t="str">
        <f ca="1"/>
        <v>Reminder&gt;5</v>
      </c>
      <c r="L146" s="160" t="str">
        <f ca="1"/>
        <v>LINK*1 + Reminder*1</v>
      </c>
      <c r="M146" s="160" t="str">
        <f ca="1"/>
        <v>LINK*1 + Reminder*2</v>
      </c>
      <c r="N146" s="160" t="str">
        <f ca="1"/>
        <v>LINK*2 + Reminder*1</v>
      </c>
      <c r="O146" s="160" t="str">
        <f ca="1"/>
        <v>Add to Cart*1</v>
      </c>
      <c r="P146" s="160" t="str">
        <f ca="1"/>
        <v>Add to Cart*2</v>
      </c>
      <c r="Q146" s="160" t="str">
        <f ca="1"/>
        <v>Add to Cart*3</v>
      </c>
      <c r="R146" s="160" t="str">
        <f ca="1"/>
        <v>(Reminder+ATC) *1</v>
      </c>
      <c r="S146" s="160" t="str">
        <f ca="1"/>
        <v>(Reminder+ATC) *2</v>
      </c>
      <c r="T146" s="160" t="str">
        <f ca="1"/>
        <v>(Reminder+ATC) *3</v>
      </c>
      <c r="U146" s="160" t="str">
        <f ca="1"/>
        <v>Popup*1</v>
      </c>
      <c r="V146" s="160" t="str">
        <f ca="1"/>
        <v>Popup*2</v>
      </c>
      <c r="W146" s="160" t="str">
        <f ca="1"/>
        <v>Popup*3</v>
      </c>
      <c r="X146" s="160" t="str">
        <f ca="1"/>
        <v>Copy*1</v>
      </c>
      <c r="Y146" s="160" t="str">
        <f ca="1"/>
        <v>Copy*2</v>
      </c>
      <c r="Z146" s="160" t="str">
        <f ca="1"/>
        <v>Copy*3</v>
      </c>
      <c r="AA146" s="160" t="str">
        <f ca="1"/>
        <v>Share*1</v>
      </c>
      <c r="AB146" s="160" t="str">
        <f ca="1"/>
        <v>Share*2</v>
      </c>
      <c r="AC146" s="160" t="str">
        <f ca="1"/>
        <v>Share*3</v>
      </c>
      <c r="AD146" s="160" t="str">
        <f ca="1"/>
        <v>Placeholders</v>
      </c>
      <c r="AE146" s="213" t="b">
        <v>0</v>
      </c>
      <c r="AF146" s="204" t="str">
        <f t="shared" si="62"/>
        <v/>
      </c>
      <c r="AG146" s="203" t="str">
        <f t="shared" si="61"/>
        <v/>
      </c>
      <c r="AH146" s="195" t="s">
        <v>712</v>
      </c>
      <c r="AI146" s="176" t="str">
        <f ca="1">IFERROR(VLOOKUP($AH146, '(勿動)Component Label公版'!$D$1:$E$1000, 2, FALSE), "-")</f>
        <v>-</v>
      </c>
      <c r="AJ146" s="237"/>
      <c r="AK146" s="203"/>
      <c r="AL146" s="203"/>
      <c r="AM146" s="203" t="str">
        <f t="shared" si="56"/>
        <v/>
      </c>
      <c r="AN146" s="204" t="str">
        <f t="shared" si="57"/>
        <v/>
      </c>
      <c r="AO146" s="569" t="s">
        <v>268</v>
      </c>
      <c r="AP146" s="384"/>
      <c r="AQ146" s="384"/>
      <c r="AR146" s="384"/>
      <c r="AS146" s="384"/>
      <c r="AT146" s="385"/>
      <c r="AU146" s="235" t="b">
        <v>1</v>
      </c>
      <c r="AV146" s="180" t="b">
        <v>0</v>
      </c>
      <c r="AW146" s="186"/>
      <c r="AX146" s="187"/>
      <c r="AY146" s="187"/>
      <c r="AZ146" s="187"/>
      <c r="BA146" s="188"/>
      <c r="BB146" s="191" t="s">
        <v>147</v>
      </c>
      <c r="BC146" s="179" t="s">
        <v>154</v>
      </c>
      <c r="BD146" s="198" t="str">
        <f t="shared" si="49"/>
        <v>圖_MSBN_無CTA</v>
      </c>
      <c r="BE146" s="190" t="str">
        <f>IFERROR(VLOOKUP($BD146,'(勿動)組件目錄表'!$D$15:$R$1110,2,FALSE),"")</f>
        <v>I-1</v>
      </c>
      <c r="BF146" s="205">
        <f>IFERROR(VLOOKUP($BD146, '(勿動)組件目錄表'!$D$15:$R$1110, 5, FALSE),"")</f>
        <v>0.5</v>
      </c>
      <c r="BG146" s="206" t="s">
        <v>728</v>
      </c>
      <c r="BH146" s="183"/>
      <c r="BI146" s="118"/>
      <c r="BJ146" s="244" t="s">
        <v>729</v>
      </c>
    </row>
    <row r="147" spans="1:62" ht="15.75" customHeight="1">
      <c r="A147" s="160" t="str">
        <f t="array" aca="1" ref="A147:AD147" ca="1">IFERROR(TRANSPOSE(INDIRECT(L1_暖正版配!$BB147)),"")</f>
        <v>無CTA</v>
      </c>
      <c r="B147" s="160" t="str">
        <f ca="1"/>
        <v>LINK*1</v>
      </c>
      <c r="C147" s="160" t="str">
        <f ca="1"/>
        <v>LINK*2</v>
      </c>
      <c r="D147" s="160" t="str">
        <f ca="1"/>
        <v>LINK*3</v>
      </c>
      <c r="E147" s="160" t="str">
        <f ca="1"/>
        <v>LINK&gt;3</v>
      </c>
      <c r="F147" s="160" t="str">
        <f ca="1"/>
        <v>Reminder*1</v>
      </c>
      <c r="G147" s="160" t="str">
        <f ca="1"/>
        <v>Reminder*2</v>
      </c>
      <c r="H147" s="160" t="str">
        <f ca="1"/>
        <v>Reminder*3</v>
      </c>
      <c r="I147" s="160" t="str">
        <f ca="1"/>
        <v>Reminder*4</v>
      </c>
      <c r="J147" s="160" t="str">
        <f ca="1"/>
        <v>Reminder*5</v>
      </c>
      <c r="K147" s="160" t="str">
        <f ca="1"/>
        <v>Reminder&gt;5</v>
      </c>
      <c r="L147" s="160" t="str">
        <f ca="1"/>
        <v>LINK*1 + Reminder*1</v>
      </c>
      <c r="M147" s="160" t="str">
        <f ca="1"/>
        <v>LINK*1 + Reminder*2</v>
      </c>
      <c r="N147" s="160" t="str">
        <f ca="1"/>
        <v>LINK*2 + Reminder*1</v>
      </c>
      <c r="O147" s="160" t="str">
        <f ca="1"/>
        <v>Add to Cart*1</v>
      </c>
      <c r="P147" s="160" t="str">
        <f ca="1"/>
        <v>Add to Cart*2</v>
      </c>
      <c r="Q147" s="160" t="str">
        <f ca="1"/>
        <v>Add to Cart*3</v>
      </c>
      <c r="R147" s="160" t="str">
        <f ca="1"/>
        <v>(Reminder+ATC) *1</v>
      </c>
      <c r="S147" s="160" t="str">
        <f ca="1"/>
        <v>(Reminder+ATC) *2</v>
      </c>
      <c r="T147" s="160" t="str">
        <f ca="1"/>
        <v>(Reminder+ATC) *3</v>
      </c>
      <c r="U147" s="160" t="str">
        <f ca="1"/>
        <v>Popup*1</v>
      </c>
      <c r="V147" s="160" t="str">
        <f ca="1"/>
        <v>Popup*2</v>
      </c>
      <c r="W147" s="160" t="str">
        <f ca="1"/>
        <v>Popup*3</v>
      </c>
      <c r="X147" s="160" t="str">
        <f ca="1"/>
        <v>Copy*1</v>
      </c>
      <c r="Y147" s="160" t="str">
        <f ca="1"/>
        <v>Copy*2</v>
      </c>
      <c r="Z147" s="160" t="str">
        <f ca="1"/>
        <v>Copy*3</v>
      </c>
      <c r="AA147" s="160" t="str">
        <f ca="1"/>
        <v>Share*1</v>
      </c>
      <c r="AB147" s="160" t="str">
        <f ca="1"/>
        <v>Share*2</v>
      </c>
      <c r="AC147" s="160" t="str">
        <f ca="1"/>
        <v>Share*3</v>
      </c>
      <c r="AD147" s="160" t="str">
        <f ca="1"/>
        <v>Placeholders</v>
      </c>
      <c r="AE147" s="172" t="b">
        <v>1</v>
      </c>
      <c r="AF147" s="173" t="s">
        <v>431</v>
      </c>
      <c r="AG147" s="174" t="str">
        <f t="shared" ca="1" si="61"/>
        <v>-</v>
      </c>
      <c r="AH147" s="195" t="s">
        <v>730</v>
      </c>
      <c r="AI147" s="176" t="str">
        <f ca="1">IFERROR(VLOOKUP($AH147, '(勿動)Component Label公版'!$D$1:$E$1000, 2, FALSE), "-")</f>
        <v>-</v>
      </c>
      <c r="AJ147" s="559" t="s">
        <v>217</v>
      </c>
      <c r="AK147" s="174"/>
      <c r="AL147" s="174"/>
      <c r="AM147" s="189" t="str">
        <f t="shared" si="56"/>
        <v/>
      </c>
      <c r="AN147" s="190" t="str">
        <f t="shared" si="57"/>
        <v/>
      </c>
      <c r="AO147" s="533" t="s">
        <v>731</v>
      </c>
      <c r="AP147" s="384"/>
      <c r="AQ147" s="384"/>
      <c r="AR147" s="384"/>
      <c r="AS147" s="384"/>
      <c r="AT147" s="385"/>
      <c r="AU147" s="235" t="b">
        <v>1</v>
      </c>
      <c r="AV147" s="180" t="b">
        <v>0</v>
      </c>
      <c r="AW147" s="186"/>
      <c r="AX147" s="187"/>
      <c r="AY147" s="187"/>
      <c r="AZ147" s="187"/>
      <c r="BA147" s="188"/>
      <c r="BB147" s="191" t="s">
        <v>147</v>
      </c>
      <c r="BC147" s="179" t="s">
        <v>154</v>
      </c>
      <c r="BD147" s="198" t="str">
        <f t="shared" si="49"/>
        <v>圖_MSBN_無CTA</v>
      </c>
      <c r="BE147" s="199" t="str">
        <f>IFERROR(VLOOKUP($BD147,'(勿動)組件目錄表'!$D$15:$R$1110,2,FALSE),"")</f>
        <v>I-1</v>
      </c>
      <c r="BF147" s="200">
        <f>IFERROR(VLOOKUP($BD147, '(勿動)組件目錄表'!$D$15:$R$1110, 5, FALSE),"")</f>
        <v>0.5</v>
      </c>
      <c r="BG147" s="592" t="s">
        <v>732</v>
      </c>
      <c r="BH147" s="183"/>
      <c r="BI147" s="181"/>
      <c r="BJ147" s="183"/>
    </row>
    <row r="148" spans="1:62" ht="15.75" customHeight="1">
      <c r="A148" s="160" t="str">
        <f t="array" aca="1" ref="A148:AD148" ca="1">IFERROR(TRANSPOSE(INDIRECT(L1_暖正版配!$BB148)),"")</f>
        <v>無CTA</v>
      </c>
      <c r="B148" s="160" t="str">
        <f ca="1"/>
        <v>LINK*1</v>
      </c>
      <c r="C148" s="160" t="str">
        <f ca="1"/>
        <v>LINK*2</v>
      </c>
      <c r="D148" s="160" t="str">
        <f ca="1"/>
        <v>LINK*3</v>
      </c>
      <c r="E148" s="160" t="str">
        <f ca="1"/>
        <v>LINK&gt;3</v>
      </c>
      <c r="F148" s="160" t="str">
        <f ca="1"/>
        <v>Reminder*1</v>
      </c>
      <c r="G148" s="160" t="str">
        <f ca="1"/>
        <v>Reminder*2</v>
      </c>
      <c r="H148" s="160" t="str">
        <f ca="1"/>
        <v>Reminder*3</v>
      </c>
      <c r="I148" s="160" t="str">
        <f ca="1"/>
        <v>Reminder*4</v>
      </c>
      <c r="J148" s="160" t="str">
        <f ca="1"/>
        <v>Reminder*5</v>
      </c>
      <c r="K148" s="160" t="str">
        <f ca="1"/>
        <v>Reminder&gt;5</v>
      </c>
      <c r="L148" s="160" t="str">
        <f ca="1"/>
        <v>LINK*1 + Reminder*1</v>
      </c>
      <c r="M148" s="160" t="str">
        <f ca="1"/>
        <v>LINK*1 + Reminder*2</v>
      </c>
      <c r="N148" s="160" t="str">
        <f ca="1"/>
        <v>LINK*2 + Reminder*1</v>
      </c>
      <c r="O148" s="160" t="str">
        <f ca="1"/>
        <v>Add to Cart*1</v>
      </c>
      <c r="P148" s="160" t="str">
        <f ca="1"/>
        <v>Add to Cart*2</v>
      </c>
      <c r="Q148" s="160" t="str">
        <f ca="1"/>
        <v>Add to Cart*3</v>
      </c>
      <c r="R148" s="160" t="str">
        <f ca="1"/>
        <v>(Reminder+ATC) *1</v>
      </c>
      <c r="S148" s="160" t="str">
        <f ca="1"/>
        <v>(Reminder+ATC) *2</v>
      </c>
      <c r="T148" s="160" t="str">
        <f ca="1"/>
        <v>(Reminder+ATC) *3</v>
      </c>
      <c r="U148" s="160" t="str">
        <f ca="1"/>
        <v>Popup*1</v>
      </c>
      <c r="V148" s="160" t="str">
        <f ca="1"/>
        <v>Popup*2</v>
      </c>
      <c r="W148" s="160" t="str">
        <f ca="1"/>
        <v>Popup*3</v>
      </c>
      <c r="X148" s="160" t="str">
        <f ca="1"/>
        <v>Copy*1</v>
      </c>
      <c r="Y148" s="160" t="str">
        <f ca="1"/>
        <v>Copy*2</v>
      </c>
      <c r="Z148" s="160" t="str">
        <f ca="1"/>
        <v>Copy*3</v>
      </c>
      <c r="AA148" s="160" t="str">
        <f ca="1"/>
        <v>Share*1</v>
      </c>
      <c r="AB148" s="160" t="str">
        <f ca="1"/>
        <v>Share*2</v>
      </c>
      <c r="AC148" s="160" t="str">
        <f ca="1"/>
        <v>Share*3</v>
      </c>
      <c r="AD148" s="160" t="str">
        <f ca="1"/>
        <v>Placeholders</v>
      </c>
      <c r="AE148" s="226" t="b">
        <v>0</v>
      </c>
      <c r="AF148" s="173" t="str">
        <f t="shared" ref="AF148:AF150" si="63">IF(AE148=TRUE,"若有勾選則必填，隱藏錨點請填寫&lt;設隱形錨點&gt;","")</f>
        <v/>
      </c>
      <c r="AG148" s="174" t="str">
        <f t="shared" si="61"/>
        <v/>
      </c>
      <c r="AH148" s="195" t="s">
        <v>730</v>
      </c>
      <c r="AI148" s="176" t="str">
        <f ca="1">IFERROR(VLOOKUP($AH148, '(勿動)Component Label公版'!$D$1:$E$1000, 2, FALSE), "-")</f>
        <v>-</v>
      </c>
      <c r="AJ148" s="412"/>
      <c r="AK148" s="174"/>
      <c r="AL148" s="174"/>
      <c r="AM148" s="189" t="str">
        <f t="shared" si="56"/>
        <v/>
      </c>
      <c r="AN148" s="190" t="str">
        <f t="shared" si="57"/>
        <v/>
      </c>
      <c r="AO148" s="533" t="s">
        <v>431</v>
      </c>
      <c r="AP148" s="384"/>
      <c r="AQ148" s="384"/>
      <c r="AR148" s="384"/>
      <c r="AS148" s="384"/>
      <c r="AT148" s="385"/>
      <c r="AU148" s="235" t="b">
        <v>1</v>
      </c>
      <c r="AV148" s="180" t="b">
        <v>0</v>
      </c>
      <c r="AW148" s="186"/>
      <c r="AX148" s="187"/>
      <c r="AY148" s="187"/>
      <c r="AZ148" s="187"/>
      <c r="BA148" s="188"/>
      <c r="BB148" s="191" t="s">
        <v>147</v>
      </c>
      <c r="BC148" s="179" t="s">
        <v>154</v>
      </c>
      <c r="BD148" s="198" t="str">
        <f t="shared" si="49"/>
        <v>圖_MSBN_無CTA</v>
      </c>
      <c r="BE148" s="199" t="str">
        <f>IFERROR(VLOOKUP($BD148,'(勿動)組件目錄表'!$D$15:$R$1110,2,FALSE),"")</f>
        <v>I-1</v>
      </c>
      <c r="BF148" s="200">
        <f>IFERROR(VLOOKUP($BD148, '(勿動)組件目錄表'!$D$15:$R$1110, 5, FALSE),"")</f>
        <v>0.5</v>
      </c>
      <c r="BG148" s="587"/>
      <c r="BH148" s="183"/>
      <c r="BI148" s="181"/>
      <c r="BJ148" s="183"/>
    </row>
    <row r="149" spans="1:62" ht="15.75" customHeight="1">
      <c r="A149" s="160" t="str">
        <f t="array" aca="1" ref="A149" ca="1">IFERROR(TRANSPOSE(INDIRECT(L1_暖正版配!$BB149)),"")</f>
        <v>固定</v>
      </c>
      <c r="B149" s="160"/>
      <c r="C149" s="160"/>
      <c r="D149" s="160"/>
      <c r="E149" s="160"/>
      <c r="F149" s="160"/>
      <c r="G149" s="160"/>
      <c r="H149" s="160"/>
      <c r="I149" s="160"/>
      <c r="J149" s="160"/>
      <c r="K149" s="160"/>
      <c r="L149" s="160"/>
      <c r="M149" s="160"/>
      <c r="N149" s="160"/>
      <c r="O149" s="160"/>
      <c r="P149" s="160"/>
      <c r="Q149" s="160"/>
      <c r="R149" s="160"/>
      <c r="S149" s="160"/>
      <c r="T149" s="160"/>
      <c r="U149" s="160"/>
      <c r="V149" s="160"/>
      <c r="W149" s="160"/>
      <c r="X149" s="160"/>
      <c r="Y149" s="160"/>
      <c r="Z149" s="160"/>
      <c r="AA149" s="160"/>
      <c r="AB149" s="160"/>
      <c r="AC149" s="160"/>
      <c r="AD149" s="160"/>
      <c r="AE149" s="172" t="b">
        <v>0</v>
      </c>
      <c r="AF149" s="173" t="str">
        <f t="shared" si="63"/>
        <v/>
      </c>
      <c r="AG149" s="174" t="str">
        <f t="shared" si="61"/>
        <v/>
      </c>
      <c r="AH149" s="195" t="s">
        <v>730</v>
      </c>
      <c r="AI149" s="176" t="str">
        <f ca="1">IFERROR(VLOOKUP($AH149, '(勿動)Component Label公版'!$D$1:$E$1000, 2, FALSE), "-")</f>
        <v>-</v>
      </c>
      <c r="AJ149" s="400"/>
      <c r="AK149" s="174"/>
      <c r="AL149" s="174"/>
      <c r="AM149" s="189" t="str">
        <f t="shared" si="56"/>
        <v/>
      </c>
      <c r="AN149" s="190" t="str">
        <f t="shared" si="57"/>
        <v/>
      </c>
      <c r="AO149" s="541" t="s">
        <v>733</v>
      </c>
      <c r="AP149" s="384"/>
      <c r="AQ149" s="384"/>
      <c r="AR149" s="384"/>
      <c r="AS149" s="384"/>
      <c r="AT149" s="385"/>
      <c r="AU149" s="180" t="b">
        <v>0</v>
      </c>
      <c r="AV149" s="180" t="b">
        <v>0</v>
      </c>
      <c r="AW149" s="186"/>
      <c r="AX149" s="187"/>
      <c r="AY149" s="187"/>
      <c r="AZ149" s="187"/>
      <c r="BA149" s="188"/>
      <c r="BB149" s="191" t="s">
        <v>498</v>
      </c>
      <c r="BC149" s="179" t="s">
        <v>113</v>
      </c>
      <c r="BD149" s="198" t="str">
        <f t="shared" si="49"/>
        <v>iframe_固定</v>
      </c>
      <c r="BE149" s="199" t="str">
        <f>IFERROR(VLOOKUP($BD149,'(勿動)組件目錄表'!$D$15:$R$1110,2,FALSE),"")</f>
        <v>O-1</v>
      </c>
      <c r="BF149" s="200">
        <f>IFERROR(VLOOKUP($BD149, '(勿動)組件目錄表'!$D$15:$R$1110, 5, FALSE),"")</f>
        <v>0.5</v>
      </c>
      <c r="BG149" s="181"/>
      <c r="BH149" s="183"/>
      <c r="BI149" s="181"/>
      <c r="BJ149" s="183"/>
    </row>
    <row r="150" spans="1:62" ht="15.75" customHeight="1">
      <c r="A150" s="160" t="str">
        <f t="array" aca="1" ref="A150:AD150" ca="1">IFERROR(TRANSPOSE(INDIRECT(L1_暖正版配!$BB150)),"")</f>
        <v>無CTA</v>
      </c>
      <c r="B150" s="160" t="str">
        <f ca="1"/>
        <v>LINK*1</v>
      </c>
      <c r="C150" s="160" t="str">
        <f ca="1"/>
        <v>LINK*2</v>
      </c>
      <c r="D150" s="160" t="str">
        <f ca="1"/>
        <v>LINK*3</v>
      </c>
      <c r="E150" s="160" t="str">
        <f ca="1"/>
        <v>LINK&gt;3</v>
      </c>
      <c r="F150" s="160" t="str">
        <f ca="1"/>
        <v>Reminder*1</v>
      </c>
      <c r="G150" s="160" t="str">
        <f ca="1"/>
        <v>Reminder*2</v>
      </c>
      <c r="H150" s="160" t="str">
        <f ca="1"/>
        <v>Reminder*3</v>
      </c>
      <c r="I150" s="160" t="str">
        <f ca="1"/>
        <v>Reminder*4</v>
      </c>
      <c r="J150" s="160" t="str">
        <f ca="1"/>
        <v>Reminder*5</v>
      </c>
      <c r="K150" s="160" t="str">
        <f ca="1"/>
        <v>Reminder&gt;5</v>
      </c>
      <c r="L150" s="160" t="str">
        <f ca="1"/>
        <v>LINK*1 + Reminder*1</v>
      </c>
      <c r="M150" s="160" t="str">
        <f ca="1"/>
        <v>LINK*1 + Reminder*2</v>
      </c>
      <c r="N150" s="160" t="str">
        <f ca="1"/>
        <v>LINK*2 + Reminder*1</v>
      </c>
      <c r="O150" s="160" t="str">
        <f ca="1"/>
        <v>Add to Cart*1</v>
      </c>
      <c r="P150" s="160" t="str">
        <f ca="1"/>
        <v>Add to Cart*2</v>
      </c>
      <c r="Q150" s="160" t="str">
        <f ca="1"/>
        <v>Add to Cart*3</v>
      </c>
      <c r="R150" s="160" t="str">
        <f ca="1"/>
        <v>(Reminder+ATC) *1</v>
      </c>
      <c r="S150" s="160" t="str">
        <f ca="1"/>
        <v>(Reminder+ATC) *2</v>
      </c>
      <c r="T150" s="160" t="str">
        <f ca="1"/>
        <v>(Reminder+ATC) *3</v>
      </c>
      <c r="U150" s="160" t="str">
        <f ca="1"/>
        <v>Popup*1</v>
      </c>
      <c r="V150" s="160" t="str">
        <f ca="1"/>
        <v>Popup*2</v>
      </c>
      <c r="W150" s="160" t="str">
        <f ca="1"/>
        <v>Popup*3</v>
      </c>
      <c r="X150" s="160" t="str">
        <f ca="1"/>
        <v>Copy*1</v>
      </c>
      <c r="Y150" s="160" t="str">
        <f ca="1"/>
        <v>Copy*2</v>
      </c>
      <c r="Z150" s="160" t="str">
        <f ca="1"/>
        <v>Copy*3</v>
      </c>
      <c r="AA150" s="160" t="str">
        <f ca="1"/>
        <v>Share*1</v>
      </c>
      <c r="AB150" s="160" t="str">
        <f ca="1"/>
        <v>Share*2</v>
      </c>
      <c r="AC150" s="160" t="str">
        <f ca="1"/>
        <v>Share*3</v>
      </c>
      <c r="AD150" s="160" t="str">
        <f ca="1"/>
        <v>Placeholders</v>
      </c>
      <c r="AE150" s="213" t="b">
        <v>0</v>
      </c>
      <c r="AF150" s="204" t="str">
        <f t="shared" si="63"/>
        <v/>
      </c>
      <c r="AG150" s="203" t="str">
        <f t="shared" si="61"/>
        <v/>
      </c>
      <c r="AH150" s="195" t="s">
        <v>730</v>
      </c>
      <c r="AI150" s="176" t="str">
        <f ca="1">IFERROR(VLOOKUP($AH150, '(勿動)Component Label公版'!$D$1:$E$1000, 2, FALSE), "-")</f>
        <v>-</v>
      </c>
      <c r="AJ150" s="237"/>
      <c r="AK150" s="203"/>
      <c r="AL150" s="203"/>
      <c r="AM150" s="203" t="str">
        <f t="shared" si="56"/>
        <v/>
      </c>
      <c r="AN150" s="204" t="str">
        <f t="shared" si="57"/>
        <v/>
      </c>
      <c r="AO150" s="573" t="s">
        <v>268</v>
      </c>
      <c r="AP150" s="447"/>
      <c r="AQ150" s="447"/>
      <c r="AR150" s="447"/>
      <c r="AS150" s="447"/>
      <c r="AT150" s="490"/>
      <c r="AU150" s="235" t="b">
        <v>1</v>
      </c>
      <c r="AV150" s="180" t="b">
        <v>0</v>
      </c>
      <c r="AW150" s="186"/>
      <c r="AX150" s="187"/>
      <c r="AY150" s="187"/>
      <c r="AZ150" s="187"/>
      <c r="BA150" s="188"/>
      <c r="BB150" s="191" t="s">
        <v>147</v>
      </c>
      <c r="BC150" s="179" t="s">
        <v>154</v>
      </c>
      <c r="BD150" s="198" t="str">
        <f t="shared" si="49"/>
        <v>圖_MSBN_無CTA</v>
      </c>
      <c r="BE150" s="190" t="str">
        <f>IFERROR(VLOOKUP($BD150,'(勿動)組件目錄表'!$D$15:$R$1110,2,FALSE),"")</f>
        <v>I-1</v>
      </c>
      <c r="BF150" s="205">
        <f>IFERROR(VLOOKUP($BD150, '(勿動)組件目錄表'!$D$15:$R$1110, 5, FALSE),"")</f>
        <v>0.5</v>
      </c>
      <c r="BG150" s="118"/>
      <c r="BH150" s="183"/>
      <c r="BI150" s="118"/>
      <c r="BJ150" s="120"/>
    </row>
    <row r="151" spans="1:62" ht="15.75" customHeight="1" outlineLevel="1">
      <c r="A151" s="160" t="str">
        <f t="array" aca="1" ref="A151:G151" ca="1">IFERROR(TRANSPOSE(INDIRECT(L1_暖正版配!$BB151)),"")</f>
        <v>商品圖+$ 1品(文字在左側)</v>
      </c>
      <c r="B151" s="160" t="str">
        <f ca="1"/>
        <v>商品圖+$ 2品(文字在左側)</v>
      </c>
      <c r="C151" s="160" t="str">
        <f ca="1"/>
        <v>CTA 自行輸入文案(一排1個) CTA</v>
      </c>
      <c r="D151" s="160" t="str">
        <f ca="1"/>
        <v>CTA 自行輸入文案(一排1個) Reminder</v>
      </c>
      <c r="E151" s="160" t="str">
        <f ca="1"/>
        <v>CTA 自行輸入文案(一排2個) Reminder+Reminder</v>
      </c>
      <c r="F151" s="160" t="str">
        <f ca="1"/>
        <v>CTA 自行輸入文案(一排2個) CTA+Reminder</v>
      </c>
      <c r="G151" s="160" t="str">
        <f ca="1"/>
        <v>CTA 自行輸入文案(一排2個) CTA+CTA</v>
      </c>
      <c r="H151" s="160"/>
      <c r="I151" s="160"/>
      <c r="J151" s="160"/>
      <c r="K151" s="160"/>
      <c r="L151" s="160"/>
      <c r="M151" s="160"/>
      <c r="N151" s="160"/>
      <c r="O151" s="160"/>
      <c r="P151" s="160"/>
      <c r="Q151" s="160"/>
      <c r="R151" s="160"/>
      <c r="S151" s="160"/>
      <c r="T151" s="160"/>
      <c r="U151" s="160"/>
      <c r="V151" s="160"/>
      <c r="W151" s="160"/>
      <c r="X151" s="160"/>
      <c r="Y151" s="160"/>
      <c r="Z151" s="160"/>
      <c r="AA151" s="160"/>
      <c r="AB151" s="160"/>
      <c r="AC151" s="160"/>
      <c r="AD151" s="160"/>
      <c r="AE151" s="172" t="b">
        <v>1</v>
      </c>
      <c r="AF151" s="173" t="s">
        <v>432</v>
      </c>
      <c r="AG151" s="174" t="str">
        <f t="shared" ca="1" si="61"/>
        <v>-</v>
      </c>
      <c r="AH151" s="195" t="s">
        <v>740</v>
      </c>
      <c r="AI151" s="176" t="str">
        <f ca="1">IFERROR(VLOOKUP($AH151, '(勿動)Component Label公版'!$D$1:$E$1000, 2, FALSE), "-")</f>
        <v>-</v>
      </c>
      <c r="AJ151" s="245"/>
      <c r="AK151" s="202" t="s">
        <v>434</v>
      </c>
      <c r="AL151" s="202" t="s">
        <v>440</v>
      </c>
      <c r="AM151" s="189" t="str">
        <f t="shared" si="56"/>
        <v/>
      </c>
      <c r="AN151" s="217" t="str">
        <f t="shared" si="57"/>
        <v>2026-04-17 23:59:59</v>
      </c>
      <c r="AO151" s="555" t="s">
        <v>741</v>
      </c>
      <c r="AP151" s="556"/>
      <c r="AQ151" s="556"/>
      <c r="AR151" s="557"/>
      <c r="AS151" s="558" t="s">
        <v>742</v>
      </c>
      <c r="AT151" s="464"/>
      <c r="AU151" s="246" t="b">
        <v>1</v>
      </c>
      <c r="AV151" s="179" t="b">
        <v>1</v>
      </c>
      <c r="AW151" s="186"/>
      <c r="AX151" s="187"/>
      <c r="AY151" s="187"/>
      <c r="AZ151" s="187"/>
      <c r="BA151" s="188"/>
      <c r="BB151" s="191" t="s">
        <v>743</v>
      </c>
      <c r="BC151" s="179" t="s">
        <v>744</v>
      </c>
      <c r="BD151" s="191" t="str">
        <f t="shared" si="49"/>
        <v>圖_GD模版_通用公版_商品圖+$ 1品(文字在左側)</v>
      </c>
      <c r="BE151" s="200" t="str">
        <f>IFERROR(VLOOKUP($BD151,'(勿動)組件目錄表'!$D$15:$R$1110,2,FALSE),"")</f>
        <v>I-43</v>
      </c>
      <c r="BF151" s="200">
        <f>IFERROR(VLOOKUP($BD151, '(勿動)組件目錄表'!$D$15:$R$1110, 5, FALSE),"")</f>
        <v>0.5</v>
      </c>
      <c r="BG151" s="592" t="s">
        <v>745</v>
      </c>
      <c r="BH151" s="183"/>
      <c r="BI151" s="181"/>
      <c r="BJ151" s="183"/>
    </row>
    <row r="152" spans="1:62" ht="15.75" customHeight="1" outlineLevel="1">
      <c r="A152" s="160" t="str">
        <f t="array" aca="1" ref="A152:G152" ca="1">IFERROR(TRANSPOSE(INDIRECT(L1_暖正版配!$BB152)),"")</f>
        <v>商品圖+$ 1品(文字在左側)</v>
      </c>
      <c r="B152" s="160" t="str">
        <f ca="1"/>
        <v>商品圖+$ 2品(文字在左側)</v>
      </c>
      <c r="C152" s="160" t="str">
        <f ca="1"/>
        <v>CTA 自行輸入文案(一排1個) CTA</v>
      </c>
      <c r="D152" s="160" t="str">
        <f ca="1"/>
        <v>CTA 自行輸入文案(一排1個) Reminder</v>
      </c>
      <c r="E152" s="160" t="str">
        <f ca="1"/>
        <v>CTA 自行輸入文案(一排2個) Reminder+Reminder</v>
      </c>
      <c r="F152" s="160" t="str">
        <f ca="1"/>
        <v>CTA 自行輸入文案(一排2個) CTA+Reminder</v>
      </c>
      <c r="G152" s="160" t="str">
        <f ca="1"/>
        <v>CTA 自行輸入文案(一排2個) CTA+CTA</v>
      </c>
      <c r="H152" s="160"/>
      <c r="I152" s="160"/>
      <c r="J152" s="160"/>
      <c r="K152" s="160"/>
      <c r="L152" s="160"/>
      <c r="M152" s="160"/>
      <c r="N152" s="160"/>
      <c r="O152" s="160"/>
      <c r="P152" s="160"/>
      <c r="Q152" s="160"/>
      <c r="R152" s="160"/>
      <c r="S152" s="160"/>
      <c r="T152" s="160"/>
      <c r="U152" s="160"/>
      <c r="V152" s="160"/>
      <c r="W152" s="160"/>
      <c r="X152" s="160"/>
      <c r="Y152" s="160"/>
      <c r="Z152" s="160"/>
      <c r="AA152" s="160"/>
      <c r="AB152" s="160"/>
      <c r="AC152" s="160"/>
      <c r="AD152" s="160"/>
      <c r="AE152" s="205" t="b">
        <v>0</v>
      </c>
      <c r="AF152" s="173" t="str">
        <f t="shared" ref="AF152:AF156" si="64">IF(AE152=TRUE,"若有勾選則必填，隱藏錨點請填寫&lt;設隱形錨點&gt;","")</f>
        <v/>
      </c>
      <c r="AG152" s="174" t="str">
        <f t="shared" si="61"/>
        <v/>
      </c>
      <c r="AH152" s="195" t="s">
        <v>740</v>
      </c>
      <c r="AI152" s="176" t="str">
        <f ca="1">IFERROR(VLOOKUP($AH152, '(勿動)Component Label公版'!$D$1:$E$1000, 2, FALSE), "-")</f>
        <v>-</v>
      </c>
      <c r="AJ152" s="245"/>
      <c r="AK152" s="202" t="s">
        <v>434</v>
      </c>
      <c r="AL152" s="202" t="s">
        <v>440</v>
      </c>
      <c r="AM152" s="189" t="str">
        <f t="shared" si="56"/>
        <v/>
      </c>
      <c r="AN152" s="217" t="str">
        <f t="shared" si="57"/>
        <v>2026-04-17 23:59:59</v>
      </c>
      <c r="AO152" s="547" t="s">
        <v>746</v>
      </c>
      <c r="AP152" s="384"/>
      <c r="AQ152" s="384"/>
      <c r="AR152" s="385"/>
      <c r="AS152" s="400"/>
      <c r="AT152" s="549"/>
      <c r="AU152" s="246" t="b">
        <v>1</v>
      </c>
      <c r="AV152" s="179" t="b">
        <v>1</v>
      </c>
      <c r="AW152" s="186"/>
      <c r="AX152" s="187"/>
      <c r="AY152" s="187"/>
      <c r="AZ152" s="187"/>
      <c r="BA152" s="188"/>
      <c r="BB152" s="191" t="s">
        <v>743</v>
      </c>
      <c r="BC152" s="179" t="s">
        <v>744</v>
      </c>
      <c r="BD152" s="191" t="str">
        <f t="shared" si="49"/>
        <v>圖_GD模版_通用公版_商品圖+$ 1品(文字在左側)</v>
      </c>
      <c r="BE152" s="200" t="str">
        <f>IFERROR(VLOOKUP($BD152,'(勿動)組件目錄表'!$D$15:$R$1110,2,FALSE),"")</f>
        <v>I-43</v>
      </c>
      <c r="BF152" s="200">
        <f>IFERROR(VLOOKUP($BD152, '(勿動)組件目錄表'!$D$15:$R$1110, 5, FALSE),"")</f>
        <v>0.5</v>
      </c>
      <c r="BG152" s="591"/>
      <c r="BH152" s="183"/>
      <c r="BI152" s="181"/>
      <c r="BJ152" s="183"/>
    </row>
    <row r="153" spans="1:62" ht="15.75" customHeight="1" outlineLevel="1">
      <c r="A153" s="160" t="str">
        <f t="array" aca="1" ref="A153:G153" ca="1">IFERROR(TRANSPOSE(INDIRECT(L1_暖正版配!$BB153)),"")</f>
        <v>商品圖+$ 1品(文字在左側)</v>
      </c>
      <c r="B153" s="160" t="str">
        <f ca="1"/>
        <v>商品圖+$ 2品(文字在左側)</v>
      </c>
      <c r="C153" s="160" t="str">
        <f ca="1"/>
        <v>CTA 自行輸入文案(一排1個) CTA</v>
      </c>
      <c r="D153" s="160" t="str">
        <f ca="1"/>
        <v>CTA 自行輸入文案(一排1個) Reminder</v>
      </c>
      <c r="E153" s="160" t="str">
        <f ca="1"/>
        <v>CTA 自行輸入文案(一排2個) Reminder+Reminder</v>
      </c>
      <c r="F153" s="160" t="str">
        <f ca="1"/>
        <v>CTA 自行輸入文案(一排2個) CTA+Reminder</v>
      </c>
      <c r="G153" s="160" t="str">
        <f ca="1"/>
        <v>CTA 自行輸入文案(一排2個) CTA+CTA</v>
      </c>
      <c r="H153" s="160"/>
      <c r="I153" s="160"/>
      <c r="J153" s="160"/>
      <c r="K153" s="160"/>
      <c r="L153" s="160"/>
      <c r="M153" s="160"/>
      <c r="N153" s="160"/>
      <c r="O153" s="160"/>
      <c r="P153" s="160"/>
      <c r="Q153" s="160"/>
      <c r="R153" s="160"/>
      <c r="S153" s="160"/>
      <c r="T153" s="160"/>
      <c r="U153" s="160"/>
      <c r="V153" s="160"/>
      <c r="W153" s="160"/>
      <c r="X153" s="160"/>
      <c r="Y153" s="160"/>
      <c r="Z153" s="160"/>
      <c r="AA153" s="160"/>
      <c r="AB153" s="160"/>
      <c r="AC153" s="160"/>
      <c r="AD153" s="160"/>
      <c r="AE153" s="205" t="b">
        <v>0</v>
      </c>
      <c r="AF153" s="173" t="str">
        <f t="shared" si="64"/>
        <v/>
      </c>
      <c r="AG153" s="174" t="str">
        <f t="shared" si="61"/>
        <v/>
      </c>
      <c r="AH153" s="195" t="s">
        <v>740</v>
      </c>
      <c r="AI153" s="176" t="str">
        <f ca="1">IFERROR(VLOOKUP($AH153, '(勿動)Component Label公版'!$D$1:$E$1000, 2, FALSE), "-")</f>
        <v>-</v>
      </c>
      <c r="AJ153" s="245"/>
      <c r="AK153" s="202" t="s">
        <v>434</v>
      </c>
      <c r="AL153" s="202" t="s">
        <v>440</v>
      </c>
      <c r="AM153" s="189" t="str">
        <f t="shared" si="56"/>
        <v/>
      </c>
      <c r="AN153" s="217" t="str">
        <f t="shared" si="57"/>
        <v>2026-04-17 23:59:59</v>
      </c>
      <c r="AO153" s="547" t="s">
        <v>747</v>
      </c>
      <c r="AP153" s="384"/>
      <c r="AQ153" s="384"/>
      <c r="AR153" s="385"/>
      <c r="AS153" s="551" t="s">
        <v>748</v>
      </c>
      <c r="AT153" s="546"/>
      <c r="AU153" s="246" t="b">
        <v>1</v>
      </c>
      <c r="AV153" s="179" t="b">
        <v>1</v>
      </c>
      <c r="AW153" s="186"/>
      <c r="AX153" s="187"/>
      <c r="AY153" s="187"/>
      <c r="AZ153" s="187"/>
      <c r="BA153" s="188"/>
      <c r="BB153" s="191" t="s">
        <v>743</v>
      </c>
      <c r="BC153" s="179" t="s">
        <v>744</v>
      </c>
      <c r="BD153" s="191" t="str">
        <f t="shared" si="49"/>
        <v>圖_GD模版_通用公版_商品圖+$ 1品(文字在左側)</v>
      </c>
      <c r="BE153" s="200" t="str">
        <f>IFERROR(VLOOKUP($BD153,'(勿動)組件目錄表'!$D$15:$R$1110,2,FALSE),"")</f>
        <v>I-43</v>
      </c>
      <c r="BF153" s="200">
        <f>IFERROR(VLOOKUP($BD153, '(勿動)組件目錄表'!$D$15:$R$1110, 5, FALSE),"")</f>
        <v>0.5</v>
      </c>
      <c r="BG153" s="593"/>
      <c r="BH153" s="183"/>
      <c r="BI153" s="181"/>
      <c r="BJ153" s="183"/>
    </row>
    <row r="154" spans="1:62" ht="15.75" customHeight="1" outlineLevel="1">
      <c r="A154" s="160" t="str">
        <f t="array" aca="1" ref="A154:I154" ca="1">IFERROR(TRANSPOSE(INDIRECT(L1_暖正版配!$BB154)),"")</f>
        <v>一排1張(單張/多張)(無一鍵領取)</v>
      </c>
      <c r="B154" s="160" t="str">
        <f ca="1"/>
        <v>一排1張 + Reminder(單張/多張)(無一鍵領取)</v>
      </c>
      <c r="C154" s="160" t="str">
        <f ca="1"/>
        <v>一排1張 + 一鍵領取(多張)</v>
      </c>
      <c r="D154" s="160" t="str">
        <f ca="1"/>
        <v>【僅供MKT Campaign使用】PC：一排兩張；APP：一排1張 + 一鍵領取(多張)</v>
      </c>
      <c r="E154" s="160" t="str">
        <f ca="1"/>
        <v>【僅供MKT Campaign使用】PC：一排兩張；APP：一排1張 + 一鍵領取(多張) + Reminder</v>
      </c>
      <c r="F154" s="160" t="str">
        <f ca="1"/>
        <v>【僅供MKT Campaign使用】PC：一排兩張；APP：一排1張 + 一鍵領取(多張) + Reminder + 查看全部(系統預設加上「優惠券」文案)</v>
      </c>
      <c r="G154" s="160" t="str">
        <f ca="1"/>
        <v>一排2張(單張/多張)(無一鍵領取)</v>
      </c>
      <c r="H154" s="160" t="str">
        <f ca="1"/>
        <v>一排2張 + Reminder(單張/多張)(無一鍵領取)</v>
      </c>
      <c r="I154" s="160" t="str">
        <f ca="1"/>
        <v>一排2張 + 一鍵領取(多張)</v>
      </c>
      <c r="J154" s="160"/>
      <c r="K154" s="160"/>
      <c r="L154" s="160"/>
      <c r="M154" s="160"/>
      <c r="N154" s="160"/>
      <c r="O154" s="160"/>
      <c r="P154" s="160"/>
      <c r="Q154" s="160"/>
      <c r="R154" s="160"/>
      <c r="S154" s="160"/>
      <c r="T154" s="160"/>
      <c r="U154" s="160"/>
      <c r="V154" s="160"/>
      <c r="W154" s="160"/>
      <c r="X154" s="160"/>
      <c r="Y154" s="160"/>
      <c r="Z154" s="160"/>
      <c r="AA154" s="160"/>
      <c r="AB154" s="160"/>
      <c r="AC154" s="160"/>
      <c r="AD154" s="160"/>
      <c r="AE154" s="205" t="b">
        <v>0</v>
      </c>
      <c r="AF154" s="173" t="str">
        <f t="shared" si="64"/>
        <v/>
      </c>
      <c r="AG154" s="174" t="str">
        <f t="shared" si="61"/>
        <v/>
      </c>
      <c r="AH154" s="195" t="s">
        <v>740</v>
      </c>
      <c r="AI154" s="176" t="str">
        <f ca="1">IFERROR(VLOOKUP($AH154, '(勿動)Component Label公版'!$D$1:$E$1000, 2, FALSE), "-")</f>
        <v>-</v>
      </c>
      <c r="AJ154" s="245"/>
      <c r="AK154" s="202" t="s">
        <v>434</v>
      </c>
      <c r="AL154" s="202" t="s">
        <v>440</v>
      </c>
      <c r="AM154" s="189" t="str">
        <f t="shared" si="56"/>
        <v/>
      </c>
      <c r="AN154" s="217" t="str">
        <f t="shared" si="57"/>
        <v>2026-04-17 23:59:59</v>
      </c>
      <c r="AO154" s="545" t="s">
        <v>749</v>
      </c>
      <c r="AP154" s="384"/>
      <c r="AQ154" s="384"/>
      <c r="AR154" s="384"/>
      <c r="AS154" s="384"/>
      <c r="AT154" s="546"/>
      <c r="AU154" s="222" t="b">
        <v>0</v>
      </c>
      <c r="AV154" s="180" t="b">
        <v>0</v>
      </c>
      <c r="AW154" s="186"/>
      <c r="AX154" s="187"/>
      <c r="AY154" s="187"/>
      <c r="AZ154" s="187"/>
      <c r="BA154" s="188"/>
      <c r="BB154" s="191" t="s">
        <v>182</v>
      </c>
      <c r="BC154" s="179" t="s">
        <v>222</v>
      </c>
      <c r="BD154" s="191" t="str">
        <f t="shared" si="49"/>
        <v>優惠券_真券_一排1張(單張/多張)(無一鍵領取)</v>
      </c>
      <c r="BE154" s="200" t="str">
        <f>IFERROR(VLOOKUP($BD154,'(勿動)組件目錄表'!$D$15:$R$1110,2,FALSE),"")</f>
        <v>F-1</v>
      </c>
      <c r="BF154" s="200">
        <f>IFERROR(VLOOKUP($BD154, '(勿動)組件目錄表'!$D$15:$R$1110, 5, FALSE),"")</f>
        <v>0.5</v>
      </c>
      <c r="BG154" s="118"/>
      <c r="BH154" s="183"/>
      <c r="BI154" s="181"/>
      <c r="BJ154" s="183"/>
    </row>
    <row r="155" spans="1:62" ht="15.75" customHeight="1" outlineLevel="1">
      <c r="A155" s="160" t="str">
        <f t="array" aca="1" ref="A155:AD155" ca="1">IFERROR(TRANSPOSE(INDIRECT(L1_暖正版配!$BB155)),"")</f>
        <v>無CTA</v>
      </c>
      <c r="B155" s="160" t="str">
        <f ca="1"/>
        <v>LINK*1</v>
      </c>
      <c r="C155" s="160" t="str">
        <f ca="1"/>
        <v>LINK*2</v>
      </c>
      <c r="D155" s="160" t="str">
        <f ca="1"/>
        <v>LINK*3</v>
      </c>
      <c r="E155" s="160" t="str">
        <f ca="1"/>
        <v>LINK&gt;3</v>
      </c>
      <c r="F155" s="160" t="str">
        <f ca="1"/>
        <v>Reminder*1</v>
      </c>
      <c r="G155" s="160" t="str">
        <f ca="1"/>
        <v>Reminder*2</v>
      </c>
      <c r="H155" s="160" t="str">
        <f ca="1"/>
        <v>Reminder*3</v>
      </c>
      <c r="I155" s="160" t="str">
        <f ca="1"/>
        <v>Reminder*4</v>
      </c>
      <c r="J155" s="160" t="str">
        <f ca="1"/>
        <v>Reminder*5</v>
      </c>
      <c r="K155" s="160" t="str">
        <f ca="1"/>
        <v>Reminder&gt;5</v>
      </c>
      <c r="L155" s="160" t="str">
        <f ca="1"/>
        <v>LINK*1 + Reminder*1</v>
      </c>
      <c r="M155" s="160" t="str">
        <f ca="1"/>
        <v>LINK*1 + Reminder*2</v>
      </c>
      <c r="N155" s="160" t="str">
        <f ca="1"/>
        <v>LINK*2 + Reminder*1</v>
      </c>
      <c r="O155" s="160" t="str">
        <f ca="1"/>
        <v>Add to Cart*1</v>
      </c>
      <c r="P155" s="160" t="str">
        <f ca="1"/>
        <v>Add to Cart*2</v>
      </c>
      <c r="Q155" s="160" t="str">
        <f ca="1"/>
        <v>Add to Cart*3</v>
      </c>
      <c r="R155" s="160" t="str">
        <f ca="1"/>
        <v>(Reminder+ATC) *1</v>
      </c>
      <c r="S155" s="160" t="str">
        <f ca="1"/>
        <v>(Reminder+ATC) *2</v>
      </c>
      <c r="T155" s="160" t="str">
        <f ca="1"/>
        <v>(Reminder+ATC) *3</v>
      </c>
      <c r="U155" s="160" t="str">
        <f ca="1"/>
        <v>Popup*1</v>
      </c>
      <c r="V155" s="160" t="str">
        <f ca="1"/>
        <v>Popup*2</v>
      </c>
      <c r="W155" s="160" t="str">
        <f ca="1"/>
        <v>Popup*3</v>
      </c>
      <c r="X155" s="160" t="str">
        <f ca="1"/>
        <v>Copy*1</v>
      </c>
      <c r="Y155" s="160" t="str">
        <f ca="1"/>
        <v>Copy*2</v>
      </c>
      <c r="Z155" s="160" t="str">
        <f ca="1"/>
        <v>Copy*3</v>
      </c>
      <c r="AA155" s="160" t="str">
        <f ca="1"/>
        <v>Share*1</v>
      </c>
      <c r="AB155" s="160" t="str">
        <f ca="1"/>
        <v>Share*2</v>
      </c>
      <c r="AC155" s="160" t="str">
        <f ca="1"/>
        <v>Share*3</v>
      </c>
      <c r="AD155" s="160" t="str">
        <f ca="1"/>
        <v>Placeholders</v>
      </c>
      <c r="AE155" s="205" t="b">
        <v>0</v>
      </c>
      <c r="AF155" s="173" t="str">
        <f t="shared" si="64"/>
        <v/>
      </c>
      <c r="AG155" s="174" t="str">
        <f t="shared" si="61"/>
        <v/>
      </c>
      <c r="AH155" s="195" t="s">
        <v>740</v>
      </c>
      <c r="AI155" s="176" t="str">
        <f ca="1">IFERROR(VLOOKUP($AH155, '(勿動)Component Label公版'!$D$1:$E$1000, 2, FALSE), "-")</f>
        <v>-</v>
      </c>
      <c r="AJ155" s="245"/>
      <c r="AK155" s="202" t="s">
        <v>434</v>
      </c>
      <c r="AL155" s="202" t="s">
        <v>440</v>
      </c>
      <c r="AM155" s="189" t="str">
        <f t="shared" si="56"/>
        <v/>
      </c>
      <c r="AN155" s="217" t="str">
        <f t="shared" si="57"/>
        <v>2026-04-17 23:59:59</v>
      </c>
      <c r="AO155" s="247" t="s">
        <v>741</v>
      </c>
      <c r="AP155" s="550" t="s">
        <v>750</v>
      </c>
      <c r="AQ155" s="384"/>
      <c r="AR155" s="385"/>
      <c r="AS155" s="551" t="s">
        <v>751</v>
      </c>
      <c r="AT155" s="546"/>
      <c r="AU155" s="246" t="b">
        <v>1</v>
      </c>
      <c r="AV155" s="179" t="b">
        <v>1</v>
      </c>
      <c r="AW155" s="186"/>
      <c r="AX155" s="187"/>
      <c r="AY155" s="187"/>
      <c r="AZ155" s="187"/>
      <c r="BA155" s="188"/>
      <c r="BB155" s="191" t="s">
        <v>147</v>
      </c>
      <c r="BC155" s="179" t="s">
        <v>118</v>
      </c>
      <c r="BD155" s="191" t="str">
        <f t="shared" si="49"/>
        <v>圖_MSBN_LINK*1</v>
      </c>
      <c r="BE155" s="200" t="str">
        <f>IFERROR(VLOOKUP($BD155,'(勿動)組件目錄表'!$D$15:$R$1110,2,FALSE),"")</f>
        <v>I-2</v>
      </c>
      <c r="BF155" s="200">
        <f>IFERROR(VLOOKUP($BD155, '(勿動)組件目錄表'!$D$15:$R$1110, 5, FALSE),"")</f>
        <v>0.5</v>
      </c>
      <c r="BG155" s="248" t="s">
        <v>752</v>
      </c>
      <c r="BH155" s="183"/>
      <c r="BI155" s="181"/>
      <c r="BJ155" s="183"/>
    </row>
    <row r="156" spans="1:62" ht="15.75" customHeight="1" outlineLevel="1">
      <c r="A156" s="160" t="str">
        <f t="array" aca="1" ref="A156:G156" ca="1">IFERROR(TRANSPOSE(INDIRECT(L1_暖正版配!$BB156)),"")</f>
        <v>一排1品(垂直展示)</v>
      </c>
      <c r="B156" s="160" t="str">
        <f ca="1"/>
        <v>一排2品(垂直展示)</v>
      </c>
      <c r="C156" s="160" t="str">
        <f ca="1"/>
        <v>一排3品(垂直展示)</v>
      </c>
      <c r="D156" s="160" t="str">
        <f ca="1"/>
        <v>Collection 1條(水平展示)</v>
      </c>
      <c r="E156" s="160" t="str">
        <f ca="1"/>
        <v>Collection 1條(水平展示) + 查看全部(Footer)</v>
      </c>
      <c r="F156" s="160" t="str">
        <f ca="1"/>
        <v>Multi tabs</v>
      </c>
      <c r="G156" s="160" t="str">
        <f ca="1"/>
        <v>推薦品 Item Recommendation-固定</v>
      </c>
      <c r="H156" s="160"/>
      <c r="I156" s="160"/>
      <c r="J156" s="160"/>
      <c r="K156" s="160"/>
      <c r="L156" s="160"/>
      <c r="M156" s="160"/>
      <c r="N156" s="160"/>
      <c r="O156" s="160"/>
      <c r="P156" s="160"/>
      <c r="Q156" s="160"/>
      <c r="R156" s="160"/>
      <c r="S156" s="160"/>
      <c r="T156" s="160"/>
      <c r="U156" s="160"/>
      <c r="V156" s="160"/>
      <c r="W156" s="160"/>
      <c r="X156" s="160"/>
      <c r="Y156" s="160"/>
      <c r="Z156" s="160"/>
      <c r="AA156" s="160"/>
      <c r="AB156" s="160"/>
      <c r="AC156" s="160"/>
      <c r="AD156" s="160"/>
      <c r="AE156" s="205" t="b">
        <v>0</v>
      </c>
      <c r="AF156" s="173" t="str">
        <f t="shared" si="64"/>
        <v/>
      </c>
      <c r="AG156" s="174" t="str">
        <f t="shared" si="61"/>
        <v/>
      </c>
      <c r="AH156" s="195" t="s">
        <v>740</v>
      </c>
      <c r="AI156" s="176" t="str">
        <f ca="1">IFERROR(VLOOKUP($AH156, '(勿動)Component Label公版'!$D$1:$E$1000, 2, FALSE), "-")</f>
        <v>-</v>
      </c>
      <c r="AJ156" s="245"/>
      <c r="AK156" s="202" t="s">
        <v>434</v>
      </c>
      <c r="AL156" s="202" t="s">
        <v>440</v>
      </c>
      <c r="AM156" s="189" t="str">
        <f t="shared" si="56"/>
        <v/>
      </c>
      <c r="AN156" s="217" t="str">
        <f t="shared" si="57"/>
        <v>2026-04-17 23:59:59</v>
      </c>
      <c r="AO156" s="574" t="s">
        <v>753</v>
      </c>
      <c r="AP156" s="384"/>
      <c r="AQ156" s="384"/>
      <c r="AR156" s="384"/>
      <c r="AS156" s="384"/>
      <c r="AT156" s="546"/>
      <c r="AU156" s="222" t="b">
        <v>0</v>
      </c>
      <c r="AV156" s="180" t="b">
        <v>0</v>
      </c>
      <c r="AW156" s="186"/>
      <c r="AX156" s="187"/>
      <c r="AY156" s="187"/>
      <c r="AZ156" s="187"/>
      <c r="BA156" s="188"/>
      <c r="BB156" s="191" t="s">
        <v>264</v>
      </c>
      <c r="BC156" s="179" t="s">
        <v>257</v>
      </c>
      <c r="BD156" s="191" t="str">
        <f t="shared" si="49"/>
        <v>品_Collection 1條(水平展示)</v>
      </c>
      <c r="BE156" s="200" t="str">
        <f>IFERROR(VLOOKUP($BD156,'(勿動)組件目錄表'!$D$15:$R$1110,2,FALSE),"")</f>
        <v>G-4</v>
      </c>
      <c r="BF156" s="200">
        <f>IFERROR(VLOOKUP($BD156, '(勿動)組件目錄表'!$D$15:$R$1110, 5, FALSE),"")</f>
        <v>0.5</v>
      </c>
      <c r="BG156" s="118"/>
      <c r="BH156" s="183"/>
      <c r="BI156" s="181"/>
      <c r="BJ156" s="183"/>
    </row>
    <row r="157" spans="1:62" ht="15.75" customHeight="1" outlineLevel="1">
      <c r="A157" s="160" t="str">
        <f t="array" aca="1" ref="A157:G157" ca="1">IFERROR(TRANSPOSE(INDIRECT(L1_暖正版配!$BB157)),"")</f>
        <v>商品圖+$ 1品(文字在左側)</v>
      </c>
      <c r="B157" s="160" t="str">
        <f ca="1"/>
        <v>商品圖+$ 2品(文字在左側)</v>
      </c>
      <c r="C157" s="160" t="str">
        <f ca="1"/>
        <v>CTA 自行輸入文案(一排1個) CTA</v>
      </c>
      <c r="D157" s="160" t="str">
        <f ca="1"/>
        <v>CTA 自行輸入文案(一排1個) Reminder</v>
      </c>
      <c r="E157" s="160" t="str">
        <f ca="1"/>
        <v>CTA 自行輸入文案(一排2個) Reminder+Reminder</v>
      </c>
      <c r="F157" s="160" t="str">
        <f ca="1"/>
        <v>CTA 自行輸入文案(一排2個) CTA+Reminder</v>
      </c>
      <c r="G157" s="160" t="str">
        <f ca="1"/>
        <v>CTA 自行輸入文案(一排2個) CTA+CTA</v>
      </c>
      <c r="H157" s="160"/>
      <c r="I157" s="160"/>
      <c r="J157" s="160"/>
      <c r="K157" s="160"/>
      <c r="L157" s="160"/>
      <c r="M157" s="160"/>
      <c r="N157" s="160"/>
      <c r="O157" s="160"/>
      <c r="P157" s="160"/>
      <c r="Q157" s="160"/>
      <c r="R157" s="160"/>
      <c r="S157" s="160"/>
      <c r="T157" s="160"/>
      <c r="U157" s="160"/>
      <c r="V157" s="160"/>
      <c r="W157" s="160"/>
      <c r="X157" s="160"/>
      <c r="Y157" s="160"/>
      <c r="Z157" s="160"/>
      <c r="AA157" s="160"/>
      <c r="AB157" s="160"/>
      <c r="AC157" s="160"/>
      <c r="AD157" s="160"/>
      <c r="AE157" s="172" t="b">
        <v>1</v>
      </c>
      <c r="AF157" s="173" t="s">
        <v>432</v>
      </c>
      <c r="AG157" s="174" t="str">
        <f t="shared" ca="1" si="61"/>
        <v>-</v>
      </c>
      <c r="AH157" s="195" t="s">
        <v>740</v>
      </c>
      <c r="AI157" s="176" t="str">
        <f ca="1">IFERROR(VLOOKUP($AH157, '(勿動)Component Label公版'!$D$1:$E$1000, 2, FALSE), "-")</f>
        <v>-</v>
      </c>
      <c r="AJ157" s="245"/>
      <c r="AK157" s="202" t="s">
        <v>443</v>
      </c>
      <c r="AL157" s="202" t="s">
        <v>444</v>
      </c>
      <c r="AM157" s="189" t="str">
        <f t="shared" si="56"/>
        <v>2026-04-18 00:00:00</v>
      </c>
      <c r="AN157" s="217" t="str">
        <f t="shared" si="57"/>
        <v>2026-04-18 23:59:59</v>
      </c>
      <c r="AO157" s="547" t="s">
        <v>741</v>
      </c>
      <c r="AP157" s="384"/>
      <c r="AQ157" s="384"/>
      <c r="AR157" s="385"/>
      <c r="AS157" s="548" t="s">
        <v>742</v>
      </c>
      <c r="AT157" s="467"/>
      <c r="AU157" s="246" t="b">
        <v>1</v>
      </c>
      <c r="AV157" s="179" t="b">
        <v>1</v>
      </c>
      <c r="AW157" s="186"/>
      <c r="AX157" s="187"/>
      <c r="AY157" s="187"/>
      <c r="AZ157" s="187"/>
      <c r="BA157" s="188"/>
      <c r="BB157" s="191" t="s">
        <v>743</v>
      </c>
      <c r="BC157" s="179" t="s">
        <v>744</v>
      </c>
      <c r="BD157" s="191" t="str">
        <f t="shared" si="49"/>
        <v>圖_GD模版_通用公版_商品圖+$ 1品(文字在左側)</v>
      </c>
      <c r="BE157" s="200" t="str">
        <f>IFERROR(VLOOKUP($BD157,'(勿動)組件目錄表'!$D$15:$R$1110,2,FALSE),"")</f>
        <v>I-43</v>
      </c>
      <c r="BF157" s="200">
        <f>IFERROR(VLOOKUP($BD157, '(勿動)組件目錄表'!$D$15:$R$1110, 5, FALSE),"")</f>
        <v>0.5</v>
      </c>
      <c r="BG157" s="592" t="s">
        <v>754</v>
      </c>
      <c r="BH157" s="183"/>
      <c r="BI157" s="181"/>
      <c r="BJ157" s="183"/>
    </row>
    <row r="158" spans="1:62" ht="15.75" customHeight="1" outlineLevel="1">
      <c r="A158" s="160" t="str">
        <f t="array" aca="1" ref="A158:G158" ca="1">IFERROR(TRANSPOSE(INDIRECT(L1_暖正版配!$BB158)),"")</f>
        <v>商品圖+$ 1品(文字在左側)</v>
      </c>
      <c r="B158" s="160" t="str">
        <f ca="1"/>
        <v>商品圖+$ 2品(文字在左側)</v>
      </c>
      <c r="C158" s="160" t="str">
        <f ca="1"/>
        <v>CTA 自行輸入文案(一排1個) CTA</v>
      </c>
      <c r="D158" s="160" t="str">
        <f ca="1"/>
        <v>CTA 自行輸入文案(一排1個) Reminder</v>
      </c>
      <c r="E158" s="160" t="str">
        <f ca="1"/>
        <v>CTA 自行輸入文案(一排2個) Reminder+Reminder</v>
      </c>
      <c r="F158" s="160" t="str">
        <f ca="1"/>
        <v>CTA 自行輸入文案(一排2個) CTA+Reminder</v>
      </c>
      <c r="G158" s="160" t="str">
        <f ca="1"/>
        <v>CTA 自行輸入文案(一排2個) CTA+CTA</v>
      </c>
      <c r="H158" s="160"/>
      <c r="I158" s="160"/>
      <c r="J158" s="160"/>
      <c r="K158" s="160"/>
      <c r="L158" s="160"/>
      <c r="M158" s="160"/>
      <c r="N158" s="160"/>
      <c r="O158" s="160"/>
      <c r="P158" s="160"/>
      <c r="Q158" s="160"/>
      <c r="R158" s="160"/>
      <c r="S158" s="160"/>
      <c r="T158" s="160"/>
      <c r="U158" s="160"/>
      <c r="V158" s="160"/>
      <c r="W158" s="160"/>
      <c r="X158" s="160"/>
      <c r="Y158" s="160"/>
      <c r="Z158" s="160"/>
      <c r="AA158" s="160"/>
      <c r="AB158" s="160"/>
      <c r="AC158" s="160"/>
      <c r="AD158" s="160"/>
      <c r="AE158" s="205" t="b">
        <v>0</v>
      </c>
      <c r="AF158" s="173" t="str">
        <f t="shared" ref="AF158:AF198" si="65">IF(AE158=TRUE,"若有勾選則必填，隱藏錨點請填寫&lt;設隱形錨點&gt;","")</f>
        <v/>
      </c>
      <c r="AG158" s="174" t="str">
        <f t="shared" si="61"/>
        <v/>
      </c>
      <c r="AH158" s="195" t="s">
        <v>740</v>
      </c>
      <c r="AI158" s="176" t="str">
        <f ca="1">IFERROR(VLOOKUP($AH158, '(勿動)Component Label公版'!$D$1:$E$1000, 2, FALSE), "-")</f>
        <v>-</v>
      </c>
      <c r="AJ158" s="245"/>
      <c r="AK158" s="202" t="s">
        <v>443</v>
      </c>
      <c r="AL158" s="202" t="s">
        <v>444</v>
      </c>
      <c r="AM158" s="189" t="str">
        <f t="shared" si="56"/>
        <v>2026-04-18 00:00:00</v>
      </c>
      <c r="AN158" s="217" t="str">
        <f t="shared" si="57"/>
        <v>2026-04-18 23:59:59</v>
      </c>
      <c r="AO158" s="547" t="s">
        <v>746</v>
      </c>
      <c r="AP158" s="384"/>
      <c r="AQ158" s="384"/>
      <c r="AR158" s="385"/>
      <c r="AS158" s="400"/>
      <c r="AT158" s="549"/>
      <c r="AU158" s="246" t="b">
        <v>1</v>
      </c>
      <c r="AV158" s="179" t="b">
        <v>1</v>
      </c>
      <c r="AW158" s="186"/>
      <c r="AX158" s="187"/>
      <c r="AY158" s="187"/>
      <c r="AZ158" s="187"/>
      <c r="BA158" s="188"/>
      <c r="BB158" s="191" t="s">
        <v>743</v>
      </c>
      <c r="BC158" s="179" t="s">
        <v>744</v>
      </c>
      <c r="BD158" s="191" t="str">
        <f t="shared" si="49"/>
        <v>圖_GD模版_通用公版_商品圖+$ 1品(文字在左側)</v>
      </c>
      <c r="BE158" s="200" t="str">
        <f>IFERROR(VLOOKUP($BD158,'(勿動)組件目錄表'!$D$15:$R$1110,2,FALSE),"")</f>
        <v>I-43</v>
      </c>
      <c r="BF158" s="200">
        <f>IFERROR(VLOOKUP($BD158, '(勿動)組件目錄表'!$D$15:$R$1110, 5, FALSE),"")</f>
        <v>0.5</v>
      </c>
      <c r="BG158" s="591"/>
      <c r="BH158" s="183"/>
      <c r="BI158" s="181"/>
      <c r="BJ158" s="183"/>
    </row>
    <row r="159" spans="1:62" ht="15.75" customHeight="1" outlineLevel="1">
      <c r="A159" s="160" t="str">
        <f t="array" aca="1" ref="A159:G159" ca="1">IFERROR(TRANSPOSE(INDIRECT(L1_暖正版配!$BB159)),"")</f>
        <v>商品圖+$ 1品(文字在左側)</v>
      </c>
      <c r="B159" s="160" t="str">
        <f ca="1"/>
        <v>商品圖+$ 2品(文字在左側)</v>
      </c>
      <c r="C159" s="160" t="str">
        <f ca="1"/>
        <v>CTA 自行輸入文案(一排1個) CTA</v>
      </c>
      <c r="D159" s="160" t="str">
        <f ca="1"/>
        <v>CTA 自行輸入文案(一排1個) Reminder</v>
      </c>
      <c r="E159" s="160" t="str">
        <f ca="1"/>
        <v>CTA 自行輸入文案(一排2個) Reminder+Reminder</v>
      </c>
      <c r="F159" s="160" t="str">
        <f ca="1"/>
        <v>CTA 自行輸入文案(一排2個) CTA+Reminder</v>
      </c>
      <c r="G159" s="160" t="str">
        <f ca="1"/>
        <v>CTA 自行輸入文案(一排2個) CTA+CTA</v>
      </c>
      <c r="H159" s="160"/>
      <c r="I159" s="160"/>
      <c r="J159" s="160"/>
      <c r="K159" s="160"/>
      <c r="L159" s="160"/>
      <c r="M159" s="160"/>
      <c r="N159" s="160"/>
      <c r="O159" s="160"/>
      <c r="P159" s="160"/>
      <c r="Q159" s="160"/>
      <c r="R159" s="160"/>
      <c r="S159" s="160"/>
      <c r="T159" s="160"/>
      <c r="U159" s="160"/>
      <c r="V159" s="160"/>
      <c r="W159" s="160"/>
      <c r="X159" s="160"/>
      <c r="Y159" s="160"/>
      <c r="Z159" s="160"/>
      <c r="AA159" s="160"/>
      <c r="AB159" s="160"/>
      <c r="AC159" s="160"/>
      <c r="AD159" s="160"/>
      <c r="AE159" s="205" t="b">
        <v>0</v>
      </c>
      <c r="AF159" s="173" t="str">
        <f t="shared" si="65"/>
        <v/>
      </c>
      <c r="AG159" s="174" t="str">
        <f t="shared" si="61"/>
        <v/>
      </c>
      <c r="AH159" s="195" t="s">
        <v>740</v>
      </c>
      <c r="AI159" s="176" t="str">
        <f ca="1">IFERROR(VLOOKUP($AH159, '(勿動)Component Label公版'!$D$1:$E$1000, 2, FALSE), "-")</f>
        <v>-</v>
      </c>
      <c r="AJ159" s="245"/>
      <c r="AK159" s="202" t="s">
        <v>443</v>
      </c>
      <c r="AL159" s="202" t="s">
        <v>444</v>
      </c>
      <c r="AM159" s="189" t="str">
        <f t="shared" si="56"/>
        <v>2026-04-18 00:00:00</v>
      </c>
      <c r="AN159" s="217" t="str">
        <f t="shared" si="57"/>
        <v>2026-04-18 23:59:59</v>
      </c>
      <c r="AO159" s="547" t="s">
        <v>747</v>
      </c>
      <c r="AP159" s="384"/>
      <c r="AQ159" s="384"/>
      <c r="AR159" s="385"/>
      <c r="AS159" s="551" t="s">
        <v>755</v>
      </c>
      <c r="AT159" s="546"/>
      <c r="AU159" s="246" t="b">
        <v>1</v>
      </c>
      <c r="AV159" s="179" t="b">
        <v>1</v>
      </c>
      <c r="AW159" s="186"/>
      <c r="AX159" s="187"/>
      <c r="AY159" s="187"/>
      <c r="AZ159" s="187"/>
      <c r="BA159" s="188"/>
      <c r="BB159" s="191" t="s">
        <v>743</v>
      </c>
      <c r="BC159" s="179" t="s">
        <v>744</v>
      </c>
      <c r="BD159" s="191" t="str">
        <f t="shared" si="49"/>
        <v>圖_GD模版_通用公版_商品圖+$ 1品(文字在左側)</v>
      </c>
      <c r="BE159" s="200" t="str">
        <f>IFERROR(VLOOKUP($BD159,'(勿動)組件目錄表'!$D$15:$R$1110,2,FALSE),"")</f>
        <v>I-43</v>
      </c>
      <c r="BF159" s="200">
        <f>IFERROR(VLOOKUP($BD159, '(勿動)組件目錄表'!$D$15:$R$1110, 5, FALSE),"")</f>
        <v>0.5</v>
      </c>
      <c r="BG159" s="593"/>
      <c r="BH159" s="183"/>
      <c r="BI159" s="236" t="s">
        <v>756</v>
      </c>
      <c r="BJ159" s="207" t="s">
        <v>757</v>
      </c>
    </row>
    <row r="160" spans="1:62" ht="15.75" customHeight="1" outlineLevel="1">
      <c r="A160" s="160" t="str">
        <f t="array" aca="1" ref="A160:I160" ca="1">IFERROR(TRANSPOSE(INDIRECT(L1_暖正版配!$BB160)),"")</f>
        <v>一排1張(單張/多張)(無一鍵領取)</v>
      </c>
      <c r="B160" s="160" t="str">
        <f ca="1"/>
        <v>一排1張 + Reminder(單張/多張)(無一鍵領取)</v>
      </c>
      <c r="C160" s="160" t="str">
        <f ca="1"/>
        <v>一排1張 + 一鍵領取(多張)</v>
      </c>
      <c r="D160" s="160" t="str">
        <f ca="1"/>
        <v>【僅供MKT Campaign使用】PC：一排兩張；APP：一排1張 + 一鍵領取(多張)</v>
      </c>
      <c r="E160" s="160" t="str">
        <f ca="1"/>
        <v>【僅供MKT Campaign使用】PC：一排兩張；APP：一排1張 + 一鍵領取(多張) + Reminder</v>
      </c>
      <c r="F160" s="160" t="str">
        <f ca="1"/>
        <v>【僅供MKT Campaign使用】PC：一排兩張；APP：一排1張 + 一鍵領取(多張) + Reminder + 查看全部(系統預設加上「優惠券」文案)</v>
      </c>
      <c r="G160" s="160" t="str">
        <f ca="1"/>
        <v>一排2張(單張/多張)(無一鍵領取)</v>
      </c>
      <c r="H160" s="160" t="str">
        <f ca="1"/>
        <v>一排2張 + Reminder(單張/多張)(無一鍵領取)</v>
      </c>
      <c r="I160" s="160" t="str">
        <f ca="1"/>
        <v>一排2張 + 一鍵領取(多張)</v>
      </c>
      <c r="J160" s="160"/>
      <c r="K160" s="160"/>
      <c r="L160" s="160"/>
      <c r="M160" s="160"/>
      <c r="N160" s="160"/>
      <c r="O160" s="160"/>
      <c r="P160" s="160"/>
      <c r="Q160" s="160"/>
      <c r="R160" s="160"/>
      <c r="S160" s="160"/>
      <c r="T160" s="160"/>
      <c r="U160" s="160"/>
      <c r="V160" s="160"/>
      <c r="W160" s="160"/>
      <c r="X160" s="160"/>
      <c r="Y160" s="160"/>
      <c r="Z160" s="160"/>
      <c r="AA160" s="160"/>
      <c r="AB160" s="160"/>
      <c r="AC160" s="160"/>
      <c r="AD160" s="160"/>
      <c r="AE160" s="205" t="b">
        <v>0</v>
      </c>
      <c r="AF160" s="173" t="str">
        <f t="shared" si="65"/>
        <v/>
      </c>
      <c r="AG160" s="174" t="str">
        <f t="shared" si="61"/>
        <v/>
      </c>
      <c r="AH160" s="195" t="s">
        <v>740</v>
      </c>
      <c r="AI160" s="176" t="str">
        <f ca="1">IFERROR(VLOOKUP($AH160, '(勿動)Component Label公版'!$D$1:$E$1000, 2, FALSE), "-")</f>
        <v>-</v>
      </c>
      <c r="AJ160" s="245"/>
      <c r="AK160" s="202" t="s">
        <v>443</v>
      </c>
      <c r="AL160" s="202" t="s">
        <v>444</v>
      </c>
      <c r="AM160" s="189" t="str">
        <f t="shared" si="56"/>
        <v>2026-04-18 00:00:00</v>
      </c>
      <c r="AN160" s="217" t="str">
        <f t="shared" si="57"/>
        <v>2026-04-18 23:59:59</v>
      </c>
      <c r="AO160" s="545" t="s">
        <v>758</v>
      </c>
      <c r="AP160" s="384"/>
      <c r="AQ160" s="384"/>
      <c r="AR160" s="384"/>
      <c r="AS160" s="384"/>
      <c r="AT160" s="546"/>
      <c r="AU160" s="222" t="b">
        <v>0</v>
      </c>
      <c r="AV160" s="180" t="b">
        <v>0</v>
      </c>
      <c r="AW160" s="186"/>
      <c r="AX160" s="187"/>
      <c r="AY160" s="187"/>
      <c r="AZ160" s="187"/>
      <c r="BA160" s="188"/>
      <c r="BB160" s="191" t="s">
        <v>182</v>
      </c>
      <c r="BC160" s="179" t="s">
        <v>222</v>
      </c>
      <c r="BD160" s="191" t="str">
        <f t="shared" si="49"/>
        <v>優惠券_真券_一排1張(單張/多張)(無一鍵領取)</v>
      </c>
      <c r="BE160" s="200" t="str">
        <f>IFERROR(VLOOKUP($BD160,'(勿動)組件目錄表'!$D$15:$R$1110,2,FALSE),"")</f>
        <v>F-1</v>
      </c>
      <c r="BF160" s="200">
        <f>IFERROR(VLOOKUP($BD160, '(勿動)組件目錄表'!$D$15:$R$1110, 5, FALSE),"")</f>
        <v>0.5</v>
      </c>
      <c r="BG160" s="118"/>
      <c r="BH160" s="183"/>
      <c r="BI160" s="181"/>
      <c r="BJ160" s="183"/>
    </row>
    <row r="161" spans="1:62" ht="15.75" customHeight="1" outlineLevel="1">
      <c r="A161" s="160" t="str">
        <f t="array" aca="1" ref="A161:AD161" ca="1">IFERROR(TRANSPOSE(INDIRECT(L1_暖正版配!$BB161)),"")</f>
        <v>無CTA</v>
      </c>
      <c r="B161" s="160" t="str">
        <f ca="1"/>
        <v>LINK*1</v>
      </c>
      <c r="C161" s="160" t="str">
        <f ca="1"/>
        <v>LINK*2</v>
      </c>
      <c r="D161" s="160" t="str">
        <f ca="1"/>
        <v>LINK*3</v>
      </c>
      <c r="E161" s="160" t="str">
        <f ca="1"/>
        <v>LINK&gt;3</v>
      </c>
      <c r="F161" s="160" t="str">
        <f ca="1"/>
        <v>Reminder*1</v>
      </c>
      <c r="G161" s="160" t="str">
        <f ca="1"/>
        <v>Reminder*2</v>
      </c>
      <c r="H161" s="160" t="str">
        <f ca="1"/>
        <v>Reminder*3</v>
      </c>
      <c r="I161" s="160" t="str">
        <f ca="1"/>
        <v>Reminder*4</v>
      </c>
      <c r="J161" s="160" t="str">
        <f ca="1"/>
        <v>Reminder*5</v>
      </c>
      <c r="K161" s="160" t="str">
        <f ca="1"/>
        <v>Reminder&gt;5</v>
      </c>
      <c r="L161" s="160" t="str">
        <f ca="1"/>
        <v>LINK*1 + Reminder*1</v>
      </c>
      <c r="M161" s="160" t="str">
        <f ca="1"/>
        <v>LINK*1 + Reminder*2</v>
      </c>
      <c r="N161" s="160" t="str">
        <f ca="1"/>
        <v>LINK*2 + Reminder*1</v>
      </c>
      <c r="O161" s="160" t="str">
        <f ca="1"/>
        <v>Add to Cart*1</v>
      </c>
      <c r="P161" s="160" t="str">
        <f ca="1"/>
        <v>Add to Cart*2</v>
      </c>
      <c r="Q161" s="160" t="str">
        <f ca="1"/>
        <v>Add to Cart*3</v>
      </c>
      <c r="R161" s="160" t="str">
        <f ca="1"/>
        <v>(Reminder+ATC) *1</v>
      </c>
      <c r="S161" s="160" t="str">
        <f ca="1"/>
        <v>(Reminder+ATC) *2</v>
      </c>
      <c r="T161" s="160" t="str">
        <f ca="1"/>
        <v>(Reminder+ATC) *3</v>
      </c>
      <c r="U161" s="160" t="str">
        <f ca="1"/>
        <v>Popup*1</v>
      </c>
      <c r="V161" s="160" t="str">
        <f ca="1"/>
        <v>Popup*2</v>
      </c>
      <c r="W161" s="160" t="str">
        <f ca="1"/>
        <v>Popup*3</v>
      </c>
      <c r="X161" s="160" t="str">
        <f ca="1"/>
        <v>Copy*1</v>
      </c>
      <c r="Y161" s="160" t="str">
        <f ca="1"/>
        <v>Copy*2</v>
      </c>
      <c r="Z161" s="160" t="str">
        <f ca="1"/>
        <v>Copy*3</v>
      </c>
      <c r="AA161" s="160" t="str">
        <f ca="1"/>
        <v>Share*1</v>
      </c>
      <c r="AB161" s="160" t="str">
        <f ca="1"/>
        <v>Share*2</v>
      </c>
      <c r="AC161" s="160" t="str">
        <f ca="1"/>
        <v>Share*3</v>
      </c>
      <c r="AD161" s="160" t="str">
        <f ca="1"/>
        <v>Placeholders</v>
      </c>
      <c r="AE161" s="205" t="b">
        <v>0</v>
      </c>
      <c r="AF161" s="173" t="str">
        <f t="shared" si="65"/>
        <v/>
      </c>
      <c r="AG161" s="174" t="str">
        <f t="shared" si="61"/>
        <v/>
      </c>
      <c r="AH161" s="195" t="s">
        <v>740</v>
      </c>
      <c r="AI161" s="176" t="str">
        <f ca="1">IFERROR(VLOOKUP($AH161, '(勿動)Component Label公版'!$D$1:$E$1000, 2, FALSE), "-")</f>
        <v>-</v>
      </c>
      <c r="AJ161" s="245"/>
      <c r="AK161" s="202" t="s">
        <v>443</v>
      </c>
      <c r="AL161" s="202" t="s">
        <v>444</v>
      </c>
      <c r="AM161" s="189" t="str">
        <f t="shared" si="56"/>
        <v>2026-04-18 00:00:00</v>
      </c>
      <c r="AN161" s="217" t="str">
        <f t="shared" si="57"/>
        <v>2026-04-18 23:59:59</v>
      </c>
      <c r="AO161" s="247" t="s">
        <v>741</v>
      </c>
      <c r="AP161" s="550" t="s">
        <v>750</v>
      </c>
      <c r="AQ161" s="384"/>
      <c r="AR161" s="385"/>
      <c r="AS161" s="551" t="s">
        <v>759</v>
      </c>
      <c r="AT161" s="546"/>
      <c r="AU161" s="246" t="b">
        <v>1</v>
      </c>
      <c r="AV161" s="179" t="b">
        <v>1</v>
      </c>
      <c r="AW161" s="186"/>
      <c r="AX161" s="187"/>
      <c r="AY161" s="187"/>
      <c r="AZ161" s="187"/>
      <c r="BA161" s="188"/>
      <c r="BB161" s="191" t="s">
        <v>147</v>
      </c>
      <c r="BC161" s="179" t="s">
        <v>118</v>
      </c>
      <c r="BD161" s="191" t="str">
        <f t="shared" si="49"/>
        <v>圖_MSBN_LINK*1</v>
      </c>
      <c r="BE161" s="200" t="str">
        <f>IFERROR(VLOOKUP($BD161,'(勿動)組件目錄表'!$D$15:$R$1110,2,FALSE),"")</f>
        <v>I-2</v>
      </c>
      <c r="BF161" s="200">
        <f>IFERROR(VLOOKUP($BD161, '(勿動)組件目錄表'!$D$15:$R$1110, 5, FALSE),"")</f>
        <v>0.5</v>
      </c>
      <c r="BG161" s="248" t="s">
        <v>760</v>
      </c>
      <c r="BH161" s="183"/>
      <c r="BI161" s="181"/>
      <c r="BJ161" s="183"/>
    </row>
    <row r="162" spans="1:62" ht="15.75" customHeight="1" outlineLevel="1">
      <c r="A162" s="160" t="str">
        <f t="array" aca="1" ref="A162:G162" ca="1">IFERROR(TRANSPOSE(INDIRECT(L1_暖正版配!$BB162)),"")</f>
        <v>一排1品(垂直展示)</v>
      </c>
      <c r="B162" s="160" t="str">
        <f ca="1"/>
        <v>一排2品(垂直展示)</v>
      </c>
      <c r="C162" s="160" t="str">
        <f ca="1"/>
        <v>一排3品(垂直展示)</v>
      </c>
      <c r="D162" s="160" t="str">
        <f ca="1"/>
        <v>Collection 1條(水平展示)</v>
      </c>
      <c r="E162" s="160" t="str">
        <f ca="1"/>
        <v>Collection 1條(水平展示) + 查看全部(Footer)</v>
      </c>
      <c r="F162" s="160" t="str">
        <f ca="1"/>
        <v>Multi tabs</v>
      </c>
      <c r="G162" s="160" t="str">
        <f ca="1"/>
        <v>推薦品 Item Recommendation-固定</v>
      </c>
      <c r="H162" s="160"/>
      <c r="I162" s="160"/>
      <c r="J162" s="160"/>
      <c r="K162" s="160"/>
      <c r="L162" s="160"/>
      <c r="M162" s="160"/>
      <c r="N162" s="160"/>
      <c r="O162" s="160"/>
      <c r="P162" s="160"/>
      <c r="Q162" s="160"/>
      <c r="R162" s="160"/>
      <c r="S162" s="160"/>
      <c r="T162" s="160"/>
      <c r="U162" s="160"/>
      <c r="V162" s="160"/>
      <c r="W162" s="160"/>
      <c r="X162" s="160"/>
      <c r="Y162" s="160"/>
      <c r="Z162" s="160"/>
      <c r="AA162" s="160"/>
      <c r="AB162" s="160"/>
      <c r="AC162" s="160"/>
      <c r="AD162" s="160"/>
      <c r="AE162" s="205" t="b">
        <v>0</v>
      </c>
      <c r="AF162" s="173" t="str">
        <f t="shared" si="65"/>
        <v/>
      </c>
      <c r="AG162" s="174" t="str">
        <f t="shared" si="61"/>
        <v/>
      </c>
      <c r="AH162" s="195" t="s">
        <v>740</v>
      </c>
      <c r="AI162" s="176" t="str">
        <f ca="1">IFERROR(VLOOKUP($AH162, '(勿動)Component Label公版'!$D$1:$E$1000, 2, FALSE), "-")</f>
        <v>-</v>
      </c>
      <c r="AJ162" s="245"/>
      <c r="AK162" s="202" t="s">
        <v>443</v>
      </c>
      <c r="AL162" s="202" t="s">
        <v>444</v>
      </c>
      <c r="AM162" s="189" t="str">
        <f t="shared" si="56"/>
        <v>2026-04-18 00:00:00</v>
      </c>
      <c r="AN162" s="217" t="str">
        <f t="shared" si="57"/>
        <v>2026-04-18 23:59:59</v>
      </c>
      <c r="AO162" s="574" t="s">
        <v>753</v>
      </c>
      <c r="AP162" s="384"/>
      <c r="AQ162" s="384"/>
      <c r="AR162" s="384"/>
      <c r="AS162" s="384"/>
      <c r="AT162" s="546"/>
      <c r="AU162" s="222" t="b">
        <v>0</v>
      </c>
      <c r="AV162" s="180" t="b">
        <v>0</v>
      </c>
      <c r="AW162" s="186"/>
      <c r="AX162" s="187"/>
      <c r="AY162" s="187"/>
      <c r="AZ162" s="187"/>
      <c r="BA162" s="188"/>
      <c r="BB162" s="191" t="s">
        <v>264</v>
      </c>
      <c r="BC162" s="179" t="s">
        <v>257</v>
      </c>
      <c r="BD162" s="191" t="str">
        <f t="shared" si="49"/>
        <v>品_Collection 1條(水平展示)</v>
      </c>
      <c r="BE162" s="200" t="str">
        <f>IFERROR(VLOOKUP($BD162,'(勿動)組件目錄表'!$D$15:$R$1110,2,FALSE),"")</f>
        <v>G-4</v>
      </c>
      <c r="BF162" s="200">
        <f>IFERROR(VLOOKUP($BD162, '(勿動)組件目錄表'!$D$15:$R$1110, 5, FALSE),"")</f>
        <v>0.5</v>
      </c>
      <c r="BG162" s="118"/>
      <c r="BH162" s="183"/>
      <c r="BI162" s="181"/>
      <c r="BJ162" s="183"/>
    </row>
    <row r="163" spans="1:62" ht="15.75" customHeight="1" outlineLevel="1">
      <c r="A163" s="160" t="str">
        <f t="array" aca="1" ref="A163:G163" ca="1">IFERROR(TRANSPOSE(INDIRECT(L1_暖正版配!$BB163)),"")</f>
        <v>商品圖+$ 1品(文字在左側)</v>
      </c>
      <c r="B163" s="160" t="str">
        <f ca="1"/>
        <v>商品圖+$ 2品(文字在左側)</v>
      </c>
      <c r="C163" s="160" t="str">
        <f ca="1"/>
        <v>CTA 自行輸入文案(一排1個) CTA</v>
      </c>
      <c r="D163" s="160" t="str">
        <f ca="1"/>
        <v>CTA 自行輸入文案(一排1個) Reminder</v>
      </c>
      <c r="E163" s="160" t="str">
        <f ca="1"/>
        <v>CTA 自行輸入文案(一排2個) Reminder+Reminder</v>
      </c>
      <c r="F163" s="160" t="str">
        <f ca="1"/>
        <v>CTA 自行輸入文案(一排2個) CTA+Reminder</v>
      </c>
      <c r="G163" s="160" t="str">
        <f ca="1"/>
        <v>CTA 自行輸入文案(一排2個) CTA+CTA</v>
      </c>
      <c r="H163" s="160"/>
      <c r="I163" s="160"/>
      <c r="J163" s="160"/>
      <c r="K163" s="160"/>
      <c r="L163" s="160"/>
      <c r="M163" s="160"/>
      <c r="N163" s="160"/>
      <c r="O163" s="160"/>
      <c r="P163" s="160"/>
      <c r="Q163" s="160"/>
      <c r="R163" s="160"/>
      <c r="S163" s="160"/>
      <c r="T163" s="160"/>
      <c r="U163" s="160"/>
      <c r="V163" s="160"/>
      <c r="W163" s="160"/>
      <c r="X163" s="160"/>
      <c r="Y163" s="160"/>
      <c r="Z163" s="160"/>
      <c r="AA163" s="160"/>
      <c r="AB163" s="160"/>
      <c r="AC163" s="160"/>
      <c r="AD163" s="160"/>
      <c r="AE163" s="172" t="b">
        <v>0</v>
      </c>
      <c r="AF163" s="173" t="str">
        <f t="shared" si="65"/>
        <v/>
      </c>
      <c r="AG163" s="174" t="str">
        <f t="shared" si="61"/>
        <v/>
      </c>
      <c r="AH163" s="195" t="s">
        <v>740</v>
      </c>
      <c r="AI163" s="176" t="str">
        <f ca="1">IFERROR(VLOOKUP($AH163, '(勿動)Component Label公版'!$D$1:$E$1000, 2, FALSE), "-")</f>
        <v>-</v>
      </c>
      <c r="AJ163" s="177"/>
      <c r="AK163" s="202" t="s">
        <v>434</v>
      </c>
      <c r="AL163" s="202" t="s">
        <v>440</v>
      </c>
      <c r="AM163" s="189" t="str">
        <f t="shared" si="56"/>
        <v/>
      </c>
      <c r="AN163" s="217" t="str">
        <f t="shared" si="57"/>
        <v>2026-04-17 23:59:59</v>
      </c>
      <c r="AO163" s="555" t="s">
        <v>741</v>
      </c>
      <c r="AP163" s="556"/>
      <c r="AQ163" s="556"/>
      <c r="AR163" s="557"/>
      <c r="AS163" s="558" t="s">
        <v>742</v>
      </c>
      <c r="AT163" s="464"/>
      <c r="AU163" s="246" t="b">
        <v>1</v>
      </c>
      <c r="AV163" s="179" t="b">
        <v>1</v>
      </c>
      <c r="AW163" s="186"/>
      <c r="AX163" s="187"/>
      <c r="AY163" s="187"/>
      <c r="AZ163" s="187"/>
      <c r="BA163" s="188"/>
      <c r="BB163" s="191" t="s">
        <v>743</v>
      </c>
      <c r="BC163" s="179" t="s">
        <v>744</v>
      </c>
      <c r="BD163" s="198" t="str">
        <f t="shared" si="49"/>
        <v>圖_GD模版_通用公版_商品圖+$ 1品(文字在左側)</v>
      </c>
      <c r="BE163" s="199" t="str">
        <f>IFERROR(VLOOKUP($BD163,'(勿動)組件目錄表'!$D$15:$R$1110,2,FALSE),"")</f>
        <v>I-43</v>
      </c>
      <c r="BF163" s="200">
        <f>IFERROR(VLOOKUP($BD163, '(勿動)組件目錄表'!$D$15:$R$1110, 5, FALSE),"")</f>
        <v>0.5</v>
      </c>
      <c r="BG163" s="592" t="s">
        <v>761</v>
      </c>
      <c r="BH163" s="183"/>
      <c r="BI163" s="181"/>
      <c r="BJ163" s="183"/>
    </row>
    <row r="164" spans="1:62" ht="15.75" customHeight="1" outlineLevel="1">
      <c r="A164" s="160" t="str">
        <f t="array" aca="1" ref="A164:G164" ca="1">IFERROR(TRANSPOSE(INDIRECT(L1_暖正版配!$BB164)),"")</f>
        <v>商品圖+$ 1品(文字在左側)</v>
      </c>
      <c r="B164" s="160" t="str">
        <f ca="1"/>
        <v>商品圖+$ 2品(文字在左側)</v>
      </c>
      <c r="C164" s="160" t="str">
        <f ca="1"/>
        <v>CTA 自行輸入文案(一排1個) CTA</v>
      </c>
      <c r="D164" s="160" t="str">
        <f ca="1"/>
        <v>CTA 自行輸入文案(一排1個) Reminder</v>
      </c>
      <c r="E164" s="160" t="str">
        <f ca="1"/>
        <v>CTA 自行輸入文案(一排2個) Reminder+Reminder</v>
      </c>
      <c r="F164" s="160" t="str">
        <f ca="1"/>
        <v>CTA 自行輸入文案(一排2個) CTA+Reminder</v>
      </c>
      <c r="G164" s="160" t="str">
        <f ca="1"/>
        <v>CTA 自行輸入文案(一排2個) CTA+CTA</v>
      </c>
      <c r="H164" s="160"/>
      <c r="I164" s="160"/>
      <c r="J164" s="160"/>
      <c r="K164" s="160"/>
      <c r="L164" s="160"/>
      <c r="M164" s="160"/>
      <c r="N164" s="160"/>
      <c r="O164" s="160"/>
      <c r="P164" s="160"/>
      <c r="Q164" s="160"/>
      <c r="R164" s="160"/>
      <c r="S164" s="160"/>
      <c r="T164" s="160"/>
      <c r="U164" s="160"/>
      <c r="V164" s="160"/>
      <c r="W164" s="160"/>
      <c r="X164" s="160"/>
      <c r="Y164" s="160"/>
      <c r="Z164" s="160"/>
      <c r="AA164" s="160"/>
      <c r="AB164" s="160"/>
      <c r="AC164" s="160"/>
      <c r="AD164" s="160"/>
      <c r="AE164" s="172" t="b">
        <v>0</v>
      </c>
      <c r="AF164" s="173" t="str">
        <f t="shared" si="65"/>
        <v/>
      </c>
      <c r="AG164" s="174" t="str">
        <f t="shared" si="61"/>
        <v/>
      </c>
      <c r="AH164" s="195" t="s">
        <v>740</v>
      </c>
      <c r="AI164" s="176" t="str">
        <f ca="1">IFERROR(VLOOKUP($AH164, '(勿動)Component Label公版'!$D$1:$E$1000, 2, FALSE), "-")</f>
        <v>-</v>
      </c>
      <c r="AJ164" s="177"/>
      <c r="AK164" s="202" t="s">
        <v>434</v>
      </c>
      <c r="AL164" s="202" t="s">
        <v>440</v>
      </c>
      <c r="AM164" s="189" t="str">
        <f t="shared" si="56"/>
        <v/>
      </c>
      <c r="AN164" s="217" t="str">
        <f t="shared" si="57"/>
        <v>2026-04-17 23:59:59</v>
      </c>
      <c r="AO164" s="547" t="s">
        <v>746</v>
      </c>
      <c r="AP164" s="384"/>
      <c r="AQ164" s="384"/>
      <c r="AR164" s="385"/>
      <c r="AS164" s="400"/>
      <c r="AT164" s="549"/>
      <c r="AU164" s="246" t="b">
        <v>1</v>
      </c>
      <c r="AV164" s="179" t="b">
        <v>1</v>
      </c>
      <c r="AW164" s="186"/>
      <c r="AX164" s="187"/>
      <c r="AY164" s="187"/>
      <c r="AZ164" s="187"/>
      <c r="BA164" s="188"/>
      <c r="BB164" s="191" t="s">
        <v>743</v>
      </c>
      <c r="BC164" s="179" t="s">
        <v>744</v>
      </c>
      <c r="BD164" s="198" t="str">
        <f t="shared" si="49"/>
        <v>圖_GD模版_通用公版_商品圖+$ 1品(文字在左側)</v>
      </c>
      <c r="BE164" s="199" t="str">
        <f>IFERROR(VLOOKUP($BD164,'(勿動)組件目錄表'!$D$15:$R$1110,2,FALSE),"")</f>
        <v>I-43</v>
      </c>
      <c r="BF164" s="200">
        <f>IFERROR(VLOOKUP($BD164, '(勿動)組件目錄表'!$D$15:$R$1110, 5, FALSE),"")</f>
        <v>0.5</v>
      </c>
      <c r="BG164" s="591"/>
      <c r="BH164" s="183"/>
      <c r="BI164" s="181"/>
      <c r="BJ164" s="183"/>
    </row>
    <row r="165" spans="1:62" ht="15.75" customHeight="1" outlineLevel="1">
      <c r="A165" s="160" t="str">
        <f t="array" aca="1" ref="A165:G165" ca="1">IFERROR(TRANSPOSE(INDIRECT(L1_暖正版配!$BB165)),"")</f>
        <v>商品圖+$ 1品(文字在左側)</v>
      </c>
      <c r="B165" s="160" t="str">
        <f ca="1"/>
        <v>商品圖+$ 2品(文字在左側)</v>
      </c>
      <c r="C165" s="160" t="str">
        <f ca="1"/>
        <v>CTA 自行輸入文案(一排1個) CTA</v>
      </c>
      <c r="D165" s="160" t="str">
        <f ca="1"/>
        <v>CTA 自行輸入文案(一排1個) Reminder</v>
      </c>
      <c r="E165" s="160" t="str">
        <f ca="1"/>
        <v>CTA 自行輸入文案(一排2個) Reminder+Reminder</v>
      </c>
      <c r="F165" s="160" t="str">
        <f ca="1"/>
        <v>CTA 自行輸入文案(一排2個) CTA+Reminder</v>
      </c>
      <c r="G165" s="160" t="str">
        <f ca="1"/>
        <v>CTA 自行輸入文案(一排2個) CTA+CTA</v>
      </c>
      <c r="H165" s="160"/>
      <c r="I165" s="160"/>
      <c r="J165" s="160"/>
      <c r="K165" s="160"/>
      <c r="L165" s="160"/>
      <c r="M165" s="160"/>
      <c r="N165" s="160"/>
      <c r="O165" s="160"/>
      <c r="P165" s="160"/>
      <c r="Q165" s="160"/>
      <c r="R165" s="160"/>
      <c r="S165" s="160"/>
      <c r="T165" s="160"/>
      <c r="U165" s="160"/>
      <c r="V165" s="160"/>
      <c r="W165" s="160"/>
      <c r="X165" s="160"/>
      <c r="Y165" s="160"/>
      <c r="Z165" s="160"/>
      <c r="AA165" s="160"/>
      <c r="AB165" s="160"/>
      <c r="AC165" s="160"/>
      <c r="AD165" s="160"/>
      <c r="AE165" s="172" t="b">
        <v>0</v>
      </c>
      <c r="AF165" s="173" t="str">
        <f t="shared" si="65"/>
        <v/>
      </c>
      <c r="AG165" s="174" t="str">
        <f t="shared" si="61"/>
        <v/>
      </c>
      <c r="AH165" s="195" t="s">
        <v>740</v>
      </c>
      <c r="AI165" s="176" t="str">
        <f ca="1">IFERROR(VLOOKUP($AH165, '(勿動)Component Label公版'!$D$1:$E$1000, 2, FALSE), "-")</f>
        <v>-</v>
      </c>
      <c r="AJ165" s="177"/>
      <c r="AK165" s="202" t="s">
        <v>434</v>
      </c>
      <c r="AL165" s="202" t="s">
        <v>440</v>
      </c>
      <c r="AM165" s="189" t="str">
        <f t="shared" si="56"/>
        <v/>
      </c>
      <c r="AN165" s="217" t="str">
        <f t="shared" si="57"/>
        <v>2026-04-17 23:59:59</v>
      </c>
      <c r="AO165" s="547" t="s">
        <v>762</v>
      </c>
      <c r="AP165" s="384"/>
      <c r="AQ165" s="384"/>
      <c r="AR165" s="385"/>
      <c r="AS165" s="551" t="s">
        <v>763</v>
      </c>
      <c r="AT165" s="546"/>
      <c r="AU165" s="246" t="b">
        <v>1</v>
      </c>
      <c r="AV165" s="179" t="b">
        <v>1</v>
      </c>
      <c r="AW165" s="186"/>
      <c r="AX165" s="187"/>
      <c r="AY165" s="187"/>
      <c r="AZ165" s="187"/>
      <c r="BA165" s="188"/>
      <c r="BB165" s="191" t="s">
        <v>743</v>
      </c>
      <c r="BC165" s="179" t="s">
        <v>744</v>
      </c>
      <c r="BD165" s="198" t="str">
        <f t="shared" si="49"/>
        <v>圖_GD模版_通用公版_商品圖+$ 1品(文字在左側)</v>
      </c>
      <c r="BE165" s="199" t="str">
        <f>IFERROR(VLOOKUP($BD165,'(勿動)組件目錄表'!$D$15:$R$1110,2,FALSE),"")</f>
        <v>I-43</v>
      </c>
      <c r="BF165" s="200">
        <f>IFERROR(VLOOKUP($BD165, '(勿動)組件目錄表'!$D$15:$R$1110, 5, FALSE),"")</f>
        <v>0.5</v>
      </c>
      <c r="BG165" s="593"/>
      <c r="BH165" s="183"/>
      <c r="BI165" s="181"/>
      <c r="BJ165" s="183"/>
    </row>
    <row r="166" spans="1:62" ht="15.75" customHeight="1" outlineLevel="1">
      <c r="A166" s="160" t="str">
        <f t="array" aca="1" ref="A166:I166" ca="1">IFERROR(TRANSPOSE(INDIRECT(L1_暖正版配!$BB166)),"")</f>
        <v>一排1張(單張/多張)(無一鍵領取)</v>
      </c>
      <c r="B166" s="160" t="str">
        <f ca="1"/>
        <v>一排1張 + Reminder(單張/多張)(無一鍵領取)</v>
      </c>
      <c r="C166" s="160" t="str">
        <f ca="1"/>
        <v>一排1張 + 一鍵領取(多張)</v>
      </c>
      <c r="D166" s="160" t="str">
        <f ca="1"/>
        <v>【僅供MKT Campaign使用】PC：一排兩張；APP：一排1張 + 一鍵領取(多張)</v>
      </c>
      <c r="E166" s="160" t="str">
        <f ca="1"/>
        <v>【僅供MKT Campaign使用】PC：一排兩張；APP：一排1張 + 一鍵領取(多張) + Reminder</v>
      </c>
      <c r="F166" s="160" t="str">
        <f ca="1"/>
        <v>【僅供MKT Campaign使用】PC：一排兩張；APP：一排1張 + 一鍵領取(多張) + Reminder + 查看全部(系統預設加上「優惠券」文案)</v>
      </c>
      <c r="G166" s="160" t="str">
        <f ca="1"/>
        <v>一排2張(單張/多張)(無一鍵領取)</v>
      </c>
      <c r="H166" s="160" t="str">
        <f ca="1"/>
        <v>一排2張 + Reminder(單張/多張)(無一鍵領取)</v>
      </c>
      <c r="I166" s="160" t="str">
        <f ca="1"/>
        <v>一排2張 + 一鍵領取(多張)</v>
      </c>
      <c r="J166" s="160"/>
      <c r="K166" s="160"/>
      <c r="L166" s="160"/>
      <c r="M166" s="160"/>
      <c r="N166" s="160"/>
      <c r="O166" s="160"/>
      <c r="P166" s="160"/>
      <c r="Q166" s="160"/>
      <c r="R166" s="160"/>
      <c r="S166" s="160"/>
      <c r="T166" s="160"/>
      <c r="U166" s="160"/>
      <c r="V166" s="160"/>
      <c r="W166" s="160"/>
      <c r="X166" s="160"/>
      <c r="Y166" s="160"/>
      <c r="Z166" s="160"/>
      <c r="AA166" s="160"/>
      <c r="AB166" s="160"/>
      <c r="AC166" s="160"/>
      <c r="AD166" s="160"/>
      <c r="AE166" s="172" t="b">
        <v>0</v>
      </c>
      <c r="AF166" s="173" t="str">
        <f t="shared" si="65"/>
        <v/>
      </c>
      <c r="AG166" s="174" t="str">
        <f t="shared" si="61"/>
        <v/>
      </c>
      <c r="AH166" s="195" t="s">
        <v>740</v>
      </c>
      <c r="AI166" s="176" t="str">
        <f ca="1">IFERROR(VLOOKUP($AH166, '(勿動)Component Label公版'!$D$1:$E$1000, 2, FALSE), "-")</f>
        <v>-</v>
      </c>
      <c r="AJ166" s="177"/>
      <c r="AK166" s="202" t="s">
        <v>434</v>
      </c>
      <c r="AL166" s="202" t="s">
        <v>440</v>
      </c>
      <c r="AM166" s="189" t="str">
        <f t="shared" si="56"/>
        <v/>
      </c>
      <c r="AN166" s="217" t="str">
        <f t="shared" si="57"/>
        <v>2026-04-17 23:59:59</v>
      </c>
      <c r="AO166" s="545" t="s">
        <v>764</v>
      </c>
      <c r="AP166" s="384"/>
      <c r="AQ166" s="384"/>
      <c r="AR166" s="384"/>
      <c r="AS166" s="384"/>
      <c r="AT166" s="546"/>
      <c r="AU166" s="222" t="b">
        <v>0</v>
      </c>
      <c r="AV166" s="180" t="b">
        <v>0</v>
      </c>
      <c r="AW166" s="186"/>
      <c r="AX166" s="187"/>
      <c r="AY166" s="187"/>
      <c r="AZ166" s="187"/>
      <c r="BA166" s="188"/>
      <c r="BB166" s="191" t="s">
        <v>182</v>
      </c>
      <c r="BC166" s="179" t="s">
        <v>222</v>
      </c>
      <c r="BD166" s="198" t="str">
        <f t="shared" si="49"/>
        <v>優惠券_真券_一排1張(單張/多張)(無一鍵領取)</v>
      </c>
      <c r="BE166" s="199" t="str">
        <f>IFERROR(VLOOKUP($BD166,'(勿動)組件目錄表'!$D$15:$R$1110,2,FALSE),"")</f>
        <v>F-1</v>
      </c>
      <c r="BF166" s="200">
        <f>IFERROR(VLOOKUP($BD166, '(勿動)組件目錄表'!$D$15:$R$1110, 5, FALSE),"")</f>
        <v>0.5</v>
      </c>
      <c r="BG166" s="118"/>
      <c r="BH166" s="183"/>
      <c r="BI166" s="181"/>
      <c r="BJ166" s="207" t="s">
        <v>765</v>
      </c>
    </row>
    <row r="167" spans="1:62" ht="15.75" customHeight="1" outlineLevel="1">
      <c r="A167" s="160" t="str">
        <f t="array" aca="1" ref="A167:AD167" ca="1">IFERROR(TRANSPOSE(INDIRECT(L1_暖正版配!$BB167)),"")</f>
        <v>無CTA</v>
      </c>
      <c r="B167" s="160" t="str">
        <f ca="1"/>
        <v>LINK*1</v>
      </c>
      <c r="C167" s="160" t="str">
        <f ca="1"/>
        <v>LINK*2</v>
      </c>
      <c r="D167" s="160" t="str">
        <f ca="1"/>
        <v>LINK*3</v>
      </c>
      <c r="E167" s="160" t="str">
        <f ca="1"/>
        <v>LINK&gt;3</v>
      </c>
      <c r="F167" s="160" t="str">
        <f ca="1"/>
        <v>Reminder*1</v>
      </c>
      <c r="G167" s="160" t="str">
        <f ca="1"/>
        <v>Reminder*2</v>
      </c>
      <c r="H167" s="160" t="str">
        <f ca="1"/>
        <v>Reminder*3</v>
      </c>
      <c r="I167" s="160" t="str">
        <f ca="1"/>
        <v>Reminder*4</v>
      </c>
      <c r="J167" s="160" t="str">
        <f ca="1"/>
        <v>Reminder*5</v>
      </c>
      <c r="K167" s="160" t="str">
        <f ca="1"/>
        <v>Reminder&gt;5</v>
      </c>
      <c r="L167" s="160" t="str">
        <f ca="1"/>
        <v>LINK*1 + Reminder*1</v>
      </c>
      <c r="M167" s="160" t="str">
        <f ca="1"/>
        <v>LINK*1 + Reminder*2</v>
      </c>
      <c r="N167" s="160" t="str">
        <f ca="1"/>
        <v>LINK*2 + Reminder*1</v>
      </c>
      <c r="O167" s="160" t="str">
        <f ca="1"/>
        <v>Add to Cart*1</v>
      </c>
      <c r="P167" s="160" t="str">
        <f ca="1"/>
        <v>Add to Cart*2</v>
      </c>
      <c r="Q167" s="160" t="str">
        <f ca="1"/>
        <v>Add to Cart*3</v>
      </c>
      <c r="R167" s="160" t="str">
        <f ca="1"/>
        <v>(Reminder+ATC) *1</v>
      </c>
      <c r="S167" s="160" t="str">
        <f ca="1"/>
        <v>(Reminder+ATC) *2</v>
      </c>
      <c r="T167" s="160" t="str">
        <f ca="1"/>
        <v>(Reminder+ATC) *3</v>
      </c>
      <c r="U167" s="160" t="str">
        <f ca="1"/>
        <v>Popup*1</v>
      </c>
      <c r="V167" s="160" t="str">
        <f ca="1"/>
        <v>Popup*2</v>
      </c>
      <c r="W167" s="160" t="str">
        <f ca="1"/>
        <v>Popup*3</v>
      </c>
      <c r="X167" s="160" t="str">
        <f ca="1"/>
        <v>Copy*1</v>
      </c>
      <c r="Y167" s="160" t="str">
        <f ca="1"/>
        <v>Copy*2</v>
      </c>
      <c r="Z167" s="160" t="str">
        <f ca="1"/>
        <v>Copy*3</v>
      </c>
      <c r="AA167" s="160" t="str">
        <f ca="1"/>
        <v>Share*1</v>
      </c>
      <c r="AB167" s="160" t="str">
        <f ca="1"/>
        <v>Share*2</v>
      </c>
      <c r="AC167" s="160" t="str">
        <f ca="1"/>
        <v>Share*3</v>
      </c>
      <c r="AD167" s="160" t="str">
        <f ca="1"/>
        <v>Placeholders</v>
      </c>
      <c r="AE167" s="172" t="b">
        <v>0</v>
      </c>
      <c r="AF167" s="173" t="str">
        <f t="shared" si="65"/>
        <v/>
      </c>
      <c r="AG167" s="174" t="str">
        <f t="shared" si="61"/>
        <v/>
      </c>
      <c r="AH167" s="195" t="s">
        <v>740</v>
      </c>
      <c r="AI167" s="176" t="str">
        <f ca="1">IFERROR(VLOOKUP($AH167, '(勿動)Component Label公版'!$D$1:$E$1000, 2, FALSE), "-")</f>
        <v>-</v>
      </c>
      <c r="AJ167" s="177"/>
      <c r="AK167" s="202" t="s">
        <v>434</v>
      </c>
      <c r="AL167" s="202" t="s">
        <v>440</v>
      </c>
      <c r="AM167" s="189" t="str">
        <f t="shared" si="56"/>
        <v/>
      </c>
      <c r="AN167" s="217" t="str">
        <f t="shared" si="57"/>
        <v>2026-04-17 23:59:59</v>
      </c>
      <c r="AO167" s="247" t="s">
        <v>741</v>
      </c>
      <c r="AP167" s="550" t="s">
        <v>766</v>
      </c>
      <c r="AQ167" s="384"/>
      <c r="AR167" s="385"/>
      <c r="AS167" s="551" t="s">
        <v>767</v>
      </c>
      <c r="AT167" s="546"/>
      <c r="AU167" s="246" t="b">
        <v>1</v>
      </c>
      <c r="AV167" s="179" t="b">
        <v>1</v>
      </c>
      <c r="AW167" s="186"/>
      <c r="AX167" s="187"/>
      <c r="AY167" s="187"/>
      <c r="AZ167" s="187"/>
      <c r="BA167" s="188"/>
      <c r="BB167" s="191" t="s">
        <v>147</v>
      </c>
      <c r="BC167" s="179" t="s">
        <v>118</v>
      </c>
      <c r="BD167" s="198" t="str">
        <f t="shared" si="49"/>
        <v>圖_MSBN_LINK*1</v>
      </c>
      <c r="BE167" s="199" t="str">
        <f>IFERROR(VLOOKUP($BD167,'(勿動)組件目錄表'!$D$15:$R$1110,2,FALSE),"")</f>
        <v>I-2</v>
      </c>
      <c r="BF167" s="200">
        <f>IFERROR(VLOOKUP($BD167, '(勿動)組件目錄表'!$D$15:$R$1110, 5, FALSE),"")</f>
        <v>0.5</v>
      </c>
      <c r="BG167" s="248" t="s">
        <v>768</v>
      </c>
      <c r="BH167" s="183"/>
      <c r="BI167" s="181"/>
      <c r="BJ167" s="183"/>
    </row>
    <row r="168" spans="1:62" ht="15.75" customHeight="1" outlineLevel="1">
      <c r="A168" s="160" t="str">
        <f t="array" aca="1" ref="A168:G168" ca="1">IFERROR(TRANSPOSE(INDIRECT(L1_暖正版配!$BB168)),"")</f>
        <v>一排1品(垂直展示)</v>
      </c>
      <c r="B168" s="160" t="str">
        <f ca="1"/>
        <v>一排2品(垂直展示)</v>
      </c>
      <c r="C168" s="160" t="str">
        <f ca="1"/>
        <v>一排3品(垂直展示)</v>
      </c>
      <c r="D168" s="160" t="str">
        <f ca="1"/>
        <v>Collection 1條(水平展示)</v>
      </c>
      <c r="E168" s="160" t="str">
        <f ca="1"/>
        <v>Collection 1條(水平展示) + 查看全部(Footer)</v>
      </c>
      <c r="F168" s="160" t="str">
        <f ca="1"/>
        <v>Multi tabs</v>
      </c>
      <c r="G168" s="160" t="str">
        <f ca="1"/>
        <v>推薦品 Item Recommendation-固定</v>
      </c>
      <c r="H168" s="160"/>
      <c r="I168" s="160"/>
      <c r="J168" s="160"/>
      <c r="K168" s="160"/>
      <c r="L168" s="160"/>
      <c r="M168" s="160"/>
      <c r="N168" s="160"/>
      <c r="O168" s="160"/>
      <c r="P168" s="160"/>
      <c r="Q168" s="160"/>
      <c r="R168" s="160"/>
      <c r="S168" s="160"/>
      <c r="T168" s="160"/>
      <c r="U168" s="160"/>
      <c r="V168" s="160"/>
      <c r="W168" s="160"/>
      <c r="X168" s="160"/>
      <c r="Y168" s="160"/>
      <c r="Z168" s="160"/>
      <c r="AA168" s="160"/>
      <c r="AB168" s="160"/>
      <c r="AC168" s="160"/>
      <c r="AD168" s="160"/>
      <c r="AE168" s="172" t="b">
        <v>0</v>
      </c>
      <c r="AF168" s="173" t="str">
        <f t="shared" si="65"/>
        <v/>
      </c>
      <c r="AG168" s="174" t="str">
        <f t="shared" si="61"/>
        <v/>
      </c>
      <c r="AH168" s="195" t="s">
        <v>740</v>
      </c>
      <c r="AI168" s="176" t="str">
        <f ca="1">IFERROR(VLOOKUP($AH168, '(勿動)Component Label公版'!$D$1:$E$1000, 2, FALSE), "-")</f>
        <v>-</v>
      </c>
      <c r="AJ168" s="177"/>
      <c r="AK168" s="202" t="s">
        <v>434</v>
      </c>
      <c r="AL168" s="202" t="s">
        <v>440</v>
      </c>
      <c r="AM168" s="189" t="str">
        <f t="shared" si="56"/>
        <v/>
      </c>
      <c r="AN168" s="217" t="str">
        <f t="shared" si="57"/>
        <v>2026-04-17 23:59:59</v>
      </c>
      <c r="AO168" s="545" t="s">
        <v>769</v>
      </c>
      <c r="AP168" s="384"/>
      <c r="AQ168" s="384"/>
      <c r="AR168" s="384"/>
      <c r="AS168" s="384"/>
      <c r="AT168" s="546"/>
      <c r="AU168" s="222" t="b">
        <v>0</v>
      </c>
      <c r="AV168" s="180" t="b">
        <v>0</v>
      </c>
      <c r="AW168" s="186"/>
      <c r="AX168" s="187"/>
      <c r="AY168" s="187"/>
      <c r="AZ168" s="187"/>
      <c r="BA168" s="188"/>
      <c r="BB168" s="191" t="s">
        <v>264</v>
      </c>
      <c r="BC168" s="179" t="s">
        <v>257</v>
      </c>
      <c r="BD168" s="198" t="str">
        <f t="shared" si="49"/>
        <v>品_Collection 1條(水平展示)</v>
      </c>
      <c r="BE168" s="199" t="str">
        <f>IFERROR(VLOOKUP($BD168,'(勿動)組件目錄表'!$D$15:$R$1110,2,FALSE),"")</f>
        <v>G-4</v>
      </c>
      <c r="BF168" s="200">
        <f>IFERROR(VLOOKUP($BD168, '(勿動)組件目錄表'!$D$15:$R$1110, 5, FALSE),"")</f>
        <v>0.5</v>
      </c>
      <c r="BG168" s="118"/>
      <c r="BH168" s="183"/>
      <c r="BI168" s="181"/>
      <c r="BJ168" s="183"/>
    </row>
    <row r="169" spans="1:62" ht="15.75" customHeight="1" outlineLevel="1">
      <c r="A169" s="160" t="str">
        <f t="array" aca="1" ref="A169:G169" ca="1">IFERROR(TRANSPOSE(INDIRECT(L1_暖正版配!$BB169)),"")</f>
        <v>商品圖+$ 1品(文字在左側)</v>
      </c>
      <c r="B169" s="160" t="str">
        <f ca="1"/>
        <v>商品圖+$ 2品(文字在左側)</v>
      </c>
      <c r="C169" s="160" t="str">
        <f ca="1"/>
        <v>CTA 自行輸入文案(一排1個) CTA</v>
      </c>
      <c r="D169" s="160" t="str">
        <f ca="1"/>
        <v>CTA 自行輸入文案(一排1個) Reminder</v>
      </c>
      <c r="E169" s="160" t="str">
        <f ca="1"/>
        <v>CTA 自行輸入文案(一排2個) Reminder+Reminder</v>
      </c>
      <c r="F169" s="160" t="str">
        <f ca="1"/>
        <v>CTA 自行輸入文案(一排2個) CTA+Reminder</v>
      </c>
      <c r="G169" s="160" t="str">
        <f ca="1"/>
        <v>CTA 自行輸入文案(一排2個) CTA+CTA</v>
      </c>
      <c r="H169" s="160"/>
      <c r="I169" s="160"/>
      <c r="J169" s="160"/>
      <c r="K169" s="160"/>
      <c r="L169" s="160"/>
      <c r="M169" s="160"/>
      <c r="N169" s="160"/>
      <c r="O169" s="160"/>
      <c r="P169" s="160"/>
      <c r="Q169" s="160"/>
      <c r="R169" s="160"/>
      <c r="S169" s="160"/>
      <c r="T169" s="160"/>
      <c r="U169" s="160"/>
      <c r="V169" s="160"/>
      <c r="W169" s="160"/>
      <c r="X169" s="160"/>
      <c r="Y169" s="160"/>
      <c r="Z169" s="160"/>
      <c r="AA169" s="160"/>
      <c r="AB169" s="160"/>
      <c r="AC169" s="160"/>
      <c r="AD169" s="160"/>
      <c r="AE169" s="172" t="b">
        <v>0</v>
      </c>
      <c r="AF169" s="173" t="str">
        <f t="shared" si="65"/>
        <v/>
      </c>
      <c r="AG169" s="174" t="str">
        <f t="shared" si="61"/>
        <v/>
      </c>
      <c r="AH169" s="195" t="s">
        <v>740</v>
      </c>
      <c r="AI169" s="176" t="str">
        <f ca="1">IFERROR(VLOOKUP($AH169, '(勿動)Component Label公版'!$D$1:$E$1000, 2, FALSE), "-")</f>
        <v>-</v>
      </c>
      <c r="AJ169" s="177"/>
      <c r="AK169" s="202" t="s">
        <v>443</v>
      </c>
      <c r="AL169" s="202" t="s">
        <v>444</v>
      </c>
      <c r="AM169" s="189" t="str">
        <f t="shared" si="56"/>
        <v>2026-04-18 00:00:00</v>
      </c>
      <c r="AN169" s="217" t="str">
        <f t="shared" si="57"/>
        <v>2026-04-18 23:59:59</v>
      </c>
      <c r="AO169" s="547" t="s">
        <v>741</v>
      </c>
      <c r="AP169" s="384"/>
      <c r="AQ169" s="384"/>
      <c r="AR169" s="385"/>
      <c r="AS169" s="548" t="s">
        <v>742</v>
      </c>
      <c r="AT169" s="467"/>
      <c r="AU169" s="246" t="b">
        <v>1</v>
      </c>
      <c r="AV169" s="179" t="b">
        <v>1</v>
      </c>
      <c r="AW169" s="186"/>
      <c r="AX169" s="187"/>
      <c r="AY169" s="187"/>
      <c r="AZ169" s="187"/>
      <c r="BA169" s="188"/>
      <c r="BB169" s="191" t="s">
        <v>743</v>
      </c>
      <c r="BC169" s="179" t="s">
        <v>744</v>
      </c>
      <c r="BD169" s="198" t="str">
        <f t="shared" si="49"/>
        <v>圖_GD模版_通用公版_商品圖+$ 1品(文字在左側)</v>
      </c>
      <c r="BE169" s="199" t="str">
        <f>IFERROR(VLOOKUP($BD169,'(勿動)組件目錄表'!$D$15:$R$1110,2,FALSE),"")</f>
        <v>I-43</v>
      </c>
      <c r="BF169" s="200">
        <f>IFERROR(VLOOKUP($BD169, '(勿動)組件目錄表'!$D$15:$R$1110, 5, FALSE),"")</f>
        <v>0.5</v>
      </c>
      <c r="BG169" s="592" t="s">
        <v>770</v>
      </c>
      <c r="BH169" s="183"/>
      <c r="BI169" s="181"/>
      <c r="BJ169" s="183"/>
    </row>
    <row r="170" spans="1:62" ht="15.75" customHeight="1" outlineLevel="1">
      <c r="A170" s="160" t="str">
        <f t="array" aca="1" ref="A170:G170" ca="1">IFERROR(TRANSPOSE(INDIRECT(L1_暖正版配!$BB170)),"")</f>
        <v>商品圖+$ 1品(文字在左側)</v>
      </c>
      <c r="B170" s="160" t="str">
        <f ca="1"/>
        <v>商品圖+$ 2品(文字在左側)</v>
      </c>
      <c r="C170" s="160" t="str">
        <f ca="1"/>
        <v>CTA 自行輸入文案(一排1個) CTA</v>
      </c>
      <c r="D170" s="160" t="str">
        <f ca="1"/>
        <v>CTA 自行輸入文案(一排1個) Reminder</v>
      </c>
      <c r="E170" s="160" t="str">
        <f ca="1"/>
        <v>CTA 自行輸入文案(一排2個) Reminder+Reminder</v>
      </c>
      <c r="F170" s="160" t="str">
        <f ca="1"/>
        <v>CTA 自行輸入文案(一排2個) CTA+Reminder</v>
      </c>
      <c r="G170" s="160" t="str">
        <f ca="1"/>
        <v>CTA 自行輸入文案(一排2個) CTA+CTA</v>
      </c>
      <c r="H170" s="160"/>
      <c r="I170" s="160"/>
      <c r="J170" s="160"/>
      <c r="K170" s="160"/>
      <c r="L170" s="160"/>
      <c r="M170" s="160"/>
      <c r="N170" s="160"/>
      <c r="O170" s="160"/>
      <c r="P170" s="160"/>
      <c r="Q170" s="160"/>
      <c r="R170" s="160"/>
      <c r="S170" s="160"/>
      <c r="T170" s="160"/>
      <c r="U170" s="160"/>
      <c r="V170" s="160"/>
      <c r="W170" s="160"/>
      <c r="X170" s="160"/>
      <c r="Y170" s="160"/>
      <c r="Z170" s="160"/>
      <c r="AA170" s="160"/>
      <c r="AB170" s="160"/>
      <c r="AC170" s="160"/>
      <c r="AD170" s="160"/>
      <c r="AE170" s="172" t="b">
        <v>0</v>
      </c>
      <c r="AF170" s="173" t="str">
        <f t="shared" si="65"/>
        <v/>
      </c>
      <c r="AG170" s="174" t="str">
        <f t="shared" si="61"/>
        <v/>
      </c>
      <c r="AH170" s="195" t="s">
        <v>740</v>
      </c>
      <c r="AI170" s="176" t="str">
        <f ca="1">IFERROR(VLOOKUP($AH170, '(勿動)Component Label公版'!$D$1:$E$1000, 2, FALSE), "-")</f>
        <v>-</v>
      </c>
      <c r="AJ170" s="177"/>
      <c r="AK170" s="202" t="s">
        <v>443</v>
      </c>
      <c r="AL170" s="202" t="s">
        <v>444</v>
      </c>
      <c r="AM170" s="189" t="str">
        <f t="shared" si="56"/>
        <v>2026-04-18 00:00:00</v>
      </c>
      <c r="AN170" s="217" t="str">
        <f t="shared" si="57"/>
        <v>2026-04-18 23:59:59</v>
      </c>
      <c r="AO170" s="547" t="s">
        <v>746</v>
      </c>
      <c r="AP170" s="384"/>
      <c r="AQ170" s="384"/>
      <c r="AR170" s="385"/>
      <c r="AS170" s="400"/>
      <c r="AT170" s="549"/>
      <c r="AU170" s="246" t="b">
        <v>1</v>
      </c>
      <c r="AV170" s="179" t="b">
        <v>1</v>
      </c>
      <c r="AW170" s="186"/>
      <c r="AX170" s="187"/>
      <c r="AY170" s="187"/>
      <c r="AZ170" s="187"/>
      <c r="BA170" s="188"/>
      <c r="BB170" s="191" t="s">
        <v>743</v>
      </c>
      <c r="BC170" s="179" t="s">
        <v>744</v>
      </c>
      <c r="BD170" s="198" t="str">
        <f t="shared" si="49"/>
        <v>圖_GD模版_通用公版_商品圖+$ 1品(文字在左側)</v>
      </c>
      <c r="BE170" s="199" t="str">
        <f>IFERROR(VLOOKUP($BD170,'(勿動)組件目錄表'!$D$15:$R$1110,2,FALSE),"")</f>
        <v>I-43</v>
      </c>
      <c r="BF170" s="200">
        <f>IFERROR(VLOOKUP($BD170, '(勿動)組件目錄表'!$D$15:$R$1110, 5, FALSE),"")</f>
        <v>0.5</v>
      </c>
      <c r="BG170" s="591"/>
      <c r="BH170" s="183"/>
      <c r="BI170" s="181"/>
      <c r="BJ170" s="183"/>
    </row>
    <row r="171" spans="1:62" ht="15.75" customHeight="1" outlineLevel="1">
      <c r="A171" s="160" t="str">
        <f t="array" aca="1" ref="A171:G171" ca="1">IFERROR(TRANSPOSE(INDIRECT(L1_暖正版配!$BB171)),"")</f>
        <v>商品圖+$ 1品(文字在左側)</v>
      </c>
      <c r="B171" s="160" t="str">
        <f ca="1"/>
        <v>商品圖+$ 2品(文字在左側)</v>
      </c>
      <c r="C171" s="160" t="str">
        <f ca="1"/>
        <v>CTA 自行輸入文案(一排1個) CTA</v>
      </c>
      <c r="D171" s="160" t="str">
        <f ca="1"/>
        <v>CTA 自行輸入文案(一排1個) Reminder</v>
      </c>
      <c r="E171" s="160" t="str">
        <f ca="1"/>
        <v>CTA 自行輸入文案(一排2個) Reminder+Reminder</v>
      </c>
      <c r="F171" s="160" t="str">
        <f ca="1"/>
        <v>CTA 自行輸入文案(一排2個) CTA+Reminder</v>
      </c>
      <c r="G171" s="160" t="str">
        <f ca="1"/>
        <v>CTA 自行輸入文案(一排2個) CTA+CTA</v>
      </c>
      <c r="H171" s="160"/>
      <c r="I171" s="160"/>
      <c r="J171" s="160"/>
      <c r="K171" s="160"/>
      <c r="L171" s="160"/>
      <c r="M171" s="160"/>
      <c r="N171" s="160"/>
      <c r="O171" s="160"/>
      <c r="P171" s="160"/>
      <c r="Q171" s="160"/>
      <c r="R171" s="160"/>
      <c r="S171" s="160"/>
      <c r="T171" s="160"/>
      <c r="U171" s="160"/>
      <c r="V171" s="160"/>
      <c r="W171" s="160"/>
      <c r="X171" s="160"/>
      <c r="Y171" s="160"/>
      <c r="Z171" s="160"/>
      <c r="AA171" s="160"/>
      <c r="AB171" s="160"/>
      <c r="AC171" s="160"/>
      <c r="AD171" s="160"/>
      <c r="AE171" s="172" t="b">
        <v>0</v>
      </c>
      <c r="AF171" s="173" t="str">
        <f t="shared" si="65"/>
        <v/>
      </c>
      <c r="AG171" s="174" t="str">
        <f t="shared" si="61"/>
        <v/>
      </c>
      <c r="AH171" s="195" t="s">
        <v>740</v>
      </c>
      <c r="AI171" s="176" t="str">
        <f ca="1">IFERROR(VLOOKUP($AH171, '(勿動)Component Label公版'!$D$1:$E$1000, 2, FALSE), "-")</f>
        <v>-</v>
      </c>
      <c r="AJ171" s="177"/>
      <c r="AK171" s="202" t="s">
        <v>443</v>
      </c>
      <c r="AL171" s="202" t="s">
        <v>444</v>
      </c>
      <c r="AM171" s="189" t="str">
        <f t="shared" si="56"/>
        <v>2026-04-18 00:00:00</v>
      </c>
      <c r="AN171" s="217" t="str">
        <f t="shared" si="57"/>
        <v>2026-04-18 23:59:59</v>
      </c>
      <c r="AO171" s="547" t="s">
        <v>771</v>
      </c>
      <c r="AP171" s="384"/>
      <c r="AQ171" s="384"/>
      <c r="AR171" s="385"/>
      <c r="AS171" s="551" t="s">
        <v>772</v>
      </c>
      <c r="AT171" s="546"/>
      <c r="AU171" s="246" t="b">
        <v>1</v>
      </c>
      <c r="AV171" s="179" t="b">
        <v>1</v>
      </c>
      <c r="AW171" s="186"/>
      <c r="AX171" s="187"/>
      <c r="AY171" s="187"/>
      <c r="AZ171" s="187"/>
      <c r="BA171" s="188"/>
      <c r="BB171" s="191" t="s">
        <v>743</v>
      </c>
      <c r="BC171" s="179" t="s">
        <v>744</v>
      </c>
      <c r="BD171" s="198" t="str">
        <f t="shared" si="49"/>
        <v>圖_GD模版_通用公版_商品圖+$ 1品(文字在左側)</v>
      </c>
      <c r="BE171" s="199" t="str">
        <f>IFERROR(VLOOKUP($BD171,'(勿動)組件目錄表'!$D$15:$R$1110,2,FALSE),"")</f>
        <v>I-43</v>
      </c>
      <c r="BF171" s="200">
        <f>IFERROR(VLOOKUP($BD171, '(勿動)組件目錄表'!$D$15:$R$1110, 5, FALSE),"")</f>
        <v>0.5</v>
      </c>
      <c r="BG171" s="593"/>
      <c r="BH171" s="183"/>
      <c r="BI171" s="181"/>
      <c r="BJ171" s="183"/>
    </row>
    <row r="172" spans="1:62" ht="15.75" customHeight="1" outlineLevel="1">
      <c r="A172" s="160" t="str">
        <f t="array" aca="1" ref="A172:I172" ca="1">IFERROR(TRANSPOSE(INDIRECT(L1_暖正版配!$BB172)),"")</f>
        <v>一排1張(單張/多張)(無一鍵領取)</v>
      </c>
      <c r="B172" s="160" t="str">
        <f ca="1"/>
        <v>一排1張 + Reminder(單張/多張)(無一鍵領取)</v>
      </c>
      <c r="C172" s="160" t="str">
        <f ca="1"/>
        <v>一排1張 + 一鍵領取(多張)</v>
      </c>
      <c r="D172" s="160" t="str">
        <f ca="1"/>
        <v>【僅供MKT Campaign使用】PC：一排兩張；APP：一排1張 + 一鍵領取(多張)</v>
      </c>
      <c r="E172" s="160" t="str">
        <f ca="1"/>
        <v>【僅供MKT Campaign使用】PC：一排兩張；APP：一排1張 + 一鍵領取(多張) + Reminder</v>
      </c>
      <c r="F172" s="160" t="str">
        <f ca="1"/>
        <v>【僅供MKT Campaign使用】PC：一排兩張；APP：一排1張 + 一鍵領取(多張) + Reminder + 查看全部(系統預設加上「優惠券」文案)</v>
      </c>
      <c r="G172" s="160" t="str">
        <f ca="1"/>
        <v>一排2張(單張/多張)(無一鍵領取)</v>
      </c>
      <c r="H172" s="160" t="str">
        <f ca="1"/>
        <v>一排2張 + Reminder(單張/多張)(無一鍵領取)</v>
      </c>
      <c r="I172" s="160" t="str">
        <f ca="1"/>
        <v>一排2張 + 一鍵領取(多張)</v>
      </c>
      <c r="J172" s="160"/>
      <c r="K172" s="160"/>
      <c r="L172" s="160"/>
      <c r="M172" s="160"/>
      <c r="N172" s="160"/>
      <c r="O172" s="160"/>
      <c r="P172" s="160"/>
      <c r="Q172" s="160"/>
      <c r="R172" s="160"/>
      <c r="S172" s="160"/>
      <c r="T172" s="160"/>
      <c r="U172" s="160"/>
      <c r="V172" s="160"/>
      <c r="W172" s="160"/>
      <c r="X172" s="160"/>
      <c r="Y172" s="160"/>
      <c r="Z172" s="160"/>
      <c r="AA172" s="160"/>
      <c r="AB172" s="160"/>
      <c r="AC172" s="160"/>
      <c r="AD172" s="160"/>
      <c r="AE172" s="172" t="b">
        <v>0</v>
      </c>
      <c r="AF172" s="173" t="str">
        <f t="shared" si="65"/>
        <v/>
      </c>
      <c r="AG172" s="174" t="str">
        <f t="shared" si="61"/>
        <v/>
      </c>
      <c r="AH172" s="195" t="s">
        <v>740</v>
      </c>
      <c r="AI172" s="176" t="str">
        <f ca="1">IFERROR(VLOOKUP($AH172, '(勿動)Component Label公版'!$D$1:$E$1000, 2, FALSE), "-")</f>
        <v>-</v>
      </c>
      <c r="AJ172" s="177"/>
      <c r="AK172" s="202" t="s">
        <v>443</v>
      </c>
      <c r="AL172" s="202" t="s">
        <v>444</v>
      </c>
      <c r="AM172" s="189" t="str">
        <f t="shared" si="56"/>
        <v>2026-04-18 00:00:00</v>
      </c>
      <c r="AN172" s="217" t="str">
        <f t="shared" si="57"/>
        <v>2026-04-18 23:59:59</v>
      </c>
      <c r="AO172" s="545" t="s">
        <v>773</v>
      </c>
      <c r="AP172" s="384"/>
      <c r="AQ172" s="384"/>
      <c r="AR172" s="384"/>
      <c r="AS172" s="384"/>
      <c r="AT172" s="546"/>
      <c r="AU172" s="222" t="b">
        <v>0</v>
      </c>
      <c r="AV172" s="180" t="b">
        <v>0</v>
      </c>
      <c r="AW172" s="186"/>
      <c r="AX172" s="187"/>
      <c r="AY172" s="187"/>
      <c r="AZ172" s="187"/>
      <c r="BA172" s="188"/>
      <c r="BB172" s="191" t="s">
        <v>182</v>
      </c>
      <c r="BC172" s="179" t="s">
        <v>222</v>
      </c>
      <c r="BD172" s="198" t="str">
        <f t="shared" si="49"/>
        <v>優惠券_真券_一排1張(單張/多張)(無一鍵領取)</v>
      </c>
      <c r="BE172" s="199" t="str">
        <f>IFERROR(VLOOKUP($BD172,'(勿動)組件目錄表'!$D$15:$R$1110,2,FALSE),"")</f>
        <v>F-1</v>
      </c>
      <c r="BF172" s="200">
        <f>IFERROR(VLOOKUP($BD172, '(勿動)組件目錄表'!$D$15:$R$1110, 5, FALSE),"")</f>
        <v>0.5</v>
      </c>
      <c r="BG172" s="118"/>
      <c r="BH172" s="183"/>
      <c r="BI172" s="181"/>
      <c r="BJ172" s="207" t="s">
        <v>765</v>
      </c>
    </row>
    <row r="173" spans="1:62" ht="15.75" customHeight="1" outlineLevel="1">
      <c r="A173" s="160" t="str">
        <f t="array" aca="1" ref="A173:AD173" ca="1">IFERROR(TRANSPOSE(INDIRECT(L1_暖正版配!$BB173)),"")</f>
        <v>無CTA</v>
      </c>
      <c r="B173" s="160" t="str">
        <f ca="1"/>
        <v>LINK*1</v>
      </c>
      <c r="C173" s="160" t="str">
        <f ca="1"/>
        <v>LINK*2</v>
      </c>
      <c r="D173" s="160" t="str">
        <f ca="1"/>
        <v>LINK*3</v>
      </c>
      <c r="E173" s="160" t="str">
        <f ca="1"/>
        <v>LINK&gt;3</v>
      </c>
      <c r="F173" s="160" t="str">
        <f ca="1"/>
        <v>Reminder*1</v>
      </c>
      <c r="G173" s="160" t="str">
        <f ca="1"/>
        <v>Reminder*2</v>
      </c>
      <c r="H173" s="160" t="str">
        <f ca="1"/>
        <v>Reminder*3</v>
      </c>
      <c r="I173" s="160" t="str">
        <f ca="1"/>
        <v>Reminder*4</v>
      </c>
      <c r="J173" s="160" t="str">
        <f ca="1"/>
        <v>Reminder*5</v>
      </c>
      <c r="K173" s="160" t="str">
        <f ca="1"/>
        <v>Reminder&gt;5</v>
      </c>
      <c r="L173" s="160" t="str">
        <f ca="1"/>
        <v>LINK*1 + Reminder*1</v>
      </c>
      <c r="M173" s="160" t="str">
        <f ca="1"/>
        <v>LINK*1 + Reminder*2</v>
      </c>
      <c r="N173" s="160" t="str">
        <f ca="1"/>
        <v>LINK*2 + Reminder*1</v>
      </c>
      <c r="O173" s="160" t="str">
        <f ca="1"/>
        <v>Add to Cart*1</v>
      </c>
      <c r="P173" s="160" t="str">
        <f ca="1"/>
        <v>Add to Cart*2</v>
      </c>
      <c r="Q173" s="160" t="str">
        <f ca="1"/>
        <v>Add to Cart*3</v>
      </c>
      <c r="R173" s="160" t="str">
        <f ca="1"/>
        <v>(Reminder+ATC) *1</v>
      </c>
      <c r="S173" s="160" t="str">
        <f ca="1"/>
        <v>(Reminder+ATC) *2</v>
      </c>
      <c r="T173" s="160" t="str">
        <f ca="1"/>
        <v>(Reminder+ATC) *3</v>
      </c>
      <c r="U173" s="160" t="str">
        <f ca="1"/>
        <v>Popup*1</v>
      </c>
      <c r="V173" s="160" t="str">
        <f ca="1"/>
        <v>Popup*2</v>
      </c>
      <c r="W173" s="160" t="str">
        <f ca="1"/>
        <v>Popup*3</v>
      </c>
      <c r="X173" s="160" t="str">
        <f ca="1"/>
        <v>Copy*1</v>
      </c>
      <c r="Y173" s="160" t="str">
        <f ca="1"/>
        <v>Copy*2</v>
      </c>
      <c r="Z173" s="160" t="str">
        <f ca="1"/>
        <v>Copy*3</v>
      </c>
      <c r="AA173" s="160" t="str">
        <f ca="1"/>
        <v>Share*1</v>
      </c>
      <c r="AB173" s="160" t="str">
        <f ca="1"/>
        <v>Share*2</v>
      </c>
      <c r="AC173" s="160" t="str">
        <f ca="1"/>
        <v>Share*3</v>
      </c>
      <c r="AD173" s="160" t="str">
        <f ca="1"/>
        <v>Placeholders</v>
      </c>
      <c r="AE173" s="172" t="b">
        <v>0</v>
      </c>
      <c r="AF173" s="173" t="str">
        <f t="shared" si="65"/>
        <v/>
      </c>
      <c r="AG173" s="174" t="str">
        <f t="shared" si="61"/>
        <v/>
      </c>
      <c r="AH173" s="195" t="s">
        <v>740</v>
      </c>
      <c r="AI173" s="176" t="str">
        <f ca="1">IFERROR(VLOOKUP($AH173, '(勿動)Component Label公版'!$D$1:$E$1000, 2, FALSE), "-")</f>
        <v>-</v>
      </c>
      <c r="AJ173" s="177"/>
      <c r="AK173" s="202" t="s">
        <v>443</v>
      </c>
      <c r="AL173" s="202" t="s">
        <v>444</v>
      </c>
      <c r="AM173" s="189" t="str">
        <f t="shared" si="56"/>
        <v>2026-04-18 00:00:00</v>
      </c>
      <c r="AN173" s="217" t="str">
        <f t="shared" si="57"/>
        <v>2026-04-18 23:59:59</v>
      </c>
      <c r="AO173" s="247" t="s">
        <v>741</v>
      </c>
      <c r="AP173" s="550" t="s">
        <v>774</v>
      </c>
      <c r="AQ173" s="384"/>
      <c r="AR173" s="385"/>
      <c r="AS173" s="551" t="s">
        <v>775</v>
      </c>
      <c r="AT173" s="546"/>
      <c r="AU173" s="246" t="b">
        <v>1</v>
      </c>
      <c r="AV173" s="179" t="b">
        <v>1</v>
      </c>
      <c r="AW173" s="186"/>
      <c r="AX173" s="187"/>
      <c r="AY173" s="187"/>
      <c r="AZ173" s="187"/>
      <c r="BA173" s="188"/>
      <c r="BB173" s="191" t="s">
        <v>147</v>
      </c>
      <c r="BC173" s="179" t="s">
        <v>118</v>
      </c>
      <c r="BD173" s="198" t="str">
        <f t="shared" si="49"/>
        <v>圖_MSBN_LINK*1</v>
      </c>
      <c r="BE173" s="199" t="str">
        <f>IFERROR(VLOOKUP($BD173,'(勿動)組件目錄表'!$D$15:$R$1110,2,FALSE),"")</f>
        <v>I-2</v>
      </c>
      <c r="BF173" s="200">
        <f>IFERROR(VLOOKUP($BD173, '(勿動)組件目錄表'!$D$15:$R$1110, 5, FALSE),"")</f>
        <v>0.5</v>
      </c>
      <c r="BG173" s="248" t="s">
        <v>776</v>
      </c>
      <c r="BH173" s="183"/>
      <c r="BI173" s="181"/>
      <c r="BJ173" s="183"/>
    </row>
    <row r="174" spans="1:62" ht="15.75" customHeight="1" outlineLevel="1">
      <c r="A174" s="160" t="str">
        <f t="array" aca="1" ref="A174:G174" ca="1">IFERROR(TRANSPOSE(INDIRECT(L1_暖正版配!$BB174)),"")</f>
        <v>一排1品(垂直展示)</v>
      </c>
      <c r="B174" s="160" t="str">
        <f ca="1"/>
        <v>一排2品(垂直展示)</v>
      </c>
      <c r="C174" s="160" t="str">
        <f ca="1"/>
        <v>一排3品(垂直展示)</v>
      </c>
      <c r="D174" s="160" t="str">
        <f ca="1"/>
        <v>Collection 1條(水平展示)</v>
      </c>
      <c r="E174" s="160" t="str">
        <f ca="1"/>
        <v>Collection 1條(水平展示) + 查看全部(Footer)</v>
      </c>
      <c r="F174" s="160" t="str">
        <f ca="1"/>
        <v>Multi tabs</v>
      </c>
      <c r="G174" s="160" t="str">
        <f ca="1"/>
        <v>推薦品 Item Recommendation-固定</v>
      </c>
      <c r="H174" s="160"/>
      <c r="I174" s="160"/>
      <c r="J174" s="160"/>
      <c r="K174" s="160"/>
      <c r="L174" s="160"/>
      <c r="M174" s="160"/>
      <c r="N174" s="160"/>
      <c r="O174" s="160"/>
      <c r="P174" s="160"/>
      <c r="Q174" s="160"/>
      <c r="R174" s="160"/>
      <c r="S174" s="160"/>
      <c r="T174" s="160"/>
      <c r="U174" s="160"/>
      <c r="V174" s="160"/>
      <c r="W174" s="160"/>
      <c r="X174" s="160"/>
      <c r="Y174" s="160"/>
      <c r="Z174" s="160"/>
      <c r="AA174" s="160"/>
      <c r="AB174" s="160"/>
      <c r="AC174" s="160"/>
      <c r="AD174" s="160"/>
      <c r="AE174" s="172" t="b">
        <v>0</v>
      </c>
      <c r="AF174" s="173" t="str">
        <f t="shared" si="65"/>
        <v/>
      </c>
      <c r="AG174" s="174" t="str">
        <f t="shared" si="61"/>
        <v/>
      </c>
      <c r="AH174" s="195" t="s">
        <v>740</v>
      </c>
      <c r="AI174" s="176" t="str">
        <f ca="1">IFERROR(VLOOKUP($AH174, '(勿動)Component Label公版'!$D$1:$E$1000, 2, FALSE), "-")</f>
        <v>-</v>
      </c>
      <c r="AJ174" s="177"/>
      <c r="AK174" s="202" t="s">
        <v>443</v>
      </c>
      <c r="AL174" s="202" t="s">
        <v>444</v>
      </c>
      <c r="AM174" s="189" t="str">
        <f t="shared" si="56"/>
        <v>2026-04-18 00:00:00</v>
      </c>
      <c r="AN174" s="217" t="str">
        <f t="shared" si="57"/>
        <v>2026-04-18 23:59:59</v>
      </c>
      <c r="AO174" s="552" t="s">
        <v>769</v>
      </c>
      <c r="AP174" s="553"/>
      <c r="AQ174" s="553"/>
      <c r="AR174" s="553"/>
      <c r="AS174" s="553"/>
      <c r="AT174" s="554"/>
      <c r="AU174" s="222" t="b">
        <v>0</v>
      </c>
      <c r="AV174" s="180" t="b">
        <v>0</v>
      </c>
      <c r="AW174" s="186"/>
      <c r="AX174" s="187"/>
      <c r="AY174" s="187"/>
      <c r="AZ174" s="187"/>
      <c r="BA174" s="188"/>
      <c r="BB174" s="191" t="s">
        <v>264</v>
      </c>
      <c r="BC174" s="179" t="s">
        <v>257</v>
      </c>
      <c r="BD174" s="198" t="str">
        <f t="shared" si="49"/>
        <v>品_Collection 1條(水平展示)</v>
      </c>
      <c r="BE174" s="199" t="str">
        <f>IFERROR(VLOOKUP($BD174,'(勿動)組件目錄表'!$D$15:$R$1110,2,FALSE),"")</f>
        <v>G-4</v>
      </c>
      <c r="BF174" s="200">
        <f>IFERROR(VLOOKUP($BD174, '(勿動)組件目錄表'!$D$15:$R$1110, 5, FALSE),"")</f>
        <v>0.5</v>
      </c>
      <c r="BG174" s="118"/>
      <c r="BH174" s="183"/>
      <c r="BI174" s="181"/>
      <c r="BJ174" s="183"/>
    </row>
    <row r="175" spans="1:62" ht="15.75" customHeight="1" outlineLevel="1">
      <c r="A175" s="160" t="str">
        <f t="array" aca="1" ref="A175:G175" ca="1">IFERROR(TRANSPOSE(INDIRECT(L1_暖正版配!$BB175)),"")</f>
        <v>商品圖+$ 1品(文字在左側)</v>
      </c>
      <c r="B175" s="160" t="str">
        <f ca="1"/>
        <v>商品圖+$ 2品(文字在左側)</v>
      </c>
      <c r="C175" s="160" t="str">
        <f ca="1"/>
        <v>CTA 自行輸入文案(一排1個) CTA</v>
      </c>
      <c r="D175" s="160" t="str">
        <f ca="1"/>
        <v>CTA 自行輸入文案(一排1個) Reminder</v>
      </c>
      <c r="E175" s="160" t="str">
        <f ca="1"/>
        <v>CTA 自行輸入文案(一排2個) Reminder+Reminder</v>
      </c>
      <c r="F175" s="160" t="str">
        <f ca="1"/>
        <v>CTA 自行輸入文案(一排2個) CTA+Reminder</v>
      </c>
      <c r="G175" s="160" t="str">
        <f ca="1"/>
        <v>CTA 自行輸入文案(一排2個) CTA+CTA</v>
      </c>
      <c r="H175" s="160"/>
      <c r="I175" s="160"/>
      <c r="J175" s="160"/>
      <c r="K175" s="160"/>
      <c r="L175" s="160"/>
      <c r="M175" s="160"/>
      <c r="N175" s="160"/>
      <c r="O175" s="160"/>
      <c r="P175" s="160"/>
      <c r="Q175" s="160"/>
      <c r="R175" s="160"/>
      <c r="S175" s="160"/>
      <c r="T175" s="160"/>
      <c r="U175" s="160"/>
      <c r="V175" s="160"/>
      <c r="W175" s="160"/>
      <c r="X175" s="160"/>
      <c r="Y175" s="160"/>
      <c r="Z175" s="160"/>
      <c r="AA175" s="160"/>
      <c r="AB175" s="160"/>
      <c r="AC175" s="160"/>
      <c r="AD175" s="160"/>
      <c r="AE175" s="172" t="b">
        <v>0</v>
      </c>
      <c r="AF175" s="173" t="str">
        <f t="shared" si="65"/>
        <v/>
      </c>
      <c r="AG175" s="174" t="str">
        <f t="shared" si="61"/>
        <v/>
      </c>
      <c r="AH175" s="195" t="s">
        <v>740</v>
      </c>
      <c r="AI175" s="176" t="str">
        <f ca="1">IFERROR(VLOOKUP($AH175, '(勿動)Component Label公版'!$D$1:$E$1000, 2, FALSE), "-")</f>
        <v>-</v>
      </c>
      <c r="AJ175" s="177"/>
      <c r="AK175" s="202" t="s">
        <v>434</v>
      </c>
      <c r="AL175" s="202" t="s">
        <v>440</v>
      </c>
      <c r="AM175" s="189" t="str">
        <f t="shared" si="56"/>
        <v/>
      </c>
      <c r="AN175" s="217" t="str">
        <f t="shared" si="57"/>
        <v>2026-04-17 23:59:59</v>
      </c>
      <c r="AO175" s="555" t="s">
        <v>741</v>
      </c>
      <c r="AP175" s="556"/>
      <c r="AQ175" s="556"/>
      <c r="AR175" s="557"/>
      <c r="AS175" s="558" t="s">
        <v>742</v>
      </c>
      <c r="AT175" s="464"/>
      <c r="AU175" s="246" t="b">
        <v>1</v>
      </c>
      <c r="AV175" s="179" t="b">
        <v>1</v>
      </c>
      <c r="AW175" s="186"/>
      <c r="AX175" s="187"/>
      <c r="AY175" s="187"/>
      <c r="AZ175" s="187"/>
      <c r="BA175" s="188"/>
      <c r="BB175" s="191" t="s">
        <v>743</v>
      </c>
      <c r="BC175" s="179" t="s">
        <v>744</v>
      </c>
      <c r="BD175" s="198" t="str">
        <f t="shared" si="49"/>
        <v>圖_GD模版_通用公版_商品圖+$ 1品(文字在左側)</v>
      </c>
      <c r="BE175" s="199" t="str">
        <f>IFERROR(VLOOKUP($BD175,'(勿動)組件目錄表'!$D$15:$R$1110,2,FALSE),"")</f>
        <v>I-43</v>
      </c>
      <c r="BF175" s="200">
        <f>IFERROR(VLOOKUP($BD175, '(勿動)組件目錄表'!$D$15:$R$1110, 5, FALSE),"")</f>
        <v>0.5</v>
      </c>
      <c r="BG175" s="592" t="s">
        <v>777</v>
      </c>
      <c r="BH175" s="183"/>
      <c r="BI175" s="181"/>
      <c r="BJ175" s="183"/>
    </row>
    <row r="176" spans="1:62" ht="15.75" customHeight="1" outlineLevel="1">
      <c r="A176" s="160" t="str">
        <f t="array" aca="1" ref="A176:G176" ca="1">IFERROR(TRANSPOSE(INDIRECT(L1_暖正版配!$BB176)),"")</f>
        <v>商品圖+$ 1品(文字在左側)</v>
      </c>
      <c r="B176" s="160" t="str">
        <f ca="1"/>
        <v>商品圖+$ 2品(文字在左側)</v>
      </c>
      <c r="C176" s="160" t="str">
        <f ca="1"/>
        <v>CTA 自行輸入文案(一排1個) CTA</v>
      </c>
      <c r="D176" s="160" t="str">
        <f ca="1"/>
        <v>CTA 自行輸入文案(一排1個) Reminder</v>
      </c>
      <c r="E176" s="160" t="str">
        <f ca="1"/>
        <v>CTA 自行輸入文案(一排2個) Reminder+Reminder</v>
      </c>
      <c r="F176" s="160" t="str">
        <f ca="1"/>
        <v>CTA 自行輸入文案(一排2個) CTA+Reminder</v>
      </c>
      <c r="G176" s="160" t="str">
        <f ca="1"/>
        <v>CTA 自行輸入文案(一排2個) CTA+CTA</v>
      </c>
      <c r="H176" s="160"/>
      <c r="I176" s="160"/>
      <c r="J176" s="160"/>
      <c r="K176" s="160"/>
      <c r="L176" s="160"/>
      <c r="M176" s="160"/>
      <c r="N176" s="160"/>
      <c r="O176" s="160"/>
      <c r="P176" s="160"/>
      <c r="Q176" s="160"/>
      <c r="R176" s="160"/>
      <c r="S176" s="160"/>
      <c r="T176" s="160"/>
      <c r="U176" s="160"/>
      <c r="V176" s="160"/>
      <c r="W176" s="160"/>
      <c r="X176" s="160"/>
      <c r="Y176" s="160"/>
      <c r="Z176" s="160"/>
      <c r="AA176" s="160"/>
      <c r="AB176" s="160"/>
      <c r="AC176" s="160"/>
      <c r="AD176" s="160"/>
      <c r="AE176" s="172" t="b">
        <v>0</v>
      </c>
      <c r="AF176" s="173" t="str">
        <f t="shared" si="65"/>
        <v/>
      </c>
      <c r="AG176" s="174" t="str">
        <f t="shared" si="61"/>
        <v/>
      </c>
      <c r="AH176" s="195" t="s">
        <v>740</v>
      </c>
      <c r="AI176" s="176" t="str">
        <f ca="1">IFERROR(VLOOKUP($AH176, '(勿動)Component Label公版'!$D$1:$E$1000, 2, FALSE), "-")</f>
        <v>-</v>
      </c>
      <c r="AJ176" s="177"/>
      <c r="AK176" s="202" t="s">
        <v>434</v>
      </c>
      <c r="AL176" s="202" t="s">
        <v>440</v>
      </c>
      <c r="AM176" s="189" t="str">
        <f t="shared" si="56"/>
        <v/>
      </c>
      <c r="AN176" s="217" t="str">
        <f t="shared" si="57"/>
        <v>2026-04-17 23:59:59</v>
      </c>
      <c r="AO176" s="547" t="s">
        <v>746</v>
      </c>
      <c r="AP176" s="384"/>
      <c r="AQ176" s="384"/>
      <c r="AR176" s="385"/>
      <c r="AS176" s="400"/>
      <c r="AT176" s="549"/>
      <c r="AU176" s="246" t="b">
        <v>1</v>
      </c>
      <c r="AV176" s="179" t="b">
        <v>1</v>
      </c>
      <c r="AW176" s="186"/>
      <c r="AX176" s="187"/>
      <c r="AY176" s="187"/>
      <c r="AZ176" s="187"/>
      <c r="BA176" s="188"/>
      <c r="BB176" s="191" t="s">
        <v>743</v>
      </c>
      <c r="BC176" s="179" t="s">
        <v>744</v>
      </c>
      <c r="BD176" s="198" t="str">
        <f t="shared" si="49"/>
        <v>圖_GD模版_通用公版_商品圖+$ 1品(文字在左側)</v>
      </c>
      <c r="BE176" s="199" t="str">
        <f>IFERROR(VLOOKUP($BD176,'(勿動)組件目錄表'!$D$15:$R$1110,2,FALSE),"")</f>
        <v>I-43</v>
      </c>
      <c r="BF176" s="200">
        <f>IFERROR(VLOOKUP($BD176, '(勿動)組件目錄表'!$D$15:$R$1110, 5, FALSE),"")</f>
        <v>0.5</v>
      </c>
      <c r="BG176" s="591"/>
      <c r="BH176" s="183"/>
      <c r="BI176" s="181"/>
      <c r="BJ176" s="183"/>
    </row>
    <row r="177" spans="1:62" ht="15.75" customHeight="1" outlineLevel="1">
      <c r="A177" s="160" t="str">
        <f t="array" aca="1" ref="A177:G177" ca="1">IFERROR(TRANSPOSE(INDIRECT(L1_暖正版配!$BB177)),"")</f>
        <v>商品圖+$ 1品(文字在左側)</v>
      </c>
      <c r="B177" s="160" t="str">
        <f ca="1"/>
        <v>商品圖+$ 2品(文字在左側)</v>
      </c>
      <c r="C177" s="160" t="str">
        <f ca="1"/>
        <v>CTA 自行輸入文案(一排1個) CTA</v>
      </c>
      <c r="D177" s="160" t="str">
        <f ca="1"/>
        <v>CTA 自行輸入文案(一排1個) Reminder</v>
      </c>
      <c r="E177" s="160" t="str">
        <f ca="1"/>
        <v>CTA 自行輸入文案(一排2個) Reminder+Reminder</v>
      </c>
      <c r="F177" s="160" t="str">
        <f ca="1"/>
        <v>CTA 自行輸入文案(一排2個) CTA+Reminder</v>
      </c>
      <c r="G177" s="160" t="str">
        <f ca="1"/>
        <v>CTA 自行輸入文案(一排2個) CTA+CTA</v>
      </c>
      <c r="H177" s="160"/>
      <c r="I177" s="160"/>
      <c r="J177" s="160"/>
      <c r="K177" s="160"/>
      <c r="L177" s="160"/>
      <c r="M177" s="160"/>
      <c r="N177" s="160"/>
      <c r="O177" s="160"/>
      <c r="P177" s="160"/>
      <c r="Q177" s="160"/>
      <c r="R177" s="160"/>
      <c r="S177" s="160"/>
      <c r="T177" s="160"/>
      <c r="U177" s="160"/>
      <c r="V177" s="160"/>
      <c r="W177" s="160"/>
      <c r="X177" s="160"/>
      <c r="Y177" s="160"/>
      <c r="Z177" s="160"/>
      <c r="AA177" s="160"/>
      <c r="AB177" s="160"/>
      <c r="AC177" s="160"/>
      <c r="AD177" s="160"/>
      <c r="AE177" s="172" t="b">
        <v>0</v>
      </c>
      <c r="AF177" s="173" t="str">
        <f t="shared" si="65"/>
        <v/>
      </c>
      <c r="AG177" s="174" t="str">
        <f t="shared" si="61"/>
        <v/>
      </c>
      <c r="AH177" s="195" t="s">
        <v>740</v>
      </c>
      <c r="AI177" s="176" t="str">
        <f ca="1">IFERROR(VLOOKUP($AH177, '(勿動)Component Label公版'!$D$1:$E$1000, 2, FALSE), "-")</f>
        <v>-</v>
      </c>
      <c r="AJ177" s="177"/>
      <c r="AK177" s="202" t="s">
        <v>434</v>
      </c>
      <c r="AL177" s="202" t="s">
        <v>440</v>
      </c>
      <c r="AM177" s="189" t="str">
        <f t="shared" si="56"/>
        <v/>
      </c>
      <c r="AN177" s="217" t="str">
        <f t="shared" si="57"/>
        <v>2026-04-17 23:59:59</v>
      </c>
      <c r="AO177" s="547" t="s">
        <v>778</v>
      </c>
      <c r="AP177" s="384"/>
      <c r="AQ177" s="384"/>
      <c r="AR177" s="385"/>
      <c r="AS177" s="551" t="s">
        <v>779</v>
      </c>
      <c r="AT177" s="546"/>
      <c r="AU177" s="246" t="b">
        <v>1</v>
      </c>
      <c r="AV177" s="179" t="b">
        <v>1</v>
      </c>
      <c r="AW177" s="186"/>
      <c r="AX177" s="187"/>
      <c r="AY177" s="187"/>
      <c r="AZ177" s="187"/>
      <c r="BA177" s="188"/>
      <c r="BB177" s="191" t="s">
        <v>743</v>
      </c>
      <c r="BC177" s="179" t="s">
        <v>744</v>
      </c>
      <c r="BD177" s="198" t="str">
        <f t="shared" si="49"/>
        <v>圖_GD模版_通用公版_商品圖+$ 1品(文字在左側)</v>
      </c>
      <c r="BE177" s="199" t="str">
        <f>IFERROR(VLOOKUP($BD177,'(勿動)組件目錄表'!$D$15:$R$1110,2,FALSE),"")</f>
        <v>I-43</v>
      </c>
      <c r="BF177" s="200">
        <f>IFERROR(VLOOKUP($BD177, '(勿動)組件目錄表'!$D$15:$R$1110, 5, FALSE),"")</f>
        <v>0.5</v>
      </c>
      <c r="BG177" s="593"/>
      <c r="BH177" s="183"/>
      <c r="BI177" s="181"/>
      <c r="BJ177" s="183"/>
    </row>
    <row r="178" spans="1:62" ht="15.75" customHeight="1" outlineLevel="1">
      <c r="A178" s="160" t="str">
        <f t="array" aca="1" ref="A178:I178" ca="1">IFERROR(TRANSPOSE(INDIRECT(L1_暖正版配!$BB178)),"")</f>
        <v>一排1張(單張/多張)(無一鍵領取)</v>
      </c>
      <c r="B178" s="160" t="str">
        <f ca="1"/>
        <v>一排1張 + Reminder(單張/多張)(無一鍵領取)</v>
      </c>
      <c r="C178" s="160" t="str">
        <f ca="1"/>
        <v>一排1張 + 一鍵領取(多張)</v>
      </c>
      <c r="D178" s="160" t="str">
        <f ca="1"/>
        <v>【僅供MKT Campaign使用】PC：一排兩張；APP：一排1張 + 一鍵領取(多張)</v>
      </c>
      <c r="E178" s="160" t="str">
        <f ca="1"/>
        <v>【僅供MKT Campaign使用】PC：一排兩張；APP：一排1張 + 一鍵領取(多張) + Reminder</v>
      </c>
      <c r="F178" s="160" t="str">
        <f ca="1"/>
        <v>【僅供MKT Campaign使用】PC：一排兩張；APP：一排1張 + 一鍵領取(多張) + Reminder + 查看全部(系統預設加上「優惠券」文案)</v>
      </c>
      <c r="G178" s="160" t="str">
        <f ca="1"/>
        <v>一排2張(單張/多張)(無一鍵領取)</v>
      </c>
      <c r="H178" s="160" t="str">
        <f ca="1"/>
        <v>一排2張 + Reminder(單張/多張)(無一鍵領取)</v>
      </c>
      <c r="I178" s="160" t="str">
        <f ca="1"/>
        <v>一排2張 + 一鍵領取(多張)</v>
      </c>
      <c r="J178" s="160"/>
      <c r="K178" s="160"/>
      <c r="L178" s="160"/>
      <c r="M178" s="160"/>
      <c r="N178" s="160"/>
      <c r="O178" s="160"/>
      <c r="P178" s="160"/>
      <c r="Q178" s="160"/>
      <c r="R178" s="160"/>
      <c r="S178" s="160"/>
      <c r="T178" s="160"/>
      <c r="U178" s="160"/>
      <c r="V178" s="160"/>
      <c r="W178" s="160"/>
      <c r="X178" s="160"/>
      <c r="Y178" s="160"/>
      <c r="Z178" s="160"/>
      <c r="AA178" s="160"/>
      <c r="AB178" s="160"/>
      <c r="AC178" s="160"/>
      <c r="AD178" s="160"/>
      <c r="AE178" s="172" t="b">
        <v>0</v>
      </c>
      <c r="AF178" s="173" t="str">
        <f t="shared" si="65"/>
        <v/>
      </c>
      <c r="AG178" s="174" t="str">
        <f t="shared" si="61"/>
        <v/>
      </c>
      <c r="AH178" s="195" t="s">
        <v>740</v>
      </c>
      <c r="AI178" s="176" t="str">
        <f ca="1">IFERROR(VLOOKUP($AH178, '(勿動)Component Label公版'!$D$1:$E$1000, 2, FALSE), "-")</f>
        <v>-</v>
      </c>
      <c r="AJ178" s="177"/>
      <c r="AK178" s="202" t="s">
        <v>434</v>
      </c>
      <c r="AL178" s="202" t="s">
        <v>440</v>
      </c>
      <c r="AM178" s="189" t="str">
        <f t="shared" si="56"/>
        <v/>
      </c>
      <c r="AN178" s="217" t="str">
        <f t="shared" si="57"/>
        <v>2026-04-17 23:59:59</v>
      </c>
      <c r="AO178" s="545" t="s">
        <v>780</v>
      </c>
      <c r="AP178" s="384"/>
      <c r="AQ178" s="384"/>
      <c r="AR178" s="384"/>
      <c r="AS178" s="384"/>
      <c r="AT178" s="546"/>
      <c r="AU178" s="222" t="b">
        <v>0</v>
      </c>
      <c r="AV178" s="180" t="b">
        <v>0</v>
      </c>
      <c r="AW178" s="186"/>
      <c r="AX178" s="187"/>
      <c r="AY178" s="187"/>
      <c r="AZ178" s="187"/>
      <c r="BA178" s="188"/>
      <c r="BB178" s="191" t="s">
        <v>182</v>
      </c>
      <c r="BC178" s="179" t="s">
        <v>222</v>
      </c>
      <c r="BD178" s="198" t="str">
        <f t="shared" si="49"/>
        <v>優惠券_真券_一排1張(單張/多張)(無一鍵領取)</v>
      </c>
      <c r="BE178" s="199" t="str">
        <f>IFERROR(VLOOKUP($BD178,'(勿動)組件目錄表'!$D$15:$R$1110,2,FALSE),"")</f>
        <v>F-1</v>
      </c>
      <c r="BF178" s="200">
        <f>IFERROR(VLOOKUP($BD178, '(勿動)組件目錄表'!$D$15:$R$1110, 5, FALSE),"")</f>
        <v>0.5</v>
      </c>
      <c r="BG178" s="118"/>
      <c r="BH178" s="183"/>
      <c r="BI178" s="181"/>
      <c r="BJ178" s="183"/>
    </row>
    <row r="179" spans="1:62" ht="15.75" customHeight="1" outlineLevel="1">
      <c r="A179" s="160" t="str">
        <f t="array" aca="1" ref="A179:AD179" ca="1">IFERROR(TRANSPOSE(INDIRECT(L1_暖正版配!$BB179)),"")</f>
        <v>無CTA</v>
      </c>
      <c r="B179" s="160" t="str">
        <f ca="1"/>
        <v>LINK*1</v>
      </c>
      <c r="C179" s="160" t="str">
        <f ca="1"/>
        <v>LINK*2</v>
      </c>
      <c r="D179" s="160" t="str">
        <f ca="1"/>
        <v>LINK*3</v>
      </c>
      <c r="E179" s="160" t="str">
        <f ca="1"/>
        <v>LINK&gt;3</v>
      </c>
      <c r="F179" s="160" t="str">
        <f ca="1"/>
        <v>Reminder*1</v>
      </c>
      <c r="G179" s="160" t="str">
        <f ca="1"/>
        <v>Reminder*2</v>
      </c>
      <c r="H179" s="160" t="str">
        <f ca="1"/>
        <v>Reminder*3</v>
      </c>
      <c r="I179" s="160" t="str">
        <f ca="1"/>
        <v>Reminder*4</v>
      </c>
      <c r="J179" s="160" t="str">
        <f ca="1"/>
        <v>Reminder*5</v>
      </c>
      <c r="K179" s="160" t="str">
        <f ca="1"/>
        <v>Reminder&gt;5</v>
      </c>
      <c r="L179" s="160" t="str">
        <f ca="1"/>
        <v>LINK*1 + Reminder*1</v>
      </c>
      <c r="M179" s="160" t="str">
        <f ca="1"/>
        <v>LINK*1 + Reminder*2</v>
      </c>
      <c r="N179" s="160" t="str">
        <f ca="1"/>
        <v>LINK*2 + Reminder*1</v>
      </c>
      <c r="O179" s="160" t="str">
        <f ca="1"/>
        <v>Add to Cart*1</v>
      </c>
      <c r="P179" s="160" t="str">
        <f ca="1"/>
        <v>Add to Cart*2</v>
      </c>
      <c r="Q179" s="160" t="str">
        <f ca="1"/>
        <v>Add to Cart*3</v>
      </c>
      <c r="R179" s="160" t="str">
        <f ca="1"/>
        <v>(Reminder+ATC) *1</v>
      </c>
      <c r="S179" s="160" t="str">
        <f ca="1"/>
        <v>(Reminder+ATC) *2</v>
      </c>
      <c r="T179" s="160" t="str">
        <f ca="1"/>
        <v>(Reminder+ATC) *3</v>
      </c>
      <c r="U179" s="160" t="str">
        <f ca="1"/>
        <v>Popup*1</v>
      </c>
      <c r="V179" s="160" t="str">
        <f ca="1"/>
        <v>Popup*2</v>
      </c>
      <c r="W179" s="160" t="str">
        <f ca="1"/>
        <v>Popup*3</v>
      </c>
      <c r="X179" s="160" t="str">
        <f ca="1"/>
        <v>Copy*1</v>
      </c>
      <c r="Y179" s="160" t="str">
        <f ca="1"/>
        <v>Copy*2</v>
      </c>
      <c r="Z179" s="160" t="str">
        <f ca="1"/>
        <v>Copy*3</v>
      </c>
      <c r="AA179" s="160" t="str">
        <f ca="1"/>
        <v>Share*1</v>
      </c>
      <c r="AB179" s="160" t="str">
        <f ca="1"/>
        <v>Share*2</v>
      </c>
      <c r="AC179" s="160" t="str">
        <f ca="1"/>
        <v>Share*3</v>
      </c>
      <c r="AD179" s="160" t="str">
        <f ca="1"/>
        <v>Placeholders</v>
      </c>
      <c r="AE179" s="172" t="b">
        <v>0</v>
      </c>
      <c r="AF179" s="173" t="str">
        <f t="shared" si="65"/>
        <v/>
      </c>
      <c r="AG179" s="174" t="str">
        <f t="shared" si="61"/>
        <v/>
      </c>
      <c r="AH179" s="195" t="s">
        <v>740</v>
      </c>
      <c r="AI179" s="176" t="str">
        <f ca="1">IFERROR(VLOOKUP($AH179, '(勿動)Component Label公版'!$D$1:$E$1000, 2, FALSE), "-")</f>
        <v>-</v>
      </c>
      <c r="AJ179" s="177"/>
      <c r="AK179" s="202" t="s">
        <v>434</v>
      </c>
      <c r="AL179" s="202" t="s">
        <v>440</v>
      </c>
      <c r="AM179" s="189" t="str">
        <f t="shared" si="56"/>
        <v/>
      </c>
      <c r="AN179" s="217" t="str">
        <f t="shared" si="57"/>
        <v>2026-04-17 23:59:59</v>
      </c>
      <c r="AO179" s="247" t="s">
        <v>741</v>
      </c>
      <c r="AP179" s="550" t="s">
        <v>781</v>
      </c>
      <c r="AQ179" s="384"/>
      <c r="AR179" s="385"/>
      <c r="AS179" s="551" t="s">
        <v>782</v>
      </c>
      <c r="AT179" s="546"/>
      <c r="AU179" s="246" t="b">
        <v>1</v>
      </c>
      <c r="AV179" s="179" t="b">
        <v>1</v>
      </c>
      <c r="AW179" s="186"/>
      <c r="AX179" s="187"/>
      <c r="AY179" s="187"/>
      <c r="AZ179" s="187"/>
      <c r="BA179" s="188"/>
      <c r="BB179" s="191" t="s">
        <v>147</v>
      </c>
      <c r="BC179" s="179" t="s">
        <v>118</v>
      </c>
      <c r="BD179" s="198" t="str">
        <f t="shared" si="49"/>
        <v>圖_MSBN_LINK*1</v>
      </c>
      <c r="BE179" s="199" t="str">
        <f>IFERROR(VLOOKUP($BD179,'(勿動)組件目錄表'!$D$15:$R$1110,2,FALSE),"")</f>
        <v>I-2</v>
      </c>
      <c r="BF179" s="200">
        <f>IFERROR(VLOOKUP($BD179, '(勿動)組件目錄表'!$D$15:$R$1110, 5, FALSE),"")</f>
        <v>0.5</v>
      </c>
      <c r="BG179" s="248" t="s">
        <v>783</v>
      </c>
      <c r="BH179" s="183"/>
      <c r="BI179" s="181"/>
      <c r="BJ179" s="183"/>
    </row>
    <row r="180" spans="1:62" ht="15.75" customHeight="1" outlineLevel="1">
      <c r="A180" s="160" t="str">
        <f t="array" aca="1" ref="A180:G180" ca="1">IFERROR(TRANSPOSE(INDIRECT(L1_暖正版配!$BB180)),"")</f>
        <v>一排1品(垂直展示)</v>
      </c>
      <c r="B180" s="160" t="str">
        <f ca="1"/>
        <v>一排2品(垂直展示)</v>
      </c>
      <c r="C180" s="160" t="str">
        <f ca="1"/>
        <v>一排3品(垂直展示)</v>
      </c>
      <c r="D180" s="160" t="str">
        <f ca="1"/>
        <v>Collection 1條(水平展示)</v>
      </c>
      <c r="E180" s="160" t="str">
        <f ca="1"/>
        <v>Collection 1條(水平展示) + 查看全部(Footer)</v>
      </c>
      <c r="F180" s="160" t="str">
        <f ca="1"/>
        <v>Multi tabs</v>
      </c>
      <c r="G180" s="160" t="str">
        <f ca="1"/>
        <v>推薦品 Item Recommendation-固定</v>
      </c>
      <c r="H180" s="160"/>
      <c r="I180" s="160"/>
      <c r="J180" s="160"/>
      <c r="K180" s="160"/>
      <c r="L180" s="160"/>
      <c r="M180" s="160"/>
      <c r="N180" s="160"/>
      <c r="O180" s="160"/>
      <c r="P180" s="160"/>
      <c r="Q180" s="160"/>
      <c r="R180" s="160"/>
      <c r="S180" s="160"/>
      <c r="T180" s="160"/>
      <c r="U180" s="160"/>
      <c r="V180" s="160"/>
      <c r="W180" s="160"/>
      <c r="X180" s="160"/>
      <c r="Y180" s="160"/>
      <c r="Z180" s="160"/>
      <c r="AA180" s="160"/>
      <c r="AB180" s="160"/>
      <c r="AC180" s="160"/>
      <c r="AD180" s="160"/>
      <c r="AE180" s="172" t="b">
        <v>0</v>
      </c>
      <c r="AF180" s="173" t="str">
        <f t="shared" si="65"/>
        <v/>
      </c>
      <c r="AG180" s="174" t="str">
        <f t="shared" si="61"/>
        <v/>
      </c>
      <c r="AH180" s="195" t="s">
        <v>740</v>
      </c>
      <c r="AI180" s="176" t="str">
        <f ca="1">IFERROR(VLOOKUP($AH180, '(勿動)Component Label公版'!$D$1:$E$1000, 2, FALSE), "-")</f>
        <v>-</v>
      </c>
      <c r="AJ180" s="177"/>
      <c r="AK180" s="202" t="s">
        <v>434</v>
      </c>
      <c r="AL180" s="202" t="s">
        <v>440</v>
      </c>
      <c r="AM180" s="189" t="str">
        <f t="shared" si="56"/>
        <v/>
      </c>
      <c r="AN180" s="217" t="str">
        <f t="shared" si="57"/>
        <v>2026-04-17 23:59:59</v>
      </c>
      <c r="AO180" s="545" t="s">
        <v>784</v>
      </c>
      <c r="AP180" s="384"/>
      <c r="AQ180" s="384"/>
      <c r="AR180" s="384"/>
      <c r="AS180" s="384"/>
      <c r="AT180" s="546"/>
      <c r="AU180" s="222" t="b">
        <v>0</v>
      </c>
      <c r="AV180" s="180" t="b">
        <v>0</v>
      </c>
      <c r="AW180" s="186"/>
      <c r="AX180" s="187"/>
      <c r="AY180" s="187"/>
      <c r="AZ180" s="187"/>
      <c r="BA180" s="188"/>
      <c r="BB180" s="191" t="s">
        <v>264</v>
      </c>
      <c r="BC180" s="179" t="s">
        <v>257</v>
      </c>
      <c r="BD180" s="198" t="str">
        <f t="shared" si="49"/>
        <v>品_Collection 1條(水平展示)</v>
      </c>
      <c r="BE180" s="199" t="str">
        <f>IFERROR(VLOOKUP($BD180,'(勿動)組件目錄表'!$D$15:$R$1110,2,FALSE),"")</f>
        <v>G-4</v>
      </c>
      <c r="BF180" s="200">
        <f>IFERROR(VLOOKUP($BD180, '(勿動)組件目錄表'!$D$15:$R$1110, 5, FALSE),"")</f>
        <v>0.5</v>
      </c>
      <c r="BG180" s="181"/>
      <c r="BH180" s="183"/>
      <c r="BI180" s="181"/>
      <c r="BJ180" s="183"/>
    </row>
    <row r="181" spans="1:62" ht="15.75" customHeight="1" outlineLevel="1">
      <c r="A181" s="160" t="str">
        <f t="array" aca="1" ref="A181:G181" ca="1">IFERROR(TRANSPOSE(INDIRECT(L1_暖正版配!$BB181)),"")</f>
        <v>商品圖+$ 1品(文字在左側)</v>
      </c>
      <c r="B181" s="160" t="str">
        <f ca="1"/>
        <v>商品圖+$ 2品(文字在左側)</v>
      </c>
      <c r="C181" s="160" t="str">
        <f ca="1"/>
        <v>CTA 自行輸入文案(一排1個) CTA</v>
      </c>
      <c r="D181" s="160" t="str">
        <f ca="1"/>
        <v>CTA 自行輸入文案(一排1個) Reminder</v>
      </c>
      <c r="E181" s="160" t="str">
        <f ca="1"/>
        <v>CTA 自行輸入文案(一排2個) Reminder+Reminder</v>
      </c>
      <c r="F181" s="160" t="str">
        <f ca="1"/>
        <v>CTA 自行輸入文案(一排2個) CTA+Reminder</v>
      </c>
      <c r="G181" s="160" t="str">
        <f ca="1"/>
        <v>CTA 自行輸入文案(一排2個) CTA+CTA</v>
      </c>
      <c r="H181" s="160"/>
      <c r="I181" s="160"/>
      <c r="J181" s="160"/>
      <c r="K181" s="160"/>
      <c r="L181" s="160"/>
      <c r="M181" s="160"/>
      <c r="N181" s="160"/>
      <c r="O181" s="160"/>
      <c r="P181" s="160"/>
      <c r="Q181" s="160"/>
      <c r="R181" s="160"/>
      <c r="S181" s="160"/>
      <c r="T181" s="160"/>
      <c r="U181" s="160"/>
      <c r="V181" s="160"/>
      <c r="W181" s="160"/>
      <c r="X181" s="160"/>
      <c r="Y181" s="160"/>
      <c r="Z181" s="160"/>
      <c r="AA181" s="160"/>
      <c r="AB181" s="160"/>
      <c r="AC181" s="160"/>
      <c r="AD181" s="160"/>
      <c r="AE181" s="172" t="b">
        <v>0</v>
      </c>
      <c r="AF181" s="173" t="str">
        <f t="shared" si="65"/>
        <v/>
      </c>
      <c r="AG181" s="174" t="str">
        <f t="shared" si="61"/>
        <v/>
      </c>
      <c r="AH181" s="195" t="s">
        <v>740</v>
      </c>
      <c r="AI181" s="176" t="str">
        <f ca="1">IFERROR(VLOOKUP($AH181, '(勿動)Component Label公版'!$D$1:$E$1000, 2, FALSE), "-")</f>
        <v>-</v>
      </c>
      <c r="AJ181" s="177"/>
      <c r="AK181" s="202" t="s">
        <v>443</v>
      </c>
      <c r="AL181" s="202" t="s">
        <v>444</v>
      </c>
      <c r="AM181" s="189" t="str">
        <f t="shared" si="56"/>
        <v>2026-04-18 00:00:00</v>
      </c>
      <c r="AN181" s="217" t="str">
        <f t="shared" si="57"/>
        <v>2026-04-18 23:59:59</v>
      </c>
      <c r="AO181" s="547" t="s">
        <v>741</v>
      </c>
      <c r="AP181" s="384"/>
      <c r="AQ181" s="384"/>
      <c r="AR181" s="385"/>
      <c r="AS181" s="548" t="s">
        <v>742</v>
      </c>
      <c r="AT181" s="467"/>
      <c r="AU181" s="246" t="b">
        <v>1</v>
      </c>
      <c r="AV181" s="179" t="b">
        <v>1</v>
      </c>
      <c r="AW181" s="186"/>
      <c r="AX181" s="187"/>
      <c r="AY181" s="187"/>
      <c r="AZ181" s="187"/>
      <c r="BA181" s="188"/>
      <c r="BB181" s="191" t="s">
        <v>743</v>
      </c>
      <c r="BC181" s="179" t="s">
        <v>744</v>
      </c>
      <c r="BD181" s="198" t="str">
        <f t="shared" si="49"/>
        <v>圖_GD模版_通用公版_商品圖+$ 1品(文字在左側)</v>
      </c>
      <c r="BE181" s="199" t="str">
        <f>IFERROR(VLOOKUP($BD181,'(勿動)組件目錄表'!$D$15:$R$1110,2,FALSE),"")</f>
        <v>I-43</v>
      </c>
      <c r="BF181" s="200">
        <f>IFERROR(VLOOKUP($BD181, '(勿動)組件目錄表'!$D$15:$R$1110, 5, FALSE),"")</f>
        <v>0.5</v>
      </c>
      <c r="BG181" s="592" t="s">
        <v>785</v>
      </c>
      <c r="BH181" s="183"/>
      <c r="BI181" s="181"/>
      <c r="BJ181" s="183"/>
    </row>
    <row r="182" spans="1:62" ht="15.75" customHeight="1" outlineLevel="1">
      <c r="A182" s="160" t="str">
        <f t="array" aca="1" ref="A182:G182" ca="1">IFERROR(TRANSPOSE(INDIRECT(L1_暖正版配!$BB182)),"")</f>
        <v>商品圖+$ 1品(文字在左側)</v>
      </c>
      <c r="B182" s="160" t="str">
        <f ca="1"/>
        <v>商品圖+$ 2品(文字在左側)</v>
      </c>
      <c r="C182" s="160" t="str">
        <f ca="1"/>
        <v>CTA 自行輸入文案(一排1個) CTA</v>
      </c>
      <c r="D182" s="160" t="str">
        <f ca="1"/>
        <v>CTA 自行輸入文案(一排1個) Reminder</v>
      </c>
      <c r="E182" s="160" t="str">
        <f ca="1"/>
        <v>CTA 自行輸入文案(一排2個) Reminder+Reminder</v>
      </c>
      <c r="F182" s="160" t="str">
        <f ca="1"/>
        <v>CTA 自行輸入文案(一排2個) CTA+Reminder</v>
      </c>
      <c r="G182" s="160" t="str">
        <f ca="1"/>
        <v>CTA 自行輸入文案(一排2個) CTA+CTA</v>
      </c>
      <c r="H182" s="160"/>
      <c r="I182" s="160"/>
      <c r="J182" s="160"/>
      <c r="K182" s="160"/>
      <c r="L182" s="160"/>
      <c r="M182" s="160"/>
      <c r="N182" s="160"/>
      <c r="O182" s="160"/>
      <c r="P182" s="160"/>
      <c r="Q182" s="160"/>
      <c r="R182" s="160"/>
      <c r="S182" s="160"/>
      <c r="T182" s="160"/>
      <c r="U182" s="160"/>
      <c r="V182" s="160"/>
      <c r="W182" s="160"/>
      <c r="X182" s="160"/>
      <c r="Y182" s="160"/>
      <c r="Z182" s="160"/>
      <c r="AA182" s="160"/>
      <c r="AB182" s="160"/>
      <c r="AC182" s="160"/>
      <c r="AD182" s="160"/>
      <c r="AE182" s="172" t="b">
        <v>0</v>
      </c>
      <c r="AF182" s="173" t="str">
        <f t="shared" si="65"/>
        <v/>
      </c>
      <c r="AG182" s="174" t="str">
        <f t="shared" si="61"/>
        <v/>
      </c>
      <c r="AH182" s="195" t="s">
        <v>740</v>
      </c>
      <c r="AI182" s="176" t="str">
        <f ca="1">IFERROR(VLOOKUP($AH182, '(勿動)Component Label公版'!$D$1:$E$1000, 2, FALSE), "-")</f>
        <v>-</v>
      </c>
      <c r="AJ182" s="177"/>
      <c r="AK182" s="202" t="s">
        <v>443</v>
      </c>
      <c r="AL182" s="202" t="s">
        <v>444</v>
      </c>
      <c r="AM182" s="189" t="str">
        <f t="shared" si="56"/>
        <v>2026-04-18 00:00:00</v>
      </c>
      <c r="AN182" s="217" t="str">
        <f t="shared" si="57"/>
        <v>2026-04-18 23:59:59</v>
      </c>
      <c r="AO182" s="547" t="s">
        <v>746</v>
      </c>
      <c r="AP182" s="384"/>
      <c r="AQ182" s="384"/>
      <c r="AR182" s="385"/>
      <c r="AS182" s="400"/>
      <c r="AT182" s="549"/>
      <c r="AU182" s="246" t="b">
        <v>1</v>
      </c>
      <c r="AV182" s="179" t="b">
        <v>1</v>
      </c>
      <c r="AW182" s="186"/>
      <c r="AX182" s="187"/>
      <c r="AY182" s="187"/>
      <c r="AZ182" s="187"/>
      <c r="BA182" s="188"/>
      <c r="BB182" s="191" t="s">
        <v>743</v>
      </c>
      <c r="BC182" s="179" t="s">
        <v>744</v>
      </c>
      <c r="BD182" s="198" t="str">
        <f t="shared" si="49"/>
        <v>圖_GD模版_通用公版_商品圖+$ 1品(文字在左側)</v>
      </c>
      <c r="BE182" s="199" t="str">
        <f>IFERROR(VLOOKUP($BD182,'(勿動)組件目錄表'!$D$15:$R$1110,2,FALSE),"")</f>
        <v>I-43</v>
      </c>
      <c r="BF182" s="200">
        <f>IFERROR(VLOOKUP($BD182, '(勿動)組件目錄表'!$D$15:$R$1110, 5, FALSE),"")</f>
        <v>0.5</v>
      </c>
      <c r="BG182" s="591"/>
      <c r="BH182" s="183"/>
      <c r="BI182" s="181"/>
      <c r="BJ182" s="183"/>
    </row>
    <row r="183" spans="1:62" ht="15.75" customHeight="1" outlineLevel="1">
      <c r="A183" s="160" t="str">
        <f t="array" aca="1" ref="A183:G183" ca="1">IFERROR(TRANSPOSE(INDIRECT(L1_暖正版配!$BB183)),"")</f>
        <v>商品圖+$ 1品(文字在左側)</v>
      </c>
      <c r="B183" s="160" t="str">
        <f ca="1"/>
        <v>商品圖+$ 2品(文字在左側)</v>
      </c>
      <c r="C183" s="160" t="str">
        <f ca="1"/>
        <v>CTA 自行輸入文案(一排1個) CTA</v>
      </c>
      <c r="D183" s="160" t="str">
        <f ca="1"/>
        <v>CTA 自行輸入文案(一排1個) Reminder</v>
      </c>
      <c r="E183" s="160" t="str">
        <f ca="1"/>
        <v>CTA 自行輸入文案(一排2個) Reminder+Reminder</v>
      </c>
      <c r="F183" s="160" t="str">
        <f ca="1"/>
        <v>CTA 自行輸入文案(一排2個) CTA+Reminder</v>
      </c>
      <c r="G183" s="160" t="str">
        <f ca="1"/>
        <v>CTA 自行輸入文案(一排2個) CTA+CTA</v>
      </c>
      <c r="H183" s="160"/>
      <c r="I183" s="160"/>
      <c r="J183" s="160"/>
      <c r="K183" s="160"/>
      <c r="L183" s="160"/>
      <c r="M183" s="160"/>
      <c r="N183" s="160"/>
      <c r="O183" s="160"/>
      <c r="P183" s="160"/>
      <c r="Q183" s="160"/>
      <c r="R183" s="160"/>
      <c r="S183" s="160"/>
      <c r="T183" s="160"/>
      <c r="U183" s="160"/>
      <c r="V183" s="160"/>
      <c r="W183" s="160"/>
      <c r="X183" s="160"/>
      <c r="Y183" s="160"/>
      <c r="Z183" s="160"/>
      <c r="AA183" s="160"/>
      <c r="AB183" s="160"/>
      <c r="AC183" s="160"/>
      <c r="AD183" s="160"/>
      <c r="AE183" s="172" t="b">
        <v>0</v>
      </c>
      <c r="AF183" s="173" t="str">
        <f t="shared" si="65"/>
        <v/>
      </c>
      <c r="AG183" s="174" t="str">
        <f t="shared" si="61"/>
        <v/>
      </c>
      <c r="AH183" s="195" t="s">
        <v>740</v>
      </c>
      <c r="AI183" s="176" t="str">
        <f ca="1">IFERROR(VLOOKUP($AH183, '(勿動)Component Label公版'!$D$1:$E$1000, 2, FALSE), "-")</f>
        <v>-</v>
      </c>
      <c r="AJ183" s="177"/>
      <c r="AK183" s="202" t="s">
        <v>443</v>
      </c>
      <c r="AL183" s="202" t="s">
        <v>444</v>
      </c>
      <c r="AM183" s="189" t="str">
        <f t="shared" si="56"/>
        <v>2026-04-18 00:00:00</v>
      </c>
      <c r="AN183" s="217" t="str">
        <f t="shared" si="57"/>
        <v>2026-04-18 23:59:59</v>
      </c>
      <c r="AO183" s="547" t="s">
        <v>786</v>
      </c>
      <c r="AP183" s="384"/>
      <c r="AQ183" s="384"/>
      <c r="AR183" s="385"/>
      <c r="AS183" s="551" t="s">
        <v>787</v>
      </c>
      <c r="AT183" s="546"/>
      <c r="AU183" s="246" t="b">
        <v>1</v>
      </c>
      <c r="AV183" s="179" t="b">
        <v>1</v>
      </c>
      <c r="AW183" s="186"/>
      <c r="AX183" s="187"/>
      <c r="AY183" s="187"/>
      <c r="AZ183" s="187"/>
      <c r="BA183" s="188"/>
      <c r="BB183" s="191" t="s">
        <v>743</v>
      </c>
      <c r="BC183" s="179" t="s">
        <v>744</v>
      </c>
      <c r="BD183" s="198" t="str">
        <f t="shared" si="49"/>
        <v>圖_GD模版_通用公版_商品圖+$ 1品(文字在左側)</v>
      </c>
      <c r="BE183" s="199" t="str">
        <f>IFERROR(VLOOKUP($BD183,'(勿動)組件目錄表'!$D$15:$R$1110,2,FALSE),"")</f>
        <v>I-43</v>
      </c>
      <c r="BF183" s="200">
        <f>IFERROR(VLOOKUP($BD183, '(勿動)組件目錄表'!$D$15:$R$1110, 5, FALSE),"")</f>
        <v>0.5</v>
      </c>
      <c r="BG183" s="593"/>
      <c r="BH183" s="183"/>
      <c r="BI183" s="181"/>
      <c r="BJ183" s="249" t="s">
        <v>788</v>
      </c>
    </row>
    <row r="184" spans="1:62" ht="15.75" customHeight="1" outlineLevel="1">
      <c r="A184" s="160" t="str">
        <f t="array" aca="1" ref="A184:I184" ca="1">IFERROR(TRANSPOSE(INDIRECT(L1_暖正版配!$BB184)),"")</f>
        <v>一排1張(單張/多張)(無一鍵領取)</v>
      </c>
      <c r="B184" s="160" t="str">
        <f ca="1"/>
        <v>一排1張 + Reminder(單張/多張)(無一鍵領取)</v>
      </c>
      <c r="C184" s="160" t="str">
        <f ca="1"/>
        <v>一排1張 + 一鍵領取(多張)</v>
      </c>
      <c r="D184" s="160" t="str">
        <f ca="1"/>
        <v>【僅供MKT Campaign使用】PC：一排兩張；APP：一排1張 + 一鍵領取(多張)</v>
      </c>
      <c r="E184" s="160" t="str">
        <f ca="1"/>
        <v>【僅供MKT Campaign使用】PC：一排兩張；APP：一排1張 + 一鍵領取(多張) + Reminder</v>
      </c>
      <c r="F184" s="160" t="str">
        <f ca="1"/>
        <v>【僅供MKT Campaign使用】PC：一排兩張；APP：一排1張 + 一鍵領取(多張) + Reminder + 查看全部(系統預設加上「優惠券」文案)</v>
      </c>
      <c r="G184" s="160" t="str">
        <f ca="1"/>
        <v>一排2張(單張/多張)(無一鍵領取)</v>
      </c>
      <c r="H184" s="160" t="str">
        <f ca="1"/>
        <v>一排2張 + Reminder(單張/多張)(無一鍵領取)</v>
      </c>
      <c r="I184" s="160" t="str">
        <f ca="1"/>
        <v>一排2張 + 一鍵領取(多張)</v>
      </c>
      <c r="J184" s="160"/>
      <c r="K184" s="160"/>
      <c r="L184" s="160"/>
      <c r="M184" s="160"/>
      <c r="N184" s="160"/>
      <c r="O184" s="160"/>
      <c r="P184" s="160"/>
      <c r="Q184" s="160"/>
      <c r="R184" s="160"/>
      <c r="S184" s="160"/>
      <c r="T184" s="160"/>
      <c r="U184" s="160"/>
      <c r="V184" s="160"/>
      <c r="W184" s="160"/>
      <c r="X184" s="160"/>
      <c r="Y184" s="160"/>
      <c r="Z184" s="160"/>
      <c r="AA184" s="160"/>
      <c r="AB184" s="160"/>
      <c r="AC184" s="160"/>
      <c r="AD184" s="160"/>
      <c r="AE184" s="172" t="b">
        <v>0</v>
      </c>
      <c r="AF184" s="173" t="str">
        <f t="shared" si="65"/>
        <v/>
      </c>
      <c r="AG184" s="174" t="str">
        <f t="shared" si="61"/>
        <v/>
      </c>
      <c r="AH184" s="195" t="s">
        <v>740</v>
      </c>
      <c r="AI184" s="176" t="str">
        <f ca="1">IFERROR(VLOOKUP($AH184, '(勿動)Component Label公版'!$D$1:$E$1000, 2, FALSE), "-")</f>
        <v>-</v>
      </c>
      <c r="AJ184" s="177"/>
      <c r="AK184" s="202" t="s">
        <v>443</v>
      </c>
      <c r="AL184" s="202" t="s">
        <v>444</v>
      </c>
      <c r="AM184" s="189" t="str">
        <f t="shared" si="56"/>
        <v>2026-04-18 00:00:00</v>
      </c>
      <c r="AN184" s="217" t="str">
        <f t="shared" si="57"/>
        <v>2026-04-18 23:59:59</v>
      </c>
      <c r="AO184" s="545" t="s">
        <v>789</v>
      </c>
      <c r="AP184" s="384"/>
      <c r="AQ184" s="384"/>
      <c r="AR184" s="384"/>
      <c r="AS184" s="384"/>
      <c r="AT184" s="546"/>
      <c r="AU184" s="222" t="b">
        <v>0</v>
      </c>
      <c r="AV184" s="180" t="b">
        <v>0</v>
      </c>
      <c r="AW184" s="186"/>
      <c r="AX184" s="187"/>
      <c r="AY184" s="187"/>
      <c r="AZ184" s="187"/>
      <c r="BA184" s="188"/>
      <c r="BB184" s="191" t="s">
        <v>182</v>
      </c>
      <c r="BC184" s="179" t="s">
        <v>222</v>
      </c>
      <c r="BD184" s="198" t="str">
        <f t="shared" si="49"/>
        <v>優惠券_真券_一排1張(單張/多張)(無一鍵領取)</v>
      </c>
      <c r="BE184" s="199" t="str">
        <f>IFERROR(VLOOKUP($BD184,'(勿動)組件目錄表'!$D$15:$R$1110,2,FALSE),"")</f>
        <v>F-1</v>
      </c>
      <c r="BF184" s="200">
        <f>IFERROR(VLOOKUP($BD184, '(勿動)組件目錄表'!$D$15:$R$1110, 5, FALSE),"")</f>
        <v>0.5</v>
      </c>
      <c r="BG184" s="118"/>
      <c r="BH184" s="183"/>
      <c r="BI184" s="181"/>
      <c r="BJ184" s="183"/>
    </row>
    <row r="185" spans="1:62" ht="15.75" customHeight="1" outlineLevel="1">
      <c r="A185" s="160" t="str">
        <f t="array" aca="1" ref="A185:AD185" ca="1">IFERROR(TRANSPOSE(INDIRECT(L1_暖正版配!$BB185)),"")</f>
        <v>無CTA</v>
      </c>
      <c r="B185" s="160" t="str">
        <f ca="1"/>
        <v>LINK*1</v>
      </c>
      <c r="C185" s="160" t="str">
        <f ca="1"/>
        <v>LINK*2</v>
      </c>
      <c r="D185" s="160" t="str">
        <f ca="1"/>
        <v>LINK*3</v>
      </c>
      <c r="E185" s="160" t="str">
        <f ca="1"/>
        <v>LINK&gt;3</v>
      </c>
      <c r="F185" s="160" t="str">
        <f ca="1"/>
        <v>Reminder*1</v>
      </c>
      <c r="G185" s="160" t="str">
        <f ca="1"/>
        <v>Reminder*2</v>
      </c>
      <c r="H185" s="160" t="str">
        <f ca="1"/>
        <v>Reminder*3</v>
      </c>
      <c r="I185" s="160" t="str">
        <f ca="1"/>
        <v>Reminder*4</v>
      </c>
      <c r="J185" s="160" t="str">
        <f ca="1"/>
        <v>Reminder*5</v>
      </c>
      <c r="K185" s="160" t="str">
        <f ca="1"/>
        <v>Reminder&gt;5</v>
      </c>
      <c r="L185" s="160" t="str">
        <f ca="1"/>
        <v>LINK*1 + Reminder*1</v>
      </c>
      <c r="M185" s="160" t="str">
        <f ca="1"/>
        <v>LINK*1 + Reminder*2</v>
      </c>
      <c r="N185" s="160" t="str">
        <f ca="1"/>
        <v>LINK*2 + Reminder*1</v>
      </c>
      <c r="O185" s="160" t="str">
        <f ca="1"/>
        <v>Add to Cart*1</v>
      </c>
      <c r="P185" s="160" t="str">
        <f ca="1"/>
        <v>Add to Cart*2</v>
      </c>
      <c r="Q185" s="160" t="str">
        <f ca="1"/>
        <v>Add to Cart*3</v>
      </c>
      <c r="R185" s="160" t="str">
        <f ca="1"/>
        <v>(Reminder+ATC) *1</v>
      </c>
      <c r="S185" s="160" t="str">
        <f ca="1"/>
        <v>(Reminder+ATC) *2</v>
      </c>
      <c r="T185" s="160" t="str">
        <f ca="1"/>
        <v>(Reminder+ATC) *3</v>
      </c>
      <c r="U185" s="160" t="str">
        <f ca="1"/>
        <v>Popup*1</v>
      </c>
      <c r="V185" s="160" t="str">
        <f ca="1"/>
        <v>Popup*2</v>
      </c>
      <c r="W185" s="160" t="str">
        <f ca="1"/>
        <v>Popup*3</v>
      </c>
      <c r="X185" s="160" t="str">
        <f ca="1"/>
        <v>Copy*1</v>
      </c>
      <c r="Y185" s="160" t="str">
        <f ca="1"/>
        <v>Copy*2</v>
      </c>
      <c r="Z185" s="160" t="str">
        <f ca="1"/>
        <v>Copy*3</v>
      </c>
      <c r="AA185" s="160" t="str">
        <f ca="1"/>
        <v>Share*1</v>
      </c>
      <c r="AB185" s="160" t="str">
        <f ca="1"/>
        <v>Share*2</v>
      </c>
      <c r="AC185" s="160" t="str">
        <f ca="1"/>
        <v>Share*3</v>
      </c>
      <c r="AD185" s="160" t="str">
        <f ca="1"/>
        <v>Placeholders</v>
      </c>
      <c r="AE185" s="172" t="b">
        <v>0</v>
      </c>
      <c r="AF185" s="173" t="str">
        <f t="shared" si="65"/>
        <v/>
      </c>
      <c r="AG185" s="174" t="str">
        <f t="shared" si="61"/>
        <v/>
      </c>
      <c r="AH185" s="195" t="s">
        <v>740</v>
      </c>
      <c r="AI185" s="176" t="str">
        <f ca="1">IFERROR(VLOOKUP($AH185, '(勿動)Component Label公版'!$D$1:$E$1000, 2, FALSE), "-")</f>
        <v>-</v>
      </c>
      <c r="AJ185" s="177"/>
      <c r="AK185" s="202" t="s">
        <v>443</v>
      </c>
      <c r="AL185" s="202" t="s">
        <v>444</v>
      </c>
      <c r="AM185" s="189" t="str">
        <f t="shared" si="56"/>
        <v>2026-04-18 00:00:00</v>
      </c>
      <c r="AN185" s="217" t="str">
        <f t="shared" si="57"/>
        <v>2026-04-18 23:59:59</v>
      </c>
      <c r="AO185" s="247" t="s">
        <v>741</v>
      </c>
      <c r="AP185" s="550" t="s">
        <v>790</v>
      </c>
      <c r="AQ185" s="384"/>
      <c r="AR185" s="385"/>
      <c r="AS185" s="551" t="s">
        <v>791</v>
      </c>
      <c r="AT185" s="546"/>
      <c r="AU185" s="246" t="b">
        <v>1</v>
      </c>
      <c r="AV185" s="179" t="b">
        <v>1</v>
      </c>
      <c r="AW185" s="186"/>
      <c r="AX185" s="187"/>
      <c r="AY185" s="187"/>
      <c r="AZ185" s="187"/>
      <c r="BA185" s="188"/>
      <c r="BB185" s="191" t="s">
        <v>147</v>
      </c>
      <c r="BC185" s="179" t="s">
        <v>118</v>
      </c>
      <c r="BD185" s="198" t="str">
        <f t="shared" si="49"/>
        <v>圖_MSBN_LINK*1</v>
      </c>
      <c r="BE185" s="199" t="str">
        <f>IFERROR(VLOOKUP($BD185,'(勿動)組件目錄表'!$D$15:$R$1110,2,FALSE),"")</f>
        <v>I-2</v>
      </c>
      <c r="BF185" s="200">
        <f>IFERROR(VLOOKUP($BD185, '(勿動)組件目錄表'!$D$15:$R$1110, 5, FALSE),"")</f>
        <v>0.5</v>
      </c>
      <c r="BG185" s="248" t="s">
        <v>792</v>
      </c>
      <c r="BH185" s="183"/>
      <c r="BI185" s="181"/>
      <c r="BJ185" s="183"/>
    </row>
    <row r="186" spans="1:62" ht="15.75" customHeight="1" outlineLevel="1">
      <c r="A186" s="160" t="str">
        <f t="array" aca="1" ref="A186:G186" ca="1">IFERROR(TRANSPOSE(INDIRECT(L1_暖正版配!$BB186)),"")</f>
        <v>一排1品(垂直展示)</v>
      </c>
      <c r="B186" s="160" t="str">
        <f ca="1"/>
        <v>一排2品(垂直展示)</v>
      </c>
      <c r="C186" s="160" t="str">
        <f ca="1"/>
        <v>一排3品(垂直展示)</v>
      </c>
      <c r="D186" s="160" t="str">
        <f ca="1"/>
        <v>Collection 1條(水平展示)</v>
      </c>
      <c r="E186" s="160" t="str">
        <f ca="1"/>
        <v>Collection 1條(水平展示) + 查看全部(Footer)</v>
      </c>
      <c r="F186" s="160" t="str">
        <f ca="1"/>
        <v>Multi tabs</v>
      </c>
      <c r="G186" s="160" t="str">
        <f ca="1"/>
        <v>推薦品 Item Recommendation-固定</v>
      </c>
      <c r="H186" s="160"/>
      <c r="I186" s="160"/>
      <c r="J186" s="160"/>
      <c r="K186" s="160"/>
      <c r="L186" s="160"/>
      <c r="M186" s="160"/>
      <c r="N186" s="160"/>
      <c r="O186" s="160"/>
      <c r="P186" s="160"/>
      <c r="Q186" s="160"/>
      <c r="R186" s="160"/>
      <c r="S186" s="160"/>
      <c r="T186" s="160"/>
      <c r="U186" s="160"/>
      <c r="V186" s="160"/>
      <c r="W186" s="160"/>
      <c r="X186" s="160"/>
      <c r="Y186" s="160"/>
      <c r="Z186" s="160"/>
      <c r="AA186" s="160"/>
      <c r="AB186" s="160"/>
      <c r="AC186" s="160"/>
      <c r="AD186" s="160"/>
      <c r="AE186" s="172" t="b">
        <v>0</v>
      </c>
      <c r="AF186" s="173" t="str">
        <f t="shared" si="65"/>
        <v/>
      </c>
      <c r="AG186" s="174" t="str">
        <f t="shared" si="61"/>
        <v/>
      </c>
      <c r="AH186" s="195" t="s">
        <v>740</v>
      </c>
      <c r="AI186" s="176" t="str">
        <f ca="1">IFERROR(VLOOKUP($AH186, '(勿動)Component Label公版'!$D$1:$E$1000, 2, FALSE), "-")</f>
        <v>-</v>
      </c>
      <c r="AJ186" s="177"/>
      <c r="AK186" s="202" t="s">
        <v>443</v>
      </c>
      <c r="AL186" s="202" t="s">
        <v>444</v>
      </c>
      <c r="AM186" s="189" t="str">
        <f t="shared" si="56"/>
        <v>2026-04-18 00:00:00</v>
      </c>
      <c r="AN186" s="217" t="str">
        <f t="shared" si="57"/>
        <v>2026-04-18 23:59:59</v>
      </c>
      <c r="AO186" s="552" t="s">
        <v>793</v>
      </c>
      <c r="AP186" s="553"/>
      <c r="AQ186" s="553"/>
      <c r="AR186" s="553"/>
      <c r="AS186" s="553"/>
      <c r="AT186" s="554"/>
      <c r="AU186" s="222" t="b">
        <v>0</v>
      </c>
      <c r="AV186" s="180" t="b">
        <v>0</v>
      </c>
      <c r="AW186" s="186"/>
      <c r="AX186" s="187"/>
      <c r="AY186" s="187"/>
      <c r="AZ186" s="187"/>
      <c r="BA186" s="188"/>
      <c r="BB186" s="191" t="s">
        <v>264</v>
      </c>
      <c r="BC186" s="179" t="s">
        <v>257</v>
      </c>
      <c r="BD186" s="198" t="str">
        <f t="shared" si="49"/>
        <v>品_Collection 1條(水平展示)</v>
      </c>
      <c r="BE186" s="199" t="str">
        <f>IFERROR(VLOOKUP($BD186,'(勿動)組件目錄表'!$D$15:$R$1110,2,FALSE),"")</f>
        <v>G-4</v>
      </c>
      <c r="BF186" s="200">
        <f>IFERROR(VLOOKUP($BD186, '(勿動)組件目錄表'!$D$15:$R$1110, 5, FALSE),"")</f>
        <v>0.5</v>
      </c>
      <c r="BG186" s="181"/>
      <c r="BH186" s="183"/>
      <c r="BI186" s="181"/>
      <c r="BJ186" s="183"/>
    </row>
    <row r="187" spans="1:62" ht="15.75" customHeight="1" outlineLevel="1">
      <c r="A187" s="160" t="str">
        <f t="array" aca="1" ref="A187:G187" ca="1">IFERROR(TRANSPOSE(INDIRECT(L1_暖正版配!$BB187)),"")</f>
        <v>商品圖+$ 1品(文字在左側)</v>
      </c>
      <c r="B187" s="160" t="str">
        <f ca="1"/>
        <v>商品圖+$ 2品(文字在左側)</v>
      </c>
      <c r="C187" s="160" t="str">
        <f ca="1"/>
        <v>CTA 自行輸入文案(一排1個) CTA</v>
      </c>
      <c r="D187" s="160" t="str">
        <f ca="1"/>
        <v>CTA 自行輸入文案(一排1個) Reminder</v>
      </c>
      <c r="E187" s="160" t="str">
        <f ca="1"/>
        <v>CTA 自行輸入文案(一排2個) Reminder+Reminder</v>
      </c>
      <c r="F187" s="160" t="str">
        <f ca="1"/>
        <v>CTA 自行輸入文案(一排2個) CTA+Reminder</v>
      </c>
      <c r="G187" s="160" t="str">
        <f ca="1"/>
        <v>CTA 自行輸入文案(一排2個) CTA+CTA</v>
      </c>
      <c r="H187" s="160"/>
      <c r="I187" s="160"/>
      <c r="J187" s="160"/>
      <c r="K187" s="160"/>
      <c r="L187" s="160"/>
      <c r="M187" s="160"/>
      <c r="N187" s="160"/>
      <c r="O187" s="160"/>
      <c r="P187" s="160"/>
      <c r="Q187" s="160"/>
      <c r="R187" s="160"/>
      <c r="S187" s="160"/>
      <c r="T187" s="160"/>
      <c r="U187" s="160"/>
      <c r="V187" s="160"/>
      <c r="W187" s="160"/>
      <c r="X187" s="160"/>
      <c r="Y187" s="160"/>
      <c r="Z187" s="160"/>
      <c r="AA187" s="160"/>
      <c r="AB187" s="160"/>
      <c r="AC187" s="160"/>
      <c r="AD187" s="160"/>
      <c r="AE187" s="172" t="b">
        <v>0</v>
      </c>
      <c r="AF187" s="173" t="str">
        <f t="shared" si="65"/>
        <v/>
      </c>
      <c r="AG187" s="174" t="str">
        <f t="shared" si="61"/>
        <v/>
      </c>
      <c r="AH187" s="195" t="s">
        <v>740</v>
      </c>
      <c r="AI187" s="176" t="str">
        <f ca="1">IFERROR(VLOOKUP($AH187, '(勿動)Component Label公版'!$D$1:$E$1000, 2, FALSE), "-")</f>
        <v>-</v>
      </c>
      <c r="AJ187" s="177"/>
      <c r="AK187" s="202" t="s">
        <v>434</v>
      </c>
      <c r="AL187" s="202" t="s">
        <v>440</v>
      </c>
      <c r="AM187" s="189" t="str">
        <f t="shared" si="56"/>
        <v/>
      </c>
      <c r="AN187" s="217" t="str">
        <f t="shared" si="57"/>
        <v>2026-04-17 23:59:59</v>
      </c>
      <c r="AO187" s="555" t="s">
        <v>741</v>
      </c>
      <c r="AP187" s="556"/>
      <c r="AQ187" s="556"/>
      <c r="AR187" s="557"/>
      <c r="AS187" s="558" t="s">
        <v>742</v>
      </c>
      <c r="AT187" s="464"/>
      <c r="AU187" s="246" t="b">
        <v>1</v>
      </c>
      <c r="AV187" s="179" t="b">
        <v>1</v>
      </c>
      <c r="AW187" s="186"/>
      <c r="AX187" s="187"/>
      <c r="AY187" s="187"/>
      <c r="AZ187" s="187"/>
      <c r="BA187" s="188"/>
      <c r="BB187" s="191" t="s">
        <v>743</v>
      </c>
      <c r="BC187" s="179" t="s">
        <v>744</v>
      </c>
      <c r="BD187" s="198" t="str">
        <f t="shared" si="49"/>
        <v>圖_GD模版_通用公版_商品圖+$ 1品(文字在左側)</v>
      </c>
      <c r="BE187" s="199" t="str">
        <f>IFERROR(VLOOKUP($BD187,'(勿動)組件目錄表'!$D$15:$R$1110,2,FALSE),"")</f>
        <v>I-43</v>
      </c>
      <c r="BF187" s="200">
        <f>IFERROR(VLOOKUP($BD187, '(勿動)組件目錄表'!$D$15:$R$1110, 5, FALSE),"")</f>
        <v>0.5</v>
      </c>
      <c r="BG187" s="592" t="s">
        <v>794</v>
      </c>
      <c r="BH187" s="183"/>
      <c r="BI187" s="181"/>
      <c r="BJ187" s="183"/>
    </row>
    <row r="188" spans="1:62" ht="15.75" customHeight="1" outlineLevel="1">
      <c r="A188" s="160" t="str">
        <f t="array" aca="1" ref="A188:G188" ca="1">IFERROR(TRANSPOSE(INDIRECT(L1_暖正版配!$BB188)),"")</f>
        <v>商品圖+$ 1品(文字在左側)</v>
      </c>
      <c r="B188" s="160" t="str">
        <f ca="1"/>
        <v>商品圖+$ 2品(文字在左側)</v>
      </c>
      <c r="C188" s="160" t="str">
        <f ca="1"/>
        <v>CTA 自行輸入文案(一排1個) CTA</v>
      </c>
      <c r="D188" s="160" t="str">
        <f ca="1"/>
        <v>CTA 自行輸入文案(一排1個) Reminder</v>
      </c>
      <c r="E188" s="160" t="str">
        <f ca="1"/>
        <v>CTA 自行輸入文案(一排2個) Reminder+Reminder</v>
      </c>
      <c r="F188" s="160" t="str">
        <f ca="1"/>
        <v>CTA 自行輸入文案(一排2個) CTA+Reminder</v>
      </c>
      <c r="G188" s="160" t="str">
        <f ca="1"/>
        <v>CTA 自行輸入文案(一排2個) CTA+CTA</v>
      </c>
      <c r="H188" s="160"/>
      <c r="I188" s="160"/>
      <c r="J188" s="160"/>
      <c r="K188" s="160"/>
      <c r="L188" s="160"/>
      <c r="M188" s="160"/>
      <c r="N188" s="160"/>
      <c r="O188" s="160"/>
      <c r="P188" s="160"/>
      <c r="Q188" s="160"/>
      <c r="R188" s="160"/>
      <c r="S188" s="160"/>
      <c r="T188" s="160"/>
      <c r="U188" s="160"/>
      <c r="V188" s="160"/>
      <c r="W188" s="160"/>
      <c r="X188" s="160"/>
      <c r="Y188" s="160"/>
      <c r="Z188" s="160"/>
      <c r="AA188" s="160"/>
      <c r="AB188" s="160"/>
      <c r="AC188" s="160"/>
      <c r="AD188" s="160"/>
      <c r="AE188" s="172" t="b">
        <v>0</v>
      </c>
      <c r="AF188" s="173" t="str">
        <f t="shared" si="65"/>
        <v/>
      </c>
      <c r="AG188" s="174" t="str">
        <f t="shared" si="61"/>
        <v/>
      </c>
      <c r="AH188" s="195" t="s">
        <v>740</v>
      </c>
      <c r="AI188" s="176" t="str">
        <f ca="1">IFERROR(VLOOKUP($AH188, '(勿動)Component Label公版'!$D$1:$E$1000, 2, FALSE), "-")</f>
        <v>-</v>
      </c>
      <c r="AJ188" s="177"/>
      <c r="AK188" s="202" t="s">
        <v>434</v>
      </c>
      <c r="AL188" s="202" t="s">
        <v>440</v>
      </c>
      <c r="AM188" s="189" t="str">
        <f t="shared" si="56"/>
        <v/>
      </c>
      <c r="AN188" s="217" t="str">
        <f t="shared" si="57"/>
        <v>2026-04-17 23:59:59</v>
      </c>
      <c r="AO188" s="547" t="s">
        <v>746</v>
      </c>
      <c r="AP188" s="384"/>
      <c r="AQ188" s="384"/>
      <c r="AR188" s="385"/>
      <c r="AS188" s="400"/>
      <c r="AT188" s="549"/>
      <c r="AU188" s="246" t="b">
        <v>1</v>
      </c>
      <c r="AV188" s="179" t="b">
        <v>1</v>
      </c>
      <c r="AW188" s="186"/>
      <c r="AX188" s="187"/>
      <c r="AY188" s="187"/>
      <c r="AZ188" s="187"/>
      <c r="BA188" s="188"/>
      <c r="BB188" s="191" t="s">
        <v>743</v>
      </c>
      <c r="BC188" s="179" t="s">
        <v>744</v>
      </c>
      <c r="BD188" s="198" t="str">
        <f t="shared" si="49"/>
        <v>圖_GD模版_通用公版_商品圖+$ 1品(文字在左側)</v>
      </c>
      <c r="BE188" s="199" t="str">
        <f>IFERROR(VLOOKUP($BD188,'(勿動)組件目錄表'!$D$15:$R$1110,2,FALSE),"")</f>
        <v>I-43</v>
      </c>
      <c r="BF188" s="200">
        <f>IFERROR(VLOOKUP($BD188, '(勿動)組件目錄表'!$D$15:$R$1110, 5, FALSE),"")</f>
        <v>0.5</v>
      </c>
      <c r="BG188" s="591"/>
      <c r="BH188" s="183"/>
      <c r="BI188" s="181"/>
      <c r="BJ188" s="183"/>
    </row>
    <row r="189" spans="1:62" ht="15.75" customHeight="1" outlineLevel="1">
      <c r="A189" s="160" t="str">
        <f t="array" aca="1" ref="A189:G189" ca="1">IFERROR(TRANSPOSE(INDIRECT(L1_暖正版配!$BB189)),"")</f>
        <v>商品圖+$ 1品(文字在左側)</v>
      </c>
      <c r="B189" s="160" t="str">
        <f ca="1"/>
        <v>商品圖+$ 2品(文字在左側)</v>
      </c>
      <c r="C189" s="160" t="str">
        <f ca="1"/>
        <v>CTA 自行輸入文案(一排1個) CTA</v>
      </c>
      <c r="D189" s="160" t="str">
        <f ca="1"/>
        <v>CTA 自行輸入文案(一排1個) Reminder</v>
      </c>
      <c r="E189" s="160" t="str">
        <f ca="1"/>
        <v>CTA 自行輸入文案(一排2個) Reminder+Reminder</v>
      </c>
      <c r="F189" s="160" t="str">
        <f ca="1"/>
        <v>CTA 自行輸入文案(一排2個) CTA+Reminder</v>
      </c>
      <c r="G189" s="160" t="str">
        <f ca="1"/>
        <v>CTA 自行輸入文案(一排2個) CTA+CTA</v>
      </c>
      <c r="H189" s="160"/>
      <c r="I189" s="160"/>
      <c r="J189" s="160"/>
      <c r="K189" s="160"/>
      <c r="L189" s="160"/>
      <c r="M189" s="160"/>
      <c r="N189" s="160"/>
      <c r="O189" s="160"/>
      <c r="P189" s="160"/>
      <c r="Q189" s="160"/>
      <c r="R189" s="160"/>
      <c r="S189" s="160"/>
      <c r="T189" s="160"/>
      <c r="U189" s="160"/>
      <c r="V189" s="160"/>
      <c r="W189" s="160"/>
      <c r="X189" s="160"/>
      <c r="Y189" s="160"/>
      <c r="Z189" s="160"/>
      <c r="AA189" s="160"/>
      <c r="AB189" s="160"/>
      <c r="AC189" s="160"/>
      <c r="AD189" s="160"/>
      <c r="AE189" s="172" t="b">
        <v>0</v>
      </c>
      <c r="AF189" s="173" t="str">
        <f t="shared" si="65"/>
        <v/>
      </c>
      <c r="AG189" s="174" t="str">
        <f t="shared" si="61"/>
        <v/>
      </c>
      <c r="AH189" s="195" t="s">
        <v>740</v>
      </c>
      <c r="AI189" s="176" t="str">
        <f ca="1">IFERROR(VLOOKUP($AH189, '(勿動)Component Label公版'!$D$1:$E$1000, 2, FALSE), "-")</f>
        <v>-</v>
      </c>
      <c r="AJ189" s="177"/>
      <c r="AK189" s="202" t="s">
        <v>434</v>
      </c>
      <c r="AL189" s="202" t="s">
        <v>440</v>
      </c>
      <c r="AM189" s="189" t="str">
        <f t="shared" si="56"/>
        <v/>
      </c>
      <c r="AN189" s="217" t="str">
        <f t="shared" si="57"/>
        <v>2026-04-17 23:59:59</v>
      </c>
      <c r="AO189" s="547" t="s">
        <v>795</v>
      </c>
      <c r="AP189" s="384"/>
      <c r="AQ189" s="384"/>
      <c r="AR189" s="385"/>
      <c r="AS189" s="551" t="s">
        <v>796</v>
      </c>
      <c r="AT189" s="546"/>
      <c r="AU189" s="246" t="b">
        <v>1</v>
      </c>
      <c r="AV189" s="179" t="b">
        <v>1</v>
      </c>
      <c r="AW189" s="186"/>
      <c r="AX189" s="187"/>
      <c r="AY189" s="187"/>
      <c r="AZ189" s="187"/>
      <c r="BA189" s="188"/>
      <c r="BB189" s="191" t="s">
        <v>743</v>
      </c>
      <c r="BC189" s="179" t="s">
        <v>744</v>
      </c>
      <c r="BD189" s="198" t="str">
        <f t="shared" si="49"/>
        <v>圖_GD模版_通用公版_商品圖+$ 1品(文字在左側)</v>
      </c>
      <c r="BE189" s="199" t="str">
        <f>IFERROR(VLOOKUP($BD189,'(勿動)組件目錄表'!$D$15:$R$1110,2,FALSE),"")</f>
        <v>I-43</v>
      </c>
      <c r="BF189" s="200">
        <f>IFERROR(VLOOKUP($BD189, '(勿動)組件目錄表'!$D$15:$R$1110, 5, FALSE),"")</f>
        <v>0.5</v>
      </c>
      <c r="BG189" s="593"/>
      <c r="BH189" s="183"/>
      <c r="BI189" s="181"/>
      <c r="BJ189" s="183"/>
    </row>
    <row r="190" spans="1:62" ht="15.75" customHeight="1" outlineLevel="1">
      <c r="A190" s="160" t="str">
        <f t="array" aca="1" ref="A190:I190" ca="1">IFERROR(TRANSPOSE(INDIRECT(L1_暖正版配!$BB190)),"")</f>
        <v>一排1張(單張/多張)(無一鍵領取)</v>
      </c>
      <c r="B190" s="160" t="str">
        <f ca="1"/>
        <v>一排1張 + Reminder(單張/多張)(無一鍵領取)</v>
      </c>
      <c r="C190" s="160" t="str">
        <f ca="1"/>
        <v>一排1張 + 一鍵領取(多張)</v>
      </c>
      <c r="D190" s="160" t="str">
        <f ca="1"/>
        <v>【僅供MKT Campaign使用】PC：一排兩張；APP：一排1張 + 一鍵領取(多張)</v>
      </c>
      <c r="E190" s="160" t="str">
        <f ca="1"/>
        <v>【僅供MKT Campaign使用】PC：一排兩張；APP：一排1張 + 一鍵領取(多張) + Reminder</v>
      </c>
      <c r="F190" s="160" t="str">
        <f ca="1"/>
        <v>【僅供MKT Campaign使用】PC：一排兩張；APP：一排1張 + 一鍵領取(多張) + Reminder + 查看全部(系統預設加上「優惠券」文案)</v>
      </c>
      <c r="G190" s="160" t="str">
        <f ca="1"/>
        <v>一排2張(單張/多張)(無一鍵領取)</v>
      </c>
      <c r="H190" s="160" t="str">
        <f ca="1"/>
        <v>一排2張 + Reminder(單張/多張)(無一鍵領取)</v>
      </c>
      <c r="I190" s="160" t="str">
        <f ca="1"/>
        <v>一排2張 + 一鍵領取(多張)</v>
      </c>
      <c r="J190" s="160"/>
      <c r="K190" s="160"/>
      <c r="L190" s="160"/>
      <c r="M190" s="160"/>
      <c r="N190" s="160"/>
      <c r="O190" s="160"/>
      <c r="P190" s="160"/>
      <c r="Q190" s="160"/>
      <c r="R190" s="160"/>
      <c r="S190" s="160"/>
      <c r="T190" s="160"/>
      <c r="U190" s="160"/>
      <c r="V190" s="160"/>
      <c r="W190" s="160"/>
      <c r="X190" s="160"/>
      <c r="Y190" s="160"/>
      <c r="Z190" s="160"/>
      <c r="AA190" s="160"/>
      <c r="AB190" s="160"/>
      <c r="AC190" s="160"/>
      <c r="AD190" s="160"/>
      <c r="AE190" s="172" t="b">
        <v>0</v>
      </c>
      <c r="AF190" s="173" t="str">
        <f t="shared" si="65"/>
        <v/>
      </c>
      <c r="AG190" s="174" t="str">
        <f t="shared" si="61"/>
        <v/>
      </c>
      <c r="AH190" s="195" t="s">
        <v>740</v>
      </c>
      <c r="AI190" s="176" t="str">
        <f ca="1">IFERROR(VLOOKUP($AH190, '(勿動)Component Label公版'!$D$1:$E$1000, 2, FALSE), "-")</f>
        <v>-</v>
      </c>
      <c r="AJ190" s="177"/>
      <c r="AK190" s="202" t="s">
        <v>434</v>
      </c>
      <c r="AL190" s="202" t="s">
        <v>440</v>
      </c>
      <c r="AM190" s="189" t="str">
        <f t="shared" si="56"/>
        <v/>
      </c>
      <c r="AN190" s="217" t="str">
        <f t="shared" si="57"/>
        <v>2026-04-17 23:59:59</v>
      </c>
      <c r="AO190" s="545" t="s">
        <v>797</v>
      </c>
      <c r="AP190" s="384"/>
      <c r="AQ190" s="384"/>
      <c r="AR190" s="384"/>
      <c r="AS190" s="384"/>
      <c r="AT190" s="546"/>
      <c r="AU190" s="222" t="b">
        <v>0</v>
      </c>
      <c r="AV190" s="180" t="b">
        <v>0</v>
      </c>
      <c r="AW190" s="186"/>
      <c r="AX190" s="187"/>
      <c r="AY190" s="187"/>
      <c r="AZ190" s="187"/>
      <c r="BA190" s="188"/>
      <c r="BB190" s="191" t="s">
        <v>182</v>
      </c>
      <c r="BC190" s="179" t="s">
        <v>175</v>
      </c>
      <c r="BD190" s="198" t="str">
        <f t="shared" si="49"/>
        <v>優惠券_真券_一排1張 + 一鍵領取(多張)</v>
      </c>
      <c r="BE190" s="199" t="str">
        <f>IFERROR(VLOOKUP($BD190,'(勿動)組件目錄表'!$D$15:$R$1110,2,FALSE),"")</f>
        <v>F-3</v>
      </c>
      <c r="BF190" s="200">
        <f>IFERROR(VLOOKUP($BD190, '(勿動)組件目錄表'!$D$15:$R$1110, 5, FALSE),"")</f>
        <v>0.5</v>
      </c>
      <c r="BG190" s="118"/>
      <c r="BH190" s="183"/>
      <c r="BI190" s="181"/>
      <c r="BJ190" s="207" t="s">
        <v>798</v>
      </c>
    </row>
    <row r="191" spans="1:62" ht="15.75" customHeight="1" outlineLevel="1">
      <c r="A191" s="160" t="str">
        <f t="array" aca="1" ref="A191:AD191" ca="1">IFERROR(TRANSPOSE(INDIRECT(L1_暖正版配!$BB191)),"")</f>
        <v>無CTA</v>
      </c>
      <c r="B191" s="160" t="str">
        <f ca="1"/>
        <v>LINK*1</v>
      </c>
      <c r="C191" s="160" t="str">
        <f ca="1"/>
        <v>LINK*2</v>
      </c>
      <c r="D191" s="160" t="str">
        <f ca="1"/>
        <v>LINK*3</v>
      </c>
      <c r="E191" s="160" t="str">
        <f ca="1"/>
        <v>LINK&gt;3</v>
      </c>
      <c r="F191" s="160" t="str">
        <f ca="1"/>
        <v>Reminder*1</v>
      </c>
      <c r="G191" s="160" t="str">
        <f ca="1"/>
        <v>Reminder*2</v>
      </c>
      <c r="H191" s="160" t="str">
        <f ca="1"/>
        <v>Reminder*3</v>
      </c>
      <c r="I191" s="160" t="str">
        <f ca="1"/>
        <v>Reminder*4</v>
      </c>
      <c r="J191" s="160" t="str">
        <f ca="1"/>
        <v>Reminder*5</v>
      </c>
      <c r="K191" s="160" t="str">
        <f ca="1"/>
        <v>Reminder&gt;5</v>
      </c>
      <c r="L191" s="160" t="str">
        <f ca="1"/>
        <v>LINK*1 + Reminder*1</v>
      </c>
      <c r="M191" s="160" t="str">
        <f ca="1"/>
        <v>LINK*1 + Reminder*2</v>
      </c>
      <c r="N191" s="160" t="str">
        <f ca="1"/>
        <v>LINK*2 + Reminder*1</v>
      </c>
      <c r="O191" s="160" t="str">
        <f ca="1"/>
        <v>Add to Cart*1</v>
      </c>
      <c r="P191" s="160" t="str">
        <f ca="1"/>
        <v>Add to Cart*2</v>
      </c>
      <c r="Q191" s="160" t="str">
        <f ca="1"/>
        <v>Add to Cart*3</v>
      </c>
      <c r="R191" s="160" t="str">
        <f ca="1"/>
        <v>(Reminder+ATC) *1</v>
      </c>
      <c r="S191" s="160" t="str">
        <f ca="1"/>
        <v>(Reminder+ATC) *2</v>
      </c>
      <c r="T191" s="160" t="str">
        <f ca="1"/>
        <v>(Reminder+ATC) *3</v>
      </c>
      <c r="U191" s="160" t="str">
        <f ca="1"/>
        <v>Popup*1</v>
      </c>
      <c r="V191" s="160" t="str">
        <f ca="1"/>
        <v>Popup*2</v>
      </c>
      <c r="W191" s="160" t="str">
        <f ca="1"/>
        <v>Popup*3</v>
      </c>
      <c r="X191" s="160" t="str">
        <f ca="1"/>
        <v>Copy*1</v>
      </c>
      <c r="Y191" s="160" t="str">
        <f ca="1"/>
        <v>Copy*2</v>
      </c>
      <c r="Z191" s="160" t="str">
        <f ca="1"/>
        <v>Copy*3</v>
      </c>
      <c r="AA191" s="160" t="str">
        <f ca="1"/>
        <v>Share*1</v>
      </c>
      <c r="AB191" s="160" t="str">
        <f ca="1"/>
        <v>Share*2</v>
      </c>
      <c r="AC191" s="160" t="str">
        <f ca="1"/>
        <v>Share*3</v>
      </c>
      <c r="AD191" s="160" t="str">
        <f ca="1"/>
        <v>Placeholders</v>
      </c>
      <c r="AE191" s="172" t="b">
        <v>0</v>
      </c>
      <c r="AF191" s="173" t="str">
        <f t="shared" si="65"/>
        <v/>
      </c>
      <c r="AG191" s="174" t="str">
        <f t="shared" si="61"/>
        <v/>
      </c>
      <c r="AH191" s="195" t="s">
        <v>740</v>
      </c>
      <c r="AI191" s="176" t="str">
        <f ca="1">IFERROR(VLOOKUP($AH191, '(勿動)Component Label公版'!$D$1:$E$1000, 2, FALSE), "-")</f>
        <v>-</v>
      </c>
      <c r="AJ191" s="177"/>
      <c r="AK191" s="202" t="s">
        <v>434</v>
      </c>
      <c r="AL191" s="202" t="s">
        <v>440</v>
      </c>
      <c r="AM191" s="189" t="str">
        <f t="shared" si="56"/>
        <v/>
      </c>
      <c r="AN191" s="217" t="str">
        <f t="shared" si="57"/>
        <v>2026-04-17 23:59:59</v>
      </c>
      <c r="AO191" s="247" t="s">
        <v>741</v>
      </c>
      <c r="AP191" s="550" t="s">
        <v>799</v>
      </c>
      <c r="AQ191" s="384"/>
      <c r="AR191" s="385"/>
      <c r="AS191" s="551" t="s">
        <v>800</v>
      </c>
      <c r="AT191" s="546"/>
      <c r="AU191" s="246" t="b">
        <v>1</v>
      </c>
      <c r="AV191" s="179" t="b">
        <v>1</v>
      </c>
      <c r="AW191" s="186"/>
      <c r="AX191" s="187"/>
      <c r="AY191" s="187"/>
      <c r="AZ191" s="187"/>
      <c r="BA191" s="188"/>
      <c r="BB191" s="191" t="s">
        <v>147</v>
      </c>
      <c r="BC191" s="179" t="s">
        <v>118</v>
      </c>
      <c r="BD191" s="198" t="str">
        <f t="shared" si="49"/>
        <v>圖_MSBN_LINK*1</v>
      </c>
      <c r="BE191" s="199" t="str">
        <f>IFERROR(VLOOKUP($BD191,'(勿動)組件目錄表'!$D$15:$R$1110,2,FALSE),"")</f>
        <v>I-2</v>
      </c>
      <c r="BF191" s="200">
        <f>IFERROR(VLOOKUP($BD191, '(勿動)組件目錄表'!$D$15:$R$1110, 5, FALSE),"")</f>
        <v>0.5</v>
      </c>
      <c r="BG191" s="248" t="s">
        <v>801</v>
      </c>
      <c r="BH191" s="183"/>
      <c r="BI191" s="181"/>
      <c r="BJ191" s="183"/>
    </row>
    <row r="192" spans="1:62" ht="15.75" customHeight="1" outlineLevel="1">
      <c r="A192" s="160" t="str">
        <f t="array" aca="1" ref="A192:G192" ca="1">IFERROR(TRANSPOSE(INDIRECT(L1_暖正版配!$BB192)),"")</f>
        <v>一排1品(垂直展示)</v>
      </c>
      <c r="B192" s="160" t="str">
        <f ca="1"/>
        <v>一排2品(垂直展示)</v>
      </c>
      <c r="C192" s="160" t="str">
        <f ca="1"/>
        <v>一排3品(垂直展示)</v>
      </c>
      <c r="D192" s="160" t="str">
        <f ca="1"/>
        <v>Collection 1條(水平展示)</v>
      </c>
      <c r="E192" s="160" t="str">
        <f ca="1"/>
        <v>Collection 1條(水平展示) + 查看全部(Footer)</v>
      </c>
      <c r="F192" s="160" t="str">
        <f ca="1"/>
        <v>Multi tabs</v>
      </c>
      <c r="G192" s="160" t="str">
        <f ca="1"/>
        <v>推薦品 Item Recommendation-固定</v>
      </c>
      <c r="H192" s="160"/>
      <c r="I192" s="160"/>
      <c r="J192" s="160"/>
      <c r="K192" s="160"/>
      <c r="L192" s="160"/>
      <c r="M192" s="160"/>
      <c r="N192" s="160"/>
      <c r="O192" s="160"/>
      <c r="P192" s="160"/>
      <c r="Q192" s="160"/>
      <c r="R192" s="160"/>
      <c r="S192" s="160"/>
      <c r="T192" s="160"/>
      <c r="U192" s="160"/>
      <c r="V192" s="160"/>
      <c r="W192" s="160"/>
      <c r="X192" s="160"/>
      <c r="Y192" s="160"/>
      <c r="Z192" s="160"/>
      <c r="AA192" s="160"/>
      <c r="AB192" s="160"/>
      <c r="AC192" s="160"/>
      <c r="AD192" s="160"/>
      <c r="AE192" s="172" t="b">
        <v>0</v>
      </c>
      <c r="AF192" s="173" t="str">
        <f t="shared" si="65"/>
        <v/>
      </c>
      <c r="AG192" s="174" t="str">
        <f t="shared" si="61"/>
        <v/>
      </c>
      <c r="AH192" s="195" t="s">
        <v>740</v>
      </c>
      <c r="AI192" s="176" t="str">
        <f ca="1">IFERROR(VLOOKUP($AH192, '(勿動)Component Label公版'!$D$1:$E$1000, 2, FALSE), "-")</f>
        <v>-</v>
      </c>
      <c r="AJ192" s="177"/>
      <c r="AK192" s="202" t="s">
        <v>434</v>
      </c>
      <c r="AL192" s="202" t="s">
        <v>440</v>
      </c>
      <c r="AM192" s="189" t="str">
        <f t="shared" si="56"/>
        <v/>
      </c>
      <c r="AN192" s="217" t="str">
        <f t="shared" si="57"/>
        <v>2026-04-17 23:59:59</v>
      </c>
      <c r="AO192" s="545" t="s">
        <v>802</v>
      </c>
      <c r="AP192" s="384"/>
      <c r="AQ192" s="384"/>
      <c r="AR192" s="384"/>
      <c r="AS192" s="384"/>
      <c r="AT192" s="546"/>
      <c r="AU192" s="222" t="b">
        <v>0</v>
      </c>
      <c r="AV192" s="180" t="b">
        <v>0</v>
      </c>
      <c r="AW192" s="186"/>
      <c r="AX192" s="187"/>
      <c r="AY192" s="187"/>
      <c r="AZ192" s="187"/>
      <c r="BA192" s="188"/>
      <c r="BB192" s="191" t="s">
        <v>264</v>
      </c>
      <c r="BC192" s="179" t="s">
        <v>257</v>
      </c>
      <c r="BD192" s="198" t="str">
        <f t="shared" si="49"/>
        <v>品_Collection 1條(水平展示)</v>
      </c>
      <c r="BE192" s="199" t="str">
        <f>IFERROR(VLOOKUP($BD192,'(勿動)組件目錄表'!$D$15:$R$1110,2,FALSE),"")</f>
        <v>G-4</v>
      </c>
      <c r="BF192" s="200">
        <f>IFERROR(VLOOKUP($BD192, '(勿動)組件目錄表'!$D$15:$R$1110, 5, FALSE),"")</f>
        <v>0.5</v>
      </c>
      <c r="BG192" s="181"/>
      <c r="BH192" s="183"/>
      <c r="BI192" s="181"/>
      <c r="BJ192" s="183"/>
    </row>
    <row r="193" spans="1:62" ht="15.75" customHeight="1" outlineLevel="1">
      <c r="A193" s="160" t="str">
        <f t="array" aca="1" ref="A193:G193" ca="1">IFERROR(TRANSPOSE(INDIRECT(L1_暖正版配!$BB193)),"")</f>
        <v>商品圖+$ 1品(文字在左側)</v>
      </c>
      <c r="B193" s="160" t="str">
        <f ca="1"/>
        <v>商品圖+$ 2品(文字在左側)</v>
      </c>
      <c r="C193" s="160" t="str">
        <f ca="1"/>
        <v>CTA 自行輸入文案(一排1個) CTA</v>
      </c>
      <c r="D193" s="160" t="str">
        <f ca="1"/>
        <v>CTA 自行輸入文案(一排1個) Reminder</v>
      </c>
      <c r="E193" s="160" t="str">
        <f ca="1"/>
        <v>CTA 自行輸入文案(一排2個) Reminder+Reminder</v>
      </c>
      <c r="F193" s="160" t="str">
        <f ca="1"/>
        <v>CTA 自行輸入文案(一排2個) CTA+Reminder</v>
      </c>
      <c r="G193" s="160" t="str">
        <f ca="1"/>
        <v>CTA 自行輸入文案(一排2個) CTA+CTA</v>
      </c>
      <c r="H193" s="160"/>
      <c r="I193" s="160"/>
      <c r="J193" s="160"/>
      <c r="K193" s="160"/>
      <c r="L193" s="160"/>
      <c r="M193" s="160"/>
      <c r="N193" s="160"/>
      <c r="O193" s="160"/>
      <c r="P193" s="160"/>
      <c r="Q193" s="160"/>
      <c r="R193" s="160"/>
      <c r="S193" s="160"/>
      <c r="T193" s="160"/>
      <c r="U193" s="160"/>
      <c r="V193" s="160"/>
      <c r="W193" s="160"/>
      <c r="X193" s="160"/>
      <c r="Y193" s="160"/>
      <c r="Z193" s="160"/>
      <c r="AA193" s="160"/>
      <c r="AB193" s="160"/>
      <c r="AC193" s="160"/>
      <c r="AD193" s="160"/>
      <c r="AE193" s="172" t="b">
        <v>0</v>
      </c>
      <c r="AF193" s="173" t="str">
        <f t="shared" si="65"/>
        <v/>
      </c>
      <c r="AG193" s="174" t="str">
        <f t="shared" si="61"/>
        <v/>
      </c>
      <c r="AH193" s="195" t="s">
        <v>740</v>
      </c>
      <c r="AI193" s="176" t="str">
        <f ca="1">IFERROR(VLOOKUP($AH193, '(勿動)Component Label公版'!$D$1:$E$1000, 2, FALSE), "-")</f>
        <v>-</v>
      </c>
      <c r="AJ193" s="177"/>
      <c r="AK193" s="202" t="s">
        <v>443</v>
      </c>
      <c r="AL193" s="202" t="s">
        <v>444</v>
      </c>
      <c r="AM193" s="189" t="str">
        <f t="shared" si="56"/>
        <v>2026-04-18 00:00:00</v>
      </c>
      <c r="AN193" s="217" t="str">
        <f t="shared" si="57"/>
        <v>2026-04-18 23:59:59</v>
      </c>
      <c r="AO193" s="547" t="s">
        <v>741</v>
      </c>
      <c r="AP193" s="384"/>
      <c r="AQ193" s="384"/>
      <c r="AR193" s="385"/>
      <c r="AS193" s="548" t="s">
        <v>742</v>
      </c>
      <c r="AT193" s="467"/>
      <c r="AU193" s="246" t="b">
        <v>1</v>
      </c>
      <c r="AV193" s="179" t="b">
        <v>1</v>
      </c>
      <c r="AW193" s="186"/>
      <c r="AX193" s="187"/>
      <c r="AY193" s="187"/>
      <c r="AZ193" s="187"/>
      <c r="BA193" s="188"/>
      <c r="BB193" s="191" t="s">
        <v>743</v>
      </c>
      <c r="BC193" s="179" t="s">
        <v>744</v>
      </c>
      <c r="BD193" s="198" t="str">
        <f t="shared" si="49"/>
        <v>圖_GD模版_通用公版_商品圖+$ 1品(文字在左側)</v>
      </c>
      <c r="BE193" s="199" t="str">
        <f>IFERROR(VLOOKUP($BD193,'(勿動)組件目錄表'!$D$15:$R$1110,2,FALSE),"")</f>
        <v>I-43</v>
      </c>
      <c r="BF193" s="200">
        <f>IFERROR(VLOOKUP($BD193, '(勿動)組件目錄表'!$D$15:$R$1110, 5, FALSE),"")</f>
        <v>0.5</v>
      </c>
      <c r="BG193" s="592" t="s">
        <v>803</v>
      </c>
      <c r="BH193" s="183"/>
      <c r="BI193" s="181"/>
      <c r="BJ193" s="183"/>
    </row>
    <row r="194" spans="1:62" ht="15.75" customHeight="1" outlineLevel="1">
      <c r="A194" s="160" t="str">
        <f t="array" aca="1" ref="A194:G194" ca="1">IFERROR(TRANSPOSE(INDIRECT(L1_暖正版配!$BB194)),"")</f>
        <v>商品圖+$ 1品(文字在左側)</v>
      </c>
      <c r="B194" s="160" t="str">
        <f ca="1"/>
        <v>商品圖+$ 2品(文字在左側)</v>
      </c>
      <c r="C194" s="160" t="str">
        <f ca="1"/>
        <v>CTA 自行輸入文案(一排1個) CTA</v>
      </c>
      <c r="D194" s="160" t="str">
        <f ca="1"/>
        <v>CTA 自行輸入文案(一排1個) Reminder</v>
      </c>
      <c r="E194" s="160" t="str">
        <f ca="1"/>
        <v>CTA 自行輸入文案(一排2個) Reminder+Reminder</v>
      </c>
      <c r="F194" s="160" t="str">
        <f ca="1"/>
        <v>CTA 自行輸入文案(一排2個) CTA+Reminder</v>
      </c>
      <c r="G194" s="160" t="str">
        <f ca="1"/>
        <v>CTA 自行輸入文案(一排2個) CTA+CTA</v>
      </c>
      <c r="H194" s="160"/>
      <c r="I194" s="160"/>
      <c r="J194" s="160"/>
      <c r="K194" s="160"/>
      <c r="L194" s="160"/>
      <c r="M194" s="160"/>
      <c r="N194" s="160"/>
      <c r="O194" s="160"/>
      <c r="P194" s="160"/>
      <c r="Q194" s="160"/>
      <c r="R194" s="160"/>
      <c r="S194" s="160"/>
      <c r="T194" s="160"/>
      <c r="U194" s="160"/>
      <c r="V194" s="160"/>
      <c r="W194" s="160"/>
      <c r="X194" s="160"/>
      <c r="Y194" s="160"/>
      <c r="Z194" s="160"/>
      <c r="AA194" s="160"/>
      <c r="AB194" s="160"/>
      <c r="AC194" s="160"/>
      <c r="AD194" s="160"/>
      <c r="AE194" s="172" t="b">
        <v>0</v>
      </c>
      <c r="AF194" s="173" t="str">
        <f t="shared" si="65"/>
        <v/>
      </c>
      <c r="AG194" s="174" t="str">
        <f t="shared" si="61"/>
        <v/>
      </c>
      <c r="AH194" s="195" t="s">
        <v>740</v>
      </c>
      <c r="AI194" s="176" t="str">
        <f ca="1">IFERROR(VLOOKUP($AH194, '(勿動)Component Label公版'!$D$1:$E$1000, 2, FALSE), "-")</f>
        <v>-</v>
      </c>
      <c r="AJ194" s="177"/>
      <c r="AK194" s="202" t="s">
        <v>443</v>
      </c>
      <c r="AL194" s="202" t="s">
        <v>444</v>
      </c>
      <c r="AM194" s="189" t="str">
        <f t="shared" si="56"/>
        <v>2026-04-18 00:00:00</v>
      </c>
      <c r="AN194" s="217" t="str">
        <f t="shared" si="57"/>
        <v>2026-04-18 23:59:59</v>
      </c>
      <c r="AO194" s="547" t="s">
        <v>746</v>
      </c>
      <c r="AP194" s="384"/>
      <c r="AQ194" s="384"/>
      <c r="AR194" s="385"/>
      <c r="AS194" s="400"/>
      <c r="AT194" s="549"/>
      <c r="AU194" s="246" t="b">
        <v>1</v>
      </c>
      <c r="AV194" s="179" t="b">
        <v>1</v>
      </c>
      <c r="AW194" s="186"/>
      <c r="AX194" s="187"/>
      <c r="AY194" s="187"/>
      <c r="AZ194" s="187"/>
      <c r="BA194" s="188"/>
      <c r="BB194" s="191" t="s">
        <v>743</v>
      </c>
      <c r="BC194" s="179" t="s">
        <v>744</v>
      </c>
      <c r="BD194" s="198" t="str">
        <f t="shared" si="49"/>
        <v>圖_GD模版_通用公版_商品圖+$ 1品(文字在左側)</v>
      </c>
      <c r="BE194" s="199" t="str">
        <f>IFERROR(VLOOKUP($BD194,'(勿動)組件目錄表'!$D$15:$R$1110,2,FALSE),"")</f>
        <v>I-43</v>
      </c>
      <c r="BF194" s="200">
        <f>IFERROR(VLOOKUP($BD194, '(勿動)組件目錄表'!$D$15:$R$1110, 5, FALSE),"")</f>
        <v>0.5</v>
      </c>
      <c r="BG194" s="591"/>
      <c r="BH194" s="183"/>
      <c r="BI194" s="181"/>
      <c r="BJ194" s="183"/>
    </row>
    <row r="195" spans="1:62" ht="15.75" customHeight="1" outlineLevel="1">
      <c r="A195" s="160" t="str">
        <f t="array" aca="1" ref="A195:G195" ca="1">IFERROR(TRANSPOSE(INDIRECT(L1_暖正版配!$BB195)),"")</f>
        <v>商品圖+$ 1品(文字在左側)</v>
      </c>
      <c r="B195" s="160" t="str">
        <f ca="1"/>
        <v>商品圖+$ 2品(文字在左側)</v>
      </c>
      <c r="C195" s="160" t="str">
        <f ca="1"/>
        <v>CTA 自行輸入文案(一排1個) CTA</v>
      </c>
      <c r="D195" s="160" t="str">
        <f ca="1"/>
        <v>CTA 自行輸入文案(一排1個) Reminder</v>
      </c>
      <c r="E195" s="160" t="str">
        <f ca="1"/>
        <v>CTA 自行輸入文案(一排2個) Reminder+Reminder</v>
      </c>
      <c r="F195" s="160" t="str">
        <f ca="1"/>
        <v>CTA 自行輸入文案(一排2個) CTA+Reminder</v>
      </c>
      <c r="G195" s="160" t="str">
        <f ca="1"/>
        <v>CTA 自行輸入文案(一排2個) CTA+CTA</v>
      </c>
      <c r="H195" s="160"/>
      <c r="I195" s="160"/>
      <c r="J195" s="160"/>
      <c r="K195" s="160"/>
      <c r="L195" s="160"/>
      <c r="M195" s="160"/>
      <c r="N195" s="160"/>
      <c r="O195" s="160"/>
      <c r="P195" s="160"/>
      <c r="Q195" s="160"/>
      <c r="R195" s="160"/>
      <c r="S195" s="160"/>
      <c r="T195" s="160"/>
      <c r="U195" s="160"/>
      <c r="V195" s="160"/>
      <c r="W195" s="160"/>
      <c r="X195" s="160"/>
      <c r="Y195" s="160"/>
      <c r="Z195" s="160"/>
      <c r="AA195" s="160"/>
      <c r="AB195" s="160"/>
      <c r="AC195" s="160"/>
      <c r="AD195" s="160"/>
      <c r="AE195" s="172" t="b">
        <v>0</v>
      </c>
      <c r="AF195" s="173" t="str">
        <f t="shared" si="65"/>
        <v/>
      </c>
      <c r="AG195" s="174" t="str">
        <f t="shared" si="61"/>
        <v/>
      </c>
      <c r="AH195" s="195" t="s">
        <v>740</v>
      </c>
      <c r="AI195" s="176" t="str">
        <f ca="1">IFERROR(VLOOKUP($AH195, '(勿動)Component Label公版'!$D$1:$E$1000, 2, FALSE), "-")</f>
        <v>-</v>
      </c>
      <c r="AJ195" s="177"/>
      <c r="AK195" s="202" t="s">
        <v>443</v>
      </c>
      <c r="AL195" s="202" t="s">
        <v>444</v>
      </c>
      <c r="AM195" s="189" t="str">
        <f t="shared" si="56"/>
        <v>2026-04-18 00:00:00</v>
      </c>
      <c r="AN195" s="217" t="str">
        <f t="shared" si="57"/>
        <v>2026-04-18 23:59:59</v>
      </c>
      <c r="AO195" s="547" t="s">
        <v>804</v>
      </c>
      <c r="AP195" s="384"/>
      <c r="AQ195" s="384"/>
      <c r="AR195" s="385"/>
      <c r="AS195" s="551" t="s">
        <v>805</v>
      </c>
      <c r="AT195" s="546"/>
      <c r="AU195" s="246" t="b">
        <v>1</v>
      </c>
      <c r="AV195" s="179" t="b">
        <v>1</v>
      </c>
      <c r="AW195" s="186"/>
      <c r="AX195" s="187"/>
      <c r="AY195" s="187"/>
      <c r="AZ195" s="187"/>
      <c r="BA195" s="188"/>
      <c r="BB195" s="191" t="s">
        <v>743</v>
      </c>
      <c r="BC195" s="179" t="s">
        <v>744</v>
      </c>
      <c r="BD195" s="198" t="str">
        <f t="shared" si="49"/>
        <v>圖_GD模版_通用公版_商品圖+$ 1品(文字在左側)</v>
      </c>
      <c r="BE195" s="199" t="str">
        <f>IFERROR(VLOOKUP($BD195,'(勿動)組件目錄表'!$D$15:$R$1110,2,FALSE),"")</f>
        <v>I-43</v>
      </c>
      <c r="BF195" s="200">
        <f>IFERROR(VLOOKUP($BD195, '(勿動)組件目錄表'!$D$15:$R$1110, 5, FALSE),"")</f>
        <v>0.5</v>
      </c>
      <c r="BG195" s="593"/>
      <c r="BH195" s="183"/>
      <c r="BI195" s="181"/>
      <c r="BJ195" s="249" t="s">
        <v>788</v>
      </c>
    </row>
    <row r="196" spans="1:62" ht="15.75" customHeight="1" outlineLevel="1">
      <c r="A196" s="160" t="str">
        <f t="array" aca="1" ref="A196:I196" ca="1">IFERROR(TRANSPOSE(INDIRECT(L1_暖正版配!$BB196)),"")</f>
        <v>一排1張(單張/多張)(無一鍵領取)</v>
      </c>
      <c r="B196" s="160" t="str">
        <f ca="1"/>
        <v>一排1張 + Reminder(單張/多張)(無一鍵領取)</v>
      </c>
      <c r="C196" s="160" t="str">
        <f ca="1"/>
        <v>一排1張 + 一鍵領取(多張)</v>
      </c>
      <c r="D196" s="160" t="str">
        <f ca="1"/>
        <v>【僅供MKT Campaign使用】PC：一排兩張；APP：一排1張 + 一鍵領取(多張)</v>
      </c>
      <c r="E196" s="160" t="str">
        <f ca="1"/>
        <v>【僅供MKT Campaign使用】PC：一排兩張；APP：一排1張 + 一鍵領取(多張) + Reminder</v>
      </c>
      <c r="F196" s="160" t="str">
        <f ca="1"/>
        <v>【僅供MKT Campaign使用】PC：一排兩張；APP：一排1張 + 一鍵領取(多張) + Reminder + 查看全部(系統預設加上「優惠券」文案)</v>
      </c>
      <c r="G196" s="160" t="str">
        <f ca="1"/>
        <v>一排2張(單張/多張)(無一鍵領取)</v>
      </c>
      <c r="H196" s="160" t="str">
        <f ca="1"/>
        <v>一排2張 + Reminder(單張/多張)(無一鍵領取)</v>
      </c>
      <c r="I196" s="160" t="str">
        <f ca="1"/>
        <v>一排2張 + 一鍵領取(多張)</v>
      </c>
      <c r="J196" s="160"/>
      <c r="K196" s="160"/>
      <c r="L196" s="160"/>
      <c r="M196" s="160"/>
      <c r="N196" s="160"/>
      <c r="O196" s="160"/>
      <c r="P196" s="160"/>
      <c r="Q196" s="160"/>
      <c r="R196" s="160"/>
      <c r="S196" s="160"/>
      <c r="T196" s="160"/>
      <c r="U196" s="160"/>
      <c r="V196" s="160"/>
      <c r="W196" s="160"/>
      <c r="X196" s="160"/>
      <c r="Y196" s="160"/>
      <c r="Z196" s="160"/>
      <c r="AA196" s="160"/>
      <c r="AB196" s="160"/>
      <c r="AC196" s="160"/>
      <c r="AD196" s="160"/>
      <c r="AE196" s="172" t="b">
        <v>0</v>
      </c>
      <c r="AF196" s="173" t="str">
        <f t="shared" si="65"/>
        <v/>
      </c>
      <c r="AG196" s="174" t="str">
        <f t="shared" si="61"/>
        <v/>
      </c>
      <c r="AH196" s="195" t="s">
        <v>740</v>
      </c>
      <c r="AI196" s="176" t="str">
        <f ca="1">IFERROR(VLOOKUP($AH196, '(勿動)Component Label公版'!$D$1:$E$1000, 2, FALSE), "-")</f>
        <v>-</v>
      </c>
      <c r="AJ196" s="177"/>
      <c r="AK196" s="202" t="s">
        <v>443</v>
      </c>
      <c r="AL196" s="202" t="s">
        <v>444</v>
      </c>
      <c r="AM196" s="189" t="str">
        <f t="shared" si="56"/>
        <v>2026-04-18 00:00:00</v>
      </c>
      <c r="AN196" s="217" t="str">
        <f t="shared" si="57"/>
        <v>2026-04-18 23:59:59</v>
      </c>
      <c r="AO196" s="545" t="s">
        <v>797</v>
      </c>
      <c r="AP196" s="384"/>
      <c r="AQ196" s="384"/>
      <c r="AR196" s="384"/>
      <c r="AS196" s="384"/>
      <c r="AT196" s="546"/>
      <c r="AU196" s="222" t="b">
        <v>0</v>
      </c>
      <c r="AV196" s="180" t="b">
        <v>0</v>
      </c>
      <c r="AW196" s="186"/>
      <c r="AX196" s="187"/>
      <c r="AY196" s="187"/>
      <c r="AZ196" s="187"/>
      <c r="BA196" s="188"/>
      <c r="BB196" s="191" t="s">
        <v>182</v>
      </c>
      <c r="BC196" s="179" t="s">
        <v>175</v>
      </c>
      <c r="BD196" s="198" t="str">
        <f t="shared" si="49"/>
        <v>優惠券_真券_一排1張 + 一鍵領取(多張)</v>
      </c>
      <c r="BE196" s="199" t="str">
        <f>IFERROR(VLOOKUP($BD196,'(勿動)組件目錄表'!$D$15:$R$1110,2,FALSE),"")</f>
        <v>F-3</v>
      </c>
      <c r="BF196" s="200">
        <f>IFERROR(VLOOKUP($BD196, '(勿動)組件目錄表'!$D$15:$R$1110, 5, FALSE),"")</f>
        <v>0.5</v>
      </c>
      <c r="BG196" s="118"/>
      <c r="BH196" s="183"/>
      <c r="BI196" s="181"/>
      <c r="BJ196" s="207" t="s">
        <v>798</v>
      </c>
    </row>
    <row r="197" spans="1:62" ht="15.75" customHeight="1" outlineLevel="1">
      <c r="A197" s="160" t="str">
        <f t="array" aca="1" ref="A197:AD197" ca="1">IFERROR(TRANSPOSE(INDIRECT(L1_暖正版配!$BB197)),"")</f>
        <v>無CTA</v>
      </c>
      <c r="B197" s="160" t="str">
        <f ca="1"/>
        <v>LINK*1</v>
      </c>
      <c r="C197" s="160" t="str">
        <f ca="1"/>
        <v>LINK*2</v>
      </c>
      <c r="D197" s="160" t="str">
        <f ca="1"/>
        <v>LINK*3</v>
      </c>
      <c r="E197" s="160" t="str">
        <f ca="1"/>
        <v>LINK&gt;3</v>
      </c>
      <c r="F197" s="160" t="str">
        <f ca="1"/>
        <v>Reminder*1</v>
      </c>
      <c r="G197" s="160" t="str">
        <f ca="1"/>
        <v>Reminder*2</v>
      </c>
      <c r="H197" s="160" t="str">
        <f ca="1"/>
        <v>Reminder*3</v>
      </c>
      <c r="I197" s="160" t="str">
        <f ca="1"/>
        <v>Reminder*4</v>
      </c>
      <c r="J197" s="160" t="str">
        <f ca="1"/>
        <v>Reminder*5</v>
      </c>
      <c r="K197" s="160" t="str">
        <f ca="1"/>
        <v>Reminder&gt;5</v>
      </c>
      <c r="L197" s="160" t="str">
        <f ca="1"/>
        <v>LINK*1 + Reminder*1</v>
      </c>
      <c r="M197" s="160" t="str">
        <f ca="1"/>
        <v>LINK*1 + Reminder*2</v>
      </c>
      <c r="N197" s="160" t="str">
        <f ca="1"/>
        <v>LINK*2 + Reminder*1</v>
      </c>
      <c r="O197" s="160" t="str">
        <f ca="1"/>
        <v>Add to Cart*1</v>
      </c>
      <c r="P197" s="160" t="str">
        <f ca="1"/>
        <v>Add to Cart*2</v>
      </c>
      <c r="Q197" s="160" t="str">
        <f ca="1"/>
        <v>Add to Cart*3</v>
      </c>
      <c r="R197" s="160" t="str">
        <f ca="1"/>
        <v>(Reminder+ATC) *1</v>
      </c>
      <c r="S197" s="160" t="str">
        <f ca="1"/>
        <v>(Reminder+ATC) *2</v>
      </c>
      <c r="T197" s="160" t="str">
        <f ca="1"/>
        <v>(Reminder+ATC) *3</v>
      </c>
      <c r="U197" s="160" t="str">
        <f ca="1"/>
        <v>Popup*1</v>
      </c>
      <c r="V197" s="160" t="str">
        <f ca="1"/>
        <v>Popup*2</v>
      </c>
      <c r="W197" s="160" t="str">
        <f ca="1"/>
        <v>Popup*3</v>
      </c>
      <c r="X197" s="160" t="str">
        <f ca="1"/>
        <v>Copy*1</v>
      </c>
      <c r="Y197" s="160" t="str">
        <f ca="1"/>
        <v>Copy*2</v>
      </c>
      <c r="Z197" s="160" t="str">
        <f ca="1"/>
        <v>Copy*3</v>
      </c>
      <c r="AA197" s="160" t="str">
        <f ca="1"/>
        <v>Share*1</v>
      </c>
      <c r="AB197" s="160" t="str">
        <f ca="1"/>
        <v>Share*2</v>
      </c>
      <c r="AC197" s="160" t="str">
        <f ca="1"/>
        <v>Share*3</v>
      </c>
      <c r="AD197" s="160" t="str">
        <f ca="1"/>
        <v>Placeholders</v>
      </c>
      <c r="AE197" s="172" t="b">
        <v>0</v>
      </c>
      <c r="AF197" s="173" t="str">
        <f t="shared" si="65"/>
        <v/>
      </c>
      <c r="AG197" s="174" t="str">
        <f t="shared" si="61"/>
        <v/>
      </c>
      <c r="AH197" s="195" t="s">
        <v>740</v>
      </c>
      <c r="AI197" s="176" t="str">
        <f ca="1">IFERROR(VLOOKUP($AH197, '(勿動)Component Label公版'!$D$1:$E$1000, 2, FALSE), "-")</f>
        <v>-</v>
      </c>
      <c r="AJ197" s="177"/>
      <c r="AK197" s="202" t="s">
        <v>443</v>
      </c>
      <c r="AL197" s="202" t="s">
        <v>444</v>
      </c>
      <c r="AM197" s="189" t="str">
        <f t="shared" si="56"/>
        <v>2026-04-18 00:00:00</v>
      </c>
      <c r="AN197" s="217" t="str">
        <f t="shared" si="57"/>
        <v>2026-04-18 23:59:59</v>
      </c>
      <c r="AO197" s="247" t="s">
        <v>741</v>
      </c>
      <c r="AP197" s="550" t="s">
        <v>806</v>
      </c>
      <c r="AQ197" s="384"/>
      <c r="AR197" s="385"/>
      <c r="AS197" s="551" t="s">
        <v>807</v>
      </c>
      <c r="AT197" s="546"/>
      <c r="AU197" s="246" t="b">
        <v>1</v>
      </c>
      <c r="AV197" s="179" t="b">
        <v>1</v>
      </c>
      <c r="AW197" s="186"/>
      <c r="AX197" s="187"/>
      <c r="AY197" s="187"/>
      <c r="AZ197" s="187"/>
      <c r="BA197" s="188"/>
      <c r="BB197" s="191" t="s">
        <v>147</v>
      </c>
      <c r="BC197" s="179" t="s">
        <v>118</v>
      </c>
      <c r="BD197" s="198" t="str">
        <f t="shared" si="49"/>
        <v>圖_MSBN_LINK*1</v>
      </c>
      <c r="BE197" s="199" t="str">
        <f>IFERROR(VLOOKUP($BD197,'(勿動)組件目錄表'!$D$15:$R$1110,2,FALSE),"")</f>
        <v>I-2</v>
      </c>
      <c r="BF197" s="200">
        <f>IFERROR(VLOOKUP($BD197, '(勿動)組件目錄表'!$D$15:$R$1110, 5, FALSE),"")</f>
        <v>0.5</v>
      </c>
      <c r="BG197" s="248" t="s">
        <v>808</v>
      </c>
      <c r="BH197" s="183"/>
      <c r="BI197" s="181"/>
      <c r="BJ197" s="183"/>
    </row>
    <row r="198" spans="1:62" ht="15.75" customHeight="1" outlineLevel="1">
      <c r="A198" s="160" t="str">
        <f t="array" aca="1" ref="A198:G198" ca="1">IFERROR(TRANSPOSE(INDIRECT(L1_暖正版配!$BB198)),"")</f>
        <v>一排1品(垂直展示)</v>
      </c>
      <c r="B198" s="160" t="str">
        <f ca="1"/>
        <v>一排2品(垂直展示)</v>
      </c>
      <c r="C198" s="160" t="str">
        <f ca="1"/>
        <v>一排3品(垂直展示)</v>
      </c>
      <c r="D198" s="160" t="str">
        <f ca="1"/>
        <v>Collection 1條(水平展示)</v>
      </c>
      <c r="E198" s="160" t="str">
        <f ca="1"/>
        <v>Collection 1條(水平展示) + 查看全部(Footer)</v>
      </c>
      <c r="F198" s="160" t="str">
        <f ca="1"/>
        <v>Multi tabs</v>
      </c>
      <c r="G198" s="160" t="str">
        <f ca="1"/>
        <v>推薦品 Item Recommendation-固定</v>
      </c>
      <c r="H198" s="160"/>
      <c r="I198" s="160"/>
      <c r="J198" s="160"/>
      <c r="K198" s="160"/>
      <c r="L198" s="160"/>
      <c r="M198" s="160"/>
      <c r="N198" s="160"/>
      <c r="O198" s="160"/>
      <c r="P198" s="160"/>
      <c r="Q198" s="160"/>
      <c r="R198" s="160"/>
      <c r="S198" s="160"/>
      <c r="T198" s="160"/>
      <c r="U198" s="160"/>
      <c r="V198" s="160"/>
      <c r="W198" s="160"/>
      <c r="X198" s="160"/>
      <c r="Y198" s="160"/>
      <c r="Z198" s="160"/>
      <c r="AA198" s="160"/>
      <c r="AB198" s="160"/>
      <c r="AC198" s="160"/>
      <c r="AD198" s="160"/>
      <c r="AE198" s="172" t="b">
        <v>0</v>
      </c>
      <c r="AF198" s="173" t="str">
        <f t="shared" si="65"/>
        <v/>
      </c>
      <c r="AG198" s="174" t="str">
        <f t="shared" si="61"/>
        <v/>
      </c>
      <c r="AH198" s="195" t="s">
        <v>740</v>
      </c>
      <c r="AI198" s="176" t="str">
        <f ca="1">IFERROR(VLOOKUP($AH198, '(勿動)Component Label公版'!$D$1:$E$1000, 2, FALSE), "-")</f>
        <v>-</v>
      </c>
      <c r="AJ198" s="177"/>
      <c r="AK198" s="202" t="s">
        <v>443</v>
      </c>
      <c r="AL198" s="202" t="s">
        <v>444</v>
      </c>
      <c r="AM198" s="189" t="str">
        <f t="shared" si="56"/>
        <v>2026-04-18 00:00:00</v>
      </c>
      <c r="AN198" s="217" t="str">
        <f t="shared" si="57"/>
        <v>2026-04-18 23:59:59</v>
      </c>
      <c r="AO198" s="552" t="s">
        <v>802</v>
      </c>
      <c r="AP198" s="553"/>
      <c r="AQ198" s="553"/>
      <c r="AR198" s="553"/>
      <c r="AS198" s="553"/>
      <c r="AT198" s="554"/>
      <c r="AU198" s="222" t="b">
        <v>0</v>
      </c>
      <c r="AV198" s="180" t="b">
        <v>0</v>
      </c>
      <c r="AW198" s="186"/>
      <c r="AX198" s="187"/>
      <c r="AY198" s="187"/>
      <c r="AZ198" s="187"/>
      <c r="BA198" s="188"/>
      <c r="BB198" s="191" t="s">
        <v>264</v>
      </c>
      <c r="BC198" s="179" t="s">
        <v>257</v>
      </c>
      <c r="BD198" s="198" t="str">
        <f t="shared" si="49"/>
        <v>品_Collection 1條(水平展示)</v>
      </c>
      <c r="BE198" s="199" t="str">
        <f>IFERROR(VLOOKUP($BD198,'(勿動)組件目錄表'!$D$15:$R$1110,2,FALSE),"")</f>
        <v>G-4</v>
      </c>
      <c r="BF198" s="200">
        <f>IFERROR(VLOOKUP($BD198, '(勿動)組件目錄表'!$D$15:$R$1110, 5, FALSE),"")</f>
        <v>0.5</v>
      </c>
      <c r="BG198" s="181"/>
      <c r="BH198" s="183"/>
      <c r="BI198" s="181"/>
      <c r="BJ198" s="183"/>
    </row>
    <row r="199" spans="1:62" ht="15.75" customHeight="1">
      <c r="A199" s="160" t="str">
        <f t="array" aca="1" ref="A199:I199" ca="1">IFERROR(TRANSPOSE(INDIRECT(L1_暖正版配!$BB199)),"")</f>
        <v>一排1張(單張/多張)(無一鍵領取)</v>
      </c>
      <c r="B199" s="160" t="str">
        <f ca="1"/>
        <v>一排1張 + Reminder(單張/多張)(無一鍵領取)</v>
      </c>
      <c r="C199" s="160" t="str">
        <f ca="1"/>
        <v>一排1張 + 一鍵領取(多張)</v>
      </c>
      <c r="D199" s="160" t="str">
        <f ca="1"/>
        <v>【僅供MKT Campaign使用】PC：一排兩張；APP：一排1張 + 一鍵領取(多張)</v>
      </c>
      <c r="E199" s="160" t="str">
        <f ca="1"/>
        <v>【僅供MKT Campaign使用】PC：一排兩張；APP：一排1張 + 一鍵領取(多張) + Reminder</v>
      </c>
      <c r="F199" s="160" t="str">
        <f ca="1"/>
        <v>【僅供MKT Campaign使用】PC：一排兩張；APP：一排1張 + 一鍵領取(多張) + Reminder + 查看全部(系統預設加上「優惠券」文案)</v>
      </c>
      <c r="G199" s="160" t="str">
        <f ca="1"/>
        <v>一排2張(單張/多張)(無一鍵領取)</v>
      </c>
      <c r="H199" s="160" t="str">
        <f ca="1"/>
        <v>一排2張 + Reminder(單張/多張)(無一鍵領取)</v>
      </c>
      <c r="I199" s="160" t="str">
        <f ca="1"/>
        <v>一排2張 + 一鍵領取(多張)</v>
      </c>
      <c r="J199" s="160"/>
      <c r="K199" s="160"/>
      <c r="L199" s="160"/>
      <c r="M199" s="160"/>
      <c r="N199" s="160"/>
      <c r="O199" s="160"/>
      <c r="P199" s="160"/>
      <c r="Q199" s="160"/>
      <c r="R199" s="160"/>
      <c r="S199" s="160"/>
      <c r="T199" s="160"/>
      <c r="U199" s="160"/>
      <c r="V199" s="160"/>
      <c r="W199" s="160"/>
      <c r="X199" s="160"/>
      <c r="Y199" s="160"/>
      <c r="Z199" s="160"/>
      <c r="AA199" s="160"/>
      <c r="AB199" s="160"/>
      <c r="AC199" s="160"/>
      <c r="AD199" s="160"/>
      <c r="AE199" s="172" t="b">
        <v>1</v>
      </c>
      <c r="AF199" s="173" t="s">
        <v>809</v>
      </c>
      <c r="AG199" s="174" t="str">
        <f t="shared" ca="1" si="61"/>
        <v>-</v>
      </c>
      <c r="AH199" s="195" t="s">
        <v>810</v>
      </c>
      <c r="AI199" s="176" t="str">
        <f ca="1">IFERROR(VLOOKUP($AH199, '(勿動)Component Label公版'!$D$1:$E$1000, 2, FALSE), "-")</f>
        <v>-</v>
      </c>
      <c r="AJ199" s="177"/>
      <c r="AK199" s="174"/>
      <c r="AL199" s="174"/>
      <c r="AM199" s="189" t="str">
        <f t="shared" si="56"/>
        <v/>
      </c>
      <c r="AN199" s="190" t="str">
        <f t="shared" si="57"/>
        <v/>
      </c>
      <c r="AO199" s="559" t="s">
        <v>811</v>
      </c>
      <c r="AP199" s="416"/>
      <c r="AQ199" s="416"/>
      <c r="AR199" s="416"/>
      <c r="AS199" s="416"/>
      <c r="AT199" s="416"/>
      <c r="AU199" s="180" t="b">
        <v>0</v>
      </c>
      <c r="AV199" s="180" t="b">
        <v>0</v>
      </c>
      <c r="AW199" s="186"/>
      <c r="AX199" s="187"/>
      <c r="AY199" s="187"/>
      <c r="AZ199" s="187"/>
      <c r="BA199" s="188"/>
      <c r="BB199" s="191" t="s">
        <v>182</v>
      </c>
      <c r="BC199" s="179" t="s">
        <v>179</v>
      </c>
      <c r="BD199" s="198" t="str">
        <f t="shared" si="49"/>
        <v>優惠券_真券_一排2張(單張/多張)(無一鍵領取)</v>
      </c>
      <c r="BE199" s="199" t="str">
        <f>IFERROR(VLOOKUP($BD199,'(勿動)組件目錄表'!$D$15:$R$1110,2,FALSE),"")</f>
        <v>F-9</v>
      </c>
      <c r="BF199" s="200">
        <f>IFERROR(VLOOKUP($BD199, '(勿動)組件目錄表'!$D$15:$R$1110, 5, FALSE),"")</f>
        <v>0.5</v>
      </c>
      <c r="BG199" s="595" t="s">
        <v>812</v>
      </c>
      <c r="BH199" s="183"/>
      <c r="BI199" s="181"/>
      <c r="BJ199" s="207" t="s">
        <v>813</v>
      </c>
    </row>
    <row r="200" spans="1:62" ht="15.75" customHeight="1">
      <c r="A200" s="160" t="str">
        <f t="array" aca="1" ref="A200" ca="1">IFERROR(TRANSPOSE(INDIRECT(L1_暖正版配!$BB200)),"")</f>
        <v>Collection 1條</v>
      </c>
      <c r="B200" s="160"/>
      <c r="C200" s="160"/>
      <c r="D200" s="160"/>
      <c r="E200" s="160"/>
      <c r="F200" s="160"/>
      <c r="G200" s="160"/>
      <c r="H200" s="160"/>
      <c r="I200" s="160"/>
      <c r="J200" s="160"/>
      <c r="K200" s="160"/>
      <c r="L200" s="160"/>
      <c r="M200" s="160"/>
      <c r="N200" s="160"/>
      <c r="O200" s="160"/>
      <c r="P200" s="160"/>
      <c r="Q200" s="160"/>
      <c r="R200" s="160"/>
      <c r="S200" s="160"/>
      <c r="T200" s="160"/>
      <c r="U200" s="160"/>
      <c r="V200" s="160"/>
      <c r="W200" s="160"/>
      <c r="X200" s="160"/>
      <c r="Y200" s="160"/>
      <c r="Z200" s="160"/>
      <c r="AA200" s="160"/>
      <c r="AB200" s="160"/>
      <c r="AC200" s="160"/>
      <c r="AD200" s="160"/>
      <c r="AE200" s="172" t="b">
        <v>1</v>
      </c>
      <c r="AF200" s="173" t="s">
        <v>814</v>
      </c>
      <c r="AG200" s="174" t="str">
        <f t="shared" ca="1" si="61"/>
        <v>-</v>
      </c>
      <c r="AH200" s="195" t="s">
        <v>815</v>
      </c>
      <c r="AI200" s="176" t="str">
        <f ca="1">IFERROR(VLOOKUP($AH200, '(勿動)Component Label公版'!$D$1:$E$1000, 2, FALSE), "-")</f>
        <v>-</v>
      </c>
      <c r="AJ200" s="177"/>
      <c r="AK200" s="174"/>
      <c r="AL200" s="174"/>
      <c r="AM200" s="189" t="str">
        <f t="shared" si="56"/>
        <v/>
      </c>
      <c r="AN200" s="190" t="str">
        <f t="shared" si="57"/>
        <v/>
      </c>
      <c r="AO200" s="541" t="s">
        <v>816</v>
      </c>
      <c r="AP200" s="384"/>
      <c r="AQ200" s="384"/>
      <c r="AR200" s="384"/>
      <c r="AS200" s="384"/>
      <c r="AT200" s="385"/>
      <c r="AU200" s="180" t="b">
        <v>0</v>
      </c>
      <c r="AV200" s="180" t="b">
        <v>0</v>
      </c>
      <c r="AW200" s="186"/>
      <c r="AX200" s="187"/>
      <c r="AY200" s="187"/>
      <c r="AZ200" s="187"/>
      <c r="BA200" s="188"/>
      <c r="BB200" s="191" t="s">
        <v>817</v>
      </c>
      <c r="BC200" s="179" t="s">
        <v>818</v>
      </c>
      <c r="BD200" s="198" t="str">
        <f t="shared" si="49"/>
        <v>店_一排1店(垂直展示)</v>
      </c>
      <c r="BE200" s="199" t="str">
        <f>IFERROR(VLOOKUP($BD200,'(勿動)組件目錄表'!$D$15:$R$1110,2,FALSE),"")</f>
        <v/>
      </c>
      <c r="BF200" s="200" t="str">
        <f>IFERROR(VLOOKUP($BD200, '(勿動)組件目錄表'!$D$15:$R$1110, 5, FALSE),"")</f>
        <v/>
      </c>
      <c r="BG200" s="591"/>
      <c r="BH200" s="183"/>
      <c r="BI200" s="181"/>
      <c r="BJ200" s="183"/>
    </row>
    <row r="201" spans="1:62" ht="15.75" customHeight="1">
      <c r="A201" s="160" t="str">
        <f t="array" aca="1" ref="A201:G201" ca="1">IFERROR(TRANSPOSE(INDIRECT(L1_暖正版配!$BB201)),"")</f>
        <v>一排1品(垂直展示)</v>
      </c>
      <c r="B201" s="160" t="str">
        <f ca="1"/>
        <v>一排2品(垂直展示)</v>
      </c>
      <c r="C201" s="160" t="str">
        <f ca="1"/>
        <v>一排3品(垂直展示)</v>
      </c>
      <c r="D201" s="160" t="str">
        <f ca="1"/>
        <v>Collection 1條(水平展示)</v>
      </c>
      <c r="E201" s="160" t="str">
        <f ca="1"/>
        <v>Collection 1條(水平展示) + 查看全部(Footer)</v>
      </c>
      <c r="F201" s="160" t="str">
        <f ca="1"/>
        <v>Multi tabs</v>
      </c>
      <c r="G201" s="160" t="str">
        <f ca="1"/>
        <v>推薦品 Item Recommendation-固定</v>
      </c>
      <c r="H201" s="160"/>
      <c r="I201" s="160"/>
      <c r="J201" s="160"/>
      <c r="K201" s="160"/>
      <c r="L201" s="160"/>
      <c r="M201" s="160"/>
      <c r="N201" s="160"/>
      <c r="O201" s="160"/>
      <c r="P201" s="160"/>
      <c r="Q201" s="160"/>
      <c r="R201" s="160"/>
      <c r="S201" s="160"/>
      <c r="T201" s="160"/>
      <c r="U201" s="160"/>
      <c r="V201" s="160"/>
      <c r="W201" s="160"/>
      <c r="X201" s="160"/>
      <c r="Y201" s="160"/>
      <c r="Z201" s="160"/>
      <c r="AA201" s="160"/>
      <c r="AB201" s="160"/>
      <c r="AC201" s="160"/>
      <c r="AD201" s="160"/>
      <c r="AE201" s="172" t="b">
        <v>1</v>
      </c>
      <c r="AF201" s="173" t="s">
        <v>819</v>
      </c>
      <c r="AG201" s="174" t="str">
        <f t="shared" ca="1" si="61"/>
        <v>-</v>
      </c>
      <c r="AH201" s="195" t="s">
        <v>820</v>
      </c>
      <c r="AI201" s="176" t="str">
        <f ca="1">IFERROR(VLOOKUP($AH201, '(勿動)Component Label公版'!$D$1:$E$1000, 2, FALSE), "-")</f>
        <v>-</v>
      </c>
      <c r="AJ201" s="177"/>
      <c r="AK201" s="174"/>
      <c r="AL201" s="174"/>
      <c r="AM201" s="189" t="str">
        <f t="shared" si="56"/>
        <v/>
      </c>
      <c r="AN201" s="190" t="str">
        <f t="shared" si="57"/>
        <v/>
      </c>
      <c r="AO201" s="559" t="s">
        <v>821</v>
      </c>
      <c r="AP201" s="416"/>
      <c r="AQ201" s="559" t="s">
        <v>821</v>
      </c>
      <c r="AR201" s="416"/>
      <c r="AS201" s="559" t="s">
        <v>821</v>
      </c>
      <c r="AT201" s="416"/>
      <c r="AU201" s="180" t="b">
        <v>0</v>
      </c>
      <c r="AV201" s="180" t="b">
        <v>0</v>
      </c>
      <c r="AW201" s="186"/>
      <c r="AX201" s="187"/>
      <c r="AY201" s="187"/>
      <c r="AZ201" s="187"/>
      <c r="BA201" s="188"/>
      <c r="BB201" s="191" t="s">
        <v>264</v>
      </c>
      <c r="BC201" s="179" t="s">
        <v>256</v>
      </c>
      <c r="BD201" s="198" t="str">
        <f t="shared" si="49"/>
        <v>品_一排3品(垂直展示)</v>
      </c>
      <c r="BE201" s="199" t="str">
        <f>IFERROR(VLOOKUP($BD201,'(勿動)組件目錄表'!$D$15:$R$1110,2,FALSE),"")</f>
        <v>G-3</v>
      </c>
      <c r="BF201" s="200">
        <f>IFERROR(VLOOKUP($BD201, '(勿動)組件目錄表'!$D$15:$R$1110, 5, FALSE),"")</f>
        <v>1</v>
      </c>
      <c r="BG201" s="587"/>
      <c r="BH201" s="183"/>
      <c r="BI201" s="181"/>
      <c r="BJ201" s="183"/>
    </row>
    <row r="202" spans="1:62" ht="15.75" customHeight="1">
      <c r="A202" s="160" t="str">
        <f t="array" aca="1" ref="A202:AD202" ca="1">IFERROR(TRANSPOSE(INDIRECT(L1_暖正版配!$BB202)),"")</f>
        <v>無CTA</v>
      </c>
      <c r="B202" s="160" t="str">
        <f ca="1"/>
        <v>LINK*1</v>
      </c>
      <c r="C202" s="160" t="str">
        <f ca="1"/>
        <v>LINK*2</v>
      </c>
      <c r="D202" s="160" t="str">
        <f ca="1"/>
        <v>LINK*3</v>
      </c>
      <c r="E202" s="160" t="str">
        <f ca="1"/>
        <v>LINK&gt;3</v>
      </c>
      <c r="F202" s="160" t="str">
        <f ca="1"/>
        <v>Reminder*1</v>
      </c>
      <c r="G202" s="160" t="str">
        <f ca="1"/>
        <v>Reminder*2</v>
      </c>
      <c r="H202" s="160" t="str">
        <f ca="1"/>
        <v>Reminder*3</v>
      </c>
      <c r="I202" s="160" t="str">
        <f ca="1"/>
        <v>Reminder*4</v>
      </c>
      <c r="J202" s="160" t="str">
        <f ca="1"/>
        <v>Reminder*5</v>
      </c>
      <c r="K202" s="160" t="str">
        <f ca="1"/>
        <v>Reminder&gt;5</v>
      </c>
      <c r="L202" s="160" t="str">
        <f ca="1"/>
        <v>LINK*1 + Reminder*1</v>
      </c>
      <c r="M202" s="160" t="str">
        <f ca="1"/>
        <v>LINK*1 + Reminder*2</v>
      </c>
      <c r="N202" s="160" t="str">
        <f ca="1"/>
        <v>LINK*2 + Reminder*1</v>
      </c>
      <c r="O202" s="160" t="str">
        <f ca="1"/>
        <v>Add to Cart*1</v>
      </c>
      <c r="P202" s="160" t="str">
        <f ca="1"/>
        <v>Add to Cart*2</v>
      </c>
      <c r="Q202" s="160" t="str">
        <f ca="1"/>
        <v>Add to Cart*3</v>
      </c>
      <c r="R202" s="160" t="str">
        <f ca="1"/>
        <v>(Reminder+ATC) *1</v>
      </c>
      <c r="S202" s="160" t="str">
        <f ca="1"/>
        <v>(Reminder+ATC) *2</v>
      </c>
      <c r="T202" s="160" t="str">
        <f ca="1"/>
        <v>(Reminder+ATC) *3</v>
      </c>
      <c r="U202" s="160" t="str">
        <f ca="1"/>
        <v>Popup*1</v>
      </c>
      <c r="V202" s="160" t="str">
        <f ca="1"/>
        <v>Popup*2</v>
      </c>
      <c r="W202" s="160" t="str">
        <f ca="1"/>
        <v>Popup*3</v>
      </c>
      <c r="X202" s="160" t="str">
        <f ca="1"/>
        <v>Copy*1</v>
      </c>
      <c r="Y202" s="160" t="str">
        <f ca="1"/>
        <v>Copy*2</v>
      </c>
      <c r="Z202" s="160" t="str">
        <f ca="1"/>
        <v>Copy*3</v>
      </c>
      <c r="AA202" s="160" t="str">
        <f ca="1"/>
        <v>Share*1</v>
      </c>
      <c r="AB202" s="160" t="str">
        <f ca="1"/>
        <v>Share*2</v>
      </c>
      <c r="AC202" s="160" t="str">
        <f ca="1"/>
        <v>Share*3</v>
      </c>
      <c r="AD202" s="160" t="str">
        <f ca="1"/>
        <v>Placeholders</v>
      </c>
      <c r="AE202" s="172" t="b">
        <v>1</v>
      </c>
      <c r="AF202" s="173" t="s">
        <v>400</v>
      </c>
      <c r="AG202" s="174" t="str">
        <f t="shared" ca="1" si="61"/>
        <v>-</v>
      </c>
      <c r="AH202" s="195" t="s">
        <v>822</v>
      </c>
      <c r="AI202" s="176" t="str">
        <f ca="1">IFERROR(VLOOKUP($AH202, '(勿動)Component Label公版'!$D$1:$E$1000, 2, FALSE), "-")</f>
        <v>-</v>
      </c>
      <c r="AJ202" s="177"/>
      <c r="AK202" s="174"/>
      <c r="AL202" s="174"/>
      <c r="AM202" s="189" t="str">
        <f t="shared" si="56"/>
        <v/>
      </c>
      <c r="AN202" s="190" t="str">
        <f t="shared" si="57"/>
        <v/>
      </c>
      <c r="AO202" s="533" t="s">
        <v>400</v>
      </c>
      <c r="AP202" s="384"/>
      <c r="AQ202" s="384"/>
      <c r="AR202" s="384"/>
      <c r="AS202" s="384"/>
      <c r="AT202" s="385"/>
      <c r="AU202" s="235" t="b">
        <v>1</v>
      </c>
      <c r="AV202" s="180" t="b">
        <v>0</v>
      </c>
      <c r="AW202" s="186"/>
      <c r="AX202" s="187"/>
      <c r="AY202" s="187"/>
      <c r="AZ202" s="187"/>
      <c r="BA202" s="188"/>
      <c r="BB202" s="191" t="s">
        <v>147</v>
      </c>
      <c r="BC202" s="179" t="s">
        <v>154</v>
      </c>
      <c r="BD202" s="198" t="str">
        <f t="shared" si="49"/>
        <v>圖_MSBN_無CTA</v>
      </c>
      <c r="BE202" s="199" t="str">
        <f>IFERROR(VLOOKUP($BD202,'(勿動)組件目錄表'!$D$15:$R$1110,2,FALSE),"")</f>
        <v>I-1</v>
      </c>
      <c r="BF202" s="200">
        <f>IFERROR(VLOOKUP($BD202, '(勿動)組件目錄表'!$D$15:$R$1110, 5, FALSE),"")</f>
        <v>0.5</v>
      </c>
      <c r="BG202" s="592" t="s">
        <v>823</v>
      </c>
      <c r="BH202" s="183"/>
      <c r="BI202" s="181"/>
      <c r="BJ202" s="183"/>
    </row>
    <row r="203" spans="1:62" ht="15.75" customHeight="1">
      <c r="A203" s="160" t="str">
        <f t="array" aca="1" ref="A203:AD203" ca="1">IFERROR(TRANSPOSE(INDIRECT(L1_暖正版配!$BB203)),"")</f>
        <v>無CTA</v>
      </c>
      <c r="B203" s="160" t="str">
        <f ca="1"/>
        <v>LINK*1</v>
      </c>
      <c r="C203" s="160" t="str">
        <f ca="1"/>
        <v>LINK*2</v>
      </c>
      <c r="D203" s="160" t="str">
        <f ca="1"/>
        <v>LINK*3</v>
      </c>
      <c r="E203" s="160" t="str">
        <f ca="1"/>
        <v>LINK&gt;3</v>
      </c>
      <c r="F203" s="160" t="str">
        <f ca="1"/>
        <v>Reminder*1</v>
      </c>
      <c r="G203" s="160" t="str">
        <f ca="1"/>
        <v>Reminder*2</v>
      </c>
      <c r="H203" s="160" t="str">
        <f ca="1"/>
        <v>Reminder*3</v>
      </c>
      <c r="I203" s="160" t="str">
        <f ca="1"/>
        <v>Reminder*4</v>
      </c>
      <c r="J203" s="160" t="str">
        <f ca="1"/>
        <v>Reminder*5</v>
      </c>
      <c r="K203" s="160" t="str">
        <f ca="1"/>
        <v>Reminder&gt;5</v>
      </c>
      <c r="L203" s="160" t="str">
        <f ca="1"/>
        <v>LINK*1 + Reminder*1</v>
      </c>
      <c r="M203" s="160" t="str">
        <f ca="1"/>
        <v>LINK*1 + Reminder*2</v>
      </c>
      <c r="N203" s="160" t="str">
        <f ca="1"/>
        <v>LINK*2 + Reminder*1</v>
      </c>
      <c r="O203" s="160" t="str">
        <f ca="1"/>
        <v>Add to Cart*1</v>
      </c>
      <c r="P203" s="160" t="str">
        <f ca="1"/>
        <v>Add to Cart*2</v>
      </c>
      <c r="Q203" s="160" t="str">
        <f ca="1"/>
        <v>Add to Cart*3</v>
      </c>
      <c r="R203" s="160" t="str">
        <f ca="1"/>
        <v>(Reminder+ATC) *1</v>
      </c>
      <c r="S203" s="160" t="str">
        <f ca="1"/>
        <v>(Reminder+ATC) *2</v>
      </c>
      <c r="T203" s="160" t="str">
        <f ca="1"/>
        <v>(Reminder+ATC) *3</v>
      </c>
      <c r="U203" s="160" t="str">
        <f ca="1"/>
        <v>Popup*1</v>
      </c>
      <c r="V203" s="160" t="str">
        <f ca="1"/>
        <v>Popup*2</v>
      </c>
      <c r="W203" s="160" t="str">
        <f ca="1"/>
        <v>Popup*3</v>
      </c>
      <c r="X203" s="160" t="str">
        <f ca="1"/>
        <v>Copy*1</v>
      </c>
      <c r="Y203" s="160" t="str">
        <f ca="1"/>
        <v>Copy*2</v>
      </c>
      <c r="Z203" s="160" t="str">
        <f ca="1"/>
        <v>Copy*3</v>
      </c>
      <c r="AA203" s="160" t="str">
        <f ca="1"/>
        <v>Share*1</v>
      </c>
      <c r="AB203" s="160" t="str">
        <f ca="1"/>
        <v>Share*2</v>
      </c>
      <c r="AC203" s="160" t="str">
        <f ca="1"/>
        <v>Share*3</v>
      </c>
      <c r="AD203" s="160" t="str">
        <f ca="1"/>
        <v>Placeholders</v>
      </c>
      <c r="AE203" s="226" t="b">
        <v>0</v>
      </c>
      <c r="AF203" s="173" t="str">
        <f>IF(AE203=TRUE,"若有勾選則必填，隱藏錨點請填寫&lt;設隱形錨點&gt;","")</f>
        <v/>
      </c>
      <c r="AG203" s="174" t="str">
        <f t="shared" si="61"/>
        <v/>
      </c>
      <c r="AH203" s="195" t="s">
        <v>822</v>
      </c>
      <c r="AI203" s="176" t="str">
        <f ca="1">IFERROR(VLOOKUP($AH203, '(勿動)Component Label公版'!$D$1:$E$1000, 2, FALSE), "-")</f>
        <v>-</v>
      </c>
      <c r="AJ203" s="177"/>
      <c r="AK203" s="174"/>
      <c r="AL203" s="174"/>
      <c r="AM203" s="189" t="str">
        <f t="shared" si="56"/>
        <v/>
      </c>
      <c r="AN203" s="190" t="str">
        <f t="shared" si="57"/>
        <v/>
      </c>
      <c r="AO203" s="533" t="s">
        <v>824</v>
      </c>
      <c r="AP203" s="384"/>
      <c r="AQ203" s="384"/>
      <c r="AR203" s="384"/>
      <c r="AS203" s="384"/>
      <c r="AT203" s="385"/>
      <c r="AU203" s="235" t="b">
        <v>1</v>
      </c>
      <c r="AV203" s="180" t="b">
        <v>0</v>
      </c>
      <c r="AW203" s="186"/>
      <c r="AX203" s="187"/>
      <c r="AY203" s="187"/>
      <c r="AZ203" s="187"/>
      <c r="BA203" s="188"/>
      <c r="BB203" s="191" t="s">
        <v>147</v>
      </c>
      <c r="BC203" s="179" t="s">
        <v>154</v>
      </c>
      <c r="BD203" s="198" t="str">
        <f t="shared" si="49"/>
        <v>圖_MSBN_無CTA</v>
      </c>
      <c r="BE203" s="199" t="str">
        <f>IFERROR(VLOOKUP($BD203,'(勿動)組件目錄表'!$D$15:$R$1110,2,FALSE),"")</f>
        <v>I-1</v>
      </c>
      <c r="BF203" s="200">
        <f>IFERROR(VLOOKUP($BD203, '(勿動)組件目錄表'!$D$15:$R$1110, 5, FALSE),"")</f>
        <v>0.5</v>
      </c>
      <c r="BG203" s="587"/>
      <c r="BH203" s="183"/>
      <c r="BI203" s="181"/>
      <c r="BJ203" s="183"/>
    </row>
    <row r="204" spans="1:62" ht="15.75" customHeight="1">
      <c r="A204" s="160" t="str">
        <f t="array" aca="1" ref="A204:AD204" ca="1">IFERROR(TRANSPOSE(INDIRECT(L1_暖正版配!$BB204)),"")</f>
        <v>無CTA</v>
      </c>
      <c r="B204" s="160" t="str">
        <f ca="1"/>
        <v>LINK*1</v>
      </c>
      <c r="C204" s="160" t="str">
        <f ca="1"/>
        <v>LINK*2</v>
      </c>
      <c r="D204" s="160" t="str">
        <f ca="1"/>
        <v>LINK*3</v>
      </c>
      <c r="E204" s="160" t="str">
        <f ca="1"/>
        <v>LINK&gt;3</v>
      </c>
      <c r="F204" s="160" t="str">
        <f ca="1"/>
        <v>Reminder*1</v>
      </c>
      <c r="G204" s="160" t="str">
        <f ca="1"/>
        <v>Reminder*2</v>
      </c>
      <c r="H204" s="160" t="str">
        <f ca="1"/>
        <v>Reminder*3</v>
      </c>
      <c r="I204" s="160" t="str">
        <f ca="1"/>
        <v>Reminder*4</v>
      </c>
      <c r="J204" s="160" t="str">
        <f ca="1"/>
        <v>Reminder*5</v>
      </c>
      <c r="K204" s="160" t="str">
        <f ca="1"/>
        <v>Reminder&gt;5</v>
      </c>
      <c r="L204" s="160" t="str">
        <f ca="1"/>
        <v>LINK*1 + Reminder*1</v>
      </c>
      <c r="M204" s="160" t="str">
        <f ca="1"/>
        <v>LINK*1 + Reminder*2</v>
      </c>
      <c r="N204" s="160" t="str">
        <f ca="1"/>
        <v>LINK*2 + Reminder*1</v>
      </c>
      <c r="O204" s="160" t="str">
        <f ca="1"/>
        <v>Add to Cart*1</v>
      </c>
      <c r="P204" s="160" t="str">
        <f ca="1"/>
        <v>Add to Cart*2</v>
      </c>
      <c r="Q204" s="160" t="str">
        <f ca="1"/>
        <v>Add to Cart*3</v>
      </c>
      <c r="R204" s="160" t="str">
        <f ca="1"/>
        <v>(Reminder+ATC) *1</v>
      </c>
      <c r="S204" s="160" t="str">
        <f ca="1"/>
        <v>(Reminder+ATC) *2</v>
      </c>
      <c r="T204" s="160" t="str">
        <f ca="1"/>
        <v>(Reminder+ATC) *3</v>
      </c>
      <c r="U204" s="160" t="str">
        <f ca="1"/>
        <v>Popup*1</v>
      </c>
      <c r="V204" s="160" t="str">
        <f ca="1"/>
        <v>Popup*2</v>
      </c>
      <c r="W204" s="160" t="str">
        <f ca="1"/>
        <v>Popup*3</v>
      </c>
      <c r="X204" s="160" t="str">
        <f ca="1"/>
        <v>Copy*1</v>
      </c>
      <c r="Y204" s="160" t="str">
        <f ca="1"/>
        <v>Copy*2</v>
      </c>
      <c r="Z204" s="160" t="str">
        <f ca="1"/>
        <v>Copy*3</v>
      </c>
      <c r="AA204" s="160" t="str">
        <f ca="1"/>
        <v>Share*1</v>
      </c>
      <c r="AB204" s="160" t="str">
        <f ca="1"/>
        <v>Share*2</v>
      </c>
      <c r="AC204" s="160" t="str">
        <f ca="1"/>
        <v>Share*3</v>
      </c>
      <c r="AD204" s="160" t="str">
        <f ca="1"/>
        <v>Placeholders</v>
      </c>
      <c r="AE204" s="172" t="b">
        <v>0</v>
      </c>
      <c r="AF204" s="173"/>
      <c r="AG204" s="174" t="str">
        <f t="shared" si="61"/>
        <v/>
      </c>
      <c r="AH204" s="195" t="s">
        <v>822</v>
      </c>
      <c r="AI204" s="176" t="str">
        <f ca="1">IFERROR(VLOOKUP($AH204, '(勿動)Component Label公版'!$D$1:$E$1000, 2, FALSE), "-")</f>
        <v>-</v>
      </c>
      <c r="AJ204" s="177"/>
      <c r="AK204" s="174"/>
      <c r="AL204" s="174"/>
      <c r="AM204" s="189" t="str">
        <f t="shared" si="56"/>
        <v/>
      </c>
      <c r="AN204" s="190" t="str">
        <f t="shared" si="57"/>
        <v/>
      </c>
      <c r="AO204" s="560" t="s">
        <v>825</v>
      </c>
      <c r="AP204" s="384"/>
      <c r="AQ204" s="384"/>
      <c r="AR204" s="384"/>
      <c r="AS204" s="384"/>
      <c r="AT204" s="385"/>
      <c r="AU204" s="235" t="b">
        <v>1</v>
      </c>
      <c r="AV204" s="180" t="b">
        <v>0</v>
      </c>
      <c r="AW204" s="186"/>
      <c r="AX204" s="187"/>
      <c r="AY204" s="187"/>
      <c r="AZ204" s="187"/>
      <c r="BA204" s="188"/>
      <c r="BB204" s="191" t="s">
        <v>147</v>
      </c>
      <c r="BC204" s="179" t="s">
        <v>154</v>
      </c>
      <c r="BD204" s="198" t="str">
        <f t="shared" si="49"/>
        <v>圖_MSBN_無CTA</v>
      </c>
      <c r="BE204" s="199" t="str">
        <f>IFERROR(VLOOKUP($BD204,'(勿動)組件目錄表'!$D$15:$R$1110,2,FALSE),"")</f>
        <v>I-1</v>
      </c>
      <c r="BF204" s="200">
        <f>IFERROR(VLOOKUP($BD204, '(勿動)組件目錄表'!$D$15:$R$1110, 5, FALSE),"")</f>
        <v>0.5</v>
      </c>
      <c r="BG204" s="201" t="s">
        <v>826</v>
      </c>
      <c r="BH204" s="183"/>
      <c r="BI204" s="181"/>
      <c r="BJ204" s="183"/>
    </row>
    <row r="205" spans="1:62" ht="15.75" customHeight="1">
      <c r="A205" s="160" t="str">
        <f t="array" aca="1" ref="A205:G205" ca="1">IFERROR(TRANSPOSE(INDIRECT(L1_暖正版配!$BB205)),"")</f>
        <v>一排1品(垂直展示)</v>
      </c>
      <c r="B205" s="160" t="str">
        <f ca="1"/>
        <v>一排2品(垂直展示)</v>
      </c>
      <c r="C205" s="160" t="str">
        <f ca="1"/>
        <v>一排3品(垂直展示)</v>
      </c>
      <c r="D205" s="160" t="str">
        <f ca="1"/>
        <v>Collection 1條(水平展示)</v>
      </c>
      <c r="E205" s="160" t="str">
        <f ca="1"/>
        <v>Collection 1條(水平展示) + 查看全部(Footer)</v>
      </c>
      <c r="F205" s="160" t="str">
        <f ca="1"/>
        <v>Multi tabs</v>
      </c>
      <c r="G205" s="160" t="str">
        <f ca="1"/>
        <v>推薦品 Item Recommendation-固定</v>
      </c>
      <c r="H205" s="160"/>
      <c r="I205" s="160"/>
      <c r="J205" s="160"/>
      <c r="K205" s="160"/>
      <c r="L205" s="160"/>
      <c r="M205" s="160"/>
      <c r="N205" s="160"/>
      <c r="O205" s="160"/>
      <c r="P205" s="160"/>
      <c r="Q205" s="160"/>
      <c r="R205" s="160"/>
      <c r="S205" s="160"/>
      <c r="T205" s="160"/>
      <c r="U205" s="160"/>
      <c r="V205" s="160"/>
      <c r="W205" s="160"/>
      <c r="X205" s="160"/>
      <c r="Y205" s="160"/>
      <c r="Z205" s="160"/>
      <c r="AA205" s="160"/>
      <c r="AB205" s="160"/>
      <c r="AC205" s="160"/>
      <c r="AD205" s="160"/>
      <c r="AE205" s="172" t="b">
        <v>0</v>
      </c>
      <c r="AF205" s="173" t="str">
        <f>IF(AE205=TRUE,"若有勾選則必填，隱藏錨點請填寫&lt;設隱形錨點&gt;","")</f>
        <v/>
      </c>
      <c r="AG205" s="174" t="str">
        <f t="shared" si="61"/>
        <v/>
      </c>
      <c r="AH205" s="195" t="s">
        <v>822</v>
      </c>
      <c r="AI205" s="176" t="str">
        <f ca="1">IFERROR(VLOOKUP($AH205, '(勿動)Component Label公版'!$D$1:$E$1000, 2, FALSE), "-")</f>
        <v>-</v>
      </c>
      <c r="AJ205" s="177"/>
      <c r="AK205" s="174"/>
      <c r="AL205" s="174"/>
      <c r="AM205" s="189" t="str">
        <f t="shared" si="56"/>
        <v/>
      </c>
      <c r="AN205" s="190" t="str">
        <f t="shared" si="57"/>
        <v/>
      </c>
      <c r="AO205" s="541" t="s">
        <v>827</v>
      </c>
      <c r="AP205" s="384"/>
      <c r="AQ205" s="384"/>
      <c r="AR205" s="384"/>
      <c r="AS205" s="384"/>
      <c r="AT205" s="385"/>
      <c r="AU205" s="180" t="b">
        <v>0</v>
      </c>
      <c r="AV205" s="180" t="b">
        <v>0</v>
      </c>
      <c r="AW205" s="186"/>
      <c r="AX205" s="187"/>
      <c r="AY205" s="187"/>
      <c r="AZ205" s="187"/>
      <c r="BA205" s="188"/>
      <c r="BB205" s="191" t="s">
        <v>264</v>
      </c>
      <c r="BC205" s="179" t="s">
        <v>257</v>
      </c>
      <c r="BD205" s="198" t="str">
        <f t="shared" si="49"/>
        <v>品_Collection 1條(水平展示)</v>
      </c>
      <c r="BE205" s="199" t="str">
        <f>IFERROR(VLOOKUP($BD205,'(勿動)組件目錄表'!$D$15:$R$1110,2,FALSE),"")</f>
        <v>G-4</v>
      </c>
      <c r="BF205" s="250">
        <f>IFERROR(VLOOKUP($BD205, '(勿動)組件目錄表'!$D$15:$R$1110, 5, FALSE),"")</f>
        <v>0.5</v>
      </c>
      <c r="BG205" s="186"/>
      <c r="BH205" s="183"/>
      <c r="BI205" s="181"/>
      <c r="BJ205" s="183"/>
    </row>
    <row r="206" spans="1:62" ht="15.75" customHeight="1">
      <c r="A206" s="160" t="str">
        <f t="array" aca="1" ref="A206:AD206" ca="1">IFERROR(TRANSPOSE(INDIRECT(L1_暖正版配!$BB206)),"")</f>
        <v>無CTA</v>
      </c>
      <c r="B206" s="160" t="str">
        <f ca="1"/>
        <v>LINK*1</v>
      </c>
      <c r="C206" s="160" t="str">
        <f ca="1"/>
        <v>LINK*2</v>
      </c>
      <c r="D206" s="160" t="str">
        <f ca="1"/>
        <v>LINK*3</v>
      </c>
      <c r="E206" s="160" t="str">
        <f ca="1"/>
        <v>LINK&gt;3</v>
      </c>
      <c r="F206" s="160" t="str">
        <f ca="1"/>
        <v>Reminder*1</v>
      </c>
      <c r="G206" s="160" t="str">
        <f ca="1"/>
        <v>Reminder*2</v>
      </c>
      <c r="H206" s="160" t="str">
        <f ca="1"/>
        <v>Reminder*3</v>
      </c>
      <c r="I206" s="160" t="str">
        <f ca="1"/>
        <v>Reminder*4</v>
      </c>
      <c r="J206" s="160" t="str">
        <f ca="1"/>
        <v>Reminder*5</v>
      </c>
      <c r="K206" s="160" t="str">
        <f ca="1"/>
        <v>Reminder&gt;5</v>
      </c>
      <c r="L206" s="160" t="str">
        <f ca="1"/>
        <v>LINK*1 + Reminder*1</v>
      </c>
      <c r="M206" s="160" t="str">
        <f ca="1"/>
        <v>LINK*1 + Reminder*2</v>
      </c>
      <c r="N206" s="160" t="str">
        <f ca="1"/>
        <v>LINK*2 + Reminder*1</v>
      </c>
      <c r="O206" s="160" t="str">
        <f ca="1"/>
        <v>Add to Cart*1</v>
      </c>
      <c r="P206" s="160" t="str">
        <f ca="1"/>
        <v>Add to Cart*2</v>
      </c>
      <c r="Q206" s="160" t="str">
        <f ca="1"/>
        <v>Add to Cart*3</v>
      </c>
      <c r="R206" s="160" t="str">
        <f ca="1"/>
        <v>(Reminder+ATC) *1</v>
      </c>
      <c r="S206" s="160" t="str">
        <f ca="1"/>
        <v>(Reminder+ATC) *2</v>
      </c>
      <c r="T206" s="160" t="str">
        <f ca="1"/>
        <v>(Reminder+ATC) *3</v>
      </c>
      <c r="U206" s="160" t="str">
        <f ca="1"/>
        <v>Popup*1</v>
      </c>
      <c r="V206" s="160" t="str">
        <f ca="1"/>
        <v>Popup*2</v>
      </c>
      <c r="W206" s="160" t="str">
        <f ca="1"/>
        <v>Popup*3</v>
      </c>
      <c r="X206" s="160" t="str">
        <f ca="1"/>
        <v>Copy*1</v>
      </c>
      <c r="Y206" s="160" t="str">
        <f ca="1"/>
        <v>Copy*2</v>
      </c>
      <c r="Z206" s="160" t="str">
        <f ca="1"/>
        <v>Copy*3</v>
      </c>
      <c r="AA206" s="160" t="str">
        <f ca="1"/>
        <v>Share*1</v>
      </c>
      <c r="AB206" s="160" t="str">
        <f ca="1"/>
        <v>Share*2</v>
      </c>
      <c r="AC206" s="160" t="str">
        <f ca="1"/>
        <v>Share*3</v>
      </c>
      <c r="AD206" s="160" t="str">
        <f ca="1"/>
        <v>Placeholders</v>
      </c>
      <c r="AE206" s="172" t="b">
        <v>1</v>
      </c>
      <c r="AF206" s="234" t="s">
        <v>234</v>
      </c>
      <c r="AG206" s="174" t="str">
        <f t="shared" si="61"/>
        <v/>
      </c>
      <c r="AH206" s="195" t="s">
        <v>822</v>
      </c>
      <c r="AI206" s="176" t="str">
        <f ca="1">IFERROR(VLOOKUP($AH206, '(勿動)Component Label公版'!$D$1:$E$1000, 2, FALSE), "-")</f>
        <v>-</v>
      </c>
      <c r="AJ206" s="561" t="s">
        <v>828</v>
      </c>
      <c r="AK206" s="174"/>
      <c r="AL206" s="174"/>
      <c r="AM206" s="189" t="str">
        <f t="shared" si="56"/>
        <v/>
      </c>
      <c r="AN206" s="190" t="str">
        <f t="shared" si="57"/>
        <v/>
      </c>
      <c r="AO206" s="560" t="s">
        <v>829</v>
      </c>
      <c r="AP206" s="384"/>
      <c r="AQ206" s="384"/>
      <c r="AR206" s="384"/>
      <c r="AS206" s="384"/>
      <c r="AT206" s="385"/>
      <c r="AU206" s="235" t="b">
        <v>1</v>
      </c>
      <c r="AV206" s="180" t="b">
        <v>0</v>
      </c>
      <c r="AW206" s="186"/>
      <c r="AX206" s="187"/>
      <c r="AY206" s="187"/>
      <c r="AZ206" s="187"/>
      <c r="BA206" s="188"/>
      <c r="BB206" s="191" t="s">
        <v>147</v>
      </c>
      <c r="BC206" s="179" t="s">
        <v>154</v>
      </c>
      <c r="BD206" s="198" t="str">
        <f t="shared" si="49"/>
        <v>圖_MSBN_無CTA</v>
      </c>
      <c r="BE206" s="199" t="str">
        <f>IFERROR(VLOOKUP($BD206,'(勿動)組件目錄表'!$D$15:$R$1110,2,FALSE),"")</f>
        <v>I-1</v>
      </c>
      <c r="BF206" s="200">
        <f>IFERROR(VLOOKUP($BD206, '(勿動)組件目錄表'!$D$15:$R$1110, 5, FALSE),"")</f>
        <v>0.5</v>
      </c>
      <c r="BG206" s="201" t="s">
        <v>830</v>
      </c>
      <c r="BH206" s="183"/>
      <c r="BI206" s="590" t="s">
        <v>831</v>
      </c>
      <c r="BJ206" s="596" t="s">
        <v>832</v>
      </c>
    </row>
    <row r="207" spans="1:62" ht="15.75" customHeight="1">
      <c r="A207" s="160" t="str">
        <f t="array" aca="1" ref="A207:G207" ca="1">IFERROR(TRANSPOSE(INDIRECT(L1_暖正版配!$BB207)),"")</f>
        <v>一排1品(垂直展示)</v>
      </c>
      <c r="B207" s="160" t="str">
        <f ca="1"/>
        <v>一排2品(垂直展示)</v>
      </c>
      <c r="C207" s="160" t="str">
        <f ca="1"/>
        <v>一排3品(垂直展示)</v>
      </c>
      <c r="D207" s="160" t="str">
        <f ca="1"/>
        <v>Collection 1條(水平展示)</v>
      </c>
      <c r="E207" s="160" t="str">
        <f ca="1"/>
        <v>Collection 1條(水平展示) + 查看全部(Footer)</v>
      </c>
      <c r="F207" s="160" t="str">
        <f ca="1"/>
        <v>Multi tabs</v>
      </c>
      <c r="G207" s="160" t="str">
        <f ca="1"/>
        <v>推薦品 Item Recommendation-固定</v>
      </c>
      <c r="H207" s="160"/>
      <c r="I207" s="160"/>
      <c r="J207" s="160"/>
      <c r="K207" s="160"/>
      <c r="L207" s="160"/>
      <c r="M207" s="160"/>
      <c r="N207" s="160"/>
      <c r="O207" s="160"/>
      <c r="P207" s="160"/>
      <c r="Q207" s="160"/>
      <c r="R207" s="160"/>
      <c r="S207" s="160"/>
      <c r="T207" s="160"/>
      <c r="U207" s="160"/>
      <c r="V207" s="160"/>
      <c r="W207" s="160"/>
      <c r="X207" s="160"/>
      <c r="Y207" s="160"/>
      <c r="Z207" s="160"/>
      <c r="AA207" s="160"/>
      <c r="AB207" s="160"/>
      <c r="AC207" s="160"/>
      <c r="AD207" s="160"/>
      <c r="AE207" s="172" t="b">
        <v>0</v>
      </c>
      <c r="AF207" s="173" t="str">
        <f>IF(AE207=TRUE,"若有勾選則必填，隱藏錨點請填寫&lt;設隱形錨點&gt;","")</f>
        <v/>
      </c>
      <c r="AG207" s="174" t="str">
        <f t="shared" si="61"/>
        <v/>
      </c>
      <c r="AH207" s="195" t="s">
        <v>822</v>
      </c>
      <c r="AI207" s="176" t="str">
        <f ca="1">IFERROR(VLOOKUP($AH207, '(勿動)Component Label公版'!$D$1:$E$1000, 2, FALSE), "-")</f>
        <v>-</v>
      </c>
      <c r="AJ207" s="562"/>
      <c r="AK207" s="174"/>
      <c r="AL207" s="174"/>
      <c r="AM207" s="189" t="str">
        <f t="shared" si="56"/>
        <v/>
      </c>
      <c r="AN207" s="190" t="str">
        <f t="shared" si="57"/>
        <v/>
      </c>
      <c r="AO207" s="541" t="s">
        <v>833</v>
      </c>
      <c r="AP207" s="384"/>
      <c r="AQ207" s="384"/>
      <c r="AR207" s="384"/>
      <c r="AS207" s="384"/>
      <c r="AT207" s="385"/>
      <c r="AU207" s="180" t="b">
        <v>0</v>
      </c>
      <c r="AV207" s="180" t="b">
        <v>0</v>
      </c>
      <c r="AW207" s="186"/>
      <c r="AX207" s="187"/>
      <c r="AY207" s="187"/>
      <c r="AZ207" s="187"/>
      <c r="BA207" s="188"/>
      <c r="BB207" s="191" t="s">
        <v>264</v>
      </c>
      <c r="BC207" s="179" t="s">
        <v>257</v>
      </c>
      <c r="BD207" s="198" t="str">
        <f t="shared" si="49"/>
        <v>品_Collection 1條(水平展示)</v>
      </c>
      <c r="BE207" s="199" t="str">
        <f>IFERROR(VLOOKUP($BD207,'(勿動)組件目錄表'!$D$15:$R$1110,2,FALSE),"")</f>
        <v>G-4</v>
      </c>
      <c r="BF207" s="250">
        <f>IFERROR(VLOOKUP($BD207, '(勿動)組件目錄表'!$D$15:$R$1110, 5, FALSE),"")</f>
        <v>0.5</v>
      </c>
      <c r="BG207" s="186"/>
      <c r="BH207" s="183"/>
      <c r="BI207" s="587"/>
      <c r="BJ207" s="584"/>
    </row>
    <row r="208" spans="1:62" ht="15.75" customHeight="1">
      <c r="A208" s="160" t="str">
        <f t="array" aca="1" ref="A208:AD208" ca="1">IFERROR(TRANSPOSE(INDIRECT(L1_暖正版配!$BB208)),"")</f>
        <v>無CTA</v>
      </c>
      <c r="B208" s="160" t="str">
        <f ca="1"/>
        <v>LINK*1</v>
      </c>
      <c r="C208" s="160" t="str">
        <f ca="1"/>
        <v>LINK*2</v>
      </c>
      <c r="D208" s="160" t="str">
        <f ca="1"/>
        <v>LINK*3</v>
      </c>
      <c r="E208" s="160" t="str">
        <f ca="1"/>
        <v>LINK&gt;3</v>
      </c>
      <c r="F208" s="160" t="str">
        <f ca="1"/>
        <v>Reminder*1</v>
      </c>
      <c r="G208" s="160" t="str">
        <f ca="1"/>
        <v>Reminder*2</v>
      </c>
      <c r="H208" s="160" t="str">
        <f ca="1"/>
        <v>Reminder*3</v>
      </c>
      <c r="I208" s="160" t="str">
        <f ca="1"/>
        <v>Reminder*4</v>
      </c>
      <c r="J208" s="160" t="str">
        <f ca="1"/>
        <v>Reminder*5</v>
      </c>
      <c r="K208" s="160" t="str">
        <f ca="1"/>
        <v>Reminder&gt;5</v>
      </c>
      <c r="L208" s="160" t="str">
        <f ca="1"/>
        <v>LINK*1 + Reminder*1</v>
      </c>
      <c r="M208" s="160" t="str">
        <f ca="1"/>
        <v>LINK*1 + Reminder*2</v>
      </c>
      <c r="N208" s="160" t="str">
        <f ca="1"/>
        <v>LINK*2 + Reminder*1</v>
      </c>
      <c r="O208" s="160" t="str">
        <f ca="1"/>
        <v>Add to Cart*1</v>
      </c>
      <c r="P208" s="160" t="str">
        <f ca="1"/>
        <v>Add to Cart*2</v>
      </c>
      <c r="Q208" s="160" t="str">
        <f ca="1"/>
        <v>Add to Cart*3</v>
      </c>
      <c r="R208" s="160" t="str">
        <f ca="1"/>
        <v>(Reminder+ATC) *1</v>
      </c>
      <c r="S208" s="160" t="str">
        <f ca="1"/>
        <v>(Reminder+ATC) *2</v>
      </c>
      <c r="T208" s="160" t="str">
        <f ca="1"/>
        <v>(Reminder+ATC) *3</v>
      </c>
      <c r="U208" s="160" t="str">
        <f ca="1"/>
        <v>Popup*1</v>
      </c>
      <c r="V208" s="160" t="str">
        <f ca="1"/>
        <v>Popup*2</v>
      </c>
      <c r="W208" s="160" t="str">
        <f ca="1"/>
        <v>Popup*3</v>
      </c>
      <c r="X208" s="160" t="str">
        <f ca="1"/>
        <v>Copy*1</v>
      </c>
      <c r="Y208" s="160" t="str">
        <f ca="1"/>
        <v>Copy*2</v>
      </c>
      <c r="Z208" s="160" t="str">
        <f ca="1"/>
        <v>Copy*3</v>
      </c>
      <c r="AA208" s="160" t="str">
        <f ca="1"/>
        <v>Share*1</v>
      </c>
      <c r="AB208" s="160" t="str">
        <f ca="1"/>
        <v>Share*2</v>
      </c>
      <c r="AC208" s="160" t="str">
        <f ca="1"/>
        <v>Share*3</v>
      </c>
      <c r="AD208" s="160" t="str">
        <f ca="1"/>
        <v>Placeholders</v>
      </c>
      <c r="AE208" s="172" t="b">
        <v>0</v>
      </c>
      <c r="AF208" s="173"/>
      <c r="AG208" s="174" t="str">
        <f t="shared" si="61"/>
        <v/>
      </c>
      <c r="AH208" s="195" t="s">
        <v>822</v>
      </c>
      <c r="AI208" s="176" t="str">
        <f ca="1">IFERROR(VLOOKUP($AH208, '(勿動)Component Label公版'!$D$1:$E$1000, 2, FALSE), "-")</f>
        <v>-</v>
      </c>
      <c r="AJ208" s="177"/>
      <c r="AK208" s="174"/>
      <c r="AL208" s="174"/>
      <c r="AM208" s="189" t="str">
        <f t="shared" si="56"/>
        <v/>
      </c>
      <c r="AN208" s="190" t="str">
        <f t="shared" si="57"/>
        <v/>
      </c>
      <c r="AO208" s="560" t="s">
        <v>834</v>
      </c>
      <c r="AP208" s="384"/>
      <c r="AQ208" s="384"/>
      <c r="AR208" s="384"/>
      <c r="AS208" s="384"/>
      <c r="AT208" s="385"/>
      <c r="AU208" s="235" t="b">
        <v>1</v>
      </c>
      <c r="AV208" s="180" t="b">
        <v>0</v>
      </c>
      <c r="AW208" s="186"/>
      <c r="AX208" s="187"/>
      <c r="AY208" s="187"/>
      <c r="AZ208" s="187"/>
      <c r="BA208" s="188"/>
      <c r="BB208" s="191" t="s">
        <v>147</v>
      </c>
      <c r="BC208" s="179" t="s">
        <v>154</v>
      </c>
      <c r="BD208" s="198" t="str">
        <f t="shared" si="49"/>
        <v>圖_MSBN_無CTA</v>
      </c>
      <c r="BE208" s="199" t="str">
        <f>IFERROR(VLOOKUP($BD208,'(勿動)組件目錄表'!$D$15:$R$1110,2,FALSE),"")</f>
        <v>I-1</v>
      </c>
      <c r="BF208" s="200">
        <f>IFERROR(VLOOKUP($BD208, '(勿動)組件目錄表'!$D$15:$R$1110, 5, FALSE),"")</f>
        <v>0.5</v>
      </c>
      <c r="BG208" s="201" t="s">
        <v>835</v>
      </c>
      <c r="BH208" s="183"/>
      <c r="BI208" s="181"/>
      <c r="BJ208" s="183"/>
    </row>
    <row r="209" spans="1:62" ht="15.75" customHeight="1">
      <c r="A209" s="160" t="str">
        <f t="array" aca="1" ref="A209:G209" ca="1">IFERROR(TRANSPOSE(INDIRECT(L1_暖正版配!$BB209)),"")</f>
        <v>一排1品(垂直展示)</v>
      </c>
      <c r="B209" s="160" t="str">
        <f ca="1"/>
        <v>一排2品(垂直展示)</v>
      </c>
      <c r="C209" s="160" t="str">
        <f ca="1"/>
        <v>一排3品(垂直展示)</v>
      </c>
      <c r="D209" s="160" t="str">
        <f ca="1"/>
        <v>Collection 1條(水平展示)</v>
      </c>
      <c r="E209" s="160" t="str">
        <f ca="1"/>
        <v>Collection 1條(水平展示) + 查看全部(Footer)</v>
      </c>
      <c r="F209" s="160" t="str">
        <f ca="1"/>
        <v>Multi tabs</v>
      </c>
      <c r="G209" s="160" t="str">
        <f ca="1"/>
        <v>推薦品 Item Recommendation-固定</v>
      </c>
      <c r="H209" s="160"/>
      <c r="I209" s="160"/>
      <c r="J209" s="160"/>
      <c r="K209" s="160"/>
      <c r="L209" s="160"/>
      <c r="M209" s="160"/>
      <c r="N209" s="160"/>
      <c r="O209" s="160"/>
      <c r="P209" s="160"/>
      <c r="Q209" s="160"/>
      <c r="R209" s="160"/>
      <c r="S209" s="160"/>
      <c r="T209" s="160"/>
      <c r="U209" s="160"/>
      <c r="V209" s="160"/>
      <c r="W209" s="160"/>
      <c r="X209" s="160"/>
      <c r="Y209" s="160"/>
      <c r="Z209" s="160"/>
      <c r="AA209" s="160"/>
      <c r="AB209" s="160"/>
      <c r="AC209" s="160"/>
      <c r="AD209" s="160"/>
      <c r="AE209" s="172" t="b">
        <v>0</v>
      </c>
      <c r="AF209" s="173" t="str">
        <f t="shared" ref="AF209:AF210" si="66">IF(AE209=TRUE,"若有勾選則必填，隱藏錨點請填寫&lt;設隱形錨點&gt;","")</f>
        <v/>
      </c>
      <c r="AG209" s="174" t="str">
        <f t="shared" si="61"/>
        <v/>
      </c>
      <c r="AH209" s="195" t="s">
        <v>822</v>
      </c>
      <c r="AI209" s="176" t="str">
        <f ca="1">IFERROR(VLOOKUP($AH209, '(勿動)Component Label公版'!$D$1:$E$1000, 2, FALSE), "-")</f>
        <v>-</v>
      </c>
      <c r="AJ209" s="177"/>
      <c r="AK209" s="174"/>
      <c r="AL209" s="174"/>
      <c r="AM209" s="189" t="str">
        <f t="shared" si="56"/>
        <v/>
      </c>
      <c r="AN209" s="190" t="str">
        <f t="shared" si="57"/>
        <v/>
      </c>
      <c r="AO209" s="205" t="s">
        <v>836</v>
      </c>
      <c r="AP209" s="205" t="s">
        <v>837</v>
      </c>
      <c r="AQ209" s="563"/>
      <c r="AR209" s="399"/>
      <c r="AS209" s="399"/>
      <c r="AT209" s="422"/>
      <c r="AU209" s="180" t="b">
        <v>0</v>
      </c>
      <c r="AV209" s="180" t="b">
        <v>0</v>
      </c>
      <c r="AW209" s="186"/>
      <c r="AX209" s="187"/>
      <c r="AY209" s="187"/>
      <c r="AZ209" s="187"/>
      <c r="BA209" s="188"/>
      <c r="BB209" s="191" t="s">
        <v>264</v>
      </c>
      <c r="BC209" s="179" t="s">
        <v>259</v>
      </c>
      <c r="BD209" s="198" t="str">
        <f t="shared" si="49"/>
        <v>品_Multi tabs</v>
      </c>
      <c r="BE209" s="199" t="str">
        <f>IFERROR(VLOOKUP($BD209,'(勿動)組件目錄表'!$D$15:$R$1110,2,FALSE),"")</f>
        <v>G-7</v>
      </c>
      <c r="BF209" s="200">
        <f>IFERROR(VLOOKUP($BD209, '(勿動)組件目錄表'!$D$15:$R$1110, 5, FALSE),"")</f>
        <v>1</v>
      </c>
      <c r="BG209" s="181"/>
      <c r="BH209" s="183"/>
      <c r="BI209" s="181"/>
      <c r="BJ209" s="183"/>
    </row>
    <row r="210" spans="1:62" ht="15.75" customHeight="1">
      <c r="A210" s="160" t="str">
        <f t="array" aca="1" ref="A210:G210" ca="1">IFERROR(TRANSPOSE(INDIRECT(L1_暖正版配!$BB210)),"")</f>
        <v>一排1品(垂直展示)</v>
      </c>
      <c r="B210" s="160" t="str">
        <f ca="1"/>
        <v>一排2品(垂直展示)</v>
      </c>
      <c r="C210" s="160" t="str">
        <f ca="1"/>
        <v>一排3品(垂直展示)</v>
      </c>
      <c r="D210" s="160" t="str">
        <f ca="1"/>
        <v>Collection 1條(水平展示)</v>
      </c>
      <c r="E210" s="160" t="str">
        <f ca="1"/>
        <v>Collection 1條(水平展示) + 查看全部(Footer)</v>
      </c>
      <c r="F210" s="160" t="str">
        <f ca="1"/>
        <v>Multi tabs</v>
      </c>
      <c r="G210" s="160" t="str">
        <f ca="1"/>
        <v>推薦品 Item Recommendation-固定</v>
      </c>
      <c r="H210" s="160"/>
      <c r="I210" s="160"/>
      <c r="J210" s="160"/>
      <c r="K210" s="160"/>
      <c r="L210" s="160"/>
      <c r="M210" s="160"/>
      <c r="N210" s="160"/>
      <c r="O210" s="160"/>
      <c r="P210" s="160"/>
      <c r="Q210" s="160"/>
      <c r="R210" s="160"/>
      <c r="S210" s="160"/>
      <c r="T210" s="160"/>
      <c r="U210" s="160"/>
      <c r="V210" s="160"/>
      <c r="W210" s="160"/>
      <c r="X210" s="160"/>
      <c r="Y210" s="160"/>
      <c r="Z210" s="160"/>
      <c r="AA210" s="160"/>
      <c r="AB210" s="160"/>
      <c r="AC210" s="160"/>
      <c r="AD210" s="160"/>
      <c r="AE210" s="172" t="b">
        <v>0</v>
      </c>
      <c r="AF210" s="173" t="str">
        <f t="shared" si="66"/>
        <v/>
      </c>
      <c r="AG210" s="174" t="str">
        <f t="shared" si="61"/>
        <v/>
      </c>
      <c r="AH210" s="195" t="s">
        <v>822</v>
      </c>
      <c r="AI210" s="176" t="str">
        <f ca="1">IFERROR(VLOOKUP($AH210, '(勿動)Component Label公版'!$D$1:$E$1000, 2, FALSE), "-")</f>
        <v>-</v>
      </c>
      <c r="AJ210" s="177"/>
      <c r="AK210" s="174"/>
      <c r="AL210" s="174"/>
      <c r="AM210" s="189" t="str">
        <f t="shared" si="56"/>
        <v/>
      </c>
      <c r="AN210" s="190" t="str">
        <f t="shared" si="57"/>
        <v/>
      </c>
      <c r="AO210" s="205">
        <v>4539552</v>
      </c>
      <c r="AP210" s="205">
        <v>4508448</v>
      </c>
      <c r="AQ210" s="400"/>
      <c r="AR210" s="401"/>
      <c r="AS210" s="401"/>
      <c r="AT210" s="424"/>
      <c r="AU210" s="180" t="b">
        <v>0</v>
      </c>
      <c r="AV210" s="180" t="b">
        <v>0</v>
      </c>
      <c r="AW210" s="186"/>
      <c r="AX210" s="187"/>
      <c r="AY210" s="187"/>
      <c r="AZ210" s="187"/>
      <c r="BA210" s="188"/>
      <c r="BB210" s="191" t="s">
        <v>264</v>
      </c>
      <c r="BC210" s="179" t="s">
        <v>259</v>
      </c>
      <c r="BD210" s="198" t="str">
        <f t="shared" si="49"/>
        <v>品_Multi tabs</v>
      </c>
      <c r="BE210" s="199" t="str">
        <f>IFERROR(VLOOKUP($BD210,'(勿動)組件目錄表'!$D$15:$R$1110,2,FALSE),"")</f>
        <v>G-7</v>
      </c>
      <c r="BF210" s="200">
        <f>IFERROR(VLOOKUP($BD210, '(勿動)組件目錄表'!$D$15:$R$1110, 5, FALSE),"")</f>
        <v>1</v>
      </c>
      <c r="BG210" s="181"/>
      <c r="BH210" s="183"/>
      <c r="BI210" s="181"/>
      <c r="BJ210" s="183"/>
    </row>
    <row r="211" spans="1:62" ht="15.75" customHeight="1">
      <c r="A211" s="160" t="str">
        <f t="array" aca="1" ref="A211:AD211" ca="1">IFERROR(TRANSPOSE(INDIRECT(L1_暖正版配!$BB211)),"")</f>
        <v>無CTA</v>
      </c>
      <c r="B211" s="160" t="str">
        <f ca="1"/>
        <v>LINK*1</v>
      </c>
      <c r="C211" s="160" t="str">
        <f ca="1"/>
        <v>LINK*2</v>
      </c>
      <c r="D211" s="160" t="str">
        <f ca="1"/>
        <v>LINK*3</v>
      </c>
      <c r="E211" s="160" t="str">
        <f ca="1"/>
        <v>LINK&gt;3</v>
      </c>
      <c r="F211" s="160" t="str">
        <f ca="1"/>
        <v>Reminder*1</v>
      </c>
      <c r="G211" s="160" t="str">
        <f ca="1"/>
        <v>Reminder*2</v>
      </c>
      <c r="H211" s="160" t="str">
        <f ca="1"/>
        <v>Reminder*3</v>
      </c>
      <c r="I211" s="160" t="str">
        <f ca="1"/>
        <v>Reminder*4</v>
      </c>
      <c r="J211" s="160" t="str">
        <f ca="1"/>
        <v>Reminder*5</v>
      </c>
      <c r="K211" s="160" t="str">
        <f ca="1"/>
        <v>Reminder&gt;5</v>
      </c>
      <c r="L211" s="160" t="str">
        <f ca="1"/>
        <v>LINK*1 + Reminder*1</v>
      </c>
      <c r="M211" s="160" t="str">
        <f ca="1"/>
        <v>LINK*1 + Reminder*2</v>
      </c>
      <c r="N211" s="160" t="str">
        <f ca="1"/>
        <v>LINK*2 + Reminder*1</v>
      </c>
      <c r="O211" s="160" t="str">
        <f ca="1"/>
        <v>Add to Cart*1</v>
      </c>
      <c r="P211" s="160" t="str">
        <f ca="1"/>
        <v>Add to Cart*2</v>
      </c>
      <c r="Q211" s="160" t="str">
        <f ca="1"/>
        <v>Add to Cart*3</v>
      </c>
      <c r="R211" s="160" t="str">
        <f ca="1"/>
        <v>(Reminder+ATC) *1</v>
      </c>
      <c r="S211" s="160" t="str">
        <f ca="1"/>
        <v>(Reminder+ATC) *2</v>
      </c>
      <c r="T211" s="160" t="str">
        <f ca="1"/>
        <v>(Reminder+ATC) *3</v>
      </c>
      <c r="U211" s="160" t="str">
        <f ca="1"/>
        <v>Popup*1</v>
      </c>
      <c r="V211" s="160" t="str">
        <f ca="1"/>
        <v>Popup*2</v>
      </c>
      <c r="W211" s="160" t="str">
        <f ca="1"/>
        <v>Popup*3</v>
      </c>
      <c r="X211" s="160" t="str">
        <f ca="1"/>
        <v>Copy*1</v>
      </c>
      <c r="Y211" s="160" t="str">
        <f ca="1"/>
        <v>Copy*2</v>
      </c>
      <c r="Z211" s="160" t="str">
        <f ca="1"/>
        <v>Copy*3</v>
      </c>
      <c r="AA211" s="160" t="str">
        <f ca="1"/>
        <v>Share*1</v>
      </c>
      <c r="AB211" s="160" t="str">
        <f ca="1"/>
        <v>Share*2</v>
      </c>
      <c r="AC211" s="160" t="str">
        <f ca="1"/>
        <v>Share*3</v>
      </c>
      <c r="AD211" s="160" t="str">
        <f ca="1"/>
        <v>Placeholders</v>
      </c>
      <c r="AE211" s="172" t="b">
        <v>0</v>
      </c>
      <c r="AF211" s="173"/>
      <c r="AG211" s="174" t="str">
        <f t="shared" si="61"/>
        <v/>
      </c>
      <c r="AH211" s="195" t="s">
        <v>822</v>
      </c>
      <c r="AI211" s="176" t="str">
        <f ca="1">IFERROR(VLOOKUP($AH211, '(勿動)Component Label公版'!$D$1:$E$1000, 2, FALSE), "-")</f>
        <v>-</v>
      </c>
      <c r="AJ211" s="177"/>
      <c r="AK211" s="174"/>
      <c r="AL211" s="174"/>
      <c r="AM211" s="189" t="str">
        <f t="shared" si="56"/>
        <v/>
      </c>
      <c r="AN211" s="190" t="str">
        <f t="shared" si="57"/>
        <v/>
      </c>
      <c r="AO211" s="560" t="s">
        <v>838</v>
      </c>
      <c r="AP211" s="384"/>
      <c r="AQ211" s="384"/>
      <c r="AR211" s="384"/>
      <c r="AS211" s="384"/>
      <c r="AT211" s="385"/>
      <c r="AU211" s="235" t="b">
        <v>1</v>
      </c>
      <c r="AV211" s="180" t="b">
        <v>0</v>
      </c>
      <c r="AW211" s="186"/>
      <c r="AX211" s="187"/>
      <c r="AY211" s="187"/>
      <c r="AZ211" s="187"/>
      <c r="BA211" s="188"/>
      <c r="BB211" s="191" t="s">
        <v>147</v>
      </c>
      <c r="BC211" s="179" t="s">
        <v>154</v>
      </c>
      <c r="BD211" s="198" t="str">
        <f t="shared" si="49"/>
        <v>圖_MSBN_無CTA</v>
      </c>
      <c r="BE211" s="199" t="str">
        <f>IFERROR(VLOOKUP($BD211,'(勿動)組件目錄表'!$D$15:$R$1110,2,FALSE),"")</f>
        <v>I-1</v>
      </c>
      <c r="BF211" s="200">
        <f>IFERROR(VLOOKUP($BD211, '(勿動)組件目錄表'!$D$15:$R$1110, 5, FALSE),"")</f>
        <v>0.5</v>
      </c>
      <c r="BG211" s="201" t="s">
        <v>839</v>
      </c>
      <c r="BH211" s="183"/>
      <c r="BI211" s="181"/>
      <c r="BJ211" s="183"/>
    </row>
    <row r="212" spans="1:62" ht="15.75" customHeight="1">
      <c r="A212" s="160" t="str">
        <f t="array" aca="1" ref="A212:G212" ca="1">IFERROR(TRANSPOSE(INDIRECT(L1_暖正版配!$BB212)),"")</f>
        <v>一排1品(垂直展示)</v>
      </c>
      <c r="B212" s="160" t="str">
        <f ca="1"/>
        <v>一排2品(垂直展示)</v>
      </c>
      <c r="C212" s="160" t="str">
        <f ca="1"/>
        <v>一排3品(垂直展示)</v>
      </c>
      <c r="D212" s="160" t="str">
        <f ca="1"/>
        <v>Collection 1條(水平展示)</v>
      </c>
      <c r="E212" s="160" t="str">
        <f ca="1"/>
        <v>Collection 1條(水平展示) + 查看全部(Footer)</v>
      </c>
      <c r="F212" s="160" t="str">
        <f ca="1"/>
        <v>Multi tabs</v>
      </c>
      <c r="G212" s="160" t="str">
        <f ca="1"/>
        <v>推薦品 Item Recommendation-固定</v>
      </c>
      <c r="H212" s="160"/>
      <c r="I212" s="160"/>
      <c r="J212" s="160"/>
      <c r="K212" s="160"/>
      <c r="L212" s="160"/>
      <c r="M212" s="160"/>
      <c r="N212" s="160"/>
      <c r="O212" s="160"/>
      <c r="P212" s="160"/>
      <c r="Q212" s="160"/>
      <c r="R212" s="160"/>
      <c r="S212" s="160"/>
      <c r="T212" s="160"/>
      <c r="U212" s="160"/>
      <c r="V212" s="160"/>
      <c r="W212" s="160"/>
      <c r="X212" s="160"/>
      <c r="Y212" s="160"/>
      <c r="Z212" s="160"/>
      <c r="AA212" s="160"/>
      <c r="AB212" s="160"/>
      <c r="AC212" s="160"/>
      <c r="AD212" s="160"/>
      <c r="AE212" s="172" t="b">
        <v>0</v>
      </c>
      <c r="AF212" s="173" t="str">
        <f t="shared" ref="AF212:AF213" si="67">IF(AE212=TRUE,"若有勾選則必填，隱藏錨點請填寫&lt;設隱形錨點&gt;","")</f>
        <v/>
      </c>
      <c r="AG212" s="174" t="str">
        <f t="shared" si="61"/>
        <v/>
      </c>
      <c r="AH212" s="195" t="s">
        <v>822</v>
      </c>
      <c r="AI212" s="176" t="str">
        <f ca="1">IFERROR(VLOOKUP($AH212, '(勿動)Component Label公版'!$D$1:$E$1000, 2, FALSE), "-")</f>
        <v>-</v>
      </c>
      <c r="AJ212" s="177"/>
      <c r="AK212" s="174"/>
      <c r="AL212" s="174"/>
      <c r="AM212" s="189" t="str">
        <f t="shared" si="56"/>
        <v/>
      </c>
      <c r="AN212" s="190" t="str">
        <f t="shared" si="57"/>
        <v/>
      </c>
      <c r="AO212" s="205" t="s">
        <v>840</v>
      </c>
      <c r="AP212" s="205" t="s">
        <v>841</v>
      </c>
      <c r="AQ212" s="205" t="s">
        <v>842</v>
      </c>
      <c r="AR212" s="205" t="s">
        <v>843</v>
      </c>
      <c r="AS212" s="563"/>
      <c r="AT212" s="422"/>
      <c r="AU212" s="180" t="b">
        <v>0</v>
      </c>
      <c r="AV212" s="180" t="b">
        <v>0</v>
      </c>
      <c r="AW212" s="186"/>
      <c r="AX212" s="187"/>
      <c r="AY212" s="187"/>
      <c r="AZ212" s="187"/>
      <c r="BA212" s="188"/>
      <c r="BB212" s="191" t="s">
        <v>264</v>
      </c>
      <c r="BC212" s="179" t="s">
        <v>259</v>
      </c>
      <c r="BD212" s="198" t="str">
        <f t="shared" si="49"/>
        <v>品_Multi tabs</v>
      </c>
      <c r="BE212" s="199" t="str">
        <f>IFERROR(VLOOKUP($BD212,'(勿動)組件目錄表'!$D$15:$R$1110,2,FALSE),"")</f>
        <v>G-7</v>
      </c>
      <c r="BF212" s="200">
        <f>IFERROR(VLOOKUP($BD212, '(勿動)組件目錄表'!$D$15:$R$1110, 5, FALSE),"")</f>
        <v>1</v>
      </c>
      <c r="BG212" s="181"/>
      <c r="BH212" s="183"/>
      <c r="BI212" s="181"/>
      <c r="BJ212" s="183"/>
    </row>
    <row r="213" spans="1:62" ht="15.75" customHeight="1">
      <c r="A213" s="160" t="str">
        <f t="array" aca="1" ref="A213:G213" ca="1">IFERROR(TRANSPOSE(INDIRECT(L1_暖正版配!$BB213)),"")</f>
        <v>一排1品(垂直展示)</v>
      </c>
      <c r="B213" s="160" t="str">
        <f ca="1"/>
        <v>一排2品(垂直展示)</v>
      </c>
      <c r="C213" s="160" t="str">
        <f ca="1"/>
        <v>一排3品(垂直展示)</v>
      </c>
      <c r="D213" s="160" t="str">
        <f ca="1"/>
        <v>Collection 1條(水平展示)</v>
      </c>
      <c r="E213" s="160" t="str">
        <f ca="1"/>
        <v>Collection 1條(水平展示) + 查看全部(Footer)</v>
      </c>
      <c r="F213" s="160" t="str">
        <f ca="1"/>
        <v>Multi tabs</v>
      </c>
      <c r="G213" s="160" t="str">
        <f ca="1"/>
        <v>推薦品 Item Recommendation-固定</v>
      </c>
      <c r="H213" s="160"/>
      <c r="I213" s="160"/>
      <c r="J213" s="160"/>
      <c r="K213" s="160"/>
      <c r="L213" s="160"/>
      <c r="M213" s="160"/>
      <c r="N213" s="160"/>
      <c r="O213" s="160"/>
      <c r="P213" s="160"/>
      <c r="Q213" s="160"/>
      <c r="R213" s="160"/>
      <c r="S213" s="160"/>
      <c r="T213" s="160"/>
      <c r="U213" s="160"/>
      <c r="V213" s="160"/>
      <c r="W213" s="160"/>
      <c r="X213" s="160"/>
      <c r="Y213" s="160"/>
      <c r="Z213" s="160"/>
      <c r="AA213" s="160"/>
      <c r="AB213" s="160"/>
      <c r="AC213" s="160"/>
      <c r="AD213" s="160"/>
      <c r="AE213" s="172" t="b">
        <v>0</v>
      </c>
      <c r="AF213" s="173" t="str">
        <f t="shared" si="67"/>
        <v/>
      </c>
      <c r="AG213" s="174" t="str">
        <f t="shared" si="61"/>
        <v/>
      </c>
      <c r="AH213" s="195" t="s">
        <v>822</v>
      </c>
      <c r="AI213" s="176" t="str">
        <f ca="1">IFERROR(VLOOKUP($AH213, '(勿動)Component Label公版'!$D$1:$E$1000, 2, FALSE), "-")</f>
        <v>-</v>
      </c>
      <c r="AJ213" s="177"/>
      <c r="AK213" s="174"/>
      <c r="AL213" s="174"/>
      <c r="AM213" s="189" t="str">
        <f t="shared" si="56"/>
        <v/>
      </c>
      <c r="AN213" s="190" t="str">
        <f t="shared" si="57"/>
        <v/>
      </c>
      <c r="AO213" s="205">
        <v>3847426</v>
      </c>
      <c r="AP213" s="205">
        <v>3847594</v>
      </c>
      <c r="AQ213" s="205">
        <v>3847598</v>
      </c>
      <c r="AR213" s="205">
        <v>3847600</v>
      </c>
      <c r="AS213" s="400"/>
      <c r="AT213" s="424"/>
      <c r="AU213" s="180" t="b">
        <v>0</v>
      </c>
      <c r="AV213" s="180" t="b">
        <v>0</v>
      </c>
      <c r="AW213" s="186"/>
      <c r="AX213" s="187"/>
      <c r="AY213" s="187"/>
      <c r="AZ213" s="187"/>
      <c r="BA213" s="188"/>
      <c r="BB213" s="191" t="s">
        <v>264</v>
      </c>
      <c r="BC213" s="179" t="s">
        <v>259</v>
      </c>
      <c r="BD213" s="198" t="str">
        <f t="shared" si="49"/>
        <v>品_Multi tabs</v>
      </c>
      <c r="BE213" s="199" t="str">
        <f>IFERROR(VLOOKUP($BD213,'(勿動)組件目錄表'!$D$15:$R$1110,2,FALSE),"")</f>
        <v>G-7</v>
      </c>
      <c r="BF213" s="200">
        <f>IFERROR(VLOOKUP($BD213, '(勿動)組件目錄表'!$D$15:$R$1110, 5, FALSE),"")</f>
        <v>1</v>
      </c>
      <c r="BG213" s="181"/>
      <c r="BH213" s="183"/>
      <c r="BI213" s="181"/>
      <c r="BJ213" s="183"/>
    </row>
    <row r="214" spans="1:62" ht="15.75" customHeight="1">
      <c r="A214" s="160" t="str">
        <f t="array" aca="1" ref="A214:AD214" ca="1">IFERROR(TRANSPOSE(INDIRECT(L1_暖正版配!$BB214)),"")</f>
        <v>無CTA</v>
      </c>
      <c r="B214" s="160" t="str">
        <f ca="1"/>
        <v>LINK*1</v>
      </c>
      <c r="C214" s="160" t="str">
        <f ca="1"/>
        <v>LINK*2</v>
      </c>
      <c r="D214" s="160" t="str">
        <f ca="1"/>
        <v>LINK*3</v>
      </c>
      <c r="E214" s="160" t="str">
        <f ca="1"/>
        <v>LINK&gt;3</v>
      </c>
      <c r="F214" s="160" t="str">
        <f ca="1"/>
        <v>Reminder*1</v>
      </c>
      <c r="G214" s="160" t="str">
        <f ca="1"/>
        <v>Reminder*2</v>
      </c>
      <c r="H214" s="160" t="str">
        <f ca="1"/>
        <v>Reminder*3</v>
      </c>
      <c r="I214" s="160" t="str">
        <f ca="1"/>
        <v>Reminder*4</v>
      </c>
      <c r="J214" s="160" t="str">
        <f ca="1"/>
        <v>Reminder*5</v>
      </c>
      <c r="K214" s="160" t="str">
        <f ca="1"/>
        <v>Reminder&gt;5</v>
      </c>
      <c r="L214" s="160" t="str">
        <f ca="1"/>
        <v>LINK*1 + Reminder*1</v>
      </c>
      <c r="M214" s="160" t="str">
        <f ca="1"/>
        <v>LINK*1 + Reminder*2</v>
      </c>
      <c r="N214" s="160" t="str">
        <f ca="1"/>
        <v>LINK*2 + Reminder*1</v>
      </c>
      <c r="O214" s="160" t="str">
        <f ca="1"/>
        <v>Add to Cart*1</v>
      </c>
      <c r="P214" s="160" t="str">
        <f ca="1"/>
        <v>Add to Cart*2</v>
      </c>
      <c r="Q214" s="160" t="str">
        <f ca="1"/>
        <v>Add to Cart*3</v>
      </c>
      <c r="R214" s="160" t="str">
        <f ca="1"/>
        <v>(Reminder+ATC) *1</v>
      </c>
      <c r="S214" s="160" t="str">
        <f ca="1"/>
        <v>(Reminder+ATC) *2</v>
      </c>
      <c r="T214" s="160" t="str">
        <f ca="1"/>
        <v>(Reminder+ATC) *3</v>
      </c>
      <c r="U214" s="160" t="str">
        <f ca="1"/>
        <v>Popup*1</v>
      </c>
      <c r="V214" s="160" t="str">
        <f ca="1"/>
        <v>Popup*2</v>
      </c>
      <c r="W214" s="160" t="str">
        <f ca="1"/>
        <v>Popup*3</v>
      </c>
      <c r="X214" s="160" t="str">
        <f ca="1"/>
        <v>Copy*1</v>
      </c>
      <c r="Y214" s="160" t="str">
        <f ca="1"/>
        <v>Copy*2</v>
      </c>
      <c r="Z214" s="160" t="str">
        <f ca="1"/>
        <v>Copy*3</v>
      </c>
      <c r="AA214" s="160" t="str">
        <f ca="1"/>
        <v>Share*1</v>
      </c>
      <c r="AB214" s="160" t="str">
        <f ca="1"/>
        <v>Share*2</v>
      </c>
      <c r="AC214" s="160" t="str">
        <f ca="1"/>
        <v>Share*3</v>
      </c>
      <c r="AD214" s="160" t="str">
        <f ca="1"/>
        <v>Placeholders</v>
      </c>
      <c r="AE214" s="172" t="b">
        <v>0</v>
      </c>
      <c r="AF214" s="173"/>
      <c r="AG214" s="174" t="str">
        <f t="shared" si="61"/>
        <v/>
      </c>
      <c r="AH214" s="195" t="s">
        <v>822</v>
      </c>
      <c r="AI214" s="176" t="str">
        <f ca="1">IFERROR(VLOOKUP($AH214, '(勿動)Component Label公版'!$D$1:$E$1000, 2, FALSE), "-")</f>
        <v>-</v>
      </c>
      <c r="AJ214" s="177"/>
      <c r="AK214" s="174"/>
      <c r="AL214" s="174"/>
      <c r="AM214" s="189" t="str">
        <f t="shared" si="56"/>
        <v/>
      </c>
      <c r="AN214" s="190" t="str">
        <f t="shared" si="57"/>
        <v/>
      </c>
      <c r="AO214" s="560" t="s">
        <v>844</v>
      </c>
      <c r="AP214" s="384"/>
      <c r="AQ214" s="384"/>
      <c r="AR214" s="384"/>
      <c r="AS214" s="384"/>
      <c r="AT214" s="385"/>
      <c r="AU214" s="235" t="b">
        <v>1</v>
      </c>
      <c r="AV214" s="180" t="b">
        <v>0</v>
      </c>
      <c r="AW214" s="186"/>
      <c r="AX214" s="187"/>
      <c r="AY214" s="187"/>
      <c r="AZ214" s="187"/>
      <c r="BA214" s="188"/>
      <c r="BB214" s="191" t="s">
        <v>147</v>
      </c>
      <c r="BC214" s="179" t="s">
        <v>154</v>
      </c>
      <c r="BD214" s="198" t="str">
        <f t="shared" si="49"/>
        <v>圖_MSBN_無CTA</v>
      </c>
      <c r="BE214" s="199" t="str">
        <f>IFERROR(VLOOKUP($BD214,'(勿動)組件目錄表'!$D$15:$R$1110,2,FALSE),"")</f>
        <v>I-1</v>
      </c>
      <c r="BF214" s="200">
        <f>IFERROR(VLOOKUP($BD214, '(勿動)組件目錄表'!$D$15:$R$1110, 5, FALSE),"")</f>
        <v>0.5</v>
      </c>
      <c r="BG214" s="201" t="s">
        <v>845</v>
      </c>
      <c r="BH214" s="183"/>
      <c r="BI214" s="181"/>
      <c r="BJ214" s="183"/>
    </row>
    <row r="215" spans="1:62" ht="15.75" customHeight="1">
      <c r="A215" s="160" t="str">
        <f t="array" aca="1" ref="A215:G215" ca="1">IFERROR(TRANSPOSE(INDIRECT(L1_暖正版配!$BB215)),"")</f>
        <v>一排1品(垂直展示)</v>
      </c>
      <c r="B215" s="160" t="str">
        <f ca="1"/>
        <v>一排2品(垂直展示)</v>
      </c>
      <c r="C215" s="160" t="str">
        <f ca="1"/>
        <v>一排3品(垂直展示)</v>
      </c>
      <c r="D215" s="160" t="str">
        <f ca="1"/>
        <v>Collection 1條(水平展示)</v>
      </c>
      <c r="E215" s="160" t="str">
        <f ca="1"/>
        <v>Collection 1條(水平展示) + 查看全部(Footer)</v>
      </c>
      <c r="F215" s="160" t="str">
        <f ca="1"/>
        <v>Multi tabs</v>
      </c>
      <c r="G215" s="160" t="str">
        <f ca="1"/>
        <v>推薦品 Item Recommendation-固定</v>
      </c>
      <c r="H215" s="160"/>
      <c r="I215" s="160"/>
      <c r="J215" s="160"/>
      <c r="K215" s="160"/>
      <c r="L215" s="160"/>
      <c r="M215" s="160"/>
      <c r="N215" s="160"/>
      <c r="O215" s="160"/>
      <c r="P215" s="160"/>
      <c r="Q215" s="160"/>
      <c r="R215" s="160"/>
      <c r="S215" s="160"/>
      <c r="T215" s="160"/>
      <c r="U215" s="160"/>
      <c r="V215" s="160"/>
      <c r="W215" s="160"/>
      <c r="X215" s="160"/>
      <c r="Y215" s="160"/>
      <c r="Z215" s="160"/>
      <c r="AA215" s="160"/>
      <c r="AB215" s="160"/>
      <c r="AC215" s="160"/>
      <c r="AD215" s="160"/>
      <c r="AE215" s="172" t="b">
        <v>0</v>
      </c>
      <c r="AF215" s="173" t="str">
        <f t="shared" ref="AF215:AF216" si="68">IF(AE215=TRUE,"若有勾選則必填，隱藏錨點請填寫&lt;設隱形錨點&gt;","")</f>
        <v/>
      </c>
      <c r="AG215" s="174" t="str">
        <f t="shared" si="61"/>
        <v/>
      </c>
      <c r="AH215" s="195" t="s">
        <v>822</v>
      </c>
      <c r="AI215" s="176" t="str">
        <f ca="1">IFERROR(VLOOKUP($AH215, '(勿動)Component Label公版'!$D$1:$E$1000, 2, FALSE), "-")</f>
        <v>-</v>
      </c>
      <c r="AJ215" s="177"/>
      <c r="AK215" s="174"/>
      <c r="AL215" s="174"/>
      <c r="AM215" s="189" t="str">
        <f t="shared" si="56"/>
        <v/>
      </c>
      <c r="AN215" s="190" t="str">
        <f t="shared" si="57"/>
        <v/>
      </c>
      <c r="AO215" s="205" t="s">
        <v>846</v>
      </c>
      <c r="AP215" s="205" t="s">
        <v>847</v>
      </c>
      <c r="AQ215" s="205" t="s">
        <v>848</v>
      </c>
      <c r="AR215" s="205" t="s">
        <v>849</v>
      </c>
      <c r="AS215" s="205" t="s">
        <v>850</v>
      </c>
      <c r="AT215" s="205" t="s">
        <v>851</v>
      </c>
      <c r="AU215" s="180" t="b">
        <v>0</v>
      </c>
      <c r="AV215" s="180" t="b">
        <v>0</v>
      </c>
      <c r="AW215" s="186"/>
      <c r="AX215" s="187"/>
      <c r="AY215" s="187"/>
      <c r="AZ215" s="187"/>
      <c r="BA215" s="188"/>
      <c r="BB215" s="191" t="s">
        <v>264</v>
      </c>
      <c r="BC215" s="179" t="s">
        <v>259</v>
      </c>
      <c r="BD215" s="198" t="str">
        <f t="shared" si="49"/>
        <v>品_Multi tabs</v>
      </c>
      <c r="BE215" s="199" t="str">
        <f>IFERROR(VLOOKUP($BD215,'(勿動)組件目錄表'!$D$15:$R$1110,2,FALSE),"")</f>
        <v>G-7</v>
      </c>
      <c r="BF215" s="200">
        <f>IFERROR(VLOOKUP($BD215, '(勿動)組件目錄表'!$D$15:$R$1110, 5, FALSE),"")</f>
        <v>1</v>
      </c>
      <c r="BG215" s="181"/>
      <c r="BH215" s="183"/>
      <c r="BI215" s="181"/>
      <c r="BJ215" s="183"/>
    </row>
    <row r="216" spans="1:62" ht="15.75" customHeight="1">
      <c r="A216" s="160" t="str">
        <f t="array" aca="1" ref="A216:G216" ca="1">IFERROR(TRANSPOSE(INDIRECT(L1_暖正版配!$BB216)),"")</f>
        <v>一排1品(垂直展示)</v>
      </c>
      <c r="B216" s="160" t="str">
        <f ca="1"/>
        <v>一排2品(垂直展示)</v>
      </c>
      <c r="C216" s="160" t="str">
        <f ca="1"/>
        <v>一排3品(垂直展示)</v>
      </c>
      <c r="D216" s="160" t="str">
        <f ca="1"/>
        <v>Collection 1條(水平展示)</v>
      </c>
      <c r="E216" s="160" t="str">
        <f ca="1"/>
        <v>Collection 1條(水平展示) + 查看全部(Footer)</v>
      </c>
      <c r="F216" s="160" t="str">
        <f ca="1"/>
        <v>Multi tabs</v>
      </c>
      <c r="G216" s="160" t="str">
        <f ca="1"/>
        <v>推薦品 Item Recommendation-固定</v>
      </c>
      <c r="H216" s="160"/>
      <c r="I216" s="160"/>
      <c r="J216" s="160"/>
      <c r="K216" s="160"/>
      <c r="L216" s="160"/>
      <c r="M216" s="160"/>
      <c r="N216" s="160"/>
      <c r="O216" s="160"/>
      <c r="P216" s="160"/>
      <c r="Q216" s="160"/>
      <c r="R216" s="160"/>
      <c r="S216" s="160"/>
      <c r="T216" s="160"/>
      <c r="U216" s="160"/>
      <c r="V216" s="160"/>
      <c r="W216" s="160"/>
      <c r="X216" s="160"/>
      <c r="Y216" s="160"/>
      <c r="Z216" s="160"/>
      <c r="AA216" s="160"/>
      <c r="AB216" s="160"/>
      <c r="AC216" s="160"/>
      <c r="AD216" s="160"/>
      <c r="AE216" s="172" t="b">
        <v>0</v>
      </c>
      <c r="AF216" s="173" t="str">
        <f t="shared" si="68"/>
        <v/>
      </c>
      <c r="AG216" s="174" t="str">
        <f t="shared" si="61"/>
        <v/>
      </c>
      <c r="AH216" s="195" t="s">
        <v>822</v>
      </c>
      <c r="AI216" s="176" t="str">
        <f ca="1">IFERROR(VLOOKUP($AH216, '(勿動)Component Label公版'!$D$1:$E$1000, 2, FALSE), "-")</f>
        <v>-</v>
      </c>
      <c r="AJ216" s="177"/>
      <c r="AK216" s="174"/>
      <c r="AL216" s="174"/>
      <c r="AM216" s="189" t="str">
        <f t="shared" si="56"/>
        <v/>
      </c>
      <c r="AN216" s="190" t="str">
        <f t="shared" si="57"/>
        <v/>
      </c>
      <c r="AO216" s="205">
        <v>8835086</v>
      </c>
      <c r="AP216" s="205">
        <v>8812094</v>
      </c>
      <c r="AQ216" s="205">
        <v>8026372</v>
      </c>
      <c r="AR216" s="205">
        <v>4532284</v>
      </c>
      <c r="AS216" s="205">
        <v>8788740</v>
      </c>
      <c r="AT216" s="205">
        <v>8788538</v>
      </c>
      <c r="AU216" s="180" t="b">
        <v>0</v>
      </c>
      <c r="AV216" s="180" t="b">
        <v>0</v>
      </c>
      <c r="AW216" s="186"/>
      <c r="AX216" s="187"/>
      <c r="AY216" s="187"/>
      <c r="AZ216" s="187"/>
      <c r="BA216" s="188"/>
      <c r="BB216" s="191" t="s">
        <v>264</v>
      </c>
      <c r="BC216" s="179" t="s">
        <v>259</v>
      </c>
      <c r="BD216" s="198" t="str">
        <f t="shared" si="49"/>
        <v>品_Multi tabs</v>
      </c>
      <c r="BE216" s="199" t="str">
        <f>IFERROR(VLOOKUP($BD216,'(勿動)組件目錄表'!$D$15:$R$1110,2,FALSE),"")</f>
        <v>G-7</v>
      </c>
      <c r="BF216" s="200">
        <f>IFERROR(VLOOKUP($BD216, '(勿動)組件目錄表'!$D$15:$R$1110, 5, FALSE),"")</f>
        <v>1</v>
      </c>
      <c r="BG216" s="181"/>
      <c r="BH216" s="183"/>
      <c r="BI216" s="181"/>
      <c r="BJ216" s="183"/>
    </row>
    <row r="217" spans="1:62" ht="15.75" customHeight="1">
      <c r="A217" s="160" t="str">
        <f t="array" aca="1" ref="A217:AD217" ca="1">IFERROR(TRANSPOSE(INDIRECT(L1_暖正版配!$BB217)),"")</f>
        <v>無CTA</v>
      </c>
      <c r="B217" s="160" t="str">
        <f ca="1"/>
        <v>LINK*1</v>
      </c>
      <c r="C217" s="160" t="str">
        <f ca="1"/>
        <v>LINK*2</v>
      </c>
      <c r="D217" s="160" t="str">
        <f ca="1"/>
        <v>LINK*3</v>
      </c>
      <c r="E217" s="160" t="str">
        <f ca="1"/>
        <v>LINK&gt;3</v>
      </c>
      <c r="F217" s="160" t="str">
        <f ca="1"/>
        <v>Reminder*1</v>
      </c>
      <c r="G217" s="160" t="str">
        <f ca="1"/>
        <v>Reminder*2</v>
      </c>
      <c r="H217" s="160" t="str">
        <f ca="1"/>
        <v>Reminder*3</v>
      </c>
      <c r="I217" s="160" t="str">
        <f ca="1"/>
        <v>Reminder*4</v>
      </c>
      <c r="J217" s="160" t="str">
        <f ca="1"/>
        <v>Reminder*5</v>
      </c>
      <c r="K217" s="160" t="str">
        <f ca="1"/>
        <v>Reminder&gt;5</v>
      </c>
      <c r="L217" s="160" t="str">
        <f ca="1"/>
        <v>LINK*1 + Reminder*1</v>
      </c>
      <c r="M217" s="160" t="str">
        <f ca="1"/>
        <v>LINK*1 + Reminder*2</v>
      </c>
      <c r="N217" s="160" t="str">
        <f ca="1"/>
        <v>LINK*2 + Reminder*1</v>
      </c>
      <c r="O217" s="160" t="str">
        <f ca="1"/>
        <v>Add to Cart*1</v>
      </c>
      <c r="P217" s="160" t="str">
        <f ca="1"/>
        <v>Add to Cart*2</v>
      </c>
      <c r="Q217" s="160" t="str">
        <f ca="1"/>
        <v>Add to Cart*3</v>
      </c>
      <c r="R217" s="160" t="str">
        <f ca="1"/>
        <v>(Reminder+ATC) *1</v>
      </c>
      <c r="S217" s="160" t="str">
        <f ca="1"/>
        <v>(Reminder+ATC) *2</v>
      </c>
      <c r="T217" s="160" t="str">
        <f ca="1"/>
        <v>(Reminder+ATC) *3</v>
      </c>
      <c r="U217" s="160" t="str">
        <f ca="1"/>
        <v>Popup*1</v>
      </c>
      <c r="V217" s="160" t="str">
        <f ca="1"/>
        <v>Popup*2</v>
      </c>
      <c r="W217" s="160" t="str">
        <f ca="1"/>
        <v>Popup*3</v>
      </c>
      <c r="X217" s="160" t="str">
        <f ca="1"/>
        <v>Copy*1</v>
      </c>
      <c r="Y217" s="160" t="str">
        <f ca="1"/>
        <v>Copy*2</v>
      </c>
      <c r="Z217" s="160" t="str">
        <f ca="1"/>
        <v>Copy*3</v>
      </c>
      <c r="AA217" s="160" t="str">
        <f ca="1"/>
        <v>Share*1</v>
      </c>
      <c r="AB217" s="160" t="str">
        <f ca="1"/>
        <v>Share*2</v>
      </c>
      <c r="AC217" s="160" t="str">
        <f ca="1"/>
        <v>Share*3</v>
      </c>
      <c r="AD217" s="160" t="str">
        <f ca="1"/>
        <v>Placeholders</v>
      </c>
      <c r="AE217" s="172" t="b">
        <v>0</v>
      </c>
      <c r="AF217" s="173"/>
      <c r="AG217" s="174" t="str">
        <f t="shared" si="61"/>
        <v/>
      </c>
      <c r="AH217" s="195" t="s">
        <v>822</v>
      </c>
      <c r="AI217" s="176" t="str">
        <f ca="1">IFERROR(VLOOKUP($AH217, '(勿動)Component Label公版'!$D$1:$E$1000, 2, FALSE), "-")</f>
        <v>-</v>
      </c>
      <c r="AJ217" s="177"/>
      <c r="AK217" s="174"/>
      <c r="AL217" s="174"/>
      <c r="AM217" s="189" t="str">
        <f t="shared" si="56"/>
        <v/>
      </c>
      <c r="AN217" s="190" t="str">
        <f t="shared" si="57"/>
        <v/>
      </c>
      <c r="AO217" s="560" t="s">
        <v>852</v>
      </c>
      <c r="AP217" s="384"/>
      <c r="AQ217" s="384"/>
      <c r="AR217" s="384"/>
      <c r="AS217" s="384"/>
      <c r="AT217" s="385"/>
      <c r="AU217" s="235" t="b">
        <v>1</v>
      </c>
      <c r="AV217" s="180" t="b">
        <v>0</v>
      </c>
      <c r="AW217" s="186"/>
      <c r="AX217" s="187"/>
      <c r="AY217" s="187"/>
      <c r="AZ217" s="187"/>
      <c r="BA217" s="188"/>
      <c r="BB217" s="191" t="s">
        <v>147</v>
      </c>
      <c r="BC217" s="179" t="s">
        <v>154</v>
      </c>
      <c r="BD217" s="198" t="str">
        <f t="shared" si="49"/>
        <v>圖_MSBN_無CTA</v>
      </c>
      <c r="BE217" s="199" t="str">
        <f>IFERROR(VLOOKUP($BD217,'(勿動)組件目錄表'!$D$15:$R$1110,2,FALSE),"")</f>
        <v>I-1</v>
      </c>
      <c r="BF217" s="200">
        <f>IFERROR(VLOOKUP($BD217, '(勿動)組件目錄表'!$D$15:$R$1110, 5, FALSE),"")</f>
        <v>0.5</v>
      </c>
      <c r="BG217" s="201" t="s">
        <v>853</v>
      </c>
      <c r="BH217" s="183"/>
      <c r="BI217" s="181"/>
      <c r="BJ217" s="183"/>
    </row>
    <row r="218" spans="1:62" ht="15.75" customHeight="1">
      <c r="A218" s="160" t="str">
        <f t="array" aca="1" ref="A218:G218" ca="1">IFERROR(TRANSPOSE(INDIRECT(L1_暖正版配!$BB218)),"")</f>
        <v>一排1品(垂直展示)</v>
      </c>
      <c r="B218" s="160" t="str">
        <f ca="1"/>
        <v>一排2品(垂直展示)</v>
      </c>
      <c r="C218" s="160" t="str">
        <f ca="1"/>
        <v>一排3品(垂直展示)</v>
      </c>
      <c r="D218" s="160" t="str">
        <f ca="1"/>
        <v>Collection 1條(水平展示)</v>
      </c>
      <c r="E218" s="160" t="str">
        <f ca="1"/>
        <v>Collection 1條(水平展示) + 查看全部(Footer)</v>
      </c>
      <c r="F218" s="160" t="str">
        <f ca="1"/>
        <v>Multi tabs</v>
      </c>
      <c r="G218" s="160" t="str">
        <f ca="1"/>
        <v>推薦品 Item Recommendation-固定</v>
      </c>
      <c r="H218" s="160"/>
      <c r="I218" s="160"/>
      <c r="J218" s="160"/>
      <c r="K218" s="160"/>
      <c r="L218" s="160"/>
      <c r="M218" s="160"/>
      <c r="N218" s="160"/>
      <c r="O218" s="160"/>
      <c r="P218" s="160"/>
      <c r="Q218" s="160"/>
      <c r="R218" s="160"/>
      <c r="S218" s="160"/>
      <c r="T218" s="160"/>
      <c r="U218" s="160"/>
      <c r="V218" s="160"/>
      <c r="W218" s="160"/>
      <c r="X218" s="160"/>
      <c r="Y218" s="160"/>
      <c r="Z218" s="160"/>
      <c r="AA218" s="160"/>
      <c r="AB218" s="160"/>
      <c r="AC218" s="160"/>
      <c r="AD218" s="160"/>
      <c r="AE218" s="172" t="b">
        <v>0</v>
      </c>
      <c r="AF218" s="173"/>
      <c r="AG218" s="174" t="str">
        <f t="shared" si="61"/>
        <v/>
      </c>
      <c r="AH218" s="195" t="s">
        <v>822</v>
      </c>
      <c r="AI218" s="176" t="str">
        <f ca="1">IFERROR(VLOOKUP($AH218, '(勿動)Component Label公版'!$D$1:$E$1000, 2, FALSE), "-")</f>
        <v>-</v>
      </c>
      <c r="AJ218" s="177"/>
      <c r="AK218" s="174"/>
      <c r="AL218" s="174"/>
      <c r="AM218" s="189" t="str">
        <f t="shared" si="56"/>
        <v/>
      </c>
      <c r="AN218" s="190" t="str">
        <f t="shared" si="57"/>
        <v/>
      </c>
      <c r="AO218" s="205" t="s">
        <v>854</v>
      </c>
      <c r="AP218" s="205" t="s">
        <v>855</v>
      </c>
      <c r="AQ218" s="205" t="s">
        <v>856</v>
      </c>
      <c r="AR218" s="205" t="s">
        <v>857</v>
      </c>
      <c r="AS218" s="205" t="s">
        <v>858</v>
      </c>
      <c r="AT218" s="567"/>
      <c r="AU218" s="180" t="b">
        <v>0</v>
      </c>
      <c r="AV218" s="180" t="b">
        <v>0</v>
      </c>
      <c r="AW218" s="186"/>
      <c r="AX218" s="187"/>
      <c r="AY218" s="187"/>
      <c r="AZ218" s="187"/>
      <c r="BA218" s="188"/>
      <c r="BB218" s="191" t="s">
        <v>264</v>
      </c>
      <c r="BC218" s="179" t="s">
        <v>259</v>
      </c>
      <c r="BD218" s="198" t="str">
        <f t="shared" si="49"/>
        <v>品_Multi tabs</v>
      </c>
      <c r="BE218" s="199" t="str">
        <f>IFERROR(VLOOKUP($BD218,'(勿動)組件目錄表'!$D$15:$R$1110,2,FALSE),"")</f>
        <v>G-7</v>
      </c>
      <c r="BF218" s="200">
        <f>IFERROR(VLOOKUP($BD218, '(勿動)組件目錄表'!$D$15:$R$1110, 5, FALSE),"")</f>
        <v>1</v>
      </c>
      <c r="BG218" s="181"/>
      <c r="BH218" s="183"/>
      <c r="BI218" s="181"/>
      <c r="BJ218" s="583" t="s">
        <v>859</v>
      </c>
    </row>
    <row r="219" spans="1:62" ht="15.75" customHeight="1">
      <c r="A219" s="160" t="str">
        <f t="array" aca="1" ref="A219:G219" ca="1">IFERROR(TRANSPOSE(INDIRECT(L1_暖正版配!$BB219)),"")</f>
        <v>一排1品(垂直展示)</v>
      </c>
      <c r="B219" s="160" t="str">
        <f ca="1"/>
        <v>一排2品(垂直展示)</v>
      </c>
      <c r="C219" s="160" t="str">
        <f ca="1"/>
        <v>一排3品(垂直展示)</v>
      </c>
      <c r="D219" s="160" t="str">
        <f ca="1"/>
        <v>Collection 1條(水平展示)</v>
      </c>
      <c r="E219" s="160" t="str">
        <f ca="1"/>
        <v>Collection 1條(水平展示) + 查看全部(Footer)</v>
      </c>
      <c r="F219" s="160" t="str">
        <f ca="1"/>
        <v>Multi tabs</v>
      </c>
      <c r="G219" s="160" t="str">
        <f ca="1"/>
        <v>推薦品 Item Recommendation-固定</v>
      </c>
      <c r="H219" s="160"/>
      <c r="I219" s="160"/>
      <c r="J219" s="160"/>
      <c r="K219" s="160"/>
      <c r="L219" s="160"/>
      <c r="M219" s="160"/>
      <c r="N219" s="160"/>
      <c r="O219" s="160"/>
      <c r="P219" s="160"/>
      <c r="Q219" s="160"/>
      <c r="R219" s="160"/>
      <c r="S219" s="160"/>
      <c r="T219" s="160"/>
      <c r="U219" s="160"/>
      <c r="V219" s="160"/>
      <c r="W219" s="160"/>
      <c r="X219" s="160"/>
      <c r="Y219" s="160"/>
      <c r="Z219" s="160"/>
      <c r="AA219" s="160"/>
      <c r="AB219" s="160"/>
      <c r="AC219" s="160"/>
      <c r="AD219" s="160"/>
      <c r="AE219" s="172" t="b">
        <v>0</v>
      </c>
      <c r="AF219" s="173"/>
      <c r="AG219" s="174" t="str">
        <f t="shared" si="61"/>
        <v/>
      </c>
      <c r="AH219" s="195" t="s">
        <v>822</v>
      </c>
      <c r="AI219" s="176" t="str">
        <f ca="1">IFERROR(VLOOKUP($AH219, '(勿動)Component Label公版'!$D$1:$E$1000, 2, FALSE), "-")</f>
        <v>-</v>
      </c>
      <c r="AJ219" s="177"/>
      <c r="AK219" s="174"/>
      <c r="AL219" s="174"/>
      <c r="AM219" s="189" t="str">
        <f t="shared" si="56"/>
        <v/>
      </c>
      <c r="AN219" s="190" t="str">
        <f t="shared" si="57"/>
        <v/>
      </c>
      <c r="AO219" s="205">
        <v>14710156</v>
      </c>
      <c r="AP219" s="205">
        <v>12386828</v>
      </c>
      <c r="AQ219" s="205">
        <v>12413112</v>
      </c>
      <c r="AR219" s="205">
        <v>12413110</v>
      </c>
      <c r="AS219" s="205">
        <v>12413114</v>
      </c>
      <c r="AT219" s="568"/>
      <c r="AU219" s="180" t="b">
        <v>0</v>
      </c>
      <c r="AV219" s="180" t="b">
        <v>0</v>
      </c>
      <c r="AW219" s="186"/>
      <c r="AX219" s="187"/>
      <c r="AY219" s="187"/>
      <c r="AZ219" s="187"/>
      <c r="BA219" s="188"/>
      <c r="BB219" s="191" t="s">
        <v>264</v>
      </c>
      <c r="BC219" s="179" t="s">
        <v>259</v>
      </c>
      <c r="BD219" s="198" t="str">
        <f t="shared" si="49"/>
        <v>品_Multi tabs</v>
      </c>
      <c r="BE219" s="199" t="str">
        <f>IFERROR(VLOOKUP($BD219,'(勿動)組件目錄表'!$D$15:$R$1110,2,FALSE),"")</f>
        <v>G-7</v>
      </c>
      <c r="BF219" s="200">
        <f>IFERROR(VLOOKUP($BD219, '(勿動)組件目錄表'!$D$15:$R$1110, 5, FALSE),"")</f>
        <v>1</v>
      </c>
      <c r="BG219" s="181"/>
      <c r="BH219" s="183"/>
      <c r="BI219" s="181"/>
      <c r="BJ219" s="584"/>
    </row>
    <row r="220" spans="1:62" ht="15.75" customHeight="1">
      <c r="A220" s="160" t="str">
        <f t="array" aca="1" ref="A220:AD220" ca="1">IFERROR(TRANSPOSE(INDIRECT(L1_暖正版配!$BB220)),"")</f>
        <v>無CTA</v>
      </c>
      <c r="B220" s="160" t="str">
        <f ca="1"/>
        <v>LINK*1</v>
      </c>
      <c r="C220" s="160" t="str">
        <f ca="1"/>
        <v>LINK*2</v>
      </c>
      <c r="D220" s="160" t="str">
        <f ca="1"/>
        <v>LINK*3</v>
      </c>
      <c r="E220" s="160" t="str">
        <f ca="1"/>
        <v>LINK&gt;3</v>
      </c>
      <c r="F220" s="160" t="str">
        <f ca="1"/>
        <v>Reminder*1</v>
      </c>
      <c r="G220" s="160" t="str">
        <f ca="1"/>
        <v>Reminder*2</v>
      </c>
      <c r="H220" s="160" t="str">
        <f ca="1"/>
        <v>Reminder*3</v>
      </c>
      <c r="I220" s="160" t="str">
        <f ca="1"/>
        <v>Reminder*4</v>
      </c>
      <c r="J220" s="160" t="str">
        <f ca="1"/>
        <v>Reminder*5</v>
      </c>
      <c r="K220" s="160" t="str">
        <f ca="1"/>
        <v>Reminder&gt;5</v>
      </c>
      <c r="L220" s="160" t="str">
        <f ca="1"/>
        <v>LINK*1 + Reminder*1</v>
      </c>
      <c r="M220" s="160" t="str">
        <f ca="1"/>
        <v>LINK*1 + Reminder*2</v>
      </c>
      <c r="N220" s="160" t="str">
        <f ca="1"/>
        <v>LINK*2 + Reminder*1</v>
      </c>
      <c r="O220" s="160" t="str">
        <f ca="1"/>
        <v>Add to Cart*1</v>
      </c>
      <c r="P220" s="160" t="str">
        <f ca="1"/>
        <v>Add to Cart*2</v>
      </c>
      <c r="Q220" s="160" t="str">
        <f ca="1"/>
        <v>Add to Cart*3</v>
      </c>
      <c r="R220" s="160" t="str">
        <f ca="1"/>
        <v>(Reminder+ATC) *1</v>
      </c>
      <c r="S220" s="160" t="str">
        <f ca="1"/>
        <v>(Reminder+ATC) *2</v>
      </c>
      <c r="T220" s="160" t="str">
        <f ca="1"/>
        <v>(Reminder+ATC) *3</v>
      </c>
      <c r="U220" s="160" t="str">
        <f ca="1"/>
        <v>Popup*1</v>
      </c>
      <c r="V220" s="160" t="str">
        <f ca="1"/>
        <v>Popup*2</v>
      </c>
      <c r="W220" s="160" t="str">
        <f ca="1"/>
        <v>Popup*3</v>
      </c>
      <c r="X220" s="160" t="str">
        <f ca="1"/>
        <v>Copy*1</v>
      </c>
      <c r="Y220" s="160" t="str">
        <f ca="1"/>
        <v>Copy*2</v>
      </c>
      <c r="Z220" s="160" t="str">
        <f ca="1"/>
        <v>Copy*3</v>
      </c>
      <c r="AA220" s="160" t="str">
        <f ca="1"/>
        <v>Share*1</v>
      </c>
      <c r="AB220" s="160" t="str">
        <f ca="1"/>
        <v>Share*2</v>
      </c>
      <c r="AC220" s="160" t="str">
        <f ca="1"/>
        <v>Share*3</v>
      </c>
      <c r="AD220" s="160" t="str">
        <f ca="1"/>
        <v>Placeholders</v>
      </c>
      <c r="AE220" s="172" t="b">
        <v>0</v>
      </c>
      <c r="AF220" s="173"/>
      <c r="AG220" s="174" t="str">
        <f t="shared" si="61"/>
        <v/>
      </c>
      <c r="AH220" s="195" t="s">
        <v>822</v>
      </c>
      <c r="AI220" s="176" t="str">
        <f ca="1">IFERROR(VLOOKUP($AH220, '(勿動)Component Label公版'!$D$1:$E$1000, 2, FALSE), "-")</f>
        <v>-</v>
      </c>
      <c r="AJ220" s="177"/>
      <c r="AK220" s="174"/>
      <c r="AL220" s="174"/>
      <c r="AM220" s="189" t="str">
        <f t="shared" si="56"/>
        <v/>
      </c>
      <c r="AN220" s="190" t="str">
        <f t="shared" si="57"/>
        <v/>
      </c>
      <c r="AO220" s="560" t="s">
        <v>860</v>
      </c>
      <c r="AP220" s="384"/>
      <c r="AQ220" s="384"/>
      <c r="AR220" s="384"/>
      <c r="AS220" s="384"/>
      <c r="AT220" s="385"/>
      <c r="AU220" s="235" t="b">
        <v>1</v>
      </c>
      <c r="AV220" s="180" t="b">
        <v>0</v>
      </c>
      <c r="AW220" s="186"/>
      <c r="AX220" s="187"/>
      <c r="AY220" s="187"/>
      <c r="AZ220" s="187"/>
      <c r="BA220" s="188"/>
      <c r="BB220" s="191" t="s">
        <v>147</v>
      </c>
      <c r="BC220" s="179" t="s">
        <v>154</v>
      </c>
      <c r="BD220" s="198" t="str">
        <f t="shared" si="49"/>
        <v>圖_MSBN_無CTA</v>
      </c>
      <c r="BE220" s="199" t="str">
        <f>IFERROR(VLOOKUP($BD220,'(勿動)組件目錄表'!$D$15:$R$1110,2,FALSE),"")</f>
        <v>I-1</v>
      </c>
      <c r="BF220" s="200">
        <f>IFERROR(VLOOKUP($BD220, '(勿動)組件目錄表'!$D$15:$R$1110, 5, FALSE),"")</f>
        <v>0.5</v>
      </c>
      <c r="BG220" s="201" t="s">
        <v>861</v>
      </c>
      <c r="BH220" s="183"/>
      <c r="BI220" s="181"/>
      <c r="BJ220" s="183"/>
    </row>
    <row r="221" spans="1:62" ht="15.75" customHeight="1">
      <c r="A221" s="160" t="str">
        <f t="array" aca="1" ref="A221:G221" ca="1">IFERROR(TRANSPOSE(INDIRECT(L1_暖正版配!$BB221)),"")</f>
        <v>一排1品(垂直展示)</v>
      </c>
      <c r="B221" s="160" t="str">
        <f ca="1"/>
        <v>一排2品(垂直展示)</v>
      </c>
      <c r="C221" s="160" t="str">
        <f ca="1"/>
        <v>一排3品(垂直展示)</v>
      </c>
      <c r="D221" s="160" t="str">
        <f ca="1"/>
        <v>Collection 1條(水平展示)</v>
      </c>
      <c r="E221" s="160" t="str">
        <f ca="1"/>
        <v>Collection 1條(水平展示) + 查看全部(Footer)</v>
      </c>
      <c r="F221" s="160" t="str">
        <f ca="1"/>
        <v>Multi tabs</v>
      </c>
      <c r="G221" s="160" t="str">
        <f ca="1"/>
        <v>推薦品 Item Recommendation-固定</v>
      </c>
      <c r="H221" s="160"/>
      <c r="I221" s="160"/>
      <c r="J221" s="160"/>
      <c r="K221" s="160"/>
      <c r="L221" s="160"/>
      <c r="M221" s="160"/>
      <c r="N221" s="160"/>
      <c r="O221" s="160"/>
      <c r="P221" s="160"/>
      <c r="Q221" s="160"/>
      <c r="R221" s="160"/>
      <c r="S221" s="160"/>
      <c r="T221" s="160"/>
      <c r="U221" s="160"/>
      <c r="V221" s="160"/>
      <c r="W221" s="160"/>
      <c r="X221" s="160"/>
      <c r="Y221" s="160"/>
      <c r="Z221" s="160"/>
      <c r="AA221" s="160"/>
      <c r="AB221" s="160"/>
      <c r="AC221" s="160"/>
      <c r="AD221" s="160"/>
      <c r="AE221" s="172" t="b">
        <v>0</v>
      </c>
      <c r="AF221" s="173" t="str">
        <f>IF(AE221=TRUE,"若有勾選則必填，隱藏錨點請填寫&lt;設隱形錨點&gt;","")</f>
        <v/>
      </c>
      <c r="AG221" s="174" t="str">
        <f t="shared" si="61"/>
        <v/>
      </c>
      <c r="AH221" s="195" t="s">
        <v>822</v>
      </c>
      <c r="AI221" s="176" t="str">
        <f ca="1">IFERROR(VLOOKUP($AH221, '(勿動)Component Label公版'!$D$1:$E$1000, 2, FALSE), "-")</f>
        <v>-</v>
      </c>
      <c r="AJ221" s="177"/>
      <c r="AK221" s="251"/>
      <c r="AL221" s="251"/>
      <c r="AM221" s="189" t="str">
        <f t="shared" si="56"/>
        <v/>
      </c>
      <c r="AN221" s="190" t="str">
        <f t="shared" si="57"/>
        <v/>
      </c>
      <c r="AO221" s="541" t="s">
        <v>862</v>
      </c>
      <c r="AP221" s="384"/>
      <c r="AQ221" s="384"/>
      <c r="AR221" s="384"/>
      <c r="AS221" s="384"/>
      <c r="AT221" s="385"/>
      <c r="AU221" s="180" t="b">
        <v>0</v>
      </c>
      <c r="AV221" s="180" t="b">
        <v>0</v>
      </c>
      <c r="AW221" s="186"/>
      <c r="AX221" s="187"/>
      <c r="AY221" s="187"/>
      <c r="AZ221" s="187"/>
      <c r="BA221" s="188"/>
      <c r="BB221" s="191" t="s">
        <v>264</v>
      </c>
      <c r="BC221" s="179" t="s">
        <v>257</v>
      </c>
      <c r="BD221" s="198" t="str">
        <f t="shared" si="49"/>
        <v>品_Collection 1條(水平展示)</v>
      </c>
      <c r="BE221" s="199" t="str">
        <f>IFERROR(VLOOKUP($BD221,'(勿動)組件目錄表'!$D$15:$R$1110,2,FALSE),"")</f>
        <v>G-4</v>
      </c>
      <c r="BF221" s="200">
        <f>IFERROR(VLOOKUP($BD221, '(勿動)組件目錄表'!$D$15:$R$1110, 5, FALSE),"")</f>
        <v>0.5</v>
      </c>
      <c r="BG221" s="181"/>
      <c r="BH221" s="183"/>
      <c r="BI221" s="181"/>
      <c r="BJ221" s="183"/>
    </row>
    <row r="222" spans="1:62" ht="15.75" customHeight="1">
      <c r="A222" s="160" t="str">
        <f t="array" aca="1" ref="A222:AD222" ca="1">IFERROR(TRANSPOSE(INDIRECT(L1_暖正版配!$BB222)),"")</f>
        <v>無CTA</v>
      </c>
      <c r="B222" s="160" t="str">
        <f ca="1"/>
        <v>LINK*1</v>
      </c>
      <c r="C222" s="160" t="str">
        <f ca="1"/>
        <v>LINK*2</v>
      </c>
      <c r="D222" s="160" t="str">
        <f ca="1"/>
        <v>LINK*3</v>
      </c>
      <c r="E222" s="160" t="str">
        <f ca="1"/>
        <v>LINK&gt;3</v>
      </c>
      <c r="F222" s="160" t="str">
        <f ca="1"/>
        <v>Reminder*1</v>
      </c>
      <c r="G222" s="160" t="str">
        <f ca="1"/>
        <v>Reminder*2</v>
      </c>
      <c r="H222" s="160" t="str">
        <f ca="1"/>
        <v>Reminder*3</v>
      </c>
      <c r="I222" s="160" t="str">
        <f ca="1"/>
        <v>Reminder*4</v>
      </c>
      <c r="J222" s="160" t="str">
        <f ca="1"/>
        <v>Reminder*5</v>
      </c>
      <c r="K222" s="160" t="str">
        <f ca="1"/>
        <v>Reminder&gt;5</v>
      </c>
      <c r="L222" s="160" t="str">
        <f ca="1"/>
        <v>LINK*1 + Reminder*1</v>
      </c>
      <c r="M222" s="160" t="str">
        <f ca="1"/>
        <v>LINK*1 + Reminder*2</v>
      </c>
      <c r="N222" s="160" t="str">
        <f ca="1"/>
        <v>LINK*2 + Reminder*1</v>
      </c>
      <c r="O222" s="160" t="str">
        <f ca="1"/>
        <v>Add to Cart*1</v>
      </c>
      <c r="P222" s="160" t="str">
        <f ca="1"/>
        <v>Add to Cart*2</v>
      </c>
      <c r="Q222" s="160" t="str">
        <f ca="1"/>
        <v>Add to Cart*3</v>
      </c>
      <c r="R222" s="160" t="str">
        <f ca="1"/>
        <v>(Reminder+ATC) *1</v>
      </c>
      <c r="S222" s="160" t="str">
        <f ca="1"/>
        <v>(Reminder+ATC) *2</v>
      </c>
      <c r="T222" s="160" t="str">
        <f ca="1"/>
        <v>(Reminder+ATC) *3</v>
      </c>
      <c r="U222" s="160" t="str">
        <f ca="1"/>
        <v>Popup*1</v>
      </c>
      <c r="V222" s="160" t="str">
        <f ca="1"/>
        <v>Popup*2</v>
      </c>
      <c r="W222" s="160" t="str">
        <f ca="1"/>
        <v>Popup*3</v>
      </c>
      <c r="X222" s="160" t="str">
        <f ca="1"/>
        <v>Copy*1</v>
      </c>
      <c r="Y222" s="160" t="str">
        <f ca="1"/>
        <v>Copy*2</v>
      </c>
      <c r="Z222" s="160" t="str">
        <f ca="1"/>
        <v>Copy*3</v>
      </c>
      <c r="AA222" s="160" t="str">
        <f ca="1"/>
        <v>Share*1</v>
      </c>
      <c r="AB222" s="160" t="str">
        <f ca="1"/>
        <v>Share*2</v>
      </c>
      <c r="AC222" s="160" t="str">
        <f ca="1"/>
        <v>Share*3</v>
      </c>
      <c r="AD222" s="160" t="str">
        <f ca="1"/>
        <v>Placeholders</v>
      </c>
      <c r="AE222" s="172" t="b">
        <v>0</v>
      </c>
      <c r="AF222" s="173"/>
      <c r="AG222" s="174" t="str">
        <f t="shared" si="61"/>
        <v/>
      </c>
      <c r="AH222" s="195" t="s">
        <v>822</v>
      </c>
      <c r="AI222" s="176" t="str">
        <f ca="1">IFERROR(VLOOKUP($AH222, '(勿動)Component Label公版'!$D$1:$E$1000, 2, FALSE), "-")</f>
        <v>-</v>
      </c>
      <c r="AJ222" s="177"/>
      <c r="AK222" s="174"/>
      <c r="AL222" s="174"/>
      <c r="AM222" s="189" t="str">
        <f t="shared" si="56"/>
        <v/>
      </c>
      <c r="AN222" s="190" t="str">
        <f t="shared" si="57"/>
        <v/>
      </c>
      <c r="AO222" s="560" t="s">
        <v>863</v>
      </c>
      <c r="AP222" s="384"/>
      <c r="AQ222" s="384"/>
      <c r="AR222" s="384"/>
      <c r="AS222" s="384"/>
      <c r="AT222" s="385"/>
      <c r="AU222" s="235" t="b">
        <v>1</v>
      </c>
      <c r="AV222" s="180" t="b">
        <v>0</v>
      </c>
      <c r="AW222" s="186"/>
      <c r="AX222" s="187"/>
      <c r="AY222" s="187"/>
      <c r="AZ222" s="187"/>
      <c r="BA222" s="188"/>
      <c r="BB222" s="191" t="s">
        <v>147</v>
      </c>
      <c r="BC222" s="179" t="s">
        <v>154</v>
      </c>
      <c r="BD222" s="198" t="str">
        <f t="shared" si="49"/>
        <v>圖_MSBN_無CTA</v>
      </c>
      <c r="BE222" s="199" t="str">
        <f>IFERROR(VLOOKUP($BD222,'(勿動)組件目錄表'!$D$15:$R$1110,2,FALSE),"")</f>
        <v>I-1</v>
      </c>
      <c r="BF222" s="200">
        <f>IFERROR(VLOOKUP($BD222, '(勿動)組件目錄表'!$D$15:$R$1110, 5, FALSE),"")</f>
        <v>0.5</v>
      </c>
      <c r="BG222" s="201" t="s">
        <v>864</v>
      </c>
      <c r="BH222" s="183"/>
      <c r="BI222" s="181"/>
      <c r="BJ222" s="183"/>
    </row>
    <row r="223" spans="1:62" ht="15.75" customHeight="1">
      <c r="A223" s="160" t="str">
        <f t="array" aca="1" ref="A223:G223" ca="1">IFERROR(TRANSPOSE(INDIRECT(L1_暖正版配!$BB223)),"")</f>
        <v>一排1品(垂直展示)</v>
      </c>
      <c r="B223" s="160" t="str">
        <f ca="1"/>
        <v>一排2品(垂直展示)</v>
      </c>
      <c r="C223" s="160" t="str">
        <f ca="1"/>
        <v>一排3品(垂直展示)</v>
      </c>
      <c r="D223" s="160" t="str">
        <f ca="1"/>
        <v>Collection 1條(水平展示)</v>
      </c>
      <c r="E223" s="160" t="str">
        <f ca="1"/>
        <v>Collection 1條(水平展示) + 查看全部(Footer)</v>
      </c>
      <c r="F223" s="160" t="str">
        <f ca="1"/>
        <v>Multi tabs</v>
      </c>
      <c r="G223" s="160" t="str">
        <f ca="1"/>
        <v>推薦品 Item Recommendation-固定</v>
      </c>
      <c r="H223" s="160"/>
      <c r="I223" s="160"/>
      <c r="J223" s="160"/>
      <c r="K223" s="160"/>
      <c r="L223" s="160"/>
      <c r="M223" s="160"/>
      <c r="N223" s="160"/>
      <c r="O223" s="160"/>
      <c r="P223" s="160"/>
      <c r="Q223" s="160"/>
      <c r="R223" s="160"/>
      <c r="S223" s="160"/>
      <c r="T223" s="160"/>
      <c r="U223" s="160"/>
      <c r="V223" s="160"/>
      <c r="W223" s="160"/>
      <c r="X223" s="160"/>
      <c r="Y223" s="160"/>
      <c r="Z223" s="160"/>
      <c r="AA223" s="160"/>
      <c r="AB223" s="160"/>
      <c r="AC223" s="160"/>
      <c r="AD223" s="160"/>
      <c r="AE223" s="172" t="b">
        <v>0</v>
      </c>
      <c r="AF223" s="173" t="str">
        <f t="shared" ref="AF223:AF224" si="69">IF(AE223=TRUE,"若有勾選則必填，隱藏錨點請填寫&lt;設隱形錨點&gt;","")</f>
        <v/>
      </c>
      <c r="AG223" s="174" t="str">
        <f t="shared" si="61"/>
        <v/>
      </c>
      <c r="AH223" s="195" t="s">
        <v>822</v>
      </c>
      <c r="AI223" s="176" t="str">
        <f ca="1">IFERROR(VLOOKUP($AH223, '(勿動)Component Label公版'!$D$1:$E$1000, 2, FALSE), "-")</f>
        <v>-</v>
      </c>
      <c r="AJ223" s="177"/>
      <c r="AK223" s="174"/>
      <c r="AL223" s="174"/>
      <c r="AM223" s="189" t="str">
        <f t="shared" si="56"/>
        <v/>
      </c>
      <c r="AN223" s="190" t="str">
        <f t="shared" si="57"/>
        <v/>
      </c>
      <c r="AO223" s="541" t="s">
        <v>865</v>
      </c>
      <c r="AP223" s="384"/>
      <c r="AQ223" s="384"/>
      <c r="AR223" s="384"/>
      <c r="AS223" s="384"/>
      <c r="AT223" s="385"/>
      <c r="AU223" s="180" t="b">
        <v>0</v>
      </c>
      <c r="AV223" s="180" t="b">
        <v>0</v>
      </c>
      <c r="AW223" s="186"/>
      <c r="AX223" s="187"/>
      <c r="AY223" s="187"/>
      <c r="AZ223" s="187"/>
      <c r="BA223" s="188"/>
      <c r="BB223" s="191" t="s">
        <v>264</v>
      </c>
      <c r="BC223" s="179" t="s">
        <v>257</v>
      </c>
      <c r="BD223" s="198" t="str">
        <f t="shared" si="49"/>
        <v>品_Collection 1條(水平展示)</v>
      </c>
      <c r="BE223" s="199" t="str">
        <f>IFERROR(VLOOKUP($BD223,'(勿動)組件目錄表'!$D$15:$R$1110,2,FALSE),"")</f>
        <v>G-4</v>
      </c>
      <c r="BF223" s="200">
        <f>IFERROR(VLOOKUP($BD223, '(勿動)組件目錄表'!$D$15:$R$1110, 5, FALSE),"")</f>
        <v>0.5</v>
      </c>
      <c r="BG223" s="181"/>
      <c r="BH223" s="183"/>
      <c r="BI223" s="181"/>
      <c r="BJ223" s="183"/>
    </row>
    <row r="224" spans="1:62" ht="15.75" customHeight="1">
      <c r="A224" s="160" t="str">
        <f t="array" aca="1" ref="A224:AD224" ca="1">IFERROR(TRANSPOSE(INDIRECT(L1_暖正版配!$BB224)),"")</f>
        <v>無CTA</v>
      </c>
      <c r="B224" s="160" t="str">
        <f ca="1"/>
        <v>LINK*1</v>
      </c>
      <c r="C224" s="160" t="str">
        <f ca="1"/>
        <v>LINK*2</v>
      </c>
      <c r="D224" s="160" t="str">
        <f ca="1"/>
        <v>LINK*3</v>
      </c>
      <c r="E224" s="160" t="str">
        <f ca="1"/>
        <v>LINK&gt;3</v>
      </c>
      <c r="F224" s="160" t="str">
        <f ca="1"/>
        <v>Reminder*1</v>
      </c>
      <c r="G224" s="160" t="str">
        <f ca="1"/>
        <v>Reminder*2</v>
      </c>
      <c r="H224" s="160" t="str">
        <f ca="1"/>
        <v>Reminder*3</v>
      </c>
      <c r="I224" s="160" t="str">
        <f ca="1"/>
        <v>Reminder*4</v>
      </c>
      <c r="J224" s="160" t="str">
        <f ca="1"/>
        <v>Reminder*5</v>
      </c>
      <c r="K224" s="160" t="str">
        <f ca="1"/>
        <v>Reminder&gt;5</v>
      </c>
      <c r="L224" s="160" t="str">
        <f ca="1"/>
        <v>LINK*1 + Reminder*1</v>
      </c>
      <c r="M224" s="160" t="str">
        <f ca="1"/>
        <v>LINK*1 + Reminder*2</v>
      </c>
      <c r="N224" s="160" t="str">
        <f ca="1"/>
        <v>LINK*2 + Reminder*1</v>
      </c>
      <c r="O224" s="160" t="str">
        <f ca="1"/>
        <v>Add to Cart*1</v>
      </c>
      <c r="P224" s="160" t="str">
        <f ca="1"/>
        <v>Add to Cart*2</v>
      </c>
      <c r="Q224" s="160" t="str">
        <f ca="1"/>
        <v>Add to Cart*3</v>
      </c>
      <c r="R224" s="160" t="str">
        <f ca="1"/>
        <v>(Reminder+ATC) *1</v>
      </c>
      <c r="S224" s="160" t="str">
        <f ca="1"/>
        <v>(Reminder+ATC) *2</v>
      </c>
      <c r="T224" s="160" t="str">
        <f ca="1"/>
        <v>(Reminder+ATC) *3</v>
      </c>
      <c r="U224" s="160" t="str">
        <f ca="1"/>
        <v>Popup*1</v>
      </c>
      <c r="V224" s="160" t="str">
        <f ca="1"/>
        <v>Popup*2</v>
      </c>
      <c r="W224" s="160" t="str">
        <f ca="1"/>
        <v>Popup*3</v>
      </c>
      <c r="X224" s="160" t="str">
        <f ca="1"/>
        <v>Copy*1</v>
      </c>
      <c r="Y224" s="160" t="str">
        <f ca="1"/>
        <v>Copy*2</v>
      </c>
      <c r="Z224" s="160" t="str">
        <f ca="1"/>
        <v>Copy*3</v>
      </c>
      <c r="AA224" s="160" t="str">
        <f ca="1"/>
        <v>Share*1</v>
      </c>
      <c r="AB224" s="160" t="str">
        <f ca="1"/>
        <v>Share*2</v>
      </c>
      <c r="AC224" s="160" t="str">
        <f ca="1"/>
        <v>Share*3</v>
      </c>
      <c r="AD224" s="160" t="str">
        <f ca="1"/>
        <v>Placeholders</v>
      </c>
      <c r="AE224" s="213" t="b">
        <v>0</v>
      </c>
      <c r="AF224" s="204" t="str">
        <f t="shared" si="69"/>
        <v/>
      </c>
      <c r="AG224" s="203" t="str">
        <f t="shared" si="61"/>
        <v/>
      </c>
      <c r="AH224" s="195" t="s">
        <v>822</v>
      </c>
      <c r="AI224" s="176" t="str">
        <f ca="1">IFERROR(VLOOKUP($AH224, '(勿動)Component Label公版'!$D$1:$E$1000, 2, FALSE), "-")</f>
        <v>-</v>
      </c>
      <c r="AJ224" s="18"/>
      <c r="AK224" s="203"/>
      <c r="AL224" s="203"/>
      <c r="AM224" s="203" t="str">
        <f t="shared" si="56"/>
        <v/>
      </c>
      <c r="AN224" s="204" t="str">
        <f t="shared" si="57"/>
        <v/>
      </c>
      <c r="AO224" s="569" t="s">
        <v>268</v>
      </c>
      <c r="AP224" s="384"/>
      <c r="AQ224" s="384"/>
      <c r="AR224" s="384"/>
      <c r="AS224" s="384"/>
      <c r="AT224" s="385"/>
      <c r="AU224" s="235" t="b">
        <v>1</v>
      </c>
      <c r="AV224" s="180" t="b">
        <v>0</v>
      </c>
      <c r="AW224" s="186"/>
      <c r="AX224" s="187"/>
      <c r="AY224" s="187"/>
      <c r="AZ224" s="187"/>
      <c r="BA224" s="188"/>
      <c r="BB224" s="191" t="s">
        <v>147</v>
      </c>
      <c r="BC224" s="179" t="s">
        <v>154</v>
      </c>
      <c r="BD224" s="198" t="str">
        <f t="shared" si="49"/>
        <v>圖_MSBN_無CTA</v>
      </c>
      <c r="BE224" s="190" t="str">
        <f>IFERROR(VLOOKUP($BD224,'(勿動)組件目錄表'!$D$15:$R$1110,2,FALSE),"")</f>
        <v>I-1</v>
      </c>
      <c r="BF224" s="205">
        <f>IFERROR(VLOOKUP($BD224, '(勿動)組件目錄表'!$D$15:$R$1110, 5, FALSE),"")</f>
        <v>0.5</v>
      </c>
      <c r="BG224" s="118"/>
      <c r="BH224" s="183"/>
      <c r="BI224" s="118"/>
      <c r="BJ224" s="183"/>
    </row>
    <row r="225" spans="1:62" ht="31.5" hidden="1" customHeight="1">
      <c r="A225" s="160" t="str">
        <f t="array" aca="1" ref="A225:D225" ca="1">IFERROR(TRANSPOSE(INDIRECT(L1_暖正版配!$BB225)),"")</f>
        <v>置中</v>
      </c>
      <c r="B225" s="160" t="str">
        <f ca="1"/>
        <v>置中 + Display See All</v>
      </c>
      <c r="C225" s="160" t="str">
        <f ca="1"/>
        <v>置左</v>
      </c>
      <c r="D225" s="160" t="str">
        <f ca="1"/>
        <v>置左 + Display See All</v>
      </c>
      <c r="E225" s="160"/>
      <c r="F225" s="160"/>
      <c r="G225" s="160"/>
      <c r="H225" s="160"/>
      <c r="I225" s="160"/>
      <c r="J225" s="160"/>
      <c r="K225" s="160"/>
      <c r="L225" s="160"/>
      <c r="M225" s="160"/>
      <c r="N225" s="160"/>
      <c r="O225" s="160"/>
      <c r="P225" s="160"/>
      <c r="Q225" s="160"/>
      <c r="R225" s="160"/>
      <c r="S225" s="160"/>
      <c r="T225" s="160"/>
      <c r="U225" s="160"/>
      <c r="V225" s="160"/>
      <c r="W225" s="160"/>
      <c r="X225" s="160"/>
      <c r="Y225" s="160"/>
      <c r="Z225" s="160"/>
      <c r="AA225" s="160"/>
      <c r="AB225" s="160"/>
      <c r="AC225" s="160"/>
      <c r="AD225" s="160"/>
      <c r="AE225" s="172" t="b">
        <v>1</v>
      </c>
      <c r="AF225" s="173" t="s">
        <v>400</v>
      </c>
      <c r="AG225" s="174" t="str">
        <f t="shared" ca="1" si="61"/>
        <v>-</v>
      </c>
      <c r="AH225" s="195" t="s">
        <v>399</v>
      </c>
      <c r="AI225" s="176" t="str">
        <f ca="1">IFERROR(VLOOKUP($AH225, '(勿動)Component Label公版'!$D$1:$E$1000, 2, FALSE), "-")</f>
        <v>-</v>
      </c>
      <c r="AJ225" s="177"/>
      <c r="AK225" s="174"/>
      <c r="AL225" s="174"/>
      <c r="AM225" s="189" t="str">
        <f t="shared" si="56"/>
        <v/>
      </c>
      <c r="AN225" s="190" t="str">
        <f t="shared" si="57"/>
        <v/>
      </c>
      <c r="AO225" s="570" t="s">
        <v>400</v>
      </c>
      <c r="AP225" s="384"/>
      <c r="AQ225" s="384"/>
      <c r="AR225" s="384"/>
      <c r="AS225" s="384"/>
      <c r="AT225" s="385"/>
      <c r="AU225" s="180" t="b">
        <v>0</v>
      </c>
      <c r="AV225" s="180" t="b">
        <v>0</v>
      </c>
      <c r="AW225" s="186"/>
      <c r="AX225" s="187"/>
      <c r="AY225" s="187"/>
      <c r="AZ225" s="187"/>
      <c r="BA225" s="188"/>
      <c r="BB225" s="191" t="s">
        <v>159</v>
      </c>
      <c r="BC225" s="179" t="s">
        <v>157</v>
      </c>
      <c r="BD225" s="198" t="str">
        <f t="shared" si="49"/>
        <v>標題_置左</v>
      </c>
      <c r="BE225" s="199" t="str">
        <f>IFERROR(VLOOKUP($BD225,'(勿動)組件目錄表'!$D$15:$R$1110,2,FALSE),"")</f>
        <v>D-3</v>
      </c>
      <c r="BF225" s="200">
        <f>IFERROR(VLOOKUP($BD225, '(勿動)組件目錄表'!$D$15:$R$1110, 5, FALSE),"")</f>
        <v>0.5</v>
      </c>
      <c r="BG225" s="181"/>
      <c r="BH225" s="183"/>
      <c r="BI225" s="181"/>
      <c r="BJ225" s="183"/>
    </row>
    <row r="226" spans="1:62" ht="15.75" hidden="1" customHeight="1">
      <c r="A226" s="160" t="str">
        <f t="array" aca="1" ref="A226" ca="1">IFERROR(TRANSPOSE(INDIRECT(L1_暖正版配!$BB226)),"")</f>
        <v>固定</v>
      </c>
      <c r="B226" s="160"/>
      <c r="C226" s="160"/>
      <c r="D226" s="160"/>
      <c r="E226" s="160"/>
      <c r="F226" s="160"/>
      <c r="G226" s="160"/>
      <c r="H226" s="160"/>
      <c r="I226" s="160"/>
      <c r="J226" s="160"/>
      <c r="K226" s="160"/>
      <c r="L226" s="160"/>
      <c r="M226" s="160"/>
      <c r="N226" s="160"/>
      <c r="O226" s="160"/>
      <c r="P226" s="160"/>
      <c r="Q226" s="160"/>
      <c r="R226" s="160"/>
      <c r="S226" s="160"/>
      <c r="T226" s="160"/>
      <c r="U226" s="160"/>
      <c r="V226" s="160"/>
      <c r="W226" s="160"/>
      <c r="X226" s="160"/>
      <c r="Y226" s="160"/>
      <c r="Z226" s="160"/>
      <c r="AA226" s="160"/>
      <c r="AB226" s="160"/>
      <c r="AC226" s="160"/>
      <c r="AD226" s="160"/>
      <c r="AE226" s="172" t="b">
        <v>0</v>
      </c>
      <c r="AF226" s="173" t="str">
        <f t="shared" ref="AF226:AF238" si="70">IF(AE226=TRUE,"若有勾選則必填，隱藏錨點請填寫&lt;設隱形錨點&gt;","")</f>
        <v/>
      </c>
      <c r="AG226" s="174" t="str">
        <f t="shared" si="61"/>
        <v/>
      </c>
      <c r="AH226" s="195" t="s">
        <v>399</v>
      </c>
      <c r="AI226" s="176" t="str">
        <f ca="1">IFERROR(VLOOKUP($AH226, '(勿動)Component Label公版'!$D$1:$E$1000, 2, FALSE), "-")</f>
        <v>-</v>
      </c>
      <c r="AJ226" s="177"/>
      <c r="AK226" s="174"/>
      <c r="AL226" s="174"/>
      <c r="AM226" s="189" t="str">
        <f t="shared" si="56"/>
        <v/>
      </c>
      <c r="AN226" s="190" t="str">
        <f t="shared" si="57"/>
        <v/>
      </c>
      <c r="AO226" s="564" t="s">
        <v>866</v>
      </c>
      <c r="AP226" s="381"/>
      <c r="AQ226" s="381"/>
      <c r="AR226" s="381"/>
      <c r="AS226" s="381"/>
      <c r="AT226" s="382"/>
      <c r="AU226" s="180" t="b">
        <v>0</v>
      </c>
      <c r="AV226" s="180" t="b">
        <v>0</v>
      </c>
      <c r="AW226" s="186"/>
      <c r="AX226" s="187"/>
      <c r="AY226" s="187"/>
      <c r="AZ226" s="187"/>
      <c r="BA226" s="188"/>
      <c r="BB226" s="191" t="s">
        <v>867</v>
      </c>
      <c r="BC226" s="179" t="s">
        <v>113</v>
      </c>
      <c r="BD226" s="198" t="str">
        <f t="shared" si="49"/>
        <v>ProductLabel_固定</v>
      </c>
      <c r="BE226" s="199" t="str">
        <f>IFERROR(VLOOKUP($BD226,'(勿動)組件目錄表'!$D$15:$R$1110,2,FALSE),"")</f>
        <v>N/A</v>
      </c>
      <c r="BF226" s="200">
        <f>IFERROR(VLOOKUP($BD226, '(勿動)組件目錄表'!$D$15:$R$1110, 5, FALSE),"")</f>
        <v>0.5</v>
      </c>
      <c r="BG226" s="181"/>
      <c r="BH226" s="183"/>
      <c r="BI226" s="181"/>
      <c r="BJ226" s="183"/>
    </row>
    <row r="227" spans="1:62" ht="15.75" customHeight="1">
      <c r="A227" s="160" t="str">
        <f t="array" aca="1" ref="A227:B227" ca="1">IFERROR(TRANSPOSE(INDIRECT(L1_暖正版配!$BB227)),"")</f>
        <v>淺色背景(app&amp;pc)</v>
      </c>
      <c r="B227" s="160" t="str">
        <f ca="1"/>
        <v>深色背景(app&amp;pc)</v>
      </c>
      <c r="C227" s="160"/>
      <c r="D227" s="160"/>
      <c r="E227" s="160"/>
      <c r="F227" s="160"/>
      <c r="G227" s="160"/>
      <c r="H227" s="160"/>
      <c r="I227" s="160"/>
      <c r="J227" s="160"/>
      <c r="K227" s="160"/>
      <c r="L227" s="160"/>
      <c r="M227" s="160"/>
      <c r="N227" s="160"/>
      <c r="O227" s="160"/>
      <c r="P227" s="160"/>
      <c r="Q227" s="160"/>
      <c r="R227" s="160"/>
      <c r="S227" s="160"/>
      <c r="T227" s="160"/>
      <c r="U227" s="160"/>
      <c r="V227" s="160"/>
      <c r="W227" s="160"/>
      <c r="X227" s="160"/>
      <c r="Y227" s="160"/>
      <c r="Z227" s="160"/>
      <c r="AA227" s="160"/>
      <c r="AB227" s="160"/>
      <c r="AC227" s="160"/>
      <c r="AD227" s="160"/>
      <c r="AE227" s="172" t="b">
        <v>0</v>
      </c>
      <c r="AF227" s="173" t="str">
        <f t="shared" si="70"/>
        <v/>
      </c>
      <c r="AG227" s="174" t="str">
        <f t="shared" si="61"/>
        <v/>
      </c>
      <c r="AH227" s="195"/>
      <c r="AI227" s="176" t="str">
        <f ca="1">IFERROR(VLOOKUP($AH227, '(勿動)Component Label公版'!$D$1:$E$1000, 2, FALSE), "-")</f>
        <v>-</v>
      </c>
      <c r="AJ227" s="177"/>
      <c r="AK227" s="174"/>
      <c r="AL227" s="174"/>
      <c r="AM227" s="189" t="str">
        <f t="shared" si="56"/>
        <v/>
      </c>
      <c r="AN227" s="190" t="str">
        <f t="shared" si="57"/>
        <v/>
      </c>
      <c r="AO227" s="565" t="s">
        <v>407</v>
      </c>
      <c r="AP227" s="384"/>
      <c r="AQ227" s="384"/>
      <c r="AR227" s="384"/>
      <c r="AS227" s="384"/>
      <c r="AT227" s="385"/>
      <c r="AU227" s="180" t="b">
        <v>0</v>
      </c>
      <c r="AV227" s="180" t="b">
        <v>0</v>
      </c>
      <c r="AW227" s="186"/>
      <c r="AX227" s="187"/>
      <c r="AY227" s="187"/>
      <c r="AZ227" s="187"/>
      <c r="BA227" s="188"/>
      <c r="BB227" s="191" t="s">
        <v>407</v>
      </c>
      <c r="BC227" s="179" t="s">
        <v>869</v>
      </c>
      <c r="BD227" s="198" t="str">
        <f t="shared" si="49"/>
        <v>版權商標_淺色背景(app&amp;pc)</v>
      </c>
      <c r="BE227" s="199" t="str">
        <f>IFERROR(VLOOKUP($BD227,'(勿動)組件目錄表'!$D$15:$R$1110,2,FALSE),"")</f>
        <v>S-1</v>
      </c>
      <c r="BF227" s="200">
        <f>IFERROR(VLOOKUP($BD227, '(勿動)組件目錄表'!$D$15:$R$1110, 5, FALSE),"")</f>
        <v>0.5</v>
      </c>
      <c r="BG227" s="181"/>
      <c r="BH227" s="183"/>
      <c r="BI227" s="181"/>
      <c r="BJ227" s="183"/>
    </row>
    <row r="228" spans="1:62" ht="13.5" customHeight="1">
      <c r="A228" s="160" t="str">
        <f t="array" aca="1" ref="A228:D228" ca="1">IFERROR(TRANSPOSE(INDIRECT(L1_暖正版配!$BB228)),"")</f>
        <v>icon*2(app&amp;pc)</v>
      </c>
      <c r="B228" s="160" t="str">
        <f ca="1"/>
        <v>icon*3(app&amp;pc)</v>
      </c>
      <c r="C228" s="160" t="str">
        <f ca="1"/>
        <v>icon*4(app&amp;pc)</v>
      </c>
      <c r="D228" s="160" t="str">
        <f ca="1"/>
        <v>icon*5(app&amp;pc)</v>
      </c>
      <c r="E228" s="160"/>
      <c r="F228" s="160"/>
      <c r="G228" s="160"/>
      <c r="H228" s="160"/>
      <c r="I228" s="160"/>
      <c r="J228" s="160"/>
      <c r="K228" s="160"/>
      <c r="L228" s="160"/>
      <c r="M228" s="160"/>
      <c r="N228" s="160"/>
      <c r="O228" s="160"/>
      <c r="P228" s="160"/>
      <c r="Q228" s="160"/>
      <c r="R228" s="160"/>
      <c r="S228" s="160"/>
      <c r="T228" s="160"/>
      <c r="U228" s="160"/>
      <c r="V228" s="160"/>
      <c r="W228" s="160"/>
      <c r="X228" s="160"/>
      <c r="Y228" s="160"/>
      <c r="Z228" s="160"/>
      <c r="AA228" s="160"/>
      <c r="AB228" s="160"/>
      <c r="AC228" s="160"/>
      <c r="AD228" s="160"/>
      <c r="AE228" s="172" t="b">
        <v>0</v>
      </c>
      <c r="AF228" s="173" t="str">
        <f t="shared" si="70"/>
        <v/>
      </c>
      <c r="AG228" s="174" t="str">
        <f t="shared" si="61"/>
        <v/>
      </c>
      <c r="AH228" s="195" t="s">
        <v>873</v>
      </c>
      <c r="AI228" s="176" t="str">
        <f ca="1">IFERROR(VLOOKUP($AH228, '(勿動)Component Label公版'!$D$1:$E$1000, 2, FALSE), "-")</f>
        <v>-</v>
      </c>
      <c r="AJ228" s="177"/>
      <c r="AK228" s="566" t="s">
        <v>434</v>
      </c>
      <c r="AL228" s="566" t="s">
        <v>874</v>
      </c>
      <c r="AM228" s="189" t="str">
        <f t="shared" si="56"/>
        <v/>
      </c>
      <c r="AN228" s="190" t="str">
        <f t="shared" si="57"/>
        <v>2026-04-17 23:59:59</v>
      </c>
      <c r="AO228" s="252" t="s">
        <v>875</v>
      </c>
      <c r="AP228" s="252" t="s">
        <v>875</v>
      </c>
      <c r="AQ228" s="252" t="s">
        <v>875</v>
      </c>
      <c r="AR228" s="253" t="s">
        <v>876</v>
      </c>
      <c r="AS228" s="529"/>
      <c r="AT228" s="422"/>
      <c r="AU228" s="235" t="b">
        <v>1</v>
      </c>
      <c r="AV228" s="180" t="b">
        <v>0</v>
      </c>
      <c r="AW228" s="173"/>
      <c r="AX228" s="205"/>
      <c r="AY228" s="205"/>
      <c r="AZ228" s="187"/>
      <c r="BA228" s="188"/>
      <c r="BB228" s="191" t="s">
        <v>873</v>
      </c>
      <c r="BC228" s="179" t="s">
        <v>871</v>
      </c>
      <c r="BD228" s="198" t="str">
        <f t="shared" si="49"/>
        <v>吸底圖_icon*4(app&amp;pc)</v>
      </c>
      <c r="BE228" s="199" t="str">
        <f>IFERROR(VLOOKUP($BD228,'(勿動)組件目錄表'!$D$15:$R$1110,2,FALSE),"")</f>
        <v>U-3</v>
      </c>
      <c r="BF228" s="200">
        <f>IFERROR(VLOOKUP($BD228, '(勿動)組件目錄表'!$D$15:$R$1110, 5, FALSE),"")</f>
        <v>0.8</v>
      </c>
      <c r="BG228" s="592" t="s">
        <v>877</v>
      </c>
      <c r="BH228" s="183"/>
      <c r="BI228" s="181"/>
      <c r="BJ228" s="183"/>
    </row>
    <row r="229" spans="1:62" ht="15.75" customHeight="1">
      <c r="A229" s="160" t="str">
        <f t="array" aca="1" ref="A229:D229" ca="1">IFERROR(TRANSPOSE(INDIRECT(L1_暖正版配!$BB229)),"")</f>
        <v>icon*2(app&amp;pc)</v>
      </c>
      <c r="B229" s="160" t="str">
        <f ca="1"/>
        <v>icon*3(app&amp;pc)</v>
      </c>
      <c r="C229" s="160" t="str">
        <f ca="1"/>
        <v>icon*4(app&amp;pc)</v>
      </c>
      <c r="D229" s="160" t="str">
        <f ca="1"/>
        <v>icon*5(app&amp;pc)</v>
      </c>
      <c r="E229" s="160"/>
      <c r="F229" s="160"/>
      <c r="G229" s="160"/>
      <c r="H229" s="160"/>
      <c r="I229" s="160"/>
      <c r="J229" s="160"/>
      <c r="K229" s="160"/>
      <c r="L229" s="160"/>
      <c r="M229" s="160"/>
      <c r="N229" s="160"/>
      <c r="O229" s="160"/>
      <c r="P229" s="160"/>
      <c r="Q229" s="160"/>
      <c r="R229" s="160"/>
      <c r="S229" s="160"/>
      <c r="T229" s="160"/>
      <c r="U229" s="160"/>
      <c r="V229" s="160"/>
      <c r="W229" s="160"/>
      <c r="X229" s="160"/>
      <c r="Y229" s="160"/>
      <c r="Z229" s="160"/>
      <c r="AA229" s="160"/>
      <c r="AB229" s="160"/>
      <c r="AC229" s="160"/>
      <c r="AD229" s="160"/>
      <c r="AE229" s="172" t="b">
        <v>0</v>
      </c>
      <c r="AF229" s="173" t="str">
        <f t="shared" si="70"/>
        <v/>
      </c>
      <c r="AG229" s="174" t="str">
        <f t="shared" si="61"/>
        <v/>
      </c>
      <c r="AH229" s="195" t="s">
        <v>873</v>
      </c>
      <c r="AI229" s="176" t="str">
        <f ca="1">IFERROR(VLOOKUP($AH229, '(勿動)Component Label公版'!$D$1:$E$1000, 2, FALSE), "-")</f>
        <v>-</v>
      </c>
      <c r="AJ229" s="177"/>
      <c r="AK229" s="379"/>
      <c r="AL229" s="379"/>
      <c r="AM229" s="189" t="str">
        <f t="shared" si="56"/>
        <v/>
      </c>
      <c r="AN229" s="190" t="str">
        <f t="shared" si="57"/>
        <v/>
      </c>
      <c r="AO229" s="254" t="s">
        <v>878</v>
      </c>
      <c r="AP229" s="254" t="s">
        <v>879</v>
      </c>
      <c r="AQ229" s="254" t="s">
        <v>880</v>
      </c>
      <c r="AR229" s="254" t="s">
        <v>881</v>
      </c>
      <c r="AS229" s="527"/>
      <c r="AT229" s="424"/>
      <c r="AU229" s="235" t="b">
        <v>1</v>
      </c>
      <c r="AV229" s="180" t="b">
        <v>0</v>
      </c>
      <c r="AW229" s="173" t="s">
        <v>882</v>
      </c>
      <c r="AX229" s="173" t="s">
        <v>883</v>
      </c>
      <c r="AY229" s="173" t="s">
        <v>884</v>
      </c>
      <c r="AZ229" s="187"/>
      <c r="BA229" s="188"/>
      <c r="BB229" s="191" t="s">
        <v>873</v>
      </c>
      <c r="BC229" s="179" t="s">
        <v>871</v>
      </c>
      <c r="BD229" s="198" t="str">
        <f t="shared" si="49"/>
        <v>吸底圖_icon*4(app&amp;pc)</v>
      </c>
      <c r="BE229" s="199" t="str">
        <f>IFERROR(VLOOKUP($BD229,'(勿動)組件目錄表'!$D$15:$R$1110,2,FALSE),"")</f>
        <v>U-3</v>
      </c>
      <c r="BF229" s="200">
        <f>IFERROR(VLOOKUP($BD229, '(勿動)組件目錄表'!$D$15:$R$1110, 5, FALSE),"")</f>
        <v>0.8</v>
      </c>
      <c r="BG229" s="591"/>
      <c r="BH229" s="183"/>
      <c r="BI229" s="181"/>
      <c r="BJ229" s="183"/>
    </row>
    <row r="230" spans="1:62" ht="15.75" customHeight="1">
      <c r="A230" s="160" t="str">
        <f t="array" aca="1" ref="A230:D230" ca="1">IFERROR(TRANSPOSE(INDIRECT(L1_暖正版配!$BB230)),"")</f>
        <v>icon*2(app&amp;pc)</v>
      </c>
      <c r="B230" s="160" t="str">
        <f ca="1"/>
        <v>icon*3(app&amp;pc)</v>
      </c>
      <c r="C230" s="160" t="str">
        <f ca="1"/>
        <v>icon*4(app&amp;pc)</v>
      </c>
      <c r="D230" s="160" t="str">
        <f ca="1"/>
        <v>icon*5(app&amp;pc)</v>
      </c>
      <c r="E230" s="160"/>
      <c r="F230" s="160"/>
      <c r="G230" s="160"/>
      <c r="H230" s="160"/>
      <c r="I230" s="160"/>
      <c r="J230" s="160"/>
      <c r="K230" s="160"/>
      <c r="L230" s="160"/>
      <c r="M230" s="160"/>
      <c r="N230" s="160"/>
      <c r="O230" s="160"/>
      <c r="P230" s="160"/>
      <c r="Q230" s="160"/>
      <c r="R230" s="160"/>
      <c r="S230" s="160"/>
      <c r="T230" s="160"/>
      <c r="U230" s="160"/>
      <c r="V230" s="160"/>
      <c r="W230" s="160"/>
      <c r="X230" s="160"/>
      <c r="Y230" s="160"/>
      <c r="Z230" s="160"/>
      <c r="AA230" s="160"/>
      <c r="AB230" s="160"/>
      <c r="AC230" s="160"/>
      <c r="AD230" s="160"/>
      <c r="AE230" s="172" t="b">
        <v>0</v>
      </c>
      <c r="AF230" s="173" t="str">
        <f t="shared" si="70"/>
        <v/>
      </c>
      <c r="AG230" s="174" t="str">
        <f t="shared" si="61"/>
        <v/>
      </c>
      <c r="AH230" s="195" t="s">
        <v>873</v>
      </c>
      <c r="AI230" s="176" t="str">
        <f ca="1">IFERROR(VLOOKUP($AH230, '(勿動)Component Label公版'!$D$1:$E$1000, 2, FALSE), "-")</f>
        <v>-</v>
      </c>
      <c r="AJ230" s="177"/>
      <c r="AK230" s="566" t="s">
        <v>885</v>
      </c>
      <c r="AL230" s="633" t="s">
        <v>886</v>
      </c>
      <c r="AM230" s="189" t="str">
        <f t="shared" si="56"/>
        <v>2026-04-18 00:00:00</v>
      </c>
      <c r="AN230" s="190" t="str">
        <f t="shared" si="57"/>
        <v>2026-04-18 05:59:59</v>
      </c>
      <c r="AO230" s="252" t="s">
        <v>875</v>
      </c>
      <c r="AP230" s="252" t="s">
        <v>875</v>
      </c>
      <c r="AQ230" s="255" t="s">
        <v>876</v>
      </c>
      <c r="AR230" s="256" t="s">
        <v>887</v>
      </c>
      <c r="AS230" s="252" t="s">
        <v>888</v>
      </c>
      <c r="AT230" s="571"/>
      <c r="AU230" s="235" t="b">
        <v>1</v>
      </c>
      <c r="AV230" s="235" t="b">
        <v>1</v>
      </c>
      <c r="AW230" s="173"/>
      <c r="AX230" s="205"/>
      <c r="AY230" s="205"/>
      <c r="AZ230" s="257" t="s">
        <v>876</v>
      </c>
      <c r="BA230" s="173" t="s">
        <v>888</v>
      </c>
      <c r="BB230" s="191" t="s">
        <v>873</v>
      </c>
      <c r="BC230" s="179" t="s">
        <v>872</v>
      </c>
      <c r="BD230" s="198" t="str">
        <f t="shared" si="49"/>
        <v>吸底圖_icon*5(app&amp;pc)</v>
      </c>
      <c r="BE230" s="199" t="str">
        <f>IFERROR(VLOOKUP($BD230,'(勿動)組件目錄表'!$D$15:$R$1110,2,FALSE),"")</f>
        <v>U-4</v>
      </c>
      <c r="BF230" s="200">
        <f>IFERROR(VLOOKUP($BD230, '(勿動)組件目錄表'!$D$15:$R$1110, 5, FALSE),"")</f>
        <v>0.8</v>
      </c>
      <c r="BG230" s="591"/>
      <c r="BH230" s="183"/>
      <c r="BI230" s="181"/>
      <c r="BJ230" s="597" t="s">
        <v>889</v>
      </c>
    </row>
    <row r="231" spans="1:62" ht="36" customHeight="1">
      <c r="A231" s="160" t="str">
        <f t="array" aca="1" ref="A231:D231" ca="1">IFERROR(TRANSPOSE(INDIRECT(L1_暖正版配!$BB231)),"")</f>
        <v>icon*2(app&amp;pc)</v>
      </c>
      <c r="B231" s="160" t="str">
        <f ca="1"/>
        <v>icon*3(app&amp;pc)</v>
      </c>
      <c r="C231" s="160" t="str">
        <f ca="1"/>
        <v>icon*4(app&amp;pc)</v>
      </c>
      <c r="D231" s="160" t="str">
        <f ca="1"/>
        <v>icon*5(app&amp;pc)</v>
      </c>
      <c r="E231" s="160"/>
      <c r="F231" s="160"/>
      <c r="G231" s="160"/>
      <c r="H231" s="160"/>
      <c r="I231" s="160"/>
      <c r="J231" s="160"/>
      <c r="K231" s="160"/>
      <c r="L231" s="160"/>
      <c r="M231" s="160"/>
      <c r="N231" s="160"/>
      <c r="O231" s="160"/>
      <c r="P231" s="160"/>
      <c r="Q231" s="160"/>
      <c r="R231" s="160"/>
      <c r="S231" s="160"/>
      <c r="T231" s="160"/>
      <c r="U231" s="160"/>
      <c r="V231" s="160"/>
      <c r="W231" s="160"/>
      <c r="X231" s="160"/>
      <c r="Y231" s="160"/>
      <c r="Z231" s="160"/>
      <c r="AA231" s="160"/>
      <c r="AB231" s="160"/>
      <c r="AC231" s="160"/>
      <c r="AD231" s="160"/>
      <c r="AE231" s="172" t="b">
        <v>0</v>
      </c>
      <c r="AF231" s="173" t="str">
        <f t="shared" si="70"/>
        <v/>
      </c>
      <c r="AG231" s="174" t="str">
        <f t="shared" si="61"/>
        <v/>
      </c>
      <c r="AH231" s="195" t="s">
        <v>873</v>
      </c>
      <c r="AI231" s="176" t="str">
        <f ca="1">IFERROR(VLOOKUP($AH231, '(勿動)Component Label公版'!$D$1:$E$1000, 2, FALSE), "-")</f>
        <v>-</v>
      </c>
      <c r="AJ231" s="177"/>
      <c r="AK231" s="379"/>
      <c r="AL231" s="379"/>
      <c r="AM231" s="189" t="str">
        <f t="shared" si="56"/>
        <v/>
      </c>
      <c r="AN231" s="190" t="str">
        <f t="shared" si="57"/>
        <v/>
      </c>
      <c r="AO231" s="254" t="s">
        <v>890</v>
      </c>
      <c r="AP231" s="254" t="s">
        <v>891</v>
      </c>
      <c r="AQ231" s="258" t="s">
        <v>892</v>
      </c>
      <c r="AR231" s="258" t="s">
        <v>893</v>
      </c>
      <c r="AS231" s="254" t="s">
        <v>894</v>
      </c>
      <c r="AT231" s="568"/>
      <c r="AU231" s="235" t="b">
        <v>1</v>
      </c>
      <c r="AV231" s="235" t="b">
        <v>1</v>
      </c>
      <c r="AW231" s="173" t="s">
        <v>895</v>
      </c>
      <c r="AX231" s="173" t="s">
        <v>883</v>
      </c>
      <c r="AY231" s="173" t="s">
        <v>884</v>
      </c>
      <c r="AZ231" s="173" t="s">
        <v>896</v>
      </c>
      <c r="BA231" s="173" t="s">
        <v>888</v>
      </c>
      <c r="BB231" s="191" t="s">
        <v>873</v>
      </c>
      <c r="BC231" s="179" t="s">
        <v>872</v>
      </c>
      <c r="BD231" s="198" t="str">
        <f t="shared" si="49"/>
        <v>吸底圖_icon*5(app&amp;pc)</v>
      </c>
      <c r="BE231" s="199" t="str">
        <f>IFERROR(VLOOKUP($BD231,'(勿動)組件目錄表'!$D$15:$R$1110,2,FALSE),"")</f>
        <v>U-4</v>
      </c>
      <c r="BF231" s="200">
        <f>IFERROR(VLOOKUP($BD231, '(勿動)組件目錄表'!$D$15:$R$1110, 5, FALSE),"")</f>
        <v>0.8</v>
      </c>
      <c r="BG231" s="591"/>
      <c r="BH231" s="183"/>
      <c r="BI231" s="181"/>
      <c r="BJ231" s="598"/>
    </row>
    <row r="232" spans="1:62" ht="15.75" customHeight="1">
      <c r="A232" s="160" t="str">
        <f t="array" aca="1" ref="A232:D232" ca="1">IFERROR(TRANSPOSE(INDIRECT(L1_暖正版配!$BB232)),"")</f>
        <v>icon*2(app&amp;pc)</v>
      </c>
      <c r="B232" s="160" t="str">
        <f ca="1"/>
        <v>icon*3(app&amp;pc)</v>
      </c>
      <c r="C232" s="160" t="str">
        <f ca="1"/>
        <v>icon*4(app&amp;pc)</v>
      </c>
      <c r="D232" s="160" t="str">
        <f ca="1"/>
        <v>icon*5(app&amp;pc)</v>
      </c>
      <c r="E232" s="160"/>
      <c r="F232" s="160"/>
      <c r="G232" s="160"/>
      <c r="H232" s="160"/>
      <c r="I232" s="160"/>
      <c r="J232" s="160"/>
      <c r="K232" s="160"/>
      <c r="L232" s="160"/>
      <c r="M232" s="160"/>
      <c r="N232" s="160"/>
      <c r="O232" s="160"/>
      <c r="P232" s="160"/>
      <c r="Q232" s="160"/>
      <c r="R232" s="160"/>
      <c r="S232" s="160"/>
      <c r="T232" s="160"/>
      <c r="U232" s="160"/>
      <c r="V232" s="160"/>
      <c r="W232" s="160"/>
      <c r="X232" s="160"/>
      <c r="Y232" s="160"/>
      <c r="Z232" s="160"/>
      <c r="AA232" s="160"/>
      <c r="AB232" s="160"/>
      <c r="AC232" s="160"/>
      <c r="AD232" s="160"/>
      <c r="AE232" s="172" t="b">
        <v>0</v>
      </c>
      <c r="AF232" s="173" t="str">
        <f t="shared" si="70"/>
        <v/>
      </c>
      <c r="AG232" s="174" t="str">
        <f t="shared" si="61"/>
        <v/>
      </c>
      <c r="AH232" s="195" t="s">
        <v>873</v>
      </c>
      <c r="AI232" s="176" t="str">
        <f ca="1">IFERROR(VLOOKUP($AH232, '(勿動)Component Label公版'!$D$1:$E$1000, 2, FALSE), "-")</f>
        <v>-</v>
      </c>
      <c r="AJ232" s="177"/>
      <c r="AK232" s="633" t="s">
        <v>897</v>
      </c>
      <c r="AL232" s="633" t="s">
        <v>898</v>
      </c>
      <c r="AM232" s="189" t="str">
        <f t="shared" si="56"/>
        <v>2026-04-18 06:00:00</v>
      </c>
      <c r="AN232" s="190" t="str">
        <f t="shared" si="57"/>
        <v>2026-04-18 11:59:59</v>
      </c>
      <c r="AO232" s="252" t="s">
        <v>875</v>
      </c>
      <c r="AP232" s="252" t="s">
        <v>875</v>
      </c>
      <c r="AQ232" s="255" t="s">
        <v>876</v>
      </c>
      <c r="AR232" s="256" t="s">
        <v>887</v>
      </c>
      <c r="AS232" s="252" t="s">
        <v>888</v>
      </c>
      <c r="AT232" s="571"/>
      <c r="AU232" s="235" t="b">
        <v>1</v>
      </c>
      <c r="AV232" s="235" t="b">
        <v>1</v>
      </c>
      <c r="AW232" s="173"/>
      <c r="AX232" s="205"/>
      <c r="AY232" s="205"/>
      <c r="AZ232" s="257" t="s">
        <v>876</v>
      </c>
      <c r="BA232" s="173" t="s">
        <v>888</v>
      </c>
      <c r="BB232" s="191" t="s">
        <v>873</v>
      </c>
      <c r="BC232" s="179" t="s">
        <v>872</v>
      </c>
      <c r="BD232" s="198" t="str">
        <f t="shared" si="49"/>
        <v>吸底圖_icon*5(app&amp;pc)</v>
      </c>
      <c r="BE232" s="199" t="str">
        <f>IFERROR(VLOOKUP($BD232,'(勿動)組件目錄表'!$D$15:$R$1110,2,FALSE),"")</f>
        <v>U-4</v>
      </c>
      <c r="BF232" s="200">
        <f>IFERROR(VLOOKUP($BD232, '(勿動)組件目錄表'!$D$15:$R$1110, 5, FALSE),"")</f>
        <v>0.8</v>
      </c>
      <c r="BG232" s="591"/>
      <c r="BH232" s="183"/>
      <c r="BI232" s="181"/>
      <c r="BJ232" s="598"/>
    </row>
    <row r="233" spans="1:62" ht="15.75" customHeight="1">
      <c r="A233" s="160" t="str">
        <f t="array" aca="1" ref="A233:D233" ca="1">IFERROR(TRANSPOSE(INDIRECT(L1_暖正版配!$BB233)),"")</f>
        <v>icon*2(app&amp;pc)</v>
      </c>
      <c r="B233" s="160" t="str">
        <f ca="1"/>
        <v>icon*3(app&amp;pc)</v>
      </c>
      <c r="C233" s="160" t="str">
        <f ca="1"/>
        <v>icon*4(app&amp;pc)</v>
      </c>
      <c r="D233" s="160" t="str">
        <f ca="1"/>
        <v>icon*5(app&amp;pc)</v>
      </c>
      <c r="E233" s="160"/>
      <c r="F233" s="160"/>
      <c r="G233" s="160"/>
      <c r="H233" s="160"/>
      <c r="I233" s="160"/>
      <c r="J233" s="160"/>
      <c r="K233" s="160"/>
      <c r="L233" s="160"/>
      <c r="M233" s="160"/>
      <c r="N233" s="160"/>
      <c r="O233" s="160"/>
      <c r="P233" s="160"/>
      <c r="Q233" s="160"/>
      <c r="R233" s="160"/>
      <c r="S233" s="160"/>
      <c r="T233" s="160"/>
      <c r="U233" s="160"/>
      <c r="V233" s="160"/>
      <c r="W233" s="160"/>
      <c r="X233" s="160"/>
      <c r="Y233" s="160"/>
      <c r="Z233" s="160"/>
      <c r="AA233" s="160"/>
      <c r="AB233" s="160"/>
      <c r="AC233" s="160"/>
      <c r="AD233" s="160"/>
      <c r="AE233" s="172" t="b">
        <v>0</v>
      </c>
      <c r="AF233" s="173" t="str">
        <f t="shared" si="70"/>
        <v/>
      </c>
      <c r="AG233" s="174" t="str">
        <f t="shared" si="61"/>
        <v/>
      </c>
      <c r="AH233" s="195" t="s">
        <v>873</v>
      </c>
      <c r="AI233" s="176" t="str">
        <f ca="1">IFERROR(VLOOKUP($AH233, '(勿動)Component Label公版'!$D$1:$E$1000, 2, FALSE), "-")</f>
        <v>-</v>
      </c>
      <c r="AJ233" s="177"/>
      <c r="AK233" s="379"/>
      <c r="AL233" s="379"/>
      <c r="AM233" s="189" t="str">
        <f t="shared" si="56"/>
        <v/>
      </c>
      <c r="AN233" s="190" t="str">
        <f t="shared" si="57"/>
        <v/>
      </c>
      <c r="AO233" s="254" t="s">
        <v>899</v>
      </c>
      <c r="AP233" s="254" t="s">
        <v>900</v>
      </c>
      <c r="AQ233" s="258" t="s">
        <v>901</v>
      </c>
      <c r="AR233" s="258" t="s">
        <v>902</v>
      </c>
      <c r="AS233" s="254" t="s">
        <v>903</v>
      </c>
      <c r="AT233" s="568"/>
      <c r="AU233" s="235" t="b">
        <v>1</v>
      </c>
      <c r="AV233" s="235" t="b">
        <v>1</v>
      </c>
      <c r="AW233" s="173" t="s">
        <v>895</v>
      </c>
      <c r="AX233" s="173" t="s">
        <v>883</v>
      </c>
      <c r="AY233" s="173" t="s">
        <v>884</v>
      </c>
      <c r="AZ233" s="173" t="s">
        <v>896</v>
      </c>
      <c r="BA233" s="173" t="s">
        <v>888</v>
      </c>
      <c r="BB233" s="191" t="s">
        <v>873</v>
      </c>
      <c r="BC233" s="179" t="s">
        <v>872</v>
      </c>
      <c r="BD233" s="198" t="str">
        <f t="shared" si="49"/>
        <v>吸底圖_icon*5(app&amp;pc)</v>
      </c>
      <c r="BE233" s="199" t="str">
        <f>IFERROR(VLOOKUP($BD233,'(勿動)組件目錄表'!$D$15:$R$1110,2,FALSE),"")</f>
        <v>U-4</v>
      </c>
      <c r="BF233" s="200">
        <f>IFERROR(VLOOKUP($BD233, '(勿動)組件目錄表'!$D$15:$R$1110, 5, FALSE),"")</f>
        <v>0.8</v>
      </c>
      <c r="BG233" s="591"/>
      <c r="BH233" s="183"/>
      <c r="BI233" s="181"/>
      <c r="BJ233" s="598"/>
    </row>
    <row r="234" spans="1:62" ht="15.75" customHeight="1">
      <c r="A234" s="160" t="str">
        <f t="array" aca="1" ref="A234:D234" ca="1">IFERROR(TRANSPOSE(INDIRECT(L1_暖正版配!$BB234)),"")</f>
        <v>icon*2(app&amp;pc)</v>
      </c>
      <c r="B234" s="160" t="str">
        <f ca="1"/>
        <v>icon*3(app&amp;pc)</v>
      </c>
      <c r="C234" s="160" t="str">
        <f ca="1"/>
        <v>icon*4(app&amp;pc)</v>
      </c>
      <c r="D234" s="160" t="str">
        <f ca="1"/>
        <v>icon*5(app&amp;pc)</v>
      </c>
      <c r="E234" s="160"/>
      <c r="F234" s="160"/>
      <c r="G234" s="160"/>
      <c r="H234" s="160"/>
      <c r="I234" s="160"/>
      <c r="J234" s="160"/>
      <c r="K234" s="160"/>
      <c r="L234" s="160"/>
      <c r="M234" s="160"/>
      <c r="N234" s="160"/>
      <c r="O234" s="160"/>
      <c r="P234" s="160"/>
      <c r="Q234" s="160"/>
      <c r="R234" s="160"/>
      <c r="S234" s="160"/>
      <c r="T234" s="160"/>
      <c r="U234" s="160"/>
      <c r="V234" s="160"/>
      <c r="W234" s="160"/>
      <c r="X234" s="160"/>
      <c r="Y234" s="160"/>
      <c r="Z234" s="160"/>
      <c r="AA234" s="160"/>
      <c r="AB234" s="160"/>
      <c r="AC234" s="160"/>
      <c r="AD234" s="160"/>
      <c r="AE234" s="172" t="b">
        <v>0</v>
      </c>
      <c r="AF234" s="173" t="str">
        <f t="shared" si="70"/>
        <v/>
      </c>
      <c r="AG234" s="174" t="str">
        <f t="shared" si="61"/>
        <v/>
      </c>
      <c r="AH234" s="195" t="s">
        <v>873</v>
      </c>
      <c r="AI234" s="176" t="str">
        <f ca="1">IFERROR(VLOOKUP($AH234, '(勿動)Component Label公版'!$D$1:$E$1000, 2, FALSE), "-")</f>
        <v>-</v>
      </c>
      <c r="AJ234" s="177"/>
      <c r="AK234" s="633" t="s">
        <v>904</v>
      </c>
      <c r="AL234" s="633" t="s">
        <v>905</v>
      </c>
      <c r="AM234" s="189" t="str">
        <f t="shared" si="56"/>
        <v>2026-04-18 12:00:00</v>
      </c>
      <c r="AN234" s="190" t="str">
        <f t="shared" si="57"/>
        <v>2026-04-18 17:59:59</v>
      </c>
      <c r="AO234" s="252" t="s">
        <v>875</v>
      </c>
      <c r="AP234" s="252" t="s">
        <v>875</v>
      </c>
      <c r="AQ234" s="255" t="s">
        <v>876</v>
      </c>
      <c r="AR234" s="256" t="s">
        <v>887</v>
      </c>
      <c r="AS234" s="252" t="s">
        <v>888</v>
      </c>
      <c r="AT234" s="571"/>
      <c r="AU234" s="235" t="b">
        <v>1</v>
      </c>
      <c r="AV234" s="235" t="b">
        <v>1</v>
      </c>
      <c r="AW234" s="173"/>
      <c r="AX234" s="205"/>
      <c r="AY234" s="205"/>
      <c r="AZ234" s="257" t="s">
        <v>876</v>
      </c>
      <c r="BA234" s="173" t="s">
        <v>888</v>
      </c>
      <c r="BB234" s="191" t="s">
        <v>873</v>
      </c>
      <c r="BC234" s="179" t="s">
        <v>872</v>
      </c>
      <c r="BD234" s="198" t="str">
        <f t="shared" si="49"/>
        <v>吸底圖_icon*5(app&amp;pc)</v>
      </c>
      <c r="BE234" s="199" t="str">
        <f>IFERROR(VLOOKUP($BD234,'(勿動)組件目錄表'!$D$15:$R$1110,2,FALSE),"")</f>
        <v>U-4</v>
      </c>
      <c r="BF234" s="200">
        <f>IFERROR(VLOOKUP($BD234, '(勿動)組件目錄表'!$D$15:$R$1110, 5, FALSE),"")</f>
        <v>0.8</v>
      </c>
      <c r="BG234" s="591"/>
      <c r="BH234" s="183"/>
      <c r="BI234" s="181"/>
      <c r="BJ234" s="598"/>
    </row>
    <row r="235" spans="1:62" ht="36" customHeight="1">
      <c r="A235" s="160" t="str">
        <f t="array" aca="1" ref="A235:D235" ca="1">IFERROR(TRANSPOSE(INDIRECT(L1_暖正版配!$BB235)),"")</f>
        <v>icon*2(app&amp;pc)</v>
      </c>
      <c r="B235" s="160" t="str">
        <f ca="1"/>
        <v>icon*3(app&amp;pc)</v>
      </c>
      <c r="C235" s="160" t="str">
        <f ca="1"/>
        <v>icon*4(app&amp;pc)</v>
      </c>
      <c r="D235" s="160" t="str">
        <f ca="1"/>
        <v>icon*5(app&amp;pc)</v>
      </c>
      <c r="E235" s="160"/>
      <c r="F235" s="160"/>
      <c r="G235" s="160"/>
      <c r="H235" s="160"/>
      <c r="I235" s="160"/>
      <c r="J235" s="160"/>
      <c r="K235" s="160"/>
      <c r="L235" s="160"/>
      <c r="M235" s="160"/>
      <c r="N235" s="160"/>
      <c r="O235" s="160"/>
      <c r="P235" s="160"/>
      <c r="Q235" s="160"/>
      <c r="R235" s="160"/>
      <c r="S235" s="160"/>
      <c r="T235" s="160"/>
      <c r="U235" s="160"/>
      <c r="V235" s="160"/>
      <c r="W235" s="160"/>
      <c r="X235" s="160"/>
      <c r="Y235" s="160"/>
      <c r="Z235" s="160"/>
      <c r="AA235" s="160"/>
      <c r="AB235" s="160"/>
      <c r="AC235" s="160"/>
      <c r="AD235" s="160"/>
      <c r="AE235" s="172" t="b">
        <v>0</v>
      </c>
      <c r="AF235" s="173" t="str">
        <f t="shared" si="70"/>
        <v/>
      </c>
      <c r="AG235" s="174" t="str">
        <f t="shared" si="61"/>
        <v/>
      </c>
      <c r="AH235" s="195" t="s">
        <v>873</v>
      </c>
      <c r="AI235" s="176" t="str">
        <f ca="1">IFERROR(VLOOKUP($AH235, '(勿動)Component Label公版'!$D$1:$E$1000, 2, FALSE), "-")</f>
        <v>-</v>
      </c>
      <c r="AJ235" s="177"/>
      <c r="AK235" s="379"/>
      <c r="AL235" s="379"/>
      <c r="AM235" s="189" t="str">
        <f t="shared" si="56"/>
        <v/>
      </c>
      <c r="AN235" s="190" t="str">
        <f t="shared" si="57"/>
        <v/>
      </c>
      <c r="AO235" s="254" t="s">
        <v>906</v>
      </c>
      <c r="AP235" s="254" t="s">
        <v>907</v>
      </c>
      <c r="AQ235" s="258" t="s">
        <v>908</v>
      </c>
      <c r="AR235" s="258" t="s">
        <v>909</v>
      </c>
      <c r="AS235" s="254" t="s">
        <v>910</v>
      </c>
      <c r="AT235" s="568"/>
      <c r="AU235" s="235" t="b">
        <v>1</v>
      </c>
      <c r="AV235" s="235" t="b">
        <v>1</v>
      </c>
      <c r="AW235" s="173" t="s">
        <v>895</v>
      </c>
      <c r="AX235" s="173" t="s">
        <v>883</v>
      </c>
      <c r="AY235" s="173" t="s">
        <v>884</v>
      </c>
      <c r="AZ235" s="173" t="s">
        <v>896</v>
      </c>
      <c r="BA235" s="173" t="s">
        <v>888</v>
      </c>
      <c r="BB235" s="191" t="s">
        <v>873</v>
      </c>
      <c r="BC235" s="179" t="s">
        <v>872</v>
      </c>
      <c r="BD235" s="198" t="str">
        <f t="shared" si="49"/>
        <v>吸底圖_icon*5(app&amp;pc)</v>
      </c>
      <c r="BE235" s="199" t="str">
        <f>IFERROR(VLOOKUP($BD235,'(勿動)組件目錄表'!$D$15:$R$1110,2,FALSE),"")</f>
        <v>U-4</v>
      </c>
      <c r="BF235" s="200">
        <f>IFERROR(VLOOKUP($BD235, '(勿動)組件目錄表'!$D$15:$R$1110, 5, FALSE),"")</f>
        <v>0.8</v>
      </c>
      <c r="BG235" s="591"/>
      <c r="BH235" s="183"/>
      <c r="BI235" s="181"/>
      <c r="BJ235" s="598"/>
    </row>
    <row r="236" spans="1:62" ht="15.75" customHeight="1">
      <c r="A236" s="160" t="str">
        <f t="array" aca="1" ref="A236:D236" ca="1">IFERROR(TRANSPOSE(INDIRECT(L1_暖正版配!$BB236)),"")</f>
        <v>icon*2(app&amp;pc)</v>
      </c>
      <c r="B236" s="160" t="str">
        <f ca="1"/>
        <v>icon*3(app&amp;pc)</v>
      </c>
      <c r="C236" s="160" t="str">
        <f ca="1"/>
        <v>icon*4(app&amp;pc)</v>
      </c>
      <c r="D236" s="160" t="str">
        <f ca="1"/>
        <v>icon*5(app&amp;pc)</v>
      </c>
      <c r="E236" s="160"/>
      <c r="F236" s="160"/>
      <c r="G236" s="160"/>
      <c r="H236" s="160"/>
      <c r="I236" s="160"/>
      <c r="J236" s="160"/>
      <c r="K236" s="160"/>
      <c r="L236" s="160"/>
      <c r="M236" s="160"/>
      <c r="N236" s="160"/>
      <c r="O236" s="160"/>
      <c r="P236" s="160"/>
      <c r="Q236" s="160"/>
      <c r="R236" s="160"/>
      <c r="S236" s="160"/>
      <c r="T236" s="160"/>
      <c r="U236" s="160"/>
      <c r="V236" s="160"/>
      <c r="W236" s="160"/>
      <c r="X236" s="160"/>
      <c r="Y236" s="160"/>
      <c r="Z236" s="160"/>
      <c r="AA236" s="160"/>
      <c r="AB236" s="160"/>
      <c r="AC236" s="160"/>
      <c r="AD236" s="160"/>
      <c r="AE236" s="172" t="b">
        <v>0</v>
      </c>
      <c r="AF236" s="173" t="str">
        <f t="shared" si="70"/>
        <v/>
      </c>
      <c r="AG236" s="174" t="str">
        <f t="shared" si="61"/>
        <v/>
      </c>
      <c r="AH236" s="195" t="s">
        <v>873</v>
      </c>
      <c r="AI236" s="176" t="str">
        <f ca="1">IFERROR(VLOOKUP($AH236, '(勿動)Component Label公版'!$D$1:$E$1000, 2, FALSE), "-")</f>
        <v>-</v>
      </c>
      <c r="AJ236" s="177"/>
      <c r="AK236" s="633" t="s">
        <v>911</v>
      </c>
      <c r="AL236" s="566" t="s">
        <v>912</v>
      </c>
      <c r="AM236" s="189" t="str">
        <f t="shared" si="56"/>
        <v>2026-04-18 18:00:00</v>
      </c>
      <c r="AN236" s="190" t="str">
        <f t="shared" si="57"/>
        <v>2026-04-18 23:59:59</v>
      </c>
      <c r="AO236" s="252" t="s">
        <v>875</v>
      </c>
      <c r="AP236" s="252" t="s">
        <v>875</v>
      </c>
      <c r="AQ236" s="255" t="s">
        <v>876</v>
      </c>
      <c r="AR236" s="256" t="s">
        <v>887</v>
      </c>
      <c r="AS236" s="252" t="s">
        <v>888</v>
      </c>
      <c r="AT236" s="571"/>
      <c r="AU236" s="235" t="b">
        <v>1</v>
      </c>
      <c r="AV236" s="235" t="b">
        <v>1</v>
      </c>
      <c r="AW236" s="173"/>
      <c r="AX236" s="205"/>
      <c r="AY236" s="205"/>
      <c r="AZ236" s="257" t="s">
        <v>876</v>
      </c>
      <c r="BA236" s="173" t="s">
        <v>888</v>
      </c>
      <c r="BB236" s="191" t="s">
        <v>873</v>
      </c>
      <c r="BC236" s="179" t="s">
        <v>872</v>
      </c>
      <c r="BD236" s="198" t="str">
        <f t="shared" si="49"/>
        <v>吸底圖_icon*5(app&amp;pc)</v>
      </c>
      <c r="BE236" s="199" t="str">
        <f>IFERROR(VLOOKUP($BD236,'(勿動)組件目錄表'!$D$15:$R$1110,2,FALSE),"")</f>
        <v>U-4</v>
      </c>
      <c r="BF236" s="200">
        <f>IFERROR(VLOOKUP($BD236, '(勿動)組件目錄表'!$D$15:$R$1110, 5, FALSE),"")</f>
        <v>0.8</v>
      </c>
      <c r="BG236" s="591"/>
      <c r="BH236" s="183"/>
      <c r="BI236" s="181"/>
      <c r="BJ236" s="598"/>
    </row>
    <row r="237" spans="1:62" ht="15.75" customHeight="1">
      <c r="A237" s="160" t="str">
        <f t="array" aca="1" ref="A237:D237" ca="1">IFERROR(TRANSPOSE(INDIRECT(L1_暖正版配!$BB237)),"")</f>
        <v>icon*2(app&amp;pc)</v>
      </c>
      <c r="B237" s="160" t="str">
        <f ca="1"/>
        <v>icon*3(app&amp;pc)</v>
      </c>
      <c r="C237" s="160" t="str">
        <f ca="1"/>
        <v>icon*4(app&amp;pc)</v>
      </c>
      <c r="D237" s="160" t="str">
        <f ca="1"/>
        <v>icon*5(app&amp;pc)</v>
      </c>
      <c r="E237" s="160"/>
      <c r="F237" s="160"/>
      <c r="G237" s="160"/>
      <c r="H237" s="160"/>
      <c r="I237" s="160"/>
      <c r="J237" s="160"/>
      <c r="K237" s="160"/>
      <c r="L237" s="160"/>
      <c r="M237" s="160"/>
      <c r="N237" s="160"/>
      <c r="O237" s="160"/>
      <c r="P237" s="160"/>
      <c r="Q237" s="160"/>
      <c r="R237" s="160"/>
      <c r="S237" s="160"/>
      <c r="T237" s="160"/>
      <c r="U237" s="160"/>
      <c r="V237" s="160"/>
      <c r="W237" s="160"/>
      <c r="X237" s="160"/>
      <c r="Y237" s="160"/>
      <c r="Z237" s="160"/>
      <c r="AA237" s="160"/>
      <c r="AB237" s="160"/>
      <c r="AC237" s="160"/>
      <c r="AD237" s="160"/>
      <c r="AE237" s="172" t="b">
        <v>0</v>
      </c>
      <c r="AF237" s="173" t="str">
        <f t="shared" si="70"/>
        <v/>
      </c>
      <c r="AG237" s="174" t="str">
        <f t="shared" si="61"/>
        <v/>
      </c>
      <c r="AH237" s="195" t="s">
        <v>873</v>
      </c>
      <c r="AI237" s="176" t="str">
        <f ca="1">IFERROR(VLOOKUP($AH237, '(勿動)Component Label公版'!$D$1:$E$1000, 2, FALSE), "-")</f>
        <v>-</v>
      </c>
      <c r="AJ237" s="177"/>
      <c r="AK237" s="379"/>
      <c r="AL237" s="379"/>
      <c r="AM237" s="189" t="str">
        <f t="shared" si="56"/>
        <v/>
      </c>
      <c r="AN237" s="190" t="str">
        <f t="shared" si="57"/>
        <v/>
      </c>
      <c r="AO237" s="254" t="s">
        <v>913</v>
      </c>
      <c r="AP237" s="254" t="s">
        <v>914</v>
      </c>
      <c r="AQ237" s="258" t="s">
        <v>915</v>
      </c>
      <c r="AR237" s="258" t="s">
        <v>916</v>
      </c>
      <c r="AS237" s="254" t="s">
        <v>917</v>
      </c>
      <c r="AT237" s="568"/>
      <c r="AU237" s="235" t="b">
        <v>1</v>
      </c>
      <c r="AV237" s="235" t="b">
        <v>1</v>
      </c>
      <c r="AW237" s="173" t="s">
        <v>895</v>
      </c>
      <c r="AX237" s="173" t="s">
        <v>883</v>
      </c>
      <c r="AY237" s="173" t="s">
        <v>884</v>
      </c>
      <c r="AZ237" s="173" t="s">
        <v>896</v>
      </c>
      <c r="BA237" s="173" t="s">
        <v>888</v>
      </c>
      <c r="BB237" s="191" t="s">
        <v>873</v>
      </c>
      <c r="BC237" s="179" t="s">
        <v>872</v>
      </c>
      <c r="BD237" s="198" t="str">
        <f t="shared" si="49"/>
        <v>吸底圖_icon*5(app&amp;pc)</v>
      </c>
      <c r="BE237" s="199" t="str">
        <f>IFERROR(VLOOKUP($BD237,'(勿動)組件目錄表'!$D$15:$R$1110,2,FALSE),"")</f>
        <v>U-4</v>
      </c>
      <c r="BF237" s="200">
        <f>IFERROR(VLOOKUP($BD237, '(勿動)組件目錄表'!$D$15:$R$1110, 5, FALSE),"")</f>
        <v>0.8</v>
      </c>
      <c r="BG237" s="587"/>
      <c r="BH237" s="183"/>
      <c r="BI237" s="181"/>
      <c r="BJ237" s="584"/>
    </row>
    <row r="238" spans="1:62" ht="15.75" customHeight="1">
      <c r="A238" s="160" t="str">
        <f t="array" aca="1" ref="A238:B238" ca="1">IFERROR(TRANSPOSE(INDIRECT(L1_暖正版配!$BB238)),"")</f>
        <v>有mission計時器</v>
      </c>
      <c r="B238" s="160" t="str">
        <f ca="1"/>
        <v>無mission計時器</v>
      </c>
      <c r="C238" s="160"/>
      <c r="D238" s="160"/>
      <c r="E238" s="160"/>
      <c r="F238" s="160"/>
      <c r="G238" s="160"/>
      <c r="H238" s="160"/>
      <c r="I238" s="160"/>
      <c r="J238" s="160"/>
      <c r="K238" s="160"/>
      <c r="L238" s="160"/>
      <c r="M238" s="160"/>
      <c r="N238" s="160"/>
      <c r="O238" s="160"/>
      <c r="P238" s="160"/>
      <c r="Q238" s="160"/>
      <c r="R238" s="160"/>
      <c r="S238" s="160"/>
      <c r="T238" s="160"/>
      <c r="U238" s="160"/>
      <c r="V238" s="160"/>
      <c r="W238" s="160"/>
      <c r="X238" s="160"/>
      <c r="Y238" s="160"/>
      <c r="Z238" s="160"/>
      <c r="AA238" s="160"/>
      <c r="AB238" s="160"/>
      <c r="AC238" s="160"/>
      <c r="AD238" s="160"/>
      <c r="AE238" s="172" t="b">
        <v>0</v>
      </c>
      <c r="AF238" s="173" t="str">
        <f t="shared" si="70"/>
        <v/>
      </c>
      <c r="AG238" s="174" t="str">
        <f t="shared" si="61"/>
        <v/>
      </c>
      <c r="AH238" s="195"/>
      <c r="AI238" s="176" t="str">
        <f ca="1">IFERROR(VLOOKUP($AH238, '(勿動)Component Label公版'!$D$1:$E$1000, 2, FALSE), "-")</f>
        <v>-</v>
      </c>
      <c r="AJ238" s="177"/>
      <c r="AK238" s="174"/>
      <c r="AL238" s="174"/>
      <c r="AM238" s="189" t="str">
        <f t="shared" si="56"/>
        <v/>
      </c>
      <c r="AN238" s="190" t="str">
        <f t="shared" si="57"/>
        <v/>
      </c>
      <c r="AO238" s="634" t="s">
        <v>31</v>
      </c>
      <c r="AP238" s="401"/>
      <c r="AQ238" s="401"/>
      <c r="AR238" s="401"/>
      <c r="AS238" s="401"/>
      <c r="AT238" s="401"/>
      <c r="AU238" s="180" t="b">
        <v>0</v>
      </c>
      <c r="AV238" s="180" t="b">
        <v>0</v>
      </c>
      <c r="AW238" s="186"/>
      <c r="AX238" s="187"/>
      <c r="AY238" s="187"/>
      <c r="AZ238" s="187"/>
      <c r="BA238" s="188"/>
      <c r="BB238" s="191" t="s">
        <v>919</v>
      </c>
      <c r="BC238" s="179" t="s">
        <v>918</v>
      </c>
      <c r="BD238" s="198" t="str">
        <f t="shared" si="49"/>
        <v>BackToTop_無mission計時器</v>
      </c>
      <c r="BE238" s="199" t="str">
        <f>IFERROR(VLOOKUP($BD238,'(勿動)組件目錄表'!$D$15:$R$1110,2,FALSE),"")</f>
        <v>V-2</v>
      </c>
      <c r="BF238" s="200">
        <f>IFERROR(VLOOKUP($BD238, '(勿動)組件目錄表'!$D$15:$R$1110, 5, FALSE),"")</f>
        <v>0.2</v>
      </c>
      <c r="BG238" s="181"/>
      <c r="BH238" s="183"/>
      <c r="BI238" s="181"/>
      <c r="BJ238" s="183"/>
    </row>
    <row r="239" spans="1:62" ht="15.75" customHeight="1"/>
    <row r="240" spans="1:6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</sheetData>
  <mergeCells count="402">
    <mergeCell ref="AK234:AK235"/>
    <mergeCell ref="AL234:AL235"/>
    <mergeCell ref="AT234:AT235"/>
    <mergeCell ref="AK236:AK237"/>
    <mergeCell ref="AL236:AL237"/>
    <mergeCell ref="AT236:AT237"/>
    <mergeCell ref="AO238:AT238"/>
    <mergeCell ref="AO201:AP201"/>
    <mergeCell ref="AK230:AK231"/>
    <mergeCell ref="AL230:AL231"/>
    <mergeCell ref="AT230:AT231"/>
    <mergeCell ref="AK232:AK233"/>
    <mergeCell ref="AL232:AL233"/>
    <mergeCell ref="AT232:AT233"/>
    <mergeCell ref="AJ124:AJ127"/>
    <mergeCell ref="AO124:AT124"/>
    <mergeCell ref="AO125:AT125"/>
    <mergeCell ref="AO126:AT126"/>
    <mergeCell ref="AJ128:AJ131"/>
    <mergeCell ref="AO131:AT131"/>
    <mergeCell ref="AO132:AT132"/>
    <mergeCell ref="AO133:AT133"/>
    <mergeCell ref="AO134:AP134"/>
    <mergeCell ref="AQ134:AR134"/>
    <mergeCell ref="AS134:AT134"/>
    <mergeCell ref="AS189:AT189"/>
    <mergeCell ref="AO189:AR189"/>
    <mergeCell ref="AO195:AR195"/>
    <mergeCell ref="AS195:AT195"/>
    <mergeCell ref="AO200:AT200"/>
    <mergeCell ref="AQ201:AR201"/>
    <mergeCell ref="AS201:AT201"/>
    <mergeCell ref="AO203:AT203"/>
    <mergeCell ref="AS117:AT117"/>
    <mergeCell ref="AO118:AT118"/>
    <mergeCell ref="AO119:AT119"/>
    <mergeCell ref="AO120:AT120"/>
    <mergeCell ref="AO121:AP121"/>
    <mergeCell ref="AQ121:AR121"/>
    <mergeCell ref="AS121:AT121"/>
    <mergeCell ref="AO127:AT127"/>
    <mergeCell ref="AO128:AT128"/>
    <mergeCell ref="AO129:AT129"/>
    <mergeCell ref="AO130:AT130"/>
    <mergeCell ref="AO122:AT122"/>
    <mergeCell ref="AO123:AT123"/>
    <mergeCell ref="AR139:AT139"/>
    <mergeCell ref="AO139:AQ139"/>
    <mergeCell ref="AO153:AR153"/>
    <mergeCell ref="AS102:AT102"/>
    <mergeCell ref="AO100:AP100"/>
    <mergeCell ref="AQ100:AR100"/>
    <mergeCell ref="AS100:AT100"/>
    <mergeCell ref="AO101:AP101"/>
    <mergeCell ref="AQ101:AR101"/>
    <mergeCell ref="AS101:AT101"/>
    <mergeCell ref="AO102:AP102"/>
    <mergeCell ref="AO171:AR171"/>
    <mergeCell ref="AS171:AT171"/>
    <mergeCell ref="AS153:AT153"/>
    <mergeCell ref="AO159:AR159"/>
    <mergeCell ref="AS159:AT159"/>
    <mergeCell ref="AO165:AR165"/>
    <mergeCell ref="AS165:AT165"/>
    <mergeCell ref="AO61:AT61"/>
    <mergeCell ref="AO62:AT62"/>
    <mergeCell ref="AO63:AT63"/>
    <mergeCell ref="AO64:AT64"/>
    <mergeCell ref="AO65:AT65"/>
    <mergeCell ref="AO66:AT66"/>
    <mergeCell ref="AO67:AT67"/>
    <mergeCell ref="AO68:AT68"/>
    <mergeCell ref="AO69:AT69"/>
    <mergeCell ref="AO45:AT45"/>
    <mergeCell ref="AO46:AT46"/>
    <mergeCell ref="AO47:AT47"/>
    <mergeCell ref="AS54:AT55"/>
    <mergeCell ref="AO56:AT56"/>
    <mergeCell ref="AO57:AT57"/>
    <mergeCell ref="AO58:AT58"/>
    <mergeCell ref="AO59:AT59"/>
    <mergeCell ref="AO60:AT60"/>
    <mergeCell ref="AO35:AT35"/>
    <mergeCell ref="AO37:AT37"/>
    <mergeCell ref="AO39:AP39"/>
    <mergeCell ref="AQ39:AS40"/>
    <mergeCell ref="AT39:AT40"/>
    <mergeCell ref="AO40:AP40"/>
    <mergeCell ref="AO41:AT41"/>
    <mergeCell ref="AO43:AT43"/>
    <mergeCell ref="AO44:AT44"/>
    <mergeCell ref="AO36:AT36"/>
    <mergeCell ref="AO38:AT38"/>
    <mergeCell ref="AO42:AT42"/>
    <mergeCell ref="AS50:AT51"/>
    <mergeCell ref="BJ20:BJ21"/>
    <mergeCell ref="BJ22:BJ23"/>
    <mergeCell ref="BG24:BG25"/>
    <mergeCell ref="BJ24:BJ25"/>
    <mergeCell ref="BG26:BG27"/>
    <mergeCell ref="BJ26:BJ27"/>
    <mergeCell ref="BG28:BG29"/>
    <mergeCell ref="AO20:AT20"/>
    <mergeCell ref="AO21:AT21"/>
    <mergeCell ref="AO22:AT22"/>
    <mergeCell ref="AO23:AT23"/>
    <mergeCell ref="AO24:AP24"/>
    <mergeCell ref="AQ24:AS25"/>
    <mergeCell ref="AT24:AT25"/>
    <mergeCell ref="AQ26:AS27"/>
    <mergeCell ref="AT26:AT27"/>
    <mergeCell ref="AO27:AP27"/>
    <mergeCell ref="AO28:AT28"/>
    <mergeCell ref="AO30:AT30"/>
    <mergeCell ref="AO31:AT31"/>
    <mergeCell ref="BB11:BB12"/>
    <mergeCell ref="BC11:BC12"/>
    <mergeCell ref="BB13:BB14"/>
    <mergeCell ref="BC13:BC14"/>
    <mergeCell ref="BJ18:BJ19"/>
    <mergeCell ref="AO25:AP25"/>
    <mergeCell ref="AO26:AP26"/>
    <mergeCell ref="AO29:AT29"/>
    <mergeCell ref="AO34:AT34"/>
    <mergeCell ref="AO13:AT13"/>
    <mergeCell ref="AO14:AT14"/>
    <mergeCell ref="AO15:AT15"/>
    <mergeCell ref="AO16:AT16"/>
    <mergeCell ref="AO17:AT17"/>
    <mergeCell ref="AO18:AT18"/>
    <mergeCell ref="AO19:AT19"/>
    <mergeCell ref="AO32:AT32"/>
    <mergeCell ref="AO33:AT33"/>
    <mergeCell ref="AO10:AT10"/>
    <mergeCell ref="AO11:AT11"/>
    <mergeCell ref="AO12:AT12"/>
    <mergeCell ref="AH3:AI3"/>
    <mergeCell ref="AM3:AN3"/>
    <mergeCell ref="AK9:AK10"/>
    <mergeCell ref="AL9:AL10"/>
    <mergeCell ref="AK11:AK12"/>
    <mergeCell ref="AL11:AL12"/>
    <mergeCell ref="BB4:BB6"/>
    <mergeCell ref="BC4:BC6"/>
    <mergeCell ref="BD4:BD6"/>
    <mergeCell ref="BE4:BE6"/>
    <mergeCell ref="BF4:BF6"/>
    <mergeCell ref="AO3:AT3"/>
    <mergeCell ref="AW3:BA3"/>
    <mergeCell ref="AO8:AT8"/>
    <mergeCell ref="AO9:AT9"/>
    <mergeCell ref="BB9:BB10"/>
    <mergeCell ref="BC9:BC10"/>
    <mergeCell ref="AO1:AP1"/>
    <mergeCell ref="AU1:BA2"/>
    <mergeCell ref="BB1:BH2"/>
    <mergeCell ref="BI1:BJ2"/>
    <mergeCell ref="AO2:AQ2"/>
    <mergeCell ref="AR2:AT2"/>
    <mergeCell ref="A3:AD3"/>
    <mergeCell ref="BG3:BH3"/>
    <mergeCell ref="BB3:BC3"/>
    <mergeCell ref="BD3:BF3"/>
    <mergeCell ref="BG151:BG153"/>
    <mergeCell ref="BG199:BG201"/>
    <mergeCell ref="BG202:BG203"/>
    <mergeCell ref="BI206:BI207"/>
    <mergeCell ref="BJ206:BJ207"/>
    <mergeCell ref="BJ218:BJ219"/>
    <mergeCell ref="BJ230:BJ237"/>
    <mergeCell ref="BG157:BG159"/>
    <mergeCell ref="BG163:BG165"/>
    <mergeCell ref="BG169:BG171"/>
    <mergeCell ref="BG175:BG177"/>
    <mergeCell ref="BG181:BG183"/>
    <mergeCell ref="BG187:BG189"/>
    <mergeCell ref="BG193:BG195"/>
    <mergeCell ref="BG228:BG237"/>
    <mergeCell ref="BG96:BG97"/>
    <mergeCell ref="BG113:BG114"/>
    <mergeCell ref="BI113:BI114"/>
    <mergeCell ref="BG119:BG120"/>
    <mergeCell ref="BG124:BG125"/>
    <mergeCell ref="BG128:BG129"/>
    <mergeCell ref="BG132:BG133"/>
    <mergeCell ref="BG138:BG139"/>
    <mergeCell ref="BG147:BG148"/>
    <mergeCell ref="BG65:BG66"/>
    <mergeCell ref="BJ65:BJ66"/>
    <mergeCell ref="BG69:BG70"/>
    <mergeCell ref="BJ69:BJ70"/>
    <mergeCell ref="BG73:BG75"/>
    <mergeCell ref="BG76:BG82"/>
    <mergeCell ref="BG89:BG90"/>
    <mergeCell ref="BG91:BG92"/>
    <mergeCell ref="BJ91:BJ92"/>
    <mergeCell ref="BJ33:BJ34"/>
    <mergeCell ref="BJ35:BJ36"/>
    <mergeCell ref="BJ37:BJ38"/>
    <mergeCell ref="BG39:BG40"/>
    <mergeCell ref="BJ39:BJ40"/>
    <mergeCell ref="BG41:BG42"/>
    <mergeCell ref="BJ50:BJ51"/>
    <mergeCell ref="BI48:BI51"/>
    <mergeCell ref="BI52:BI55"/>
    <mergeCell ref="AJ56:AJ58"/>
    <mergeCell ref="AJ60:AJ64"/>
    <mergeCell ref="AK65:AK68"/>
    <mergeCell ref="AL65:AL68"/>
    <mergeCell ref="AK69:AK70"/>
    <mergeCell ref="AL69:AL70"/>
    <mergeCell ref="AJ32:AJ44"/>
    <mergeCell ref="AK33:AK34"/>
    <mergeCell ref="AK35:AK36"/>
    <mergeCell ref="AK37:AK38"/>
    <mergeCell ref="AK41:AK42"/>
    <mergeCell ref="AJ48:AJ51"/>
    <mergeCell ref="AJ52:AJ55"/>
    <mergeCell ref="AL33:AL34"/>
    <mergeCell ref="AL35:AL36"/>
    <mergeCell ref="AL37:AL38"/>
    <mergeCell ref="AL41:AL42"/>
    <mergeCell ref="AK13:AK14"/>
    <mergeCell ref="AJ17:AJ19"/>
    <mergeCell ref="AK18:AK19"/>
    <mergeCell ref="AL18:AL19"/>
    <mergeCell ref="AJ20:AJ21"/>
    <mergeCell ref="AL20:AL21"/>
    <mergeCell ref="AJ22:AJ31"/>
    <mergeCell ref="AL13:AL14"/>
    <mergeCell ref="AK20:AK21"/>
    <mergeCell ref="AK22:AK23"/>
    <mergeCell ref="AL22:AL23"/>
    <mergeCell ref="AK24:AK25"/>
    <mergeCell ref="AL24:AL25"/>
    <mergeCell ref="AK26:AK27"/>
    <mergeCell ref="AL26:AL27"/>
    <mergeCell ref="AK28:AK29"/>
    <mergeCell ref="AL28:AL29"/>
    <mergeCell ref="AO172:AT172"/>
    <mergeCell ref="AP173:AR173"/>
    <mergeCell ref="AS173:AT173"/>
    <mergeCell ref="AO174:AT174"/>
    <mergeCell ref="AO175:AR175"/>
    <mergeCell ref="AS175:AT176"/>
    <mergeCell ref="AO176:AR176"/>
    <mergeCell ref="AO178:AT178"/>
    <mergeCell ref="AP179:AR179"/>
    <mergeCell ref="AS179:AT179"/>
    <mergeCell ref="AO177:AR177"/>
    <mergeCell ref="AS177:AT177"/>
    <mergeCell ref="AO162:AT162"/>
    <mergeCell ref="AO163:AR163"/>
    <mergeCell ref="AS163:AT164"/>
    <mergeCell ref="AO164:AR164"/>
    <mergeCell ref="AO166:AT166"/>
    <mergeCell ref="AP167:AR167"/>
    <mergeCell ref="AS167:AT167"/>
    <mergeCell ref="AO168:AT168"/>
    <mergeCell ref="AO169:AR169"/>
    <mergeCell ref="AS169:AT170"/>
    <mergeCell ref="AO170:AR170"/>
    <mergeCell ref="AO154:AT154"/>
    <mergeCell ref="AP155:AR155"/>
    <mergeCell ref="AS155:AT155"/>
    <mergeCell ref="AO156:AT156"/>
    <mergeCell ref="AO157:AR157"/>
    <mergeCell ref="AS157:AT158"/>
    <mergeCell ref="AO158:AR158"/>
    <mergeCell ref="AO160:AT160"/>
    <mergeCell ref="AP161:AR161"/>
    <mergeCell ref="AS161:AT161"/>
    <mergeCell ref="AO146:AT146"/>
    <mergeCell ref="AJ147:AJ149"/>
    <mergeCell ref="AO147:AT147"/>
    <mergeCell ref="AO148:AT148"/>
    <mergeCell ref="AO149:AT149"/>
    <mergeCell ref="AO150:AT150"/>
    <mergeCell ref="AO151:AR151"/>
    <mergeCell ref="AS151:AT152"/>
    <mergeCell ref="AO152:AR152"/>
    <mergeCell ref="AT135:AT136"/>
    <mergeCell ref="AO137:AT137"/>
    <mergeCell ref="AO138:AT138"/>
    <mergeCell ref="AO140:AT140"/>
    <mergeCell ref="AO141:AT141"/>
    <mergeCell ref="AO142:AT142"/>
    <mergeCell ref="AO143:AT143"/>
    <mergeCell ref="AO144:AT144"/>
    <mergeCell ref="AO145:AT145"/>
    <mergeCell ref="AQ209:AT210"/>
    <mergeCell ref="AO211:AT211"/>
    <mergeCell ref="AS212:AT213"/>
    <mergeCell ref="AO214:AT214"/>
    <mergeCell ref="AO217:AT217"/>
    <mergeCell ref="AO226:AT226"/>
    <mergeCell ref="AO227:AT227"/>
    <mergeCell ref="AK228:AK229"/>
    <mergeCell ref="AL228:AL229"/>
    <mergeCell ref="AS228:AT229"/>
    <mergeCell ref="AT218:AT219"/>
    <mergeCell ref="AO220:AT220"/>
    <mergeCell ref="AO221:AT221"/>
    <mergeCell ref="AO222:AT222"/>
    <mergeCell ref="AO223:AT223"/>
    <mergeCell ref="AO224:AT224"/>
    <mergeCell ref="AO225:AT225"/>
    <mergeCell ref="AO198:AT198"/>
    <mergeCell ref="AO199:AT199"/>
    <mergeCell ref="AO202:AT202"/>
    <mergeCell ref="AO204:AT204"/>
    <mergeCell ref="AO205:AT205"/>
    <mergeCell ref="AJ206:AJ207"/>
    <mergeCell ref="AO206:AT206"/>
    <mergeCell ref="AO207:AT207"/>
    <mergeCell ref="AO208:AT208"/>
    <mergeCell ref="AO190:AT190"/>
    <mergeCell ref="AP191:AR191"/>
    <mergeCell ref="AS191:AT191"/>
    <mergeCell ref="AO192:AT192"/>
    <mergeCell ref="AO193:AR193"/>
    <mergeCell ref="AS193:AT194"/>
    <mergeCell ref="AO194:AR194"/>
    <mergeCell ref="AO196:AT196"/>
    <mergeCell ref="AP197:AR197"/>
    <mergeCell ref="AS197:AT197"/>
    <mergeCell ref="AO180:AT180"/>
    <mergeCell ref="AO181:AR181"/>
    <mergeCell ref="AS181:AT182"/>
    <mergeCell ref="AO182:AR182"/>
    <mergeCell ref="AO184:AT184"/>
    <mergeCell ref="AP185:AR185"/>
    <mergeCell ref="AS185:AT185"/>
    <mergeCell ref="AO186:AT186"/>
    <mergeCell ref="AO187:AR187"/>
    <mergeCell ref="AS187:AT188"/>
    <mergeCell ref="AO188:AR188"/>
    <mergeCell ref="AO183:AR183"/>
    <mergeCell ref="AS183:AT183"/>
    <mergeCell ref="AQ92:AR92"/>
    <mergeCell ref="AS92:AT92"/>
    <mergeCell ref="AO112:AT112"/>
    <mergeCell ref="AO113:AT113"/>
    <mergeCell ref="AO114:AT114"/>
    <mergeCell ref="AO115:AP115"/>
    <mergeCell ref="AQ115:AR115"/>
    <mergeCell ref="AS115:AT115"/>
    <mergeCell ref="AS116:AT116"/>
    <mergeCell ref="AO92:AP92"/>
    <mergeCell ref="AO93:AP93"/>
    <mergeCell ref="AQ93:AR93"/>
    <mergeCell ref="AS93:AT93"/>
    <mergeCell ref="AO94:AT94"/>
    <mergeCell ref="AO95:AT95"/>
    <mergeCell ref="AO96:AT96"/>
    <mergeCell ref="AO97:AT97"/>
    <mergeCell ref="AO98:AP98"/>
    <mergeCell ref="AQ98:AR98"/>
    <mergeCell ref="AS98:AT98"/>
    <mergeCell ref="AO99:AP99"/>
    <mergeCell ref="AQ99:AR99"/>
    <mergeCell ref="AS99:AT99"/>
    <mergeCell ref="AQ102:AR102"/>
    <mergeCell ref="AO83:AT83"/>
    <mergeCell ref="AO84:AT84"/>
    <mergeCell ref="AO85:AT85"/>
    <mergeCell ref="AO86:AT86"/>
    <mergeCell ref="AO87:AT87"/>
    <mergeCell ref="AO88:AT88"/>
    <mergeCell ref="AO89:AT89"/>
    <mergeCell ref="AO90:AT90"/>
    <mergeCell ref="AO91:AP91"/>
    <mergeCell ref="AQ91:AR91"/>
    <mergeCell ref="AS91:AT91"/>
    <mergeCell ref="AQ80:AS81"/>
    <mergeCell ref="AT80:AT81"/>
    <mergeCell ref="AO76:AP77"/>
    <mergeCell ref="AO78:AP79"/>
    <mergeCell ref="AQ78:AQ79"/>
    <mergeCell ref="AR78:AR79"/>
    <mergeCell ref="AS78:AS79"/>
    <mergeCell ref="AT78:AT79"/>
    <mergeCell ref="AO80:AP82"/>
    <mergeCell ref="AQ82:AS82"/>
    <mergeCell ref="AR76:AR77"/>
    <mergeCell ref="AS76:AS77"/>
    <mergeCell ref="AO70:AT70"/>
    <mergeCell ref="AO71:AT71"/>
    <mergeCell ref="AO72:AT72"/>
    <mergeCell ref="AO73:AT74"/>
    <mergeCell ref="AO75:AT75"/>
    <mergeCell ref="AQ76:AQ77"/>
    <mergeCell ref="AT76:AT77"/>
    <mergeCell ref="AS108:AT108"/>
    <mergeCell ref="AS110:AT111"/>
    <mergeCell ref="AO103:AT103"/>
    <mergeCell ref="AO104:AT104"/>
    <mergeCell ref="AR105:AT106"/>
    <mergeCell ref="AO107:AT107"/>
    <mergeCell ref="AO108:AP108"/>
    <mergeCell ref="AQ108:AR108"/>
    <mergeCell ref="AO109:AT109"/>
  </mergeCells>
  <phoneticPr fontId="91" type="noConversion"/>
  <conditionalFormatting sqref="AE4:AE238">
    <cfRule type="expression" dxfId="9" priority="1">
      <formula>$AE4=FALSE</formula>
    </cfRule>
  </conditionalFormatting>
  <conditionalFormatting sqref="AF4:AF238">
    <cfRule type="containsText" dxfId="8" priority="2" operator="containsText" text="若有勾選則必填">
      <formula>NOT(ISERROR(SEARCH(("若有勾選則必填"),(AF4))))</formula>
    </cfRule>
  </conditionalFormatting>
  <conditionalFormatting sqref="AF4:AG238 AJ4:AN238 AO135:AS137">
    <cfRule type="containsBlanks" dxfId="7" priority="3">
      <formula>LEN(TRIM(AF4))=0</formula>
    </cfRule>
  </conditionalFormatting>
  <conditionalFormatting sqref="AK4:AL238 AJ56:AJ58 AJ124:AJ126 AJ128:AJ131 AM130:AM131 AJ147:AJ150 AJ202:AJ204 AJ206 AJ208 AJ211 AJ214 AJ217 AJ220 AJ222">
    <cfRule type="containsBlanks" dxfId="6" priority="4">
      <formula>LEN(TRIM(AJ56))=0</formula>
    </cfRule>
  </conditionalFormatting>
  <conditionalFormatting sqref="AO4:AT8">
    <cfRule type="containsText" dxfId="5" priority="5" operator="containsText" text="若有勾選則必填">
      <formula>NOT(ISERROR(SEARCH(("若有勾選則必填"),(AO4))))</formula>
    </cfRule>
    <cfRule type="containsText" dxfId="4" priority="6" operator="containsText" text="設隱形錨點">
      <formula>NOT(ISERROR(SEARCH(("設隱形錨點"),(AO4))))</formula>
    </cfRule>
  </conditionalFormatting>
  <conditionalFormatting sqref="BD4:BE238">
    <cfRule type="notContainsBlanks" dxfId="3" priority="7">
      <formula>LEN(TRIM(BD4))&gt;0</formula>
    </cfRule>
  </conditionalFormatting>
  <dataValidations count="1">
    <dataValidation type="list" allowBlank="1" showErrorMessage="1" sqref="BC4 BC7:BC9 BC11 BC13 BC15:BC238" xr:uid="{00000000-0002-0000-0500-000000000000}">
      <formula1>$A4:$AD4</formula1>
    </dataValidation>
  </dataValidations>
  <hyperlinks>
    <hyperlink ref="AO53" r:id="rId1" location="gid=77663665&amp;range=D395:D404" xr:uid="{00000000-0004-0000-0500-000000000000}"/>
    <hyperlink ref="AO55" r:id="rId2" location="gid=852372230" xr:uid="{00000000-0004-0000-0500-000001000000}"/>
    <hyperlink ref="AO87" r:id="rId3" location="gid=526563231&amp;range=A169:F173" xr:uid="{00000000-0004-0000-0500-000002000000}"/>
    <hyperlink ref="AO122" r:id="rId4" location="gid=526563231&amp;range=A122:F173" xr:uid="{00000000-0004-0000-0500-000003000000}"/>
    <hyperlink ref="AS153" r:id="rId5" xr:uid="{00000000-0004-0000-0500-000004000000}"/>
    <hyperlink ref="AS155" r:id="rId6" xr:uid="{00000000-0004-0000-0500-000005000000}"/>
    <hyperlink ref="AS159" r:id="rId7" xr:uid="{00000000-0004-0000-0500-000006000000}"/>
    <hyperlink ref="AS161" r:id="rId8" xr:uid="{00000000-0004-0000-0500-000007000000}"/>
    <hyperlink ref="AS165" r:id="rId9" xr:uid="{00000000-0004-0000-0500-000008000000}"/>
    <hyperlink ref="AS167" r:id="rId10" xr:uid="{00000000-0004-0000-0500-000009000000}"/>
    <hyperlink ref="AS171" r:id="rId11" xr:uid="{00000000-0004-0000-0500-00000A000000}"/>
    <hyperlink ref="AS173" r:id="rId12" xr:uid="{00000000-0004-0000-0500-00000B000000}"/>
    <hyperlink ref="AS177" r:id="rId13" xr:uid="{00000000-0004-0000-0500-00000C000000}"/>
    <hyperlink ref="AS179" r:id="rId14" xr:uid="{00000000-0004-0000-0500-00000D000000}"/>
    <hyperlink ref="AS183" r:id="rId15" xr:uid="{00000000-0004-0000-0500-00000E000000}"/>
    <hyperlink ref="AS185" r:id="rId16" xr:uid="{00000000-0004-0000-0500-00000F000000}"/>
    <hyperlink ref="AS189" r:id="rId17" xr:uid="{00000000-0004-0000-0500-000010000000}"/>
    <hyperlink ref="AS191" r:id="rId18" xr:uid="{00000000-0004-0000-0500-000011000000}"/>
    <hyperlink ref="AS195" r:id="rId19" xr:uid="{00000000-0004-0000-0500-000012000000}"/>
    <hyperlink ref="AS197" r:id="rId20" xr:uid="{00000000-0004-0000-0500-000013000000}"/>
    <hyperlink ref="BG199" r:id="rId21" location="gid=353288673" xr:uid="{00000000-0004-0000-0500-000014000000}"/>
    <hyperlink ref="AO229" r:id="rId22" xr:uid="{00000000-0004-0000-0500-000015000000}"/>
    <hyperlink ref="AP229" r:id="rId23" xr:uid="{00000000-0004-0000-0500-000016000000}"/>
    <hyperlink ref="AQ229" r:id="rId24" xr:uid="{00000000-0004-0000-0500-000017000000}"/>
    <hyperlink ref="AR229" r:id="rId25" xr:uid="{00000000-0004-0000-0500-000018000000}"/>
    <hyperlink ref="BJ230" r:id="rId26" xr:uid="{00000000-0004-0000-0500-000019000000}"/>
    <hyperlink ref="AO231" r:id="rId27" xr:uid="{00000000-0004-0000-0500-00001A000000}"/>
    <hyperlink ref="AP231" r:id="rId28" xr:uid="{00000000-0004-0000-0500-00001B000000}"/>
    <hyperlink ref="AQ231" r:id="rId29" xr:uid="{00000000-0004-0000-0500-00001C000000}"/>
    <hyperlink ref="AR231" r:id="rId30" xr:uid="{00000000-0004-0000-0500-00001D000000}"/>
    <hyperlink ref="AS231" r:id="rId31" xr:uid="{00000000-0004-0000-0500-00001E000000}"/>
    <hyperlink ref="AO233" r:id="rId32" xr:uid="{00000000-0004-0000-0500-00001F000000}"/>
    <hyperlink ref="AP233" r:id="rId33" xr:uid="{00000000-0004-0000-0500-000020000000}"/>
    <hyperlink ref="AQ233" r:id="rId34" xr:uid="{00000000-0004-0000-0500-000021000000}"/>
    <hyperlink ref="AR233" r:id="rId35" xr:uid="{00000000-0004-0000-0500-000022000000}"/>
    <hyperlink ref="AS233" r:id="rId36" xr:uid="{00000000-0004-0000-0500-000023000000}"/>
    <hyperlink ref="AO235" r:id="rId37" xr:uid="{00000000-0004-0000-0500-000024000000}"/>
    <hyperlink ref="AP235" r:id="rId38" xr:uid="{00000000-0004-0000-0500-000025000000}"/>
    <hyperlink ref="AQ235" r:id="rId39" xr:uid="{00000000-0004-0000-0500-000026000000}"/>
    <hyperlink ref="AR235" r:id="rId40" xr:uid="{00000000-0004-0000-0500-000027000000}"/>
    <hyperlink ref="AS235" r:id="rId41" xr:uid="{00000000-0004-0000-0500-000028000000}"/>
    <hyperlink ref="AO237" r:id="rId42" xr:uid="{00000000-0004-0000-0500-000029000000}"/>
    <hyperlink ref="AP237" r:id="rId43" xr:uid="{00000000-0004-0000-0500-00002A000000}"/>
    <hyperlink ref="AQ237" r:id="rId44" xr:uid="{00000000-0004-0000-0500-00002B000000}"/>
    <hyperlink ref="AR237" r:id="rId45" xr:uid="{00000000-0004-0000-0500-00002C000000}"/>
    <hyperlink ref="AS237" r:id="rId46" xr:uid="{00000000-0004-0000-0500-00002D000000}"/>
  </hyperlinks>
  <pageMargins left="0.7" right="0.7" top="0.75" bottom="0.75" header="0" footer="0"/>
  <pageSetup orientation="landscape"/>
  <drawing r:id="rId47"/>
  <legacyDrawing r:id="rId48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500-000001000000}">
          <x14:formula1>
            <xm:f>'(勿動)組件目錄表'!$U$15:$U238</xm:f>
          </x14:formula1>
          <xm:sqref>BB4 BB7:BB9 BB11 BB13 BB15:BB238</xm:sqref>
        </x14:dataValidation>
        <x14:dataValidation type="list" allowBlank="1" showErrorMessage="1" xr:uid="{00000000-0002-0000-0500-000002000000}">
          <x14:formula1>
            <xm:f>'(勿動)Component Label公版'!$D$2:$D$92</xm:f>
          </x14:formula1>
          <xm:sqref>AH4:AH238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A1000"/>
  <sheetViews>
    <sheetView workbookViewId="0"/>
  </sheetViews>
  <sheetFormatPr defaultColWidth="12.5703125" defaultRowHeight="15" customHeight="1"/>
  <cols>
    <col min="1" max="6" width="9.5703125" customWidth="1"/>
    <col min="7" max="26" width="11" customWidth="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91" type="noConversion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00"/>
  <sheetViews>
    <sheetView tabSelected="1" workbookViewId="0">
      <pane ySplit="3" topLeftCell="A62" activePane="bottomLeft" state="frozen"/>
      <selection pane="bottomLeft" activeCell="G327" sqref="G327"/>
    </sheetView>
  </sheetViews>
  <sheetFormatPr defaultColWidth="12.5703125" defaultRowHeight="15" customHeight="1"/>
  <cols>
    <col min="1" max="8" width="13.7109375" customWidth="1"/>
    <col min="9" max="9" width="12.85546875" customWidth="1"/>
    <col min="10" max="11" width="22.7109375" hidden="1" customWidth="1"/>
    <col min="12" max="12" width="14.85546875" hidden="1" customWidth="1"/>
    <col min="13" max="15" width="14.85546875" customWidth="1"/>
    <col min="16" max="26" width="11" customWidth="1"/>
  </cols>
  <sheetData>
    <row r="1" spans="1:15" ht="15.75" customHeight="1">
      <c r="A1" s="259" t="s">
        <v>920</v>
      </c>
      <c r="B1" s="260" t="s">
        <v>921</v>
      </c>
      <c r="C1" s="261"/>
      <c r="D1" s="262"/>
      <c r="E1" s="262" t="s">
        <v>922</v>
      </c>
      <c r="F1" s="261"/>
      <c r="G1" s="263"/>
      <c r="H1" s="261"/>
      <c r="I1" s="264"/>
      <c r="J1" s="261" t="s">
        <v>923</v>
      </c>
      <c r="K1" s="261"/>
      <c r="L1" s="265" t="s">
        <v>924</v>
      </c>
      <c r="M1" s="266"/>
      <c r="N1" s="266"/>
      <c r="O1" s="266"/>
    </row>
    <row r="2" spans="1:15" ht="15.75" customHeight="1">
      <c r="A2" s="636" t="s">
        <v>925</v>
      </c>
      <c r="B2" s="381"/>
      <c r="C2" s="381"/>
      <c r="D2" s="381"/>
      <c r="E2" s="381"/>
      <c r="F2" s="382"/>
      <c r="G2" s="267"/>
      <c r="H2" s="268"/>
      <c r="I2" s="269" t="s">
        <v>412</v>
      </c>
      <c r="J2" s="270" t="s">
        <v>926</v>
      </c>
      <c r="K2" s="270" t="s">
        <v>927</v>
      </c>
      <c r="L2" s="637" t="s">
        <v>928</v>
      </c>
      <c r="M2" s="639" t="s">
        <v>929</v>
      </c>
      <c r="N2" s="639" t="s">
        <v>930</v>
      </c>
      <c r="O2" s="639" t="s">
        <v>931</v>
      </c>
    </row>
    <row r="3" spans="1:15" ht="15.75" customHeight="1">
      <c r="A3" s="640" t="s">
        <v>932</v>
      </c>
      <c r="B3" s="381"/>
      <c r="C3" s="381"/>
      <c r="D3" s="381"/>
      <c r="E3" s="381"/>
      <c r="F3" s="382"/>
      <c r="G3" s="271" t="s">
        <v>933</v>
      </c>
      <c r="H3" s="272" t="s">
        <v>934</v>
      </c>
      <c r="I3" s="272" t="s">
        <v>932</v>
      </c>
      <c r="J3" s="273" t="s">
        <v>935</v>
      </c>
      <c r="K3" s="273" t="s">
        <v>936</v>
      </c>
      <c r="L3" s="638"/>
      <c r="M3" s="396"/>
      <c r="N3" s="396"/>
      <c r="O3" s="396"/>
    </row>
    <row r="4" spans="1:15" ht="15.75" customHeight="1">
      <c r="A4" s="635" t="s">
        <v>937</v>
      </c>
      <c r="B4" s="503"/>
      <c r="C4" s="503"/>
      <c r="D4" s="503"/>
      <c r="E4" s="503"/>
      <c r="F4" s="453"/>
      <c r="G4" s="274" t="s">
        <v>741</v>
      </c>
      <c r="H4" s="641" t="s">
        <v>938</v>
      </c>
      <c r="I4" s="275"/>
      <c r="J4" s="276"/>
      <c r="K4" s="276"/>
      <c r="L4" s="277"/>
      <c r="M4" s="278"/>
      <c r="N4" s="278"/>
      <c r="O4" s="279"/>
    </row>
    <row r="5" spans="1:15" ht="15.75" customHeight="1">
      <c r="A5" s="635" t="s">
        <v>939</v>
      </c>
      <c r="B5" s="503"/>
      <c r="C5" s="503"/>
      <c r="D5" s="503"/>
      <c r="E5" s="503"/>
      <c r="F5" s="453"/>
      <c r="G5" s="274" t="s">
        <v>940</v>
      </c>
      <c r="H5" s="642"/>
      <c r="I5" s="275"/>
      <c r="J5" s="276"/>
      <c r="K5" s="276"/>
      <c r="L5" s="277"/>
      <c r="M5" s="278"/>
      <c r="N5" s="278"/>
      <c r="O5" s="279"/>
    </row>
    <row r="6" spans="1:15" ht="15.75" customHeight="1">
      <c r="A6" s="635" t="s">
        <v>941</v>
      </c>
      <c r="B6" s="503"/>
      <c r="C6" s="503"/>
      <c r="D6" s="503"/>
      <c r="E6" s="503"/>
      <c r="F6" s="453"/>
      <c r="G6" s="274" t="s">
        <v>942</v>
      </c>
      <c r="H6" s="642"/>
      <c r="I6" s="275"/>
      <c r="J6" s="276"/>
      <c r="K6" s="276"/>
      <c r="L6" s="277"/>
      <c r="M6" s="278"/>
      <c r="N6" s="278"/>
      <c r="O6" s="279"/>
    </row>
    <row r="7" spans="1:15" ht="15.75" customHeight="1">
      <c r="A7" s="635" t="s">
        <v>943</v>
      </c>
      <c r="B7" s="503"/>
      <c r="C7" s="503"/>
      <c r="D7" s="503"/>
      <c r="E7" s="503"/>
      <c r="F7" s="453"/>
      <c r="G7" s="274" t="s">
        <v>944</v>
      </c>
      <c r="H7" s="643"/>
      <c r="I7" s="275" t="b">
        <v>0</v>
      </c>
      <c r="J7" s="655"/>
      <c r="K7" s="655" t="s">
        <v>452</v>
      </c>
      <c r="L7" s="645"/>
      <c r="M7" s="278"/>
      <c r="N7" s="278"/>
      <c r="O7" s="279"/>
    </row>
    <row r="8" spans="1:15" ht="15.75" customHeight="1">
      <c r="A8" s="666" t="s">
        <v>945</v>
      </c>
      <c r="B8" s="453"/>
      <c r="C8" s="648" t="s">
        <v>946</v>
      </c>
      <c r="D8" s="439"/>
      <c r="E8" s="649"/>
      <c r="F8" s="644" t="s">
        <v>947</v>
      </c>
      <c r="G8" s="281"/>
      <c r="H8" s="644" t="s">
        <v>948</v>
      </c>
      <c r="I8" s="275" t="b">
        <v>0</v>
      </c>
      <c r="J8" s="416"/>
      <c r="K8" s="416"/>
      <c r="L8" s="646"/>
      <c r="M8" s="278"/>
      <c r="N8" s="278"/>
      <c r="O8" s="279"/>
    </row>
    <row r="9" spans="1:15" ht="15.75" customHeight="1">
      <c r="A9" s="667" t="s">
        <v>488</v>
      </c>
      <c r="B9" s="453"/>
      <c r="C9" s="486"/>
      <c r="D9" s="442"/>
      <c r="E9" s="650"/>
      <c r="F9" s="643"/>
      <c r="G9" s="281"/>
      <c r="H9" s="643"/>
      <c r="I9" s="275" t="b">
        <v>0</v>
      </c>
      <c r="J9" s="416"/>
      <c r="K9" s="416"/>
      <c r="L9" s="645"/>
      <c r="M9" s="278"/>
      <c r="N9" s="278"/>
      <c r="O9" s="279"/>
    </row>
    <row r="10" spans="1:15" ht="15.75" customHeight="1">
      <c r="A10" s="666" t="s">
        <v>945</v>
      </c>
      <c r="B10" s="453"/>
      <c r="C10" s="648" t="s">
        <v>946</v>
      </c>
      <c r="D10" s="439"/>
      <c r="E10" s="649"/>
      <c r="F10" s="644" t="s">
        <v>490</v>
      </c>
      <c r="G10" s="281"/>
      <c r="H10" s="644" t="s">
        <v>948</v>
      </c>
      <c r="I10" s="275" t="b">
        <v>0</v>
      </c>
      <c r="J10" s="416"/>
      <c r="K10" s="416"/>
      <c r="L10" s="647"/>
      <c r="M10" s="278"/>
      <c r="N10" s="278"/>
      <c r="O10" s="279"/>
    </row>
    <row r="11" spans="1:15" ht="15.75" customHeight="1">
      <c r="A11" s="651" t="s">
        <v>488</v>
      </c>
      <c r="B11" s="453"/>
      <c r="C11" s="486"/>
      <c r="D11" s="442"/>
      <c r="E11" s="650"/>
      <c r="F11" s="643"/>
      <c r="G11" s="281"/>
      <c r="H11" s="643"/>
      <c r="I11" s="275" t="b">
        <v>0</v>
      </c>
      <c r="J11" s="416"/>
      <c r="K11" s="416"/>
      <c r="L11" s="646"/>
      <c r="M11" s="279"/>
      <c r="N11" s="279"/>
      <c r="O11" s="279"/>
    </row>
    <row r="12" spans="1:15" ht="15.75" customHeight="1">
      <c r="A12" s="652" t="s">
        <v>268</v>
      </c>
      <c r="B12" s="503"/>
      <c r="C12" s="503"/>
      <c r="D12" s="503"/>
      <c r="E12" s="503"/>
      <c r="F12" s="453"/>
      <c r="G12" s="282"/>
      <c r="H12" s="283" t="s">
        <v>949</v>
      </c>
      <c r="I12" s="275" t="b">
        <v>0</v>
      </c>
      <c r="J12" s="416"/>
      <c r="K12" s="416"/>
      <c r="L12" s="280"/>
      <c r="M12" s="279"/>
      <c r="N12" s="279"/>
      <c r="O12" s="279"/>
    </row>
    <row r="13" spans="1:15" ht="15.75" customHeight="1">
      <c r="A13" s="652" t="s">
        <v>937</v>
      </c>
      <c r="B13" s="503"/>
      <c r="C13" s="503"/>
      <c r="D13" s="503"/>
      <c r="E13" s="503"/>
      <c r="F13" s="453"/>
      <c r="G13" s="274" t="s">
        <v>741</v>
      </c>
      <c r="H13" s="641" t="s">
        <v>938</v>
      </c>
      <c r="I13" s="275"/>
      <c r="J13" s="416"/>
      <c r="K13" s="416"/>
      <c r="L13" s="277"/>
      <c r="M13" s="279"/>
      <c r="N13" s="279"/>
      <c r="O13" s="279"/>
    </row>
    <row r="14" spans="1:15" ht="15.75" customHeight="1">
      <c r="A14" s="652" t="s">
        <v>939</v>
      </c>
      <c r="B14" s="503"/>
      <c r="C14" s="503"/>
      <c r="D14" s="503"/>
      <c r="E14" s="503"/>
      <c r="F14" s="453"/>
      <c r="G14" s="274" t="s">
        <v>940</v>
      </c>
      <c r="H14" s="642"/>
      <c r="I14" s="275"/>
      <c r="J14" s="416"/>
      <c r="K14" s="416"/>
      <c r="L14" s="277"/>
      <c r="M14" s="279"/>
      <c r="N14" s="279"/>
      <c r="O14" s="279"/>
    </row>
    <row r="15" spans="1:15" ht="15.75" customHeight="1">
      <c r="A15" s="652" t="s">
        <v>941</v>
      </c>
      <c r="B15" s="503"/>
      <c r="C15" s="503"/>
      <c r="D15" s="503"/>
      <c r="E15" s="503"/>
      <c r="F15" s="453"/>
      <c r="G15" s="274" t="s">
        <v>942</v>
      </c>
      <c r="H15" s="642"/>
      <c r="I15" s="275"/>
      <c r="J15" s="416"/>
      <c r="K15" s="416"/>
      <c r="L15" s="277"/>
      <c r="M15" s="279"/>
      <c r="N15" s="279"/>
      <c r="O15" s="279"/>
    </row>
    <row r="16" spans="1:15" ht="15.75" customHeight="1">
      <c r="A16" s="652" t="s">
        <v>943</v>
      </c>
      <c r="B16" s="503"/>
      <c r="C16" s="503"/>
      <c r="D16" s="503"/>
      <c r="E16" s="503"/>
      <c r="F16" s="453"/>
      <c r="G16" s="274" t="s">
        <v>944</v>
      </c>
      <c r="H16" s="643"/>
      <c r="I16" s="275" t="b">
        <v>0</v>
      </c>
      <c r="J16" s="416"/>
      <c r="K16" s="416"/>
      <c r="L16" s="277"/>
      <c r="M16" s="279"/>
      <c r="N16" s="279"/>
      <c r="O16" s="279"/>
    </row>
    <row r="17" spans="1:15" ht="15.75" customHeight="1">
      <c r="A17" s="664" t="s">
        <v>945</v>
      </c>
      <c r="B17" s="453"/>
      <c r="C17" s="665" t="s">
        <v>946</v>
      </c>
      <c r="D17" s="439"/>
      <c r="E17" s="649"/>
      <c r="F17" s="653" t="s">
        <v>507</v>
      </c>
      <c r="G17" s="284"/>
      <c r="H17" s="653" t="s">
        <v>948</v>
      </c>
      <c r="I17" s="275" t="b">
        <v>0</v>
      </c>
      <c r="J17" s="416"/>
      <c r="K17" s="416"/>
      <c r="L17" s="277"/>
      <c r="M17" s="279"/>
      <c r="N17" s="279"/>
      <c r="O17" s="279"/>
    </row>
    <row r="18" spans="1:15" ht="15.75" customHeight="1">
      <c r="A18" s="651" t="s">
        <v>488</v>
      </c>
      <c r="B18" s="453"/>
      <c r="C18" s="486"/>
      <c r="D18" s="442"/>
      <c r="E18" s="650"/>
      <c r="F18" s="643"/>
      <c r="G18" s="284"/>
      <c r="H18" s="643"/>
      <c r="I18" s="275" t="b">
        <v>0</v>
      </c>
      <c r="J18" s="416"/>
      <c r="K18" s="416"/>
      <c r="L18" s="277"/>
      <c r="M18" s="279"/>
      <c r="N18" s="279"/>
      <c r="O18" s="279"/>
    </row>
    <row r="19" spans="1:15" ht="15.75" customHeight="1">
      <c r="A19" s="652" t="s">
        <v>268</v>
      </c>
      <c r="B19" s="503"/>
      <c r="C19" s="503"/>
      <c r="D19" s="503"/>
      <c r="E19" s="503"/>
      <c r="F19" s="453"/>
      <c r="G19" s="282"/>
      <c r="H19" s="283" t="s">
        <v>949</v>
      </c>
      <c r="I19" s="275" t="b">
        <v>0</v>
      </c>
      <c r="J19" s="416"/>
      <c r="K19" s="416"/>
      <c r="L19" s="277"/>
      <c r="M19" s="279"/>
      <c r="N19" s="279"/>
      <c r="O19" s="279"/>
    </row>
    <row r="20" spans="1:15" ht="31.5" customHeight="1">
      <c r="A20" s="652" t="s">
        <v>561</v>
      </c>
      <c r="B20" s="503"/>
      <c r="C20" s="503"/>
      <c r="D20" s="503"/>
      <c r="E20" s="503"/>
      <c r="F20" s="453"/>
      <c r="G20" s="274" t="s">
        <v>940</v>
      </c>
      <c r="H20" s="654" t="s">
        <v>950</v>
      </c>
      <c r="I20" s="275" t="b">
        <v>0</v>
      </c>
      <c r="J20" s="276"/>
      <c r="K20" s="655" t="s">
        <v>560</v>
      </c>
      <c r="L20" s="277"/>
      <c r="M20" s="279"/>
      <c r="N20" s="279"/>
      <c r="O20" s="279"/>
    </row>
    <row r="21" spans="1:15" ht="31.5" customHeight="1">
      <c r="A21" s="652" t="s">
        <v>562</v>
      </c>
      <c r="B21" s="503"/>
      <c r="C21" s="503"/>
      <c r="D21" s="503"/>
      <c r="E21" s="503"/>
      <c r="F21" s="453"/>
      <c r="G21" s="274" t="s">
        <v>942</v>
      </c>
      <c r="H21" s="643"/>
      <c r="I21" s="275" t="b">
        <v>0</v>
      </c>
      <c r="J21" s="276"/>
      <c r="K21" s="416"/>
      <c r="L21" s="277"/>
      <c r="M21" s="279"/>
      <c r="N21" s="279"/>
      <c r="O21" s="279"/>
    </row>
    <row r="22" spans="1:15" ht="15.75" customHeight="1">
      <c r="A22" s="652" t="s">
        <v>268</v>
      </c>
      <c r="B22" s="503"/>
      <c r="C22" s="503"/>
      <c r="D22" s="503"/>
      <c r="E22" s="503"/>
      <c r="F22" s="453"/>
      <c r="G22" s="282"/>
      <c r="H22" s="283" t="s">
        <v>949</v>
      </c>
      <c r="I22" s="275" t="b">
        <v>0</v>
      </c>
      <c r="J22" s="276"/>
      <c r="K22" s="416"/>
      <c r="L22" s="277"/>
      <c r="M22" s="279"/>
      <c r="N22" s="279"/>
      <c r="O22" s="279"/>
    </row>
    <row r="23" spans="1:15" ht="31.5" customHeight="1">
      <c r="A23" s="652" t="s">
        <v>565</v>
      </c>
      <c r="B23" s="503"/>
      <c r="C23" s="503"/>
      <c r="D23" s="503"/>
      <c r="E23" s="503"/>
      <c r="F23" s="453"/>
      <c r="G23" s="274" t="s">
        <v>940</v>
      </c>
      <c r="H23" s="654" t="s">
        <v>951</v>
      </c>
      <c r="I23" s="275" t="b">
        <v>0</v>
      </c>
      <c r="J23" s="276"/>
      <c r="K23" s="655" t="s">
        <v>214</v>
      </c>
      <c r="L23" s="277"/>
      <c r="M23" s="279"/>
      <c r="N23" s="279"/>
      <c r="O23" s="279"/>
    </row>
    <row r="24" spans="1:15" ht="31.5" customHeight="1">
      <c r="A24" s="635" t="s">
        <v>566</v>
      </c>
      <c r="B24" s="503"/>
      <c r="C24" s="503"/>
      <c r="D24" s="503"/>
      <c r="E24" s="503"/>
      <c r="F24" s="453"/>
      <c r="G24" s="274" t="s">
        <v>942</v>
      </c>
      <c r="H24" s="643"/>
      <c r="I24" s="275" t="b">
        <v>0</v>
      </c>
      <c r="J24" s="276"/>
      <c r="K24" s="416"/>
      <c r="L24" s="277"/>
      <c r="M24" s="279"/>
      <c r="N24" s="279"/>
      <c r="O24" s="279"/>
    </row>
    <row r="25" spans="1:15" ht="15.75" customHeight="1">
      <c r="A25" s="635" t="s">
        <v>268</v>
      </c>
      <c r="B25" s="503"/>
      <c r="C25" s="503"/>
      <c r="D25" s="503"/>
      <c r="E25" s="503"/>
      <c r="F25" s="453"/>
      <c r="G25" s="274"/>
      <c r="H25" s="285" t="s">
        <v>952</v>
      </c>
      <c r="I25" s="275" t="b">
        <v>0</v>
      </c>
      <c r="J25" s="276"/>
      <c r="K25" s="416"/>
      <c r="L25" s="277"/>
      <c r="M25" s="279"/>
      <c r="N25" s="279"/>
      <c r="O25" s="279"/>
    </row>
    <row r="26" spans="1:15" ht="15.75" customHeight="1">
      <c r="A26" s="670" t="s">
        <v>953</v>
      </c>
      <c r="B26" s="503"/>
      <c r="C26" s="503"/>
      <c r="D26" s="503"/>
      <c r="E26" s="503"/>
      <c r="F26" s="453"/>
      <c r="G26" s="274" t="s">
        <v>940</v>
      </c>
      <c r="H26" s="654" t="s">
        <v>951</v>
      </c>
      <c r="I26" s="275" t="b">
        <v>0</v>
      </c>
      <c r="J26" s="276"/>
      <c r="K26" s="655" t="s">
        <v>570</v>
      </c>
      <c r="L26" s="277"/>
      <c r="M26" s="279"/>
      <c r="N26" s="279"/>
      <c r="O26" s="279"/>
    </row>
    <row r="27" spans="1:15" ht="15.75" customHeight="1">
      <c r="A27" s="670" t="s">
        <v>954</v>
      </c>
      <c r="B27" s="503"/>
      <c r="C27" s="503"/>
      <c r="D27" s="503"/>
      <c r="E27" s="503"/>
      <c r="F27" s="453"/>
      <c r="G27" s="274" t="s">
        <v>942</v>
      </c>
      <c r="H27" s="642"/>
      <c r="I27" s="275"/>
      <c r="J27" s="276"/>
      <c r="K27" s="416"/>
      <c r="L27" s="277"/>
      <c r="M27" s="279"/>
      <c r="N27" s="279"/>
      <c r="O27" s="279"/>
    </row>
    <row r="28" spans="1:15" ht="15.75" customHeight="1">
      <c r="A28" s="670" t="s">
        <v>955</v>
      </c>
      <c r="B28" s="503"/>
      <c r="C28" s="503"/>
      <c r="D28" s="503"/>
      <c r="E28" s="503"/>
      <c r="F28" s="453"/>
      <c r="G28" s="274" t="s">
        <v>944</v>
      </c>
      <c r="H28" s="643"/>
      <c r="I28" s="275" t="b">
        <v>0</v>
      </c>
      <c r="J28" s="276"/>
      <c r="K28" s="416"/>
      <c r="L28" s="277"/>
      <c r="M28" s="279"/>
      <c r="N28" s="279"/>
      <c r="O28" s="279"/>
    </row>
    <row r="29" spans="1:15" ht="15.75" customHeight="1">
      <c r="A29" s="652" t="s">
        <v>268</v>
      </c>
      <c r="B29" s="503"/>
      <c r="C29" s="503"/>
      <c r="D29" s="503"/>
      <c r="E29" s="503"/>
      <c r="F29" s="453"/>
      <c r="G29" s="282"/>
      <c r="H29" s="283" t="s">
        <v>952</v>
      </c>
      <c r="I29" s="275" t="b">
        <v>0</v>
      </c>
      <c r="J29" s="276"/>
      <c r="K29" s="416"/>
      <c r="L29" s="277"/>
      <c r="M29" s="279"/>
      <c r="N29" s="279"/>
      <c r="O29" s="279"/>
    </row>
    <row r="30" spans="1:15" ht="15.75" customHeight="1">
      <c r="A30" s="635" t="s">
        <v>579</v>
      </c>
      <c r="B30" s="503"/>
      <c r="C30" s="503"/>
      <c r="D30" s="503"/>
      <c r="E30" s="503"/>
      <c r="F30" s="453"/>
      <c r="G30" s="274" t="s">
        <v>940</v>
      </c>
      <c r="H30" s="641" t="s">
        <v>956</v>
      </c>
      <c r="I30" s="275" t="b">
        <v>0</v>
      </c>
      <c r="J30" s="276"/>
      <c r="K30" s="655" t="s">
        <v>578</v>
      </c>
      <c r="L30" s="277"/>
      <c r="M30" s="279"/>
      <c r="N30" s="279"/>
      <c r="O30" s="279"/>
    </row>
    <row r="31" spans="1:15" ht="15.75" customHeight="1">
      <c r="A31" s="652" t="s">
        <v>957</v>
      </c>
      <c r="B31" s="503"/>
      <c r="C31" s="503"/>
      <c r="D31" s="503"/>
      <c r="E31" s="503"/>
      <c r="F31" s="453"/>
      <c r="G31" s="274" t="s">
        <v>942</v>
      </c>
      <c r="H31" s="642"/>
      <c r="I31" s="275"/>
      <c r="J31" s="276"/>
      <c r="K31" s="416"/>
      <c r="L31" s="277"/>
      <c r="M31" s="279"/>
      <c r="N31" s="279"/>
      <c r="O31" s="279"/>
    </row>
    <row r="32" spans="1:15" ht="15.75" customHeight="1">
      <c r="A32" s="652" t="s">
        <v>955</v>
      </c>
      <c r="B32" s="503"/>
      <c r="C32" s="503"/>
      <c r="D32" s="503"/>
      <c r="E32" s="503"/>
      <c r="F32" s="453"/>
      <c r="G32" s="274" t="s">
        <v>944</v>
      </c>
      <c r="H32" s="643"/>
      <c r="I32" s="275" t="b">
        <v>0</v>
      </c>
      <c r="J32" s="276"/>
      <c r="K32" s="416"/>
      <c r="L32" s="277"/>
      <c r="M32" s="279"/>
      <c r="N32" s="279"/>
      <c r="O32" s="279"/>
    </row>
    <row r="33" spans="1:15" ht="15.75" customHeight="1">
      <c r="A33" s="652" t="s">
        <v>268</v>
      </c>
      <c r="B33" s="503"/>
      <c r="C33" s="503"/>
      <c r="D33" s="503"/>
      <c r="E33" s="503"/>
      <c r="F33" s="453"/>
      <c r="G33" s="282"/>
      <c r="H33" s="283" t="s">
        <v>949</v>
      </c>
      <c r="I33" s="275" t="b">
        <v>0</v>
      </c>
      <c r="J33" s="276"/>
      <c r="K33" s="416"/>
      <c r="L33" s="277"/>
      <c r="M33" s="279"/>
      <c r="N33" s="279"/>
      <c r="O33" s="279"/>
    </row>
    <row r="34" spans="1:15" ht="15.75" customHeight="1">
      <c r="A34" s="671" t="s">
        <v>584</v>
      </c>
      <c r="B34" s="503"/>
      <c r="C34" s="503"/>
      <c r="D34" s="503"/>
      <c r="E34" s="503"/>
      <c r="F34" s="453"/>
      <c r="G34" s="286" t="s">
        <v>940</v>
      </c>
      <c r="H34" s="656" t="s">
        <v>958</v>
      </c>
      <c r="I34" s="275" t="b">
        <v>0</v>
      </c>
      <c r="J34" s="276"/>
      <c r="K34" s="655" t="s">
        <v>204</v>
      </c>
      <c r="L34" s="645"/>
      <c r="M34" s="279"/>
      <c r="N34" s="279"/>
      <c r="O34" s="279"/>
    </row>
    <row r="35" spans="1:15" ht="15.75" customHeight="1">
      <c r="A35" s="671" t="s">
        <v>883</v>
      </c>
      <c r="B35" s="503"/>
      <c r="C35" s="503"/>
      <c r="D35" s="503"/>
      <c r="E35" s="503"/>
      <c r="F35" s="453"/>
      <c r="G35" s="286" t="s">
        <v>942</v>
      </c>
      <c r="H35" s="642"/>
      <c r="I35" s="275" t="b">
        <v>0</v>
      </c>
      <c r="J35" s="276"/>
      <c r="K35" s="416"/>
      <c r="L35" s="646"/>
      <c r="M35" s="279"/>
      <c r="N35" s="279"/>
      <c r="O35" s="279"/>
    </row>
    <row r="36" spans="1:15" ht="15.75" customHeight="1">
      <c r="A36" s="671" t="s">
        <v>959</v>
      </c>
      <c r="B36" s="503"/>
      <c r="C36" s="503"/>
      <c r="D36" s="503"/>
      <c r="E36" s="503"/>
      <c r="F36" s="453"/>
      <c r="G36" s="286" t="s">
        <v>944</v>
      </c>
      <c r="H36" s="643"/>
      <c r="I36" s="275"/>
      <c r="J36" s="276"/>
      <c r="K36" s="416"/>
      <c r="L36" s="280"/>
      <c r="M36" s="279"/>
      <c r="N36" s="279"/>
      <c r="O36" s="279"/>
    </row>
    <row r="37" spans="1:15" ht="15.75" customHeight="1">
      <c r="A37" s="668" t="s">
        <v>587</v>
      </c>
      <c r="B37" s="649"/>
      <c r="C37" s="669" t="s">
        <v>588</v>
      </c>
      <c r="D37" s="669" t="s">
        <v>589</v>
      </c>
      <c r="E37" s="669" t="s">
        <v>590</v>
      </c>
      <c r="F37" s="669" t="s">
        <v>591</v>
      </c>
      <c r="G37" s="657"/>
      <c r="H37" s="656" t="s">
        <v>960</v>
      </c>
      <c r="I37" s="275" t="b">
        <v>0</v>
      </c>
      <c r="J37" s="276"/>
      <c r="K37" s="416"/>
      <c r="L37" s="645"/>
      <c r="M37" s="279"/>
      <c r="N37" s="279"/>
      <c r="O37" s="279"/>
    </row>
    <row r="38" spans="1:15" ht="15.75" customHeight="1">
      <c r="A38" s="486"/>
      <c r="B38" s="650"/>
      <c r="C38" s="643"/>
      <c r="D38" s="643"/>
      <c r="E38" s="643"/>
      <c r="F38" s="643"/>
      <c r="G38" s="643"/>
      <c r="H38" s="642"/>
      <c r="I38" s="275" t="b">
        <v>0</v>
      </c>
      <c r="J38" s="276"/>
      <c r="K38" s="416"/>
      <c r="L38" s="647"/>
      <c r="M38" s="279"/>
      <c r="N38" s="279"/>
      <c r="O38" s="279"/>
    </row>
    <row r="39" spans="1:15" ht="15.75" customHeight="1">
      <c r="A39" s="668" t="s">
        <v>593</v>
      </c>
      <c r="B39" s="649"/>
      <c r="C39" s="669">
        <v>99</v>
      </c>
      <c r="D39" s="669">
        <v>349</v>
      </c>
      <c r="E39" s="669">
        <v>99</v>
      </c>
      <c r="F39" s="669" t="s">
        <v>961</v>
      </c>
      <c r="G39" s="657"/>
      <c r="H39" s="642"/>
      <c r="I39" s="275" t="b">
        <v>0</v>
      </c>
      <c r="J39" s="276"/>
      <c r="K39" s="416"/>
      <c r="L39" s="647"/>
      <c r="M39" s="279"/>
      <c r="N39" s="279"/>
      <c r="O39" s="279"/>
    </row>
    <row r="40" spans="1:15" ht="15.75" customHeight="1">
      <c r="A40" s="486"/>
      <c r="B40" s="650"/>
      <c r="C40" s="643"/>
      <c r="D40" s="643"/>
      <c r="E40" s="643"/>
      <c r="F40" s="643"/>
      <c r="G40" s="643"/>
      <c r="H40" s="642"/>
      <c r="I40" s="275" t="b">
        <v>0</v>
      </c>
      <c r="J40" s="276"/>
      <c r="K40" s="416"/>
      <c r="L40" s="647"/>
      <c r="M40" s="279"/>
      <c r="N40" s="279"/>
      <c r="O40" s="279"/>
    </row>
    <row r="41" spans="1:15" ht="15.75" customHeight="1">
      <c r="A41" s="672" t="s">
        <v>597</v>
      </c>
      <c r="B41" s="649"/>
      <c r="C41" s="675" t="s">
        <v>598</v>
      </c>
      <c r="D41" s="439"/>
      <c r="E41" s="649"/>
      <c r="F41" s="669" t="s">
        <v>962</v>
      </c>
      <c r="G41" s="657"/>
      <c r="H41" s="642"/>
      <c r="I41" s="275" t="b">
        <v>0</v>
      </c>
      <c r="J41" s="276"/>
      <c r="K41" s="416"/>
      <c r="L41" s="647"/>
      <c r="M41" s="279"/>
      <c r="N41" s="279"/>
      <c r="O41" s="279"/>
    </row>
    <row r="42" spans="1:15" ht="15.75" customHeight="1">
      <c r="A42" s="673"/>
      <c r="B42" s="674"/>
      <c r="C42" s="486"/>
      <c r="D42" s="442"/>
      <c r="E42" s="650"/>
      <c r="F42" s="643"/>
      <c r="G42" s="643"/>
      <c r="H42" s="642"/>
      <c r="I42" s="275" t="b">
        <v>0</v>
      </c>
      <c r="J42" s="276"/>
      <c r="K42" s="416"/>
      <c r="L42" s="647"/>
      <c r="M42" s="279"/>
      <c r="N42" s="279"/>
      <c r="O42" s="279"/>
    </row>
    <row r="43" spans="1:15" ht="15.75" customHeight="1">
      <c r="A43" s="486"/>
      <c r="B43" s="650"/>
      <c r="C43" s="676" t="s">
        <v>600</v>
      </c>
      <c r="D43" s="503"/>
      <c r="E43" s="453"/>
      <c r="F43" s="287" t="s">
        <v>601</v>
      </c>
      <c r="G43" s="288"/>
      <c r="H43" s="643"/>
      <c r="I43" s="275" t="b">
        <v>0</v>
      </c>
      <c r="J43" s="276"/>
      <c r="K43" s="416"/>
      <c r="L43" s="647"/>
      <c r="M43" s="279"/>
      <c r="N43" s="279"/>
      <c r="O43" s="279"/>
    </row>
    <row r="44" spans="1:15" ht="15.75" customHeight="1">
      <c r="A44" s="677" t="s">
        <v>268</v>
      </c>
      <c r="B44" s="503"/>
      <c r="C44" s="503"/>
      <c r="D44" s="503"/>
      <c r="E44" s="503"/>
      <c r="F44" s="453"/>
      <c r="G44" s="288"/>
      <c r="H44" s="289" t="s">
        <v>963</v>
      </c>
      <c r="I44" s="275" t="b">
        <v>0</v>
      </c>
      <c r="J44" s="276"/>
      <c r="K44" s="416"/>
      <c r="L44" s="290"/>
      <c r="M44" s="279"/>
      <c r="N44" s="279"/>
      <c r="O44" s="279"/>
    </row>
    <row r="45" spans="1:15" ht="15.75" customHeight="1">
      <c r="A45" s="678" t="s">
        <v>964</v>
      </c>
      <c r="B45" s="503"/>
      <c r="C45" s="503"/>
      <c r="D45" s="503"/>
      <c r="E45" s="503"/>
      <c r="F45" s="453"/>
      <c r="G45" s="291" t="s">
        <v>940</v>
      </c>
      <c r="H45" s="661" t="s">
        <v>965</v>
      </c>
      <c r="I45" s="275" t="b">
        <v>0</v>
      </c>
      <c r="J45" s="276"/>
      <c r="K45" s="655" t="s">
        <v>423</v>
      </c>
      <c r="L45" s="658" t="s">
        <v>966</v>
      </c>
      <c r="M45" s="279"/>
      <c r="N45" s="279"/>
      <c r="O45" s="279"/>
    </row>
    <row r="46" spans="1:15" ht="15.75" customHeight="1">
      <c r="A46" s="678" t="s">
        <v>967</v>
      </c>
      <c r="B46" s="503"/>
      <c r="C46" s="503"/>
      <c r="D46" s="503"/>
      <c r="E46" s="503"/>
      <c r="F46" s="453"/>
      <c r="G46" s="291" t="s">
        <v>942</v>
      </c>
      <c r="H46" s="642"/>
      <c r="I46" s="275"/>
      <c r="J46" s="276"/>
      <c r="K46" s="416"/>
      <c r="L46" s="659"/>
      <c r="M46" s="279"/>
      <c r="N46" s="279"/>
      <c r="O46" s="279"/>
    </row>
    <row r="47" spans="1:15" ht="15.75" customHeight="1">
      <c r="A47" s="679" t="s">
        <v>968</v>
      </c>
      <c r="B47" s="503"/>
      <c r="C47" s="503"/>
      <c r="D47" s="503"/>
      <c r="E47" s="503"/>
      <c r="F47" s="453"/>
      <c r="G47" s="291" t="s">
        <v>944</v>
      </c>
      <c r="H47" s="643"/>
      <c r="I47" s="275" t="b">
        <v>0</v>
      </c>
      <c r="J47" s="276"/>
      <c r="K47" s="416"/>
      <c r="L47" s="659"/>
      <c r="M47" s="279"/>
      <c r="N47" s="279"/>
      <c r="O47" s="279"/>
    </row>
    <row r="48" spans="1:15" ht="15.75" customHeight="1">
      <c r="A48" s="678" t="s">
        <v>268</v>
      </c>
      <c r="B48" s="503"/>
      <c r="C48" s="503"/>
      <c r="D48" s="503"/>
      <c r="E48" s="503"/>
      <c r="F48" s="453"/>
      <c r="G48" s="291"/>
      <c r="H48" s="292" t="s">
        <v>969</v>
      </c>
      <c r="I48" s="275" t="b">
        <v>0</v>
      </c>
      <c r="J48" s="276"/>
      <c r="K48" s="416"/>
      <c r="L48" s="638"/>
      <c r="M48" s="279"/>
      <c r="N48" s="279"/>
      <c r="O48" s="279"/>
    </row>
    <row r="49" spans="1:15" ht="15.75" customHeight="1">
      <c r="A49" s="680" t="s">
        <v>625</v>
      </c>
      <c r="B49" s="503"/>
      <c r="C49" s="503"/>
      <c r="D49" s="503"/>
      <c r="E49" s="503"/>
      <c r="F49" s="453"/>
      <c r="G49" s="284" t="s">
        <v>940</v>
      </c>
      <c r="H49" s="653" t="s">
        <v>951</v>
      </c>
      <c r="I49" s="275" t="b">
        <v>0</v>
      </c>
      <c r="J49" s="276"/>
      <c r="K49" s="655" t="s">
        <v>624</v>
      </c>
      <c r="L49" s="290"/>
      <c r="M49" s="279"/>
      <c r="N49" s="279"/>
      <c r="O49" s="279"/>
    </row>
    <row r="50" spans="1:15" ht="15.75" customHeight="1">
      <c r="A50" s="680" t="s">
        <v>970</v>
      </c>
      <c r="B50" s="503"/>
      <c r="C50" s="503"/>
      <c r="D50" s="503"/>
      <c r="E50" s="503"/>
      <c r="F50" s="453"/>
      <c r="G50" s="284" t="s">
        <v>942</v>
      </c>
      <c r="H50" s="642"/>
      <c r="I50" s="275"/>
      <c r="J50" s="276"/>
      <c r="K50" s="416"/>
      <c r="L50" s="290"/>
      <c r="M50" s="279"/>
      <c r="N50" s="279"/>
      <c r="O50" s="279"/>
    </row>
    <row r="51" spans="1:15" ht="15.75" customHeight="1">
      <c r="A51" s="681" t="s">
        <v>971</v>
      </c>
      <c r="B51" s="503"/>
      <c r="C51" s="503"/>
      <c r="D51" s="503"/>
      <c r="E51" s="503"/>
      <c r="F51" s="453"/>
      <c r="G51" s="284" t="s">
        <v>944</v>
      </c>
      <c r="H51" s="643"/>
      <c r="I51" s="275" t="b">
        <v>0</v>
      </c>
      <c r="J51" s="276"/>
      <c r="K51" s="416"/>
      <c r="L51" s="290"/>
      <c r="M51" s="279"/>
      <c r="N51" s="279"/>
      <c r="O51" s="279"/>
    </row>
    <row r="52" spans="1:15" ht="15.75" customHeight="1">
      <c r="A52" s="680" t="s">
        <v>268</v>
      </c>
      <c r="B52" s="503"/>
      <c r="C52" s="503"/>
      <c r="D52" s="503"/>
      <c r="E52" s="503"/>
      <c r="F52" s="453"/>
      <c r="G52" s="284"/>
      <c r="H52" s="293" t="s">
        <v>952</v>
      </c>
      <c r="I52" s="275" t="b">
        <v>0</v>
      </c>
      <c r="J52" s="276"/>
      <c r="K52" s="416"/>
      <c r="L52" s="290"/>
      <c r="M52" s="279"/>
      <c r="N52" s="279"/>
      <c r="O52" s="279"/>
    </row>
    <row r="53" spans="1:15" ht="15.75" customHeight="1">
      <c r="A53" s="680" t="s">
        <v>675</v>
      </c>
      <c r="B53" s="503"/>
      <c r="C53" s="503"/>
      <c r="D53" s="503"/>
      <c r="E53" s="503"/>
      <c r="F53" s="453"/>
      <c r="G53" s="284" t="s">
        <v>940</v>
      </c>
      <c r="H53" s="653" t="s">
        <v>951</v>
      </c>
      <c r="I53" s="275" t="b">
        <v>0</v>
      </c>
      <c r="J53" s="276"/>
      <c r="K53" s="655" t="s">
        <v>674</v>
      </c>
      <c r="L53" s="290"/>
      <c r="M53" s="279"/>
      <c r="N53" s="279"/>
      <c r="O53" s="279"/>
    </row>
    <row r="54" spans="1:15" ht="15.75" customHeight="1">
      <c r="A54" s="680" t="s">
        <v>972</v>
      </c>
      <c r="B54" s="503"/>
      <c r="C54" s="503"/>
      <c r="D54" s="503"/>
      <c r="E54" s="503"/>
      <c r="F54" s="453"/>
      <c r="G54" s="284" t="s">
        <v>942</v>
      </c>
      <c r="H54" s="642"/>
      <c r="I54" s="275"/>
      <c r="J54" s="276"/>
      <c r="K54" s="416"/>
      <c r="L54" s="290"/>
      <c r="M54" s="279"/>
      <c r="N54" s="279"/>
      <c r="O54" s="279"/>
    </row>
    <row r="55" spans="1:15" ht="15.75" customHeight="1">
      <c r="A55" s="681" t="s">
        <v>971</v>
      </c>
      <c r="B55" s="503"/>
      <c r="C55" s="503"/>
      <c r="D55" s="503"/>
      <c r="E55" s="503"/>
      <c r="F55" s="453"/>
      <c r="G55" s="284" t="s">
        <v>944</v>
      </c>
      <c r="H55" s="643"/>
      <c r="I55" s="275" t="b">
        <v>0</v>
      </c>
      <c r="J55" s="276"/>
      <c r="K55" s="416"/>
      <c r="L55" s="290"/>
      <c r="M55" s="279"/>
      <c r="N55" s="279"/>
      <c r="O55" s="160"/>
    </row>
    <row r="56" spans="1:15" ht="15.75" customHeight="1">
      <c r="A56" s="680" t="s">
        <v>268</v>
      </c>
      <c r="B56" s="503"/>
      <c r="C56" s="503"/>
      <c r="D56" s="503"/>
      <c r="E56" s="503"/>
      <c r="F56" s="453"/>
      <c r="G56" s="284"/>
      <c r="H56" s="293" t="s">
        <v>952</v>
      </c>
      <c r="I56" s="275" t="b">
        <v>0</v>
      </c>
      <c r="J56" s="276"/>
      <c r="K56" s="416"/>
      <c r="L56" s="658" t="s">
        <v>966</v>
      </c>
      <c r="M56" s="279"/>
      <c r="N56" s="279"/>
      <c r="O56" s="160"/>
    </row>
    <row r="57" spans="1:15" ht="15.75" customHeight="1">
      <c r="A57" s="682" t="s">
        <v>973</v>
      </c>
      <c r="B57" s="503"/>
      <c r="C57" s="503"/>
      <c r="D57" s="503"/>
      <c r="E57" s="503"/>
      <c r="F57" s="453"/>
      <c r="G57" s="284" t="s">
        <v>940</v>
      </c>
      <c r="H57" s="653" t="s">
        <v>974</v>
      </c>
      <c r="I57" s="275" t="b">
        <v>0</v>
      </c>
      <c r="J57" s="276"/>
      <c r="K57" s="655" t="s">
        <v>427</v>
      </c>
      <c r="L57" s="659"/>
      <c r="M57" s="279"/>
      <c r="N57" s="279"/>
      <c r="O57" s="160"/>
    </row>
    <row r="58" spans="1:15" ht="15.75" customHeight="1">
      <c r="A58" s="683" t="s">
        <v>685</v>
      </c>
      <c r="B58" s="503"/>
      <c r="C58" s="503"/>
      <c r="D58" s="503"/>
      <c r="E58" s="503"/>
      <c r="F58" s="453"/>
      <c r="G58" s="284" t="s">
        <v>942</v>
      </c>
      <c r="H58" s="643"/>
      <c r="I58" s="275" t="b">
        <v>0</v>
      </c>
      <c r="J58" s="276"/>
      <c r="K58" s="416"/>
      <c r="L58" s="659"/>
      <c r="M58" s="279"/>
      <c r="N58" s="279"/>
      <c r="O58" s="160"/>
    </row>
    <row r="59" spans="1:15" ht="15.75" customHeight="1">
      <c r="A59" s="680" t="s">
        <v>268</v>
      </c>
      <c r="B59" s="503"/>
      <c r="C59" s="503"/>
      <c r="D59" s="503"/>
      <c r="E59" s="503"/>
      <c r="F59" s="453"/>
      <c r="G59" s="284"/>
      <c r="H59" s="293" t="s">
        <v>975</v>
      </c>
      <c r="I59" s="275" t="b">
        <v>0</v>
      </c>
      <c r="J59" s="276"/>
      <c r="K59" s="416"/>
      <c r="L59" s="659"/>
      <c r="M59" s="279"/>
      <c r="N59" s="279"/>
      <c r="O59" s="160"/>
    </row>
    <row r="60" spans="1:15" ht="15.75" customHeight="1">
      <c r="A60" s="680" t="s">
        <v>976</v>
      </c>
      <c r="B60" s="503"/>
      <c r="C60" s="503"/>
      <c r="D60" s="503"/>
      <c r="E60" s="503"/>
      <c r="F60" s="453"/>
      <c r="G60" s="284" t="s">
        <v>940</v>
      </c>
      <c r="H60" s="653" t="s">
        <v>974</v>
      </c>
      <c r="I60" s="275" t="b">
        <v>0</v>
      </c>
      <c r="J60" s="276"/>
      <c r="K60" s="655" t="s">
        <v>522</v>
      </c>
      <c r="L60" s="659"/>
      <c r="M60" s="279"/>
      <c r="N60" s="279"/>
      <c r="O60" s="160"/>
    </row>
    <row r="61" spans="1:15" ht="15.75" customHeight="1">
      <c r="A61" s="683" t="s">
        <v>689</v>
      </c>
      <c r="B61" s="503"/>
      <c r="C61" s="503"/>
      <c r="D61" s="503"/>
      <c r="E61" s="503"/>
      <c r="F61" s="453"/>
      <c r="G61" s="284" t="s">
        <v>942</v>
      </c>
      <c r="H61" s="643"/>
      <c r="I61" s="275" t="b">
        <v>0</v>
      </c>
      <c r="J61" s="276"/>
      <c r="K61" s="416"/>
      <c r="L61" s="659"/>
      <c r="M61" s="279"/>
      <c r="N61" s="279"/>
      <c r="O61" s="160"/>
    </row>
    <row r="62" spans="1:15" ht="15.75" customHeight="1">
      <c r="A62" s="680" t="s">
        <v>268</v>
      </c>
      <c r="B62" s="503"/>
      <c r="C62" s="503"/>
      <c r="D62" s="503"/>
      <c r="E62" s="503"/>
      <c r="F62" s="453"/>
      <c r="G62" s="284"/>
      <c r="H62" s="293" t="s">
        <v>975</v>
      </c>
      <c r="I62" s="275" t="b">
        <v>0</v>
      </c>
      <c r="J62" s="276"/>
      <c r="K62" s="416"/>
      <c r="L62" s="638"/>
      <c r="M62" s="279"/>
      <c r="N62" s="279"/>
      <c r="O62" s="160"/>
    </row>
    <row r="63" spans="1:15" ht="15.75" customHeight="1">
      <c r="A63" s="682" t="s">
        <v>523</v>
      </c>
      <c r="B63" s="503"/>
      <c r="C63" s="503"/>
      <c r="D63" s="503"/>
      <c r="E63" s="503"/>
      <c r="F63" s="453"/>
      <c r="G63" s="284" t="s">
        <v>940</v>
      </c>
      <c r="H63" s="653" t="s">
        <v>951</v>
      </c>
      <c r="I63" s="275" t="b">
        <v>0</v>
      </c>
      <c r="J63" s="276"/>
      <c r="K63" s="655" t="s">
        <v>693</v>
      </c>
      <c r="L63" s="290"/>
      <c r="M63" s="279"/>
      <c r="N63" s="279"/>
      <c r="O63" s="160"/>
    </row>
    <row r="64" spans="1:15" ht="15.75" customHeight="1">
      <c r="A64" s="680" t="s">
        <v>696</v>
      </c>
      <c r="B64" s="503"/>
      <c r="C64" s="503"/>
      <c r="D64" s="503"/>
      <c r="E64" s="503"/>
      <c r="F64" s="453"/>
      <c r="G64" s="284" t="s">
        <v>942</v>
      </c>
      <c r="H64" s="643"/>
      <c r="I64" s="275" t="b">
        <v>0</v>
      </c>
      <c r="J64" s="276"/>
      <c r="K64" s="416"/>
      <c r="L64" s="290"/>
      <c r="M64" s="279"/>
      <c r="N64" s="279"/>
      <c r="O64" s="160"/>
    </row>
    <row r="65" spans="1:15" ht="15.75" customHeight="1">
      <c r="A65" s="684" t="s">
        <v>268</v>
      </c>
      <c r="B65" s="503"/>
      <c r="C65" s="503"/>
      <c r="D65" s="503"/>
      <c r="E65" s="503"/>
      <c r="F65" s="453"/>
      <c r="G65" s="281"/>
      <c r="H65" s="294" t="s">
        <v>952</v>
      </c>
      <c r="I65" s="275" t="b">
        <v>0</v>
      </c>
      <c r="J65" s="276"/>
      <c r="K65" s="416"/>
      <c r="L65" s="290"/>
      <c r="M65" s="279"/>
      <c r="N65" s="279"/>
      <c r="O65" s="160"/>
    </row>
    <row r="66" spans="1:15" ht="15.75" customHeight="1">
      <c r="A66" s="684" t="s">
        <v>977</v>
      </c>
      <c r="B66" s="503"/>
      <c r="C66" s="503"/>
      <c r="D66" s="503"/>
      <c r="E66" s="503"/>
      <c r="F66" s="453"/>
      <c r="G66" s="284" t="s">
        <v>940</v>
      </c>
      <c r="H66" s="644" t="s">
        <v>978</v>
      </c>
      <c r="I66" s="275" t="b">
        <v>0</v>
      </c>
      <c r="J66" s="276"/>
      <c r="K66" s="655" t="s">
        <v>712</v>
      </c>
      <c r="L66" s="658" t="s">
        <v>966</v>
      </c>
      <c r="M66" s="279"/>
      <c r="N66" s="279"/>
      <c r="O66" s="160"/>
    </row>
    <row r="67" spans="1:15" ht="15.75">
      <c r="A67" s="684" t="s">
        <v>979</v>
      </c>
      <c r="B67" s="503"/>
      <c r="C67" s="503"/>
      <c r="D67" s="503"/>
      <c r="E67" s="503"/>
      <c r="F67" s="453"/>
      <c r="G67" s="284" t="s">
        <v>942</v>
      </c>
      <c r="H67" s="643"/>
      <c r="I67" s="275" t="b">
        <v>0</v>
      </c>
      <c r="J67" s="276"/>
      <c r="K67" s="416"/>
      <c r="L67" s="659"/>
      <c r="M67" s="279"/>
      <c r="N67" s="279"/>
      <c r="O67" s="160"/>
    </row>
    <row r="68" spans="1:15" ht="15.75" customHeight="1">
      <c r="A68" s="684" t="s">
        <v>268</v>
      </c>
      <c r="B68" s="503"/>
      <c r="C68" s="503"/>
      <c r="D68" s="503"/>
      <c r="E68" s="503"/>
      <c r="F68" s="453"/>
      <c r="G68" s="281"/>
      <c r="H68" s="294" t="s">
        <v>980</v>
      </c>
      <c r="I68" s="275" t="b">
        <v>0</v>
      </c>
      <c r="J68" s="276"/>
      <c r="K68" s="416"/>
      <c r="L68" s="638"/>
      <c r="M68" s="279"/>
      <c r="N68" s="279"/>
      <c r="O68" s="160"/>
    </row>
    <row r="69" spans="1:15" ht="15.75">
      <c r="A69" s="684" t="s">
        <v>981</v>
      </c>
      <c r="B69" s="503"/>
      <c r="C69" s="503"/>
      <c r="D69" s="503"/>
      <c r="E69" s="503"/>
      <c r="F69" s="453"/>
      <c r="G69" s="284" t="s">
        <v>940</v>
      </c>
      <c r="H69" s="660" t="s">
        <v>982</v>
      </c>
      <c r="I69" s="275" t="b">
        <v>0</v>
      </c>
      <c r="J69" s="276"/>
      <c r="K69" s="655" t="s">
        <v>730</v>
      </c>
      <c r="L69" s="290"/>
      <c r="M69" s="279"/>
      <c r="N69" s="279"/>
      <c r="O69" s="160"/>
    </row>
    <row r="70" spans="1:15" ht="15.75">
      <c r="A70" s="684" t="s">
        <v>431</v>
      </c>
      <c r="B70" s="503"/>
      <c r="C70" s="503"/>
      <c r="D70" s="503"/>
      <c r="E70" s="503"/>
      <c r="F70" s="453"/>
      <c r="G70" s="284" t="s">
        <v>942</v>
      </c>
      <c r="H70" s="643"/>
      <c r="I70" s="275" t="b">
        <v>0</v>
      </c>
      <c r="J70" s="276"/>
      <c r="K70" s="416"/>
      <c r="L70" s="290"/>
      <c r="M70" s="279"/>
      <c r="N70" s="279"/>
      <c r="O70" s="160"/>
    </row>
    <row r="71" spans="1:15" ht="15.75" customHeight="1">
      <c r="A71" s="684" t="s">
        <v>268</v>
      </c>
      <c r="B71" s="503"/>
      <c r="C71" s="503"/>
      <c r="D71" s="503"/>
      <c r="E71" s="503"/>
      <c r="F71" s="453"/>
      <c r="G71" s="281"/>
      <c r="H71" s="294" t="s">
        <v>952</v>
      </c>
      <c r="I71" s="275" t="b">
        <v>0</v>
      </c>
      <c r="J71" s="276"/>
      <c r="K71" s="416"/>
      <c r="L71" s="290"/>
      <c r="M71" s="279"/>
      <c r="N71" s="279"/>
      <c r="O71" s="160"/>
    </row>
    <row r="72" spans="1:15" ht="15.75" hidden="1" customHeight="1">
      <c r="A72" s="685" t="s">
        <v>983</v>
      </c>
      <c r="B72" s="503"/>
      <c r="C72" s="503"/>
      <c r="D72" s="453"/>
      <c r="E72" s="686" t="s">
        <v>984</v>
      </c>
      <c r="F72" s="649"/>
      <c r="G72" s="281"/>
      <c r="H72" s="294"/>
      <c r="I72" s="295" t="b">
        <v>1</v>
      </c>
      <c r="J72" s="276"/>
      <c r="K72" s="655" t="s">
        <v>740</v>
      </c>
      <c r="L72" s="290"/>
      <c r="M72" s="663" t="s">
        <v>985</v>
      </c>
      <c r="N72" s="279"/>
      <c r="O72" s="160"/>
    </row>
    <row r="73" spans="1:15" ht="15.75" hidden="1" customHeight="1">
      <c r="A73" s="667" t="s">
        <v>986</v>
      </c>
      <c r="B73" s="503"/>
      <c r="C73" s="503"/>
      <c r="D73" s="453"/>
      <c r="E73" s="486"/>
      <c r="F73" s="650"/>
      <c r="G73" s="281"/>
      <c r="H73" s="294"/>
      <c r="I73" s="295" t="b">
        <v>1</v>
      </c>
      <c r="J73" s="276"/>
      <c r="K73" s="416"/>
      <c r="L73" s="290"/>
      <c r="M73" s="387"/>
      <c r="N73" s="279"/>
      <c r="O73" s="160"/>
    </row>
    <row r="74" spans="1:15" ht="15.75" hidden="1" customHeight="1">
      <c r="A74" s="667" t="s">
        <v>987</v>
      </c>
      <c r="B74" s="503"/>
      <c r="C74" s="503"/>
      <c r="D74" s="453"/>
      <c r="E74" s="667" t="s">
        <v>988</v>
      </c>
      <c r="F74" s="453"/>
      <c r="G74" s="281"/>
      <c r="H74" s="294"/>
      <c r="I74" s="295" t="b">
        <v>1</v>
      </c>
      <c r="J74" s="276"/>
      <c r="K74" s="416"/>
      <c r="L74" s="290"/>
      <c r="M74" s="387"/>
      <c r="N74" s="279"/>
      <c r="O74" s="160"/>
    </row>
    <row r="75" spans="1:15" ht="15.75" hidden="1" customHeight="1">
      <c r="A75" s="296" t="s">
        <v>983</v>
      </c>
      <c r="B75" s="667" t="s">
        <v>750</v>
      </c>
      <c r="C75" s="503"/>
      <c r="D75" s="453"/>
      <c r="E75" s="667" t="s">
        <v>989</v>
      </c>
      <c r="F75" s="453"/>
      <c r="G75" s="281"/>
      <c r="H75" s="294"/>
      <c r="I75" s="295" t="b">
        <v>1</v>
      </c>
      <c r="J75" s="276"/>
      <c r="K75" s="416"/>
      <c r="L75" s="290"/>
      <c r="M75" s="387"/>
      <c r="N75" s="279"/>
      <c r="O75" s="160"/>
    </row>
    <row r="76" spans="1:15" ht="15.75" hidden="1" customHeight="1">
      <c r="A76" s="685" t="s">
        <v>983</v>
      </c>
      <c r="B76" s="503"/>
      <c r="C76" s="503"/>
      <c r="D76" s="453"/>
      <c r="E76" s="686" t="s">
        <v>990</v>
      </c>
      <c r="F76" s="649"/>
      <c r="G76" s="281"/>
      <c r="H76" s="294"/>
      <c r="I76" s="295" t="b">
        <v>1</v>
      </c>
      <c r="J76" s="276"/>
      <c r="K76" s="416"/>
      <c r="L76" s="290"/>
      <c r="M76" s="387"/>
      <c r="N76" s="279"/>
      <c r="O76" s="160"/>
    </row>
    <row r="77" spans="1:15" ht="15.75" hidden="1" customHeight="1">
      <c r="A77" s="667" t="s">
        <v>991</v>
      </c>
      <c r="B77" s="503"/>
      <c r="C77" s="503"/>
      <c r="D77" s="453"/>
      <c r="E77" s="486"/>
      <c r="F77" s="650"/>
      <c r="G77" s="281"/>
      <c r="H77" s="294"/>
      <c r="I77" s="295" t="b">
        <v>1</v>
      </c>
      <c r="J77" s="276"/>
      <c r="K77" s="416"/>
      <c r="L77" s="290"/>
      <c r="M77" s="387"/>
      <c r="N77" s="279"/>
      <c r="O77" s="160"/>
    </row>
    <row r="78" spans="1:15" ht="15.75" hidden="1" customHeight="1">
      <c r="A78" s="667" t="s">
        <v>747</v>
      </c>
      <c r="B78" s="503"/>
      <c r="C78" s="503"/>
      <c r="D78" s="453"/>
      <c r="E78" s="667" t="s">
        <v>988</v>
      </c>
      <c r="F78" s="453"/>
      <c r="G78" s="281"/>
      <c r="H78" s="294"/>
      <c r="I78" s="295" t="b">
        <v>1</v>
      </c>
      <c r="J78" s="276"/>
      <c r="K78" s="416"/>
      <c r="L78" s="290"/>
      <c r="M78" s="387"/>
      <c r="N78" s="279"/>
      <c r="O78" s="160"/>
    </row>
    <row r="79" spans="1:15" ht="15.75" hidden="1" customHeight="1">
      <c r="A79" s="296" t="s">
        <v>983</v>
      </c>
      <c r="B79" s="667" t="s">
        <v>750</v>
      </c>
      <c r="C79" s="503"/>
      <c r="D79" s="453"/>
      <c r="E79" s="667" t="s">
        <v>989</v>
      </c>
      <c r="F79" s="453"/>
      <c r="G79" s="281"/>
      <c r="H79" s="294"/>
      <c r="I79" s="295" t="b">
        <v>1</v>
      </c>
      <c r="J79" s="276"/>
      <c r="K79" s="416"/>
      <c r="L79" s="290"/>
      <c r="M79" s="387"/>
      <c r="N79" s="279"/>
      <c r="O79" s="160"/>
    </row>
    <row r="80" spans="1:15" ht="15.75" hidden="1" customHeight="1">
      <c r="A80" s="685" t="s">
        <v>992</v>
      </c>
      <c r="B80" s="503"/>
      <c r="C80" s="503"/>
      <c r="D80" s="453"/>
      <c r="E80" s="686" t="s">
        <v>993</v>
      </c>
      <c r="F80" s="649"/>
      <c r="G80" s="281"/>
      <c r="H80" s="294"/>
      <c r="I80" s="295" t="b">
        <v>1</v>
      </c>
      <c r="J80" s="276"/>
      <c r="K80" s="416"/>
      <c r="L80" s="290"/>
      <c r="M80" s="387"/>
      <c r="N80" s="279"/>
      <c r="O80" s="160"/>
    </row>
    <row r="81" spans="1:15" ht="15.75" hidden="1" customHeight="1">
      <c r="A81" s="667" t="s">
        <v>994</v>
      </c>
      <c r="B81" s="503"/>
      <c r="C81" s="503"/>
      <c r="D81" s="453"/>
      <c r="E81" s="486"/>
      <c r="F81" s="650"/>
      <c r="G81" s="281"/>
      <c r="H81" s="294"/>
      <c r="I81" s="295" t="b">
        <v>1</v>
      </c>
      <c r="J81" s="276"/>
      <c r="K81" s="416"/>
      <c r="L81" s="290"/>
      <c r="M81" s="387"/>
      <c r="N81" s="279"/>
      <c r="O81" s="160"/>
    </row>
    <row r="82" spans="1:15" ht="15.75" hidden="1" customHeight="1">
      <c r="A82" s="667" t="s">
        <v>995</v>
      </c>
      <c r="B82" s="503"/>
      <c r="C82" s="503"/>
      <c r="D82" s="453"/>
      <c r="E82" s="667" t="s">
        <v>988</v>
      </c>
      <c r="F82" s="453"/>
      <c r="G82" s="281"/>
      <c r="H82" s="294"/>
      <c r="I82" s="295" t="b">
        <v>1</v>
      </c>
      <c r="J82" s="276"/>
      <c r="K82" s="416"/>
      <c r="L82" s="290"/>
      <c r="M82" s="387"/>
      <c r="N82" s="279"/>
      <c r="O82" s="160"/>
    </row>
    <row r="83" spans="1:15" ht="15.75" hidden="1" customHeight="1">
      <c r="A83" s="296" t="s">
        <v>992</v>
      </c>
      <c r="B83" s="667" t="s">
        <v>996</v>
      </c>
      <c r="C83" s="503"/>
      <c r="D83" s="453"/>
      <c r="E83" s="667" t="s">
        <v>989</v>
      </c>
      <c r="F83" s="453"/>
      <c r="G83" s="281"/>
      <c r="H83" s="294"/>
      <c r="I83" s="295" t="b">
        <v>1</v>
      </c>
      <c r="J83" s="276"/>
      <c r="K83" s="416"/>
      <c r="L83" s="290"/>
      <c r="M83" s="387"/>
      <c r="N83" s="279"/>
      <c r="O83" s="160"/>
    </row>
    <row r="84" spans="1:15" ht="15.75" hidden="1" customHeight="1">
      <c r="A84" s="685" t="s">
        <v>992</v>
      </c>
      <c r="B84" s="503"/>
      <c r="C84" s="503"/>
      <c r="D84" s="453"/>
      <c r="E84" s="686" t="s">
        <v>997</v>
      </c>
      <c r="F84" s="649"/>
      <c r="G84" s="281"/>
      <c r="H84" s="294"/>
      <c r="I84" s="295" t="b">
        <v>1</v>
      </c>
      <c r="J84" s="276"/>
      <c r="K84" s="416"/>
      <c r="L84" s="290"/>
      <c r="M84" s="387"/>
      <c r="N84" s="279"/>
      <c r="O84" s="160"/>
    </row>
    <row r="85" spans="1:15" ht="15.75" hidden="1" customHeight="1">
      <c r="A85" s="667" t="s">
        <v>998</v>
      </c>
      <c r="B85" s="503"/>
      <c r="C85" s="503"/>
      <c r="D85" s="453"/>
      <c r="E85" s="486"/>
      <c r="F85" s="650"/>
      <c r="G85" s="281"/>
      <c r="H85" s="294"/>
      <c r="I85" s="295" t="b">
        <v>1</v>
      </c>
      <c r="J85" s="276"/>
      <c r="K85" s="416"/>
      <c r="L85" s="290"/>
      <c r="M85" s="387"/>
      <c r="N85" s="279"/>
      <c r="O85" s="160"/>
    </row>
    <row r="86" spans="1:15" ht="15.75" hidden="1" customHeight="1">
      <c r="A86" s="667" t="s">
        <v>999</v>
      </c>
      <c r="B86" s="503"/>
      <c r="C86" s="503"/>
      <c r="D86" s="453"/>
      <c r="E86" s="667" t="s">
        <v>988</v>
      </c>
      <c r="F86" s="453"/>
      <c r="G86" s="281"/>
      <c r="H86" s="294"/>
      <c r="I86" s="295" t="b">
        <v>1</v>
      </c>
      <c r="J86" s="276"/>
      <c r="K86" s="416"/>
      <c r="L86" s="290"/>
      <c r="M86" s="387"/>
      <c r="N86" s="279"/>
      <c r="O86" s="160"/>
    </row>
    <row r="87" spans="1:15" ht="15.75" hidden="1" customHeight="1">
      <c r="A87" s="296" t="s">
        <v>992</v>
      </c>
      <c r="B87" s="667" t="s">
        <v>774</v>
      </c>
      <c r="C87" s="503"/>
      <c r="D87" s="453"/>
      <c r="E87" s="667" t="s">
        <v>989</v>
      </c>
      <c r="F87" s="453"/>
      <c r="G87" s="281"/>
      <c r="H87" s="294"/>
      <c r="I87" s="295" t="b">
        <v>1</v>
      </c>
      <c r="J87" s="276"/>
      <c r="K87" s="416"/>
      <c r="L87" s="290"/>
      <c r="M87" s="387"/>
      <c r="N87" s="279"/>
      <c r="O87" s="160"/>
    </row>
    <row r="88" spans="1:15" ht="15.75" hidden="1" customHeight="1">
      <c r="A88" s="685" t="s">
        <v>1000</v>
      </c>
      <c r="B88" s="503"/>
      <c r="C88" s="503"/>
      <c r="D88" s="453"/>
      <c r="E88" s="686" t="s">
        <v>1001</v>
      </c>
      <c r="F88" s="649"/>
      <c r="G88" s="281"/>
      <c r="H88" s="294"/>
      <c r="I88" s="295" t="b">
        <v>1</v>
      </c>
      <c r="J88" s="276"/>
      <c r="K88" s="655" t="s">
        <v>740</v>
      </c>
      <c r="L88" s="290"/>
      <c r="M88" s="387"/>
      <c r="N88" s="279"/>
      <c r="O88" s="160"/>
    </row>
    <row r="89" spans="1:15" ht="15.75" hidden="1" customHeight="1">
      <c r="A89" s="667" t="s">
        <v>1002</v>
      </c>
      <c r="B89" s="503"/>
      <c r="C89" s="503"/>
      <c r="D89" s="453"/>
      <c r="E89" s="486"/>
      <c r="F89" s="650"/>
      <c r="G89" s="281"/>
      <c r="H89" s="294"/>
      <c r="I89" s="295" t="b">
        <v>1</v>
      </c>
      <c r="J89" s="276"/>
      <c r="K89" s="416"/>
      <c r="L89" s="290"/>
      <c r="M89" s="387"/>
      <c r="N89" s="279"/>
      <c r="O89" s="160"/>
    </row>
    <row r="90" spans="1:15" ht="15.75" hidden="1" customHeight="1">
      <c r="A90" s="667" t="s">
        <v>1003</v>
      </c>
      <c r="B90" s="503"/>
      <c r="C90" s="503"/>
      <c r="D90" s="453"/>
      <c r="E90" s="667" t="s">
        <v>988</v>
      </c>
      <c r="F90" s="453"/>
      <c r="G90" s="281"/>
      <c r="H90" s="294"/>
      <c r="I90" s="295" t="b">
        <v>1</v>
      </c>
      <c r="J90" s="276"/>
      <c r="K90" s="416"/>
      <c r="L90" s="290"/>
      <c r="M90" s="387"/>
      <c r="N90" s="279"/>
      <c r="O90" s="160"/>
    </row>
    <row r="91" spans="1:15" ht="15.75" hidden="1" customHeight="1">
      <c r="A91" s="296" t="s">
        <v>1000</v>
      </c>
      <c r="B91" s="667" t="s">
        <v>781</v>
      </c>
      <c r="C91" s="503"/>
      <c r="D91" s="453"/>
      <c r="E91" s="667" t="s">
        <v>989</v>
      </c>
      <c r="F91" s="453"/>
      <c r="G91" s="281"/>
      <c r="H91" s="294"/>
      <c r="I91" s="295" t="b">
        <v>1</v>
      </c>
      <c r="J91" s="276"/>
      <c r="K91" s="416"/>
      <c r="L91" s="290"/>
      <c r="M91" s="387"/>
      <c r="N91" s="279"/>
      <c r="O91" s="160"/>
    </row>
    <row r="92" spans="1:15" ht="15.75" hidden="1" customHeight="1">
      <c r="A92" s="685" t="s">
        <v>1000</v>
      </c>
      <c r="B92" s="503"/>
      <c r="C92" s="503"/>
      <c r="D92" s="453"/>
      <c r="E92" s="686" t="s">
        <v>1004</v>
      </c>
      <c r="F92" s="649"/>
      <c r="G92" s="281"/>
      <c r="H92" s="294"/>
      <c r="I92" s="295" t="b">
        <v>1</v>
      </c>
      <c r="J92" s="276"/>
      <c r="K92" s="416"/>
      <c r="L92" s="290"/>
      <c r="M92" s="387"/>
      <c r="N92" s="279"/>
      <c r="O92" s="160"/>
    </row>
    <row r="93" spans="1:15" ht="15.75" hidden="1" customHeight="1">
      <c r="A93" s="667" t="s">
        <v>1005</v>
      </c>
      <c r="B93" s="503"/>
      <c r="C93" s="503"/>
      <c r="D93" s="453"/>
      <c r="E93" s="486"/>
      <c r="F93" s="650"/>
      <c r="G93" s="281"/>
      <c r="H93" s="294"/>
      <c r="I93" s="295" t="b">
        <v>1</v>
      </c>
      <c r="J93" s="276"/>
      <c r="K93" s="416"/>
      <c r="L93" s="290"/>
      <c r="M93" s="387"/>
      <c r="N93" s="279"/>
      <c r="O93" s="160"/>
    </row>
    <row r="94" spans="1:15" ht="15.75" hidden="1" customHeight="1">
      <c r="A94" s="667" t="s">
        <v>1006</v>
      </c>
      <c r="B94" s="503"/>
      <c r="C94" s="503"/>
      <c r="D94" s="453"/>
      <c r="E94" s="667" t="s">
        <v>988</v>
      </c>
      <c r="F94" s="453"/>
      <c r="G94" s="281"/>
      <c r="H94" s="294"/>
      <c r="I94" s="295" t="b">
        <v>1</v>
      </c>
      <c r="J94" s="276"/>
      <c r="K94" s="416"/>
      <c r="L94" s="290"/>
      <c r="M94" s="387"/>
      <c r="N94" s="279"/>
      <c r="O94" s="160"/>
    </row>
    <row r="95" spans="1:15" ht="15.75" hidden="1" customHeight="1">
      <c r="A95" s="296" t="s">
        <v>1000</v>
      </c>
      <c r="B95" s="667" t="s">
        <v>790</v>
      </c>
      <c r="C95" s="503"/>
      <c r="D95" s="453"/>
      <c r="E95" s="667" t="s">
        <v>989</v>
      </c>
      <c r="F95" s="453"/>
      <c r="G95" s="281"/>
      <c r="H95" s="294"/>
      <c r="I95" s="295" t="b">
        <v>1</v>
      </c>
      <c r="J95" s="276"/>
      <c r="K95" s="416"/>
      <c r="L95" s="290"/>
      <c r="M95" s="387"/>
      <c r="N95" s="279"/>
      <c r="O95" s="160"/>
    </row>
    <row r="96" spans="1:15" ht="15.75" hidden="1" customHeight="1">
      <c r="A96" s="685" t="s">
        <v>1007</v>
      </c>
      <c r="B96" s="503"/>
      <c r="C96" s="503"/>
      <c r="D96" s="453"/>
      <c r="E96" s="686" t="s">
        <v>1008</v>
      </c>
      <c r="F96" s="649"/>
      <c r="G96" s="281"/>
      <c r="H96" s="294"/>
      <c r="I96" s="295" t="b">
        <v>1</v>
      </c>
      <c r="J96" s="276"/>
      <c r="K96" s="416"/>
      <c r="L96" s="290"/>
      <c r="M96" s="387"/>
      <c r="N96" s="279"/>
      <c r="O96" s="160"/>
    </row>
    <row r="97" spans="1:15" ht="15.75" hidden="1" customHeight="1">
      <c r="A97" s="667" t="s">
        <v>1009</v>
      </c>
      <c r="B97" s="503"/>
      <c r="C97" s="503"/>
      <c r="D97" s="453"/>
      <c r="E97" s="486"/>
      <c r="F97" s="650"/>
      <c r="G97" s="281"/>
      <c r="H97" s="294"/>
      <c r="I97" s="295" t="b">
        <v>1</v>
      </c>
      <c r="J97" s="276"/>
      <c r="K97" s="416"/>
      <c r="L97" s="290"/>
      <c r="M97" s="387"/>
      <c r="N97" s="279"/>
      <c r="O97" s="160"/>
    </row>
    <row r="98" spans="1:15" ht="15.75" hidden="1" customHeight="1">
      <c r="A98" s="667" t="s">
        <v>1010</v>
      </c>
      <c r="B98" s="503"/>
      <c r="C98" s="503"/>
      <c r="D98" s="453"/>
      <c r="E98" s="667" t="s">
        <v>988</v>
      </c>
      <c r="F98" s="453"/>
      <c r="G98" s="281"/>
      <c r="H98" s="294"/>
      <c r="I98" s="295" t="b">
        <v>1</v>
      </c>
      <c r="J98" s="276"/>
      <c r="K98" s="416"/>
      <c r="L98" s="290"/>
      <c r="M98" s="387"/>
      <c r="N98" s="279"/>
      <c r="O98" s="160"/>
    </row>
    <row r="99" spans="1:15" ht="15.75" hidden="1" customHeight="1">
      <c r="A99" s="296" t="s">
        <v>1007</v>
      </c>
      <c r="B99" s="667" t="s">
        <v>799</v>
      </c>
      <c r="C99" s="503"/>
      <c r="D99" s="453"/>
      <c r="E99" s="667" t="s">
        <v>989</v>
      </c>
      <c r="F99" s="453"/>
      <c r="G99" s="281"/>
      <c r="H99" s="294"/>
      <c r="I99" s="295" t="b">
        <v>1</v>
      </c>
      <c r="J99" s="276"/>
      <c r="K99" s="416"/>
      <c r="L99" s="290"/>
      <c r="M99" s="387"/>
      <c r="N99" s="279"/>
      <c r="O99" s="160"/>
    </row>
    <row r="100" spans="1:15" ht="15.75" hidden="1" customHeight="1">
      <c r="A100" s="685" t="s">
        <v>1007</v>
      </c>
      <c r="B100" s="503"/>
      <c r="C100" s="503"/>
      <c r="D100" s="453"/>
      <c r="E100" s="686" t="s">
        <v>1011</v>
      </c>
      <c r="F100" s="649"/>
      <c r="G100" s="281"/>
      <c r="H100" s="294"/>
      <c r="I100" s="295" t="b">
        <v>1</v>
      </c>
      <c r="J100" s="276"/>
      <c r="K100" s="416"/>
      <c r="L100" s="290"/>
      <c r="M100" s="387"/>
      <c r="N100" s="279"/>
      <c r="O100" s="160"/>
    </row>
    <row r="101" spans="1:15" ht="15.75" hidden="1" customHeight="1">
      <c r="A101" s="667" t="s">
        <v>1012</v>
      </c>
      <c r="B101" s="503"/>
      <c r="C101" s="503"/>
      <c r="D101" s="453"/>
      <c r="E101" s="486"/>
      <c r="F101" s="650"/>
      <c r="G101" s="281"/>
      <c r="H101" s="294"/>
      <c r="I101" s="295" t="b">
        <v>1</v>
      </c>
      <c r="J101" s="276"/>
      <c r="K101" s="416"/>
      <c r="L101" s="290"/>
      <c r="M101" s="387"/>
      <c r="N101" s="279"/>
      <c r="O101" s="160"/>
    </row>
    <row r="102" spans="1:15" ht="15.75" hidden="1" customHeight="1">
      <c r="A102" s="667" t="s">
        <v>1013</v>
      </c>
      <c r="B102" s="503"/>
      <c r="C102" s="503"/>
      <c r="D102" s="453"/>
      <c r="E102" s="667" t="s">
        <v>988</v>
      </c>
      <c r="F102" s="453"/>
      <c r="G102" s="281"/>
      <c r="H102" s="294"/>
      <c r="I102" s="295" t="b">
        <v>1</v>
      </c>
      <c r="J102" s="276"/>
      <c r="K102" s="416"/>
      <c r="L102" s="290"/>
      <c r="M102" s="387"/>
      <c r="N102" s="279"/>
      <c r="O102" s="160"/>
    </row>
    <row r="103" spans="1:15" ht="15.75" hidden="1" customHeight="1">
      <c r="A103" s="296" t="s">
        <v>1007</v>
      </c>
      <c r="B103" s="667" t="s">
        <v>1014</v>
      </c>
      <c r="C103" s="503"/>
      <c r="D103" s="453"/>
      <c r="E103" s="667" t="s">
        <v>989</v>
      </c>
      <c r="F103" s="453"/>
      <c r="G103" s="281"/>
      <c r="H103" s="294"/>
      <c r="I103" s="295" t="b">
        <v>1</v>
      </c>
      <c r="J103" s="276"/>
      <c r="K103" s="416"/>
      <c r="L103" s="290"/>
      <c r="M103" s="396"/>
      <c r="N103" s="279"/>
      <c r="O103" s="160"/>
    </row>
    <row r="104" spans="1:15" ht="15.75" customHeight="1">
      <c r="A104" s="684" t="s">
        <v>400</v>
      </c>
      <c r="B104" s="503"/>
      <c r="C104" s="503"/>
      <c r="D104" s="503"/>
      <c r="E104" s="503"/>
      <c r="F104" s="453"/>
      <c r="G104" s="284" t="s">
        <v>940</v>
      </c>
      <c r="H104" s="644" t="s">
        <v>974</v>
      </c>
      <c r="I104" s="275" t="b">
        <v>0</v>
      </c>
      <c r="J104" s="276"/>
      <c r="K104" s="655" t="s">
        <v>822</v>
      </c>
      <c r="L104" s="658" t="s">
        <v>966</v>
      </c>
      <c r="M104" s="279"/>
      <c r="N104" s="279"/>
      <c r="O104" s="160"/>
    </row>
    <row r="105" spans="1:15" ht="15.75" customHeight="1">
      <c r="A105" s="684" t="s">
        <v>824</v>
      </c>
      <c r="B105" s="503"/>
      <c r="C105" s="503"/>
      <c r="D105" s="503"/>
      <c r="E105" s="503"/>
      <c r="F105" s="453"/>
      <c r="G105" s="284" t="s">
        <v>942</v>
      </c>
      <c r="H105" s="643"/>
      <c r="I105" s="275" t="b">
        <v>0</v>
      </c>
      <c r="J105" s="276"/>
      <c r="K105" s="416"/>
      <c r="L105" s="659"/>
      <c r="M105" s="279"/>
      <c r="N105" s="279"/>
      <c r="O105" s="160"/>
    </row>
    <row r="106" spans="1:15" ht="15.75" customHeight="1">
      <c r="A106" s="687" t="s">
        <v>1015</v>
      </c>
      <c r="B106" s="503"/>
      <c r="C106" s="503"/>
      <c r="D106" s="503"/>
      <c r="E106" s="503"/>
      <c r="F106" s="453"/>
      <c r="G106" s="694" t="s">
        <v>1981</v>
      </c>
      <c r="H106" s="696" t="s">
        <v>1983</v>
      </c>
      <c r="I106" s="275" t="b">
        <v>0</v>
      </c>
      <c r="J106" s="276"/>
      <c r="K106" s="416"/>
      <c r="L106" s="659"/>
      <c r="M106" s="279"/>
      <c r="N106" s="279"/>
      <c r="O106" s="160"/>
    </row>
    <row r="107" spans="1:15" ht="15.75" customHeight="1">
      <c r="A107" s="687" t="s">
        <v>829</v>
      </c>
      <c r="B107" s="503"/>
      <c r="C107" s="503"/>
      <c r="D107" s="503"/>
      <c r="E107" s="503"/>
      <c r="F107" s="453"/>
      <c r="G107" s="695" t="s">
        <v>1982</v>
      </c>
      <c r="H107" s="294" t="s">
        <v>1016</v>
      </c>
      <c r="I107" s="275" t="b">
        <v>0</v>
      </c>
      <c r="J107" s="276"/>
      <c r="K107" s="416"/>
      <c r="L107" s="659"/>
      <c r="M107" s="279"/>
      <c r="N107" s="279"/>
      <c r="O107" s="160"/>
    </row>
    <row r="108" spans="1:15" ht="15.75" customHeight="1">
      <c r="A108" s="687" t="s">
        <v>834</v>
      </c>
      <c r="B108" s="503"/>
      <c r="C108" s="503"/>
      <c r="D108" s="503"/>
      <c r="E108" s="503"/>
      <c r="F108" s="453"/>
      <c r="G108" s="695" t="s">
        <v>1982</v>
      </c>
      <c r="H108" s="294" t="s">
        <v>1016</v>
      </c>
      <c r="I108" s="275" t="b">
        <v>0</v>
      </c>
      <c r="J108" s="276"/>
      <c r="K108" s="416"/>
      <c r="L108" s="659"/>
      <c r="M108" s="279"/>
      <c r="N108" s="279"/>
      <c r="O108" s="160"/>
    </row>
    <row r="109" spans="1:15" ht="15.75" customHeight="1">
      <c r="A109" s="687" t="s">
        <v>838</v>
      </c>
      <c r="B109" s="503"/>
      <c r="C109" s="503"/>
      <c r="D109" s="503"/>
      <c r="E109" s="503"/>
      <c r="F109" s="453"/>
      <c r="G109" s="695" t="s">
        <v>1982</v>
      </c>
      <c r="H109" s="294" t="s">
        <v>1016</v>
      </c>
      <c r="I109" s="275" t="b">
        <v>0</v>
      </c>
      <c r="J109" s="276"/>
      <c r="K109" s="416"/>
      <c r="L109" s="659"/>
      <c r="M109" s="279"/>
      <c r="N109" s="279"/>
      <c r="O109" s="160"/>
    </row>
    <row r="110" spans="1:15" ht="15.75" customHeight="1">
      <c r="A110" s="687" t="s">
        <v>844</v>
      </c>
      <c r="B110" s="503"/>
      <c r="C110" s="503"/>
      <c r="D110" s="503"/>
      <c r="E110" s="503"/>
      <c r="F110" s="453"/>
      <c r="G110" s="695" t="s">
        <v>1982</v>
      </c>
      <c r="H110" s="294" t="s">
        <v>1016</v>
      </c>
      <c r="I110" s="275" t="b">
        <v>0</v>
      </c>
      <c r="J110" s="276"/>
      <c r="K110" s="416"/>
      <c r="L110" s="659"/>
      <c r="M110" s="279"/>
      <c r="N110" s="279"/>
      <c r="O110" s="160"/>
    </row>
    <row r="111" spans="1:15" ht="15.75" customHeight="1">
      <c r="A111" s="687" t="s">
        <v>852</v>
      </c>
      <c r="B111" s="503"/>
      <c r="C111" s="503"/>
      <c r="D111" s="503"/>
      <c r="E111" s="503"/>
      <c r="F111" s="453"/>
      <c r="G111" s="695" t="s">
        <v>1982</v>
      </c>
      <c r="H111" s="294" t="s">
        <v>1016</v>
      </c>
      <c r="I111" s="275" t="b">
        <v>0</v>
      </c>
      <c r="J111" s="276"/>
      <c r="K111" s="416"/>
      <c r="L111" s="659"/>
      <c r="M111" s="279"/>
      <c r="N111" s="279"/>
      <c r="O111" s="160"/>
    </row>
    <row r="112" spans="1:15" ht="15.75" customHeight="1">
      <c r="A112" s="687" t="s">
        <v>860</v>
      </c>
      <c r="B112" s="503"/>
      <c r="C112" s="503"/>
      <c r="D112" s="503"/>
      <c r="E112" s="503"/>
      <c r="F112" s="453"/>
      <c r="G112" s="695" t="s">
        <v>1982</v>
      </c>
      <c r="H112" s="294" t="s">
        <v>1016</v>
      </c>
      <c r="I112" s="275" t="b">
        <v>0</v>
      </c>
      <c r="J112" s="276"/>
      <c r="K112" s="416"/>
      <c r="L112" s="659"/>
      <c r="M112" s="279"/>
      <c r="N112" s="279"/>
      <c r="O112" s="160"/>
    </row>
    <row r="113" spans="1:15" ht="15.75" customHeight="1">
      <c r="A113" s="687" t="s">
        <v>863</v>
      </c>
      <c r="B113" s="503"/>
      <c r="C113" s="503"/>
      <c r="D113" s="503"/>
      <c r="E113" s="503"/>
      <c r="F113" s="453"/>
      <c r="G113" s="695" t="s">
        <v>1982</v>
      </c>
      <c r="H113" s="294" t="s">
        <v>1016</v>
      </c>
      <c r="I113" s="275" t="b">
        <v>0</v>
      </c>
      <c r="J113" s="276"/>
      <c r="K113" s="416"/>
      <c r="L113" s="659"/>
      <c r="M113" s="279"/>
      <c r="N113" s="279"/>
      <c r="O113" s="160"/>
    </row>
    <row r="114" spans="1:15" ht="15.75" customHeight="1">
      <c r="A114" s="684" t="s">
        <v>268</v>
      </c>
      <c r="B114" s="503"/>
      <c r="C114" s="503"/>
      <c r="D114" s="503"/>
      <c r="E114" s="503"/>
      <c r="F114" s="453"/>
      <c r="G114" s="281"/>
      <c r="H114" s="294" t="s">
        <v>975</v>
      </c>
      <c r="I114" s="275" t="b">
        <v>0</v>
      </c>
      <c r="J114" s="276"/>
      <c r="K114" s="416"/>
      <c r="L114" s="638"/>
      <c r="M114" s="279"/>
      <c r="N114" s="279"/>
      <c r="O114" s="160"/>
    </row>
    <row r="115" spans="1:15" ht="15.75" hidden="1" customHeight="1">
      <c r="A115" s="294"/>
      <c r="B115" s="294"/>
      <c r="C115" s="294"/>
      <c r="D115" s="297"/>
      <c r="E115" s="688"/>
      <c r="F115" s="649"/>
      <c r="G115" s="298"/>
      <c r="H115" s="299"/>
      <c r="I115" s="275" t="b">
        <v>0</v>
      </c>
      <c r="J115" s="276"/>
      <c r="K115" s="655" t="s">
        <v>873</v>
      </c>
      <c r="L115" s="290"/>
      <c r="M115" s="279"/>
      <c r="N115" s="279"/>
      <c r="O115" s="160"/>
    </row>
    <row r="116" spans="1:15" ht="15.75" hidden="1" customHeight="1">
      <c r="A116" s="294" t="s">
        <v>882</v>
      </c>
      <c r="B116" s="294" t="s">
        <v>883</v>
      </c>
      <c r="C116" s="294" t="s">
        <v>884</v>
      </c>
      <c r="D116" s="294"/>
      <c r="E116" s="486"/>
      <c r="F116" s="650"/>
      <c r="G116" s="298"/>
      <c r="H116" s="299"/>
      <c r="I116" s="275" t="b">
        <v>0</v>
      </c>
      <c r="J116" s="276"/>
      <c r="K116" s="416"/>
      <c r="L116" s="290"/>
      <c r="M116" s="279"/>
      <c r="N116" s="279"/>
      <c r="O116" s="160"/>
    </row>
    <row r="117" spans="1:15" ht="15.75" hidden="1" customHeight="1">
      <c r="A117" s="294"/>
      <c r="B117" s="294"/>
      <c r="C117" s="294"/>
      <c r="D117" s="297" t="s">
        <v>876</v>
      </c>
      <c r="E117" s="296" t="s">
        <v>1017</v>
      </c>
      <c r="F117" s="662"/>
      <c r="G117" s="298"/>
      <c r="H117" s="299"/>
      <c r="I117" s="295" t="b">
        <v>1</v>
      </c>
      <c r="J117" s="276"/>
      <c r="K117" s="416"/>
      <c r="L117" s="290"/>
      <c r="M117" s="663" t="s">
        <v>985</v>
      </c>
      <c r="N117" s="279"/>
      <c r="O117" s="160"/>
    </row>
    <row r="118" spans="1:15" ht="36" hidden="1" customHeight="1">
      <c r="A118" s="294" t="s">
        <v>895</v>
      </c>
      <c r="B118" s="294" t="s">
        <v>883</v>
      </c>
      <c r="C118" s="294" t="s">
        <v>884</v>
      </c>
      <c r="D118" s="294" t="s">
        <v>896</v>
      </c>
      <c r="E118" s="294" t="s">
        <v>1018</v>
      </c>
      <c r="F118" s="643"/>
      <c r="G118" s="298"/>
      <c r="H118" s="299"/>
      <c r="I118" s="295" t="b">
        <v>1</v>
      </c>
      <c r="J118" s="276"/>
      <c r="K118" s="416"/>
      <c r="L118" s="290"/>
      <c r="M118" s="387"/>
      <c r="N118" s="279"/>
      <c r="O118" s="160"/>
    </row>
    <row r="119" spans="1:15" ht="15.75" hidden="1" customHeight="1">
      <c r="A119" s="294"/>
      <c r="B119" s="294"/>
      <c r="C119" s="294"/>
      <c r="D119" s="297" t="s">
        <v>876</v>
      </c>
      <c r="E119" s="296" t="s">
        <v>1019</v>
      </c>
      <c r="F119" s="662"/>
      <c r="G119" s="298"/>
      <c r="H119" s="299"/>
      <c r="I119" s="295" t="b">
        <v>1</v>
      </c>
      <c r="J119" s="276"/>
      <c r="K119" s="416"/>
      <c r="L119" s="290"/>
      <c r="M119" s="387"/>
      <c r="N119" s="279"/>
      <c r="O119" s="160"/>
    </row>
    <row r="120" spans="1:15" ht="35.25" hidden="1" customHeight="1">
      <c r="A120" s="294" t="s">
        <v>895</v>
      </c>
      <c r="B120" s="294" t="s">
        <v>883</v>
      </c>
      <c r="C120" s="294" t="s">
        <v>884</v>
      </c>
      <c r="D120" s="294" t="s">
        <v>896</v>
      </c>
      <c r="E120" s="294" t="s">
        <v>1020</v>
      </c>
      <c r="F120" s="643"/>
      <c r="G120" s="298"/>
      <c r="H120" s="299"/>
      <c r="I120" s="295" t="b">
        <v>1</v>
      </c>
      <c r="J120" s="276"/>
      <c r="K120" s="416"/>
      <c r="L120" s="290"/>
      <c r="M120" s="387"/>
      <c r="N120" s="279"/>
      <c r="O120" s="160"/>
    </row>
    <row r="121" spans="1:15" ht="15.75" hidden="1" customHeight="1">
      <c r="A121" s="294"/>
      <c r="B121" s="294"/>
      <c r="C121" s="294"/>
      <c r="D121" s="297" t="s">
        <v>876</v>
      </c>
      <c r="E121" s="296" t="s">
        <v>1021</v>
      </c>
      <c r="F121" s="662"/>
      <c r="G121" s="298"/>
      <c r="H121" s="299"/>
      <c r="I121" s="295" t="b">
        <v>1</v>
      </c>
      <c r="J121" s="276"/>
      <c r="L121" s="290"/>
      <c r="M121" s="387"/>
      <c r="N121" s="279"/>
      <c r="O121" s="160"/>
    </row>
    <row r="122" spans="1:15" ht="36" hidden="1" customHeight="1">
      <c r="A122" s="294" t="s">
        <v>895</v>
      </c>
      <c r="B122" s="294" t="s">
        <v>883</v>
      </c>
      <c r="C122" s="294" t="s">
        <v>884</v>
      </c>
      <c r="D122" s="294" t="s">
        <v>896</v>
      </c>
      <c r="E122" s="294" t="s">
        <v>1022</v>
      </c>
      <c r="F122" s="643"/>
      <c r="G122" s="298"/>
      <c r="H122" s="299"/>
      <c r="I122" s="295" t="b">
        <v>1</v>
      </c>
      <c r="J122" s="276"/>
      <c r="L122" s="290"/>
      <c r="M122" s="387"/>
      <c r="N122" s="279"/>
      <c r="O122" s="160"/>
    </row>
    <row r="123" spans="1:15" ht="15.75" hidden="1" customHeight="1">
      <c r="A123" s="294"/>
      <c r="B123" s="294"/>
      <c r="C123" s="294"/>
      <c r="D123" s="297" t="s">
        <v>876</v>
      </c>
      <c r="E123" s="296" t="s">
        <v>1023</v>
      </c>
      <c r="F123" s="662"/>
      <c r="G123" s="298"/>
      <c r="H123" s="299"/>
      <c r="I123" s="295" t="b">
        <v>1</v>
      </c>
      <c r="J123" s="276"/>
      <c r="L123" s="290"/>
      <c r="M123" s="387"/>
      <c r="N123" s="279"/>
      <c r="O123" s="160"/>
    </row>
    <row r="124" spans="1:15" ht="15.75" hidden="1" customHeight="1">
      <c r="A124" s="294" t="s">
        <v>895</v>
      </c>
      <c r="B124" s="294" t="s">
        <v>883</v>
      </c>
      <c r="C124" s="294" t="s">
        <v>884</v>
      </c>
      <c r="D124" s="294" t="s">
        <v>896</v>
      </c>
      <c r="E124" s="294" t="s">
        <v>1024</v>
      </c>
      <c r="F124" s="643"/>
      <c r="G124" s="298"/>
      <c r="H124" s="299"/>
      <c r="I124" s="295" t="b">
        <v>1</v>
      </c>
      <c r="J124" s="276"/>
      <c r="L124" s="290"/>
      <c r="M124" s="396"/>
      <c r="N124" s="279"/>
      <c r="O124" s="160"/>
    </row>
    <row r="125" spans="1:15" ht="15.75" hidden="1" customHeight="1">
      <c r="A125" s="132"/>
      <c r="B125" s="132"/>
      <c r="C125" s="132"/>
      <c r="D125" s="132"/>
      <c r="E125" s="132"/>
      <c r="F125" s="132"/>
      <c r="G125" s="300"/>
      <c r="H125" s="301"/>
      <c r="I125" s="132"/>
      <c r="J125" s="132"/>
      <c r="K125" s="132"/>
      <c r="L125" s="290"/>
      <c r="M125" s="279"/>
      <c r="N125" s="279"/>
      <c r="O125" s="160"/>
    </row>
    <row r="126" spans="1:15" ht="15.75" hidden="1" customHeight="1">
      <c r="A126" s="132"/>
      <c r="B126" s="132"/>
      <c r="C126" s="132"/>
      <c r="D126" s="132"/>
      <c r="E126" s="132"/>
      <c r="F126" s="132"/>
      <c r="G126" s="300"/>
      <c r="H126" s="301"/>
      <c r="I126" s="132"/>
      <c r="J126" s="132"/>
      <c r="K126" s="132"/>
      <c r="L126" s="290"/>
      <c r="M126" s="279"/>
      <c r="N126" s="279"/>
      <c r="O126" s="160"/>
    </row>
    <row r="127" spans="1:15" ht="15.75" hidden="1" customHeight="1">
      <c r="A127" s="132"/>
      <c r="B127" s="132"/>
      <c r="C127" s="132"/>
      <c r="D127" s="132"/>
      <c r="E127" s="132"/>
      <c r="F127" s="132"/>
      <c r="G127" s="300"/>
      <c r="H127" s="301"/>
      <c r="I127" s="132"/>
      <c r="J127" s="132"/>
      <c r="K127" s="132"/>
      <c r="L127" s="290"/>
      <c r="M127" s="279"/>
      <c r="N127" s="279"/>
      <c r="O127" s="160"/>
    </row>
    <row r="128" spans="1:15" ht="15.75" hidden="1" customHeight="1">
      <c r="A128" s="132"/>
      <c r="B128" s="132"/>
      <c r="C128" s="132"/>
      <c r="D128" s="132"/>
      <c r="E128" s="132"/>
      <c r="F128" s="132"/>
      <c r="G128" s="300"/>
      <c r="H128" s="301"/>
      <c r="I128" s="132"/>
      <c r="J128" s="132"/>
      <c r="K128" s="132"/>
      <c r="L128" s="290"/>
      <c r="M128" s="279"/>
      <c r="N128" s="279"/>
      <c r="O128" s="160"/>
    </row>
    <row r="129" spans="1:15" ht="15.75" hidden="1" customHeight="1">
      <c r="A129" s="132"/>
      <c r="B129" s="132"/>
      <c r="C129" s="132"/>
      <c r="D129" s="132"/>
      <c r="E129" s="132"/>
      <c r="F129" s="132"/>
      <c r="G129" s="300"/>
      <c r="H129" s="301"/>
      <c r="I129" s="132"/>
      <c r="J129" s="132"/>
      <c r="K129" s="132"/>
      <c r="L129" s="290"/>
      <c r="M129" s="279"/>
      <c r="N129" s="279"/>
      <c r="O129" s="160"/>
    </row>
    <row r="130" spans="1:15" ht="15.75" hidden="1" customHeight="1">
      <c r="A130" s="132"/>
      <c r="B130" s="132"/>
      <c r="C130" s="132"/>
      <c r="D130" s="132"/>
      <c r="E130" s="132"/>
      <c r="F130" s="132"/>
      <c r="G130" s="300"/>
      <c r="H130" s="301"/>
      <c r="I130" s="132"/>
      <c r="J130" s="132"/>
      <c r="K130" s="132"/>
      <c r="L130" s="290"/>
      <c r="M130" s="279"/>
      <c r="N130" s="279"/>
      <c r="O130" s="160"/>
    </row>
    <row r="131" spans="1:15" ht="15.75" hidden="1" customHeight="1">
      <c r="A131" s="132"/>
      <c r="B131" s="132"/>
      <c r="C131" s="132"/>
      <c r="D131" s="132"/>
      <c r="E131" s="132"/>
      <c r="F131" s="132"/>
      <c r="G131" s="300"/>
      <c r="H131" s="301"/>
      <c r="I131" s="132"/>
      <c r="J131" s="132"/>
      <c r="K131" s="132"/>
      <c r="L131" s="290"/>
      <c r="M131" s="279"/>
      <c r="N131" s="279"/>
      <c r="O131" s="160"/>
    </row>
    <row r="132" spans="1:15" ht="15.75" hidden="1" customHeight="1">
      <c r="A132" s="132"/>
      <c r="B132" s="132"/>
      <c r="C132" s="132"/>
      <c r="D132" s="132"/>
      <c r="G132" s="300"/>
      <c r="H132" s="301"/>
      <c r="I132" s="132"/>
      <c r="J132" s="132"/>
      <c r="K132" s="132"/>
      <c r="L132" s="290"/>
      <c r="M132" s="279"/>
      <c r="N132" s="279"/>
      <c r="O132" s="160"/>
    </row>
    <row r="133" spans="1:15" ht="15.75" hidden="1" customHeight="1">
      <c r="A133" s="132"/>
      <c r="B133" s="132"/>
      <c r="C133" s="132"/>
      <c r="D133" s="132"/>
      <c r="G133" s="300"/>
      <c r="H133" s="301"/>
      <c r="I133" s="132"/>
      <c r="J133" s="132"/>
      <c r="K133" s="132"/>
      <c r="L133" s="290"/>
      <c r="M133" s="279"/>
      <c r="N133" s="279"/>
      <c r="O133" s="160"/>
    </row>
    <row r="134" spans="1:15" ht="15.75" hidden="1" customHeight="1">
      <c r="A134" s="132"/>
      <c r="B134" s="132"/>
      <c r="C134" s="132"/>
      <c r="D134" s="132"/>
      <c r="E134" s="132"/>
      <c r="G134" s="300"/>
      <c r="H134" s="301"/>
      <c r="I134" s="132"/>
      <c r="J134" s="132"/>
      <c r="K134" s="132"/>
      <c r="L134" s="290"/>
      <c r="M134" s="279"/>
      <c r="N134" s="279"/>
      <c r="O134" s="160"/>
    </row>
    <row r="135" spans="1:15" ht="36" hidden="1" customHeight="1">
      <c r="A135" s="132"/>
      <c r="B135" s="132"/>
      <c r="C135" s="132"/>
      <c r="D135" s="132"/>
      <c r="E135" s="132"/>
      <c r="G135" s="300"/>
      <c r="H135" s="301"/>
      <c r="I135" s="132"/>
      <c r="J135" s="132"/>
      <c r="K135" s="132"/>
      <c r="L135" s="290"/>
      <c r="M135" s="279"/>
      <c r="N135" s="279"/>
      <c r="O135" s="160"/>
    </row>
    <row r="136" spans="1:15" ht="15.75" hidden="1" customHeight="1">
      <c r="A136" s="132"/>
      <c r="B136" s="132"/>
      <c r="C136" s="132"/>
      <c r="D136" s="132"/>
      <c r="E136" s="132"/>
      <c r="G136" s="300"/>
      <c r="H136" s="301"/>
      <c r="I136" s="132"/>
      <c r="J136" s="132"/>
      <c r="K136" s="132"/>
      <c r="L136" s="290"/>
      <c r="M136" s="279"/>
      <c r="N136" s="279"/>
      <c r="O136" s="160"/>
    </row>
    <row r="137" spans="1:15" ht="15.75" hidden="1" customHeight="1">
      <c r="A137" s="132"/>
      <c r="B137" s="132"/>
      <c r="C137" s="132"/>
      <c r="D137" s="132"/>
      <c r="E137" s="132"/>
      <c r="G137" s="300"/>
      <c r="H137" s="301"/>
      <c r="I137" s="132"/>
      <c r="J137" s="132"/>
      <c r="K137" s="132"/>
      <c r="L137" s="290"/>
      <c r="M137" s="279"/>
      <c r="N137" s="279"/>
      <c r="O137" s="160"/>
    </row>
    <row r="138" spans="1:15" ht="41.25" hidden="1" customHeight="1">
      <c r="A138" s="302"/>
      <c r="B138" s="302"/>
      <c r="C138" s="302"/>
      <c r="D138" s="302"/>
      <c r="E138" s="302"/>
      <c r="F138" s="302"/>
      <c r="G138" s="303"/>
      <c r="H138" s="304"/>
      <c r="I138" s="305"/>
      <c r="J138" s="306"/>
      <c r="K138" s="306"/>
      <c r="L138" s="290"/>
      <c r="M138" s="279"/>
      <c r="N138" s="279"/>
      <c r="O138" s="160"/>
    </row>
    <row r="139" spans="1:15" ht="41.25" hidden="1" customHeight="1">
      <c r="A139" s="302"/>
      <c r="B139" s="302"/>
      <c r="C139" s="302"/>
      <c r="D139" s="302"/>
      <c r="E139" s="302"/>
      <c r="F139" s="302"/>
      <c r="G139" s="303"/>
      <c r="H139" s="304"/>
      <c r="I139" s="305"/>
      <c r="J139" s="306"/>
      <c r="K139" s="306"/>
      <c r="L139" s="290"/>
      <c r="M139" s="279"/>
      <c r="N139" s="279"/>
      <c r="O139" s="160"/>
    </row>
    <row r="140" spans="1:15" ht="41.25" hidden="1" customHeight="1">
      <c r="A140" s="302"/>
      <c r="B140" s="302"/>
      <c r="C140" s="302"/>
      <c r="D140" s="302"/>
      <c r="E140" s="302"/>
      <c r="F140" s="302"/>
      <c r="G140" s="303"/>
      <c r="H140" s="304"/>
      <c r="I140" s="305"/>
      <c r="J140" s="306"/>
      <c r="K140" s="306"/>
      <c r="L140" s="290"/>
      <c r="M140" s="279"/>
      <c r="N140" s="279"/>
      <c r="O140" s="160"/>
    </row>
    <row r="141" spans="1:15" ht="41.25" hidden="1" customHeight="1">
      <c r="A141" s="302"/>
      <c r="B141" s="302"/>
      <c r="C141" s="302"/>
      <c r="D141" s="302"/>
      <c r="E141" s="302"/>
      <c r="F141" s="302"/>
      <c r="G141" s="303"/>
      <c r="H141" s="304"/>
      <c r="I141" s="305"/>
      <c r="J141" s="306"/>
      <c r="K141" s="306"/>
      <c r="L141" s="290"/>
      <c r="M141" s="279"/>
      <c r="N141" s="279"/>
      <c r="O141" s="160"/>
    </row>
    <row r="142" spans="1:15" ht="41.25" hidden="1" customHeight="1">
      <c r="A142" s="302"/>
      <c r="B142" s="302"/>
      <c r="C142" s="302"/>
      <c r="D142" s="302"/>
      <c r="E142" s="302"/>
      <c r="F142" s="302"/>
      <c r="G142" s="303"/>
      <c r="H142" s="304"/>
      <c r="I142" s="305"/>
      <c r="J142" s="306"/>
      <c r="K142" s="306"/>
      <c r="L142" s="290"/>
      <c r="M142" s="279"/>
      <c r="N142" s="279"/>
      <c r="O142" s="160"/>
    </row>
    <row r="143" spans="1:15" ht="41.25" hidden="1" customHeight="1">
      <c r="A143" s="302"/>
      <c r="B143" s="302"/>
      <c r="C143" s="302"/>
      <c r="D143" s="302"/>
      <c r="E143" s="302"/>
      <c r="F143" s="302"/>
      <c r="G143" s="303"/>
      <c r="H143" s="304"/>
      <c r="I143" s="305"/>
      <c r="J143" s="306"/>
      <c r="K143" s="306"/>
      <c r="L143" s="290"/>
      <c r="M143" s="279"/>
      <c r="N143" s="279"/>
      <c r="O143" s="160"/>
    </row>
    <row r="144" spans="1:15" ht="41.25" hidden="1" customHeight="1">
      <c r="A144" s="302"/>
      <c r="B144" s="302"/>
      <c r="C144" s="302"/>
      <c r="D144" s="302"/>
      <c r="E144" s="302"/>
      <c r="F144" s="302"/>
      <c r="G144" s="303"/>
      <c r="H144" s="304"/>
      <c r="I144" s="305"/>
      <c r="J144" s="306"/>
      <c r="K144" s="306"/>
      <c r="L144" s="290"/>
      <c r="M144" s="279"/>
      <c r="N144" s="279"/>
      <c r="O144" s="160"/>
    </row>
    <row r="145" spans="1:15" ht="41.25" hidden="1" customHeight="1">
      <c r="A145" s="302"/>
      <c r="B145" s="302"/>
      <c r="C145" s="302"/>
      <c r="D145" s="302"/>
      <c r="E145" s="302"/>
      <c r="F145" s="302"/>
      <c r="G145" s="303"/>
      <c r="H145" s="304"/>
      <c r="I145" s="305"/>
      <c r="J145" s="306"/>
      <c r="K145" s="306"/>
      <c r="L145" s="290"/>
      <c r="M145" s="279"/>
      <c r="N145" s="279"/>
      <c r="O145" s="160"/>
    </row>
    <row r="146" spans="1:15" ht="41.25" hidden="1" customHeight="1">
      <c r="A146" s="302"/>
      <c r="B146" s="302"/>
      <c r="C146" s="302"/>
      <c r="D146" s="302"/>
      <c r="E146" s="302"/>
      <c r="F146" s="302"/>
      <c r="G146" s="303"/>
      <c r="H146" s="304"/>
      <c r="I146" s="305"/>
      <c r="J146" s="306"/>
      <c r="K146" s="306"/>
      <c r="L146" s="290"/>
      <c r="M146" s="279"/>
      <c r="N146" s="279"/>
      <c r="O146" s="160"/>
    </row>
    <row r="147" spans="1:15" ht="41.25" hidden="1" customHeight="1">
      <c r="A147" s="302"/>
      <c r="B147" s="302"/>
      <c r="C147" s="302"/>
      <c r="D147" s="302"/>
      <c r="E147" s="302"/>
      <c r="F147" s="302"/>
      <c r="G147" s="303"/>
      <c r="H147" s="304"/>
      <c r="I147" s="305"/>
      <c r="J147" s="306"/>
      <c r="K147" s="306"/>
      <c r="L147" s="290"/>
      <c r="M147" s="279"/>
      <c r="N147" s="279"/>
      <c r="O147" s="160"/>
    </row>
    <row r="148" spans="1:15" ht="41.25" hidden="1" customHeight="1">
      <c r="A148" s="302"/>
      <c r="B148" s="302"/>
      <c r="C148" s="302"/>
      <c r="D148" s="302"/>
      <c r="E148" s="302"/>
      <c r="F148" s="302"/>
      <c r="G148" s="303"/>
      <c r="H148" s="304"/>
      <c r="I148" s="305"/>
      <c r="J148" s="306"/>
      <c r="K148" s="306"/>
      <c r="L148" s="290"/>
      <c r="M148" s="279"/>
      <c r="N148" s="279"/>
      <c r="O148" s="160"/>
    </row>
    <row r="149" spans="1:15" ht="41.25" hidden="1" customHeight="1">
      <c r="A149" s="302"/>
      <c r="B149" s="302"/>
      <c r="C149" s="302"/>
      <c r="D149" s="302"/>
      <c r="E149" s="302"/>
      <c r="F149" s="302"/>
      <c r="G149" s="303"/>
      <c r="H149" s="304"/>
      <c r="I149" s="305"/>
      <c r="J149" s="306"/>
      <c r="K149" s="306"/>
      <c r="L149" s="290"/>
      <c r="M149" s="279"/>
      <c r="N149" s="279"/>
      <c r="O149" s="160"/>
    </row>
    <row r="150" spans="1:15" ht="41.25" hidden="1" customHeight="1">
      <c r="A150" s="302"/>
      <c r="B150" s="302"/>
      <c r="C150" s="302"/>
      <c r="D150" s="302"/>
      <c r="E150" s="302"/>
      <c r="F150" s="302"/>
      <c r="G150" s="303"/>
      <c r="H150" s="304"/>
      <c r="I150" s="305"/>
      <c r="J150" s="306"/>
      <c r="K150" s="306"/>
      <c r="L150" s="290"/>
      <c r="M150" s="279"/>
      <c r="N150" s="279"/>
      <c r="O150" s="160"/>
    </row>
    <row r="151" spans="1:15" ht="41.25" hidden="1" customHeight="1">
      <c r="A151" s="302"/>
      <c r="B151" s="302"/>
      <c r="C151" s="302"/>
      <c r="D151" s="302"/>
      <c r="E151" s="302"/>
      <c r="F151" s="302"/>
      <c r="G151" s="303"/>
      <c r="H151" s="304"/>
      <c r="I151" s="305"/>
      <c r="J151" s="306"/>
      <c r="K151" s="306"/>
      <c r="L151" s="290"/>
      <c r="M151" s="279"/>
      <c r="N151" s="279"/>
      <c r="O151" s="160"/>
    </row>
    <row r="152" spans="1:15" ht="41.25" hidden="1" customHeight="1">
      <c r="A152" s="302"/>
      <c r="B152" s="302"/>
      <c r="C152" s="302"/>
      <c r="D152" s="302"/>
      <c r="E152" s="302"/>
      <c r="F152" s="302"/>
      <c r="G152" s="303"/>
      <c r="H152" s="304"/>
      <c r="I152" s="305"/>
      <c r="J152" s="306"/>
      <c r="K152" s="306"/>
      <c r="L152" s="290"/>
      <c r="M152" s="279"/>
      <c r="N152" s="279"/>
      <c r="O152" s="160"/>
    </row>
    <row r="153" spans="1:15" ht="41.25" hidden="1" customHeight="1">
      <c r="A153" s="302"/>
      <c r="B153" s="302"/>
      <c r="C153" s="302"/>
      <c r="D153" s="302"/>
      <c r="E153" s="302"/>
      <c r="F153" s="302"/>
      <c r="G153" s="303"/>
      <c r="H153" s="304"/>
      <c r="I153" s="305"/>
      <c r="J153" s="306"/>
      <c r="K153" s="306"/>
      <c r="L153" s="290"/>
      <c r="M153" s="279"/>
      <c r="N153" s="279"/>
      <c r="O153" s="160"/>
    </row>
    <row r="154" spans="1:15" ht="41.25" hidden="1" customHeight="1">
      <c r="A154" s="302"/>
      <c r="B154" s="302"/>
      <c r="C154" s="302"/>
      <c r="D154" s="302"/>
      <c r="E154" s="302"/>
      <c r="F154" s="302"/>
      <c r="G154" s="303"/>
      <c r="H154" s="304"/>
      <c r="I154" s="305"/>
      <c r="J154" s="306"/>
      <c r="K154" s="306"/>
      <c r="L154" s="290"/>
      <c r="M154" s="279"/>
      <c r="N154" s="279"/>
      <c r="O154" s="160"/>
    </row>
    <row r="155" spans="1:15" ht="41.25" hidden="1" customHeight="1">
      <c r="A155" s="302"/>
      <c r="B155" s="302"/>
      <c r="C155" s="302"/>
      <c r="D155" s="302"/>
      <c r="E155" s="302"/>
      <c r="F155" s="302"/>
      <c r="G155" s="303"/>
      <c r="H155" s="304"/>
      <c r="I155" s="305"/>
      <c r="J155" s="306"/>
      <c r="K155" s="306"/>
      <c r="L155" s="290"/>
      <c r="M155" s="279"/>
      <c r="N155" s="279"/>
      <c r="O155" s="160"/>
    </row>
    <row r="156" spans="1:15" ht="41.25" hidden="1" customHeight="1">
      <c r="A156" s="302"/>
      <c r="B156" s="302"/>
      <c r="C156" s="302"/>
      <c r="D156" s="302"/>
      <c r="E156" s="302"/>
      <c r="F156" s="302"/>
      <c r="G156" s="303"/>
      <c r="H156" s="304"/>
      <c r="I156" s="305"/>
      <c r="J156" s="306"/>
      <c r="K156" s="306"/>
      <c r="L156" s="290"/>
      <c r="M156" s="279"/>
      <c r="N156" s="279"/>
      <c r="O156" s="160"/>
    </row>
    <row r="157" spans="1:15" ht="41.25" hidden="1" customHeight="1">
      <c r="A157" s="302"/>
      <c r="B157" s="302"/>
      <c r="C157" s="302"/>
      <c r="D157" s="302"/>
      <c r="E157" s="302"/>
      <c r="F157" s="302"/>
      <c r="G157" s="303"/>
      <c r="H157" s="304"/>
      <c r="I157" s="305"/>
      <c r="J157" s="306"/>
      <c r="K157" s="306"/>
      <c r="L157" s="290"/>
      <c r="M157" s="279"/>
      <c r="N157" s="279"/>
      <c r="O157" s="160"/>
    </row>
    <row r="158" spans="1:15" ht="41.25" hidden="1" customHeight="1">
      <c r="A158" s="302"/>
      <c r="B158" s="302"/>
      <c r="C158" s="302"/>
      <c r="D158" s="302"/>
      <c r="E158" s="302"/>
      <c r="F158" s="302"/>
      <c r="G158" s="303"/>
      <c r="H158" s="304"/>
      <c r="I158" s="305"/>
      <c r="J158" s="306"/>
      <c r="K158" s="306"/>
      <c r="L158" s="290"/>
      <c r="M158" s="279"/>
      <c r="N158" s="279"/>
      <c r="O158" s="160"/>
    </row>
    <row r="159" spans="1:15" ht="41.25" hidden="1" customHeight="1">
      <c r="A159" s="302"/>
      <c r="B159" s="302"/>
      <c r="C159" s="302"/>
      <c r="D159" s="302"/>
      <c r="E159" s="302"/>
      <c r="F159" s="302"/>
      <c r="G159" s="303"/>
      <c r="H159" s="304"/>
      <c r="I159" s="305"/>
      <c r="J159" s="306"/>
      <c r="K159" s="306"/>
      <c r="L159" s="290"/>
      <c r="M159" s="279"/>
      <c r="N159" s="279"/>
      <c r="O159" s="160"/>
    </row>
    <row r="160" spans="1:15" ht="41.25" hidden="1" customHeight="1">
      <c r="A160" s="302"/>
      <c r="B160" s="302"/>
      <c r="C160" s="302"/>
      <c r="D160" s="302"/>
      <c r="E160" s="302"/>
      <c r="F160" s="302"/>
      <c r="G160" s="303"/>
      <c r="H160" s="304"/>
      <c r="I160" s="305"/>
      <c r="J160" s="306"/>
      <c r="K160" s="306"/>
      <c r="L160" s="277"/>
      <c r="M160" s="160"/>
      <c r="N160" s="160"/>
      <c r="O160" s="160"/>
    </row>
    <row r="161" spans="1:15" ht="41.25" hidden="1" customHeight="1">
      <c r="A161" s="302"/>
      <c r="B161" s="302"/>
      <c r="C161" s="302"/>
      <c r="D161" s="302"/>
      <c r="E161" s="302"/>
      <c r="F161" s="302"/>
      <c r="G161" s="303"/>
      <c r="H161" s="304"/>
      <c r="I161" s="305"/>
      <c r="J161" s="306"/>
      <c r="K161" s="306"/>
      <c r="L161" s="277"/>
      <c r="M161" s="160"/>
      <c r="N161" s="160"/>
      <c r="O161" s="160"/>
    </row>
    <row r="162" spans="1:15" ht="41.25" hidden="1" customHeight="1">
      <c r="A162" s="302"/>
      <c r="B162" s="302"/>
      <c r="C162" s="302"/>
      <c r="D162" s="302"/>
      <c r="E162" s="302"/>
      <c r="F162" s="302"/>
      <c r="G162" s="303"/>
      <c r="H162" s="304"/>
      <c r="I162" s="305"/>
      <c r="J162" s="306"/>
      <c r="K162" s="306"/>
      <c r="L162" s="277"/>
      <c r="M162" s="160"/>
      <c r="N162" s="160"/>
      <c r="O162" s="160"/>
    </row>
    <row r="163" spans="1:15" ht="41.25" hidden="1" customHeight="1">
      <c r="A163" s="302"/>
      <c r="B163" s="302"/>
      <c r="C163" s="302"/>
      <c r="D163" s="302"/>
      <c r="E163" s="302"/>
      <c r="F163" s="302"/>
      <c r="G163" s="303"/>
      <c r="H163" s="304"/>
      <c r="I163" s="305"/>
      <c r="J163" s="306"/>
      <c r="K163" s="306"/>
      <c r="L163" s="277"/>
      <c r="M163" s="160"/>
      <c r="N163" s="160"/>
      <c r="O163" s="160"/>
    </row>
    <row r="164" spans="1:15" ht="41.25" hidden="1" customHeight="1">
      <c r="A164" s="302"/>
      <c r="B164" s="302"/>
      <c r="C164" s="302"/>
      <c r="D164" s="302"/>
      <c r="E164" s="302"/>
      <c r="F164" s="302"/>
      <c r="G164" s="303"/>
      <c r="H164" s="304"/>
      <c r="I164" s="305"/>
      <c r="J164" s="306"/>
      <c r="K164" s="306"/>
      <c r="L164" s="277"/>
      <c r="M164" s="160"/>
      <c r="N164" s="160"/>
      <c r="O164" s="160"/>
    </row>
    <row r="165" spans="1:15" ht="41.25" hidden="1" customHeight="1">
      <c r="A165" s="302"/>
      <c r="B165" s="302"/>
      <c r="C165" s="302"/>
      <c r="D165" s="302"/>
      <c r="E165" s="302"/>
      <c r="F165" s="302"/>
      <c r="G165" s="303"/>
      <c r="H165" s="304"/>
      <c r="I165" s="305"/>
      <c r="J165" s="306"/>
      <c r="K165" s="306"/>
      <c r="L165" s="277"/>
      <c r="M165" s="160"/>
      <c r="N165" s="160"/>
      <c r="O165" s="160"/>
    </row>
    <row r="166" spans="1:15" ht="41.25" hidden="1" customHeight="1">
      <c r="A166" s="302"/>
      <c r="B166" s="302"/>
      <c r="C166" s="302"/>
      <c r="D166" s="302"/>
      <c r="E166" s="302"/>
      <c r="F166" s="302"/>
      <c r="G166" s="303"/>
      <c r="H166" s="304"/>
      <c r="I166" s="305"/>
      <c r="J166" s="306"/>
      <c r="K166" s="306"/>
      <c r="L166" s="277"/>
      <c r="M166" s="160"/>
      <c r="N166" s="160"/>
      <c r="O166" s="160"/>
    </row>
    <row r="167" spans="1:15" ht="41.25" hidden="1" customHeight="1">
      <c r="A167" s="302"/>
      <c r="B167" s="302"/>
      <c r="C167" s="302"/>
      <c r="D167" s="302"/>
      <c r="E167" s="302"/>
      <c r="F167" s="302"/>
      <c r="G167" s="303"/>
      <c r="H167" s="304"/>
      <c r="I167" s="305"/>
      <c r="J167" s="306"/>
      <c r="K167" s="306"/>
      <c r="L167" s="277"/>
      <c r="M167" s="160"/>
      <c r="N167" s="160"/>
      <c r="O167" s="160"/>
    </row>
    <row r="168" spans="1:15" ht="41.25" hidden="1" customHeight="1">
      <c r="A168" s="302"/>
      <c r="B168" s="302"/>
      <c r="C168" s="302"/>
      <c r="D168" s="302"/>
      <c r="E168" s="302"/>
      <c r="F168" s="302"/>
      <c r="G168" s="303"/>
      <c r="H168" s="304"/>
      <c r="I168" s="305"/>
      <c r="J168" s="306"/>
      <c r="K168" s="306"/>
      <c r="L168" s="277"/>
      <c r="M168" s="160"/>
      <c r="N168" s="160"/>
      <c r="O168" s="160"/>
    </row>
    <row r="169" spans="1:15" ht="41.25" hidden="1" customHeight="1">
      <c r="A169" s="302"/>
      <c r="B169" s="302"/>
      <c r="C169" s="302"/>
      <c r="D169" s="302"/>
      <c r="E169" s="302"/>
      <c r="F169" s="302"/>
      <c r="G169" s="303"/>
      <c r="H169" s="304"/>
      <c r="I169" s="305"/>
      <c r="J169" s="306"/>
      <c r="K169" s="306"/>
      <c r="L169" s="277"/>
      <c r="M169" s="160"/>
      <c r="N169" s="160"/>
      <c r="O169" s="160"/>
    </row>
    <row r="170" spans="1:15" ht="41.25" hidden="1" customHeight="1">
      <c r="A170" s="302"/>
      <c r="B170" s="302"/>
      <c r="C170" s="302"/>
      <c r="D170" s="302"/>
      <c r="E170" s="302"/>
      <c r="F170" s="302"/>
      <c r="G170" s="303"/>
      <c r="H170" s="304"/>
      <c r="I170" s="305"/>
      <c r="J170" s="306"/>
      <c r="K170" s="306"/>
      <c r="L170" s="277"/>
      <c r="M170" s="160"/>
      <c r="N170" s="160"/>
      <c r="O170" s="160"/>
    </row>
    <row r="171" spans="1:15" ht="41.25" hidden="1" customHeight="1">
      <c r="A171" s="302"/>
      <c r="B171" s="302"/>
      <c r="C171" s="302"/>
      <c r="D171" s="302"/>
      <c r="E171" s="302"/>
      <c r="F171" s="302"/>
      <c r="G171" s="303"/>
      <c r="H171" s="304"/>
      <c r="I171" s="305"/>
      <c r="J171" s="306"/>
      <c r="K171" s="306"/>
      <c r="L171" s="277"/>
      <c r="M171" s="160"/>
      <c r="N171" s="160"/>
      <c r="O171" s="160"/>
    </row>
    <row r="172" spans="1:15" ht="41.25" hidden="1" customHeight="1">
      <c r="A172" s="302"/>
      <c r="B172" s="302"/>
      <c r="C172" s="302"/>
      <c r="D172" s="302"/>
      <c r="E172" s="302"/>
      <c r="F172" s="302"/>
      <c r="G172" s="303"/>
      <c r="H172" s="304"/>
      <c r="I172" s="305"/>
      <c r="J172" s="306"/>
      <c r="K172" s="306"/>
      <c r="L172" s="277"/>
      <c r="M172" s="160"/>
      <c r="N172" s="160"/>
      <c r="O172" s="160"/>
    </row>
    <row r="173" spans="1:15" ht="41.25" hidden="1" customHeight="1">
      <c r="A173" s="302"/>
      <c r="B173" s="302"/>
      <c r="C173" s="302"/>
      <c r="D173" s="302"/>
      <c r="E173" s="302"/>
      <c r="F173" s="302"/>
      <c r="G173" s="303"/>
      <c r="H173" s="304"/>
      <c r="I173" s="305"/>
      <c r="J173" s="306"/>
      <c r="K173" s="306"/>
      <c r="L173" s="277"/>
      <c r="M173" s="160"/>
      <c r="N173" s="160"/>
      <c r="O173" s="160"/>
    </row>
    <row r="174" spans="1:15" ht="41.25" hidden="1" customHeight="1">
      <c r="A174" s="302"/>
      <c r="B174" s="302"/>
      <c r="C174" s="302"/>
      <c r="D174" s="302"/>
      <c r="E174" s="302"/>
      <c r="F174" s="302"/>
      <c r="G174" s="303"/>
      <c r="H174" s="304"/>
      <c r="I174" s="305"/>
      <c r="J174" s="306"/>
      <c r="K174" s="306"/>
      <c r="L174" s="277"/>
      <c r="M174" s="160"/>
      <c r="N174" s="160"/>
      <c r="O174" s="160"/>
    </row>
    <row r="175" spans="1:15" ht="41.25" hidden="1" customHeight="1">
      <c r="A175" s="302"/>
      <c r="B175" s="302"/>
      <c r="C175" s="302"/>
      <c r="D175" s="302"/>
      <c r="E175" s="302"/>
      <c r="F175" s="302"/>
      <c r="G175" s="303"/>
      <c r="H175" s="304"/>
      <c r="I175" s="305"/>
      <c r="J175" s="306"/>
      <c r="K175" s="306"/>
      <c r="L175" s="277"/>
      <c r="M175" s="160"/>
      <c r="N175" s="160"/>
      <c r="O175" s="160"/>
    </row>
    <row r="176" spans="1:15" ht="41.25" hidden="1" customHeight="1">
      <c r="A176" s="302"/>
      <c r="B176" s="302"/>
      <c r="C176" s="302"/>
      <c r="D176" s="302"/>
      <c r="E176" s="302"/>
      <c r="F176" s="302"/>
      <c r="G176" s="303"/>
      <c r="H176" s="304"/>
      <c r="I176" s="305"/>
      <c r="J176" s="306"/>
      <c r="K176" s="306"/>
      <c r="L176" s="277"/>
      <c r="M176" s="160"/>
      <c r="N176" s="160"/>
      <c r="O176" s="160"/>
    </row>
    <row r="177" spans="1:15" ht="41.25" hidden="1" customHeight="1">
      <c r="A177" s="302"/>
      <c r="B177" s="302"/>
      <c r="C177" s="302"/>
      <c r="D177" s="302"/>
      <c r="E177" s="302"/>
      <c r="F177" s="302"/>
      <c r="G177" s="303"/>
      <c r="H177" s="304"/>
      <c r="I177" s="305"/>
      <c r="J177" s="306"/>
      <c r="K177" s="306"/>
      <c r="L177" s="277"/>
      <c r="M177" s="160"/>
      <c r="N177" s="160"/>
      <c r="O177" s="160"/>
    </row>
    <row r="178" spans="1:15" ht="41.25" hidden="1" customHeight="1">
      <c r="A178" s="302"/>
      <c r="B178" s="302"/>
      <c r="C178" s="302"/>
      <c r="D178" s="302"/>
      <c r="E178" s="302"/>
      <c r="F178" s="302"/>
      <c r="G178" s="303"/>
      <c r="H178" s="304"/>
      <c r="I178" s="305"/>
      <c r="J178" s="306"/>
      <c r="K178" s="306"/>
      <c r="L178" s="277"/>
      <c r="M178" s="160"/>
      <c r="N178" s="160"/>
      <c r="O178" s="160"/>
    </row>
    <row r="179" spans="1:15" ht="41.25" hidden="1" customHeight="1">
      <c r="A179" s="302"/>
      <c r="B179" s="302"/>
      <c r="C179" s="302"/>
      <c r="D179" s="302"/>
      <c r="E179" s="302"/>
      <c r="F179" s="302"/>
      <c r="G179" s="303"/>
      <c r="H179" s="304"/>
      <c r="I179" s="305"/>
      <c r="J179" s="306"/>
      <c r="K179" s="306"/>
      <c r="L179" s="277"/>
      <c r="M179" s="160"/>
      <c r="N179" s="160"/>
      <c r="O179" s="160"/>
    </row>
    <row r="180" spans="1:15" ht="41.25" hidden="1" customHeight="1">
      <c r="A180" s="302"/>
      <c r="B180" s="302"/>
      <c r="C180" s="302"/>
      <c r="D180" s="302"/>
      <c r="E180" s="302"/>
      <c r="F180" s="302"/>
      <c r="G180" s="303"/>
      <c r="H180" s="304"/>
      <c r="I180" s="305"/>
      <c r="J180" s="306"/>
      <c r="K180" s="306"/>
      <c r="L180" s="277"/>
      <c r="M180" s="160"/>
      <c r="N180" s="160"/>
      <c r="O180" s="160"/>
    </row>
    <row r="181" spans="1:15" ht="41.25" hidden="1" customHeight="1">
      <c r="A181" s="302"/>
      <c r="B181" s="302"/>
      <c r="C181" s="302"/>
      <c r="D181" s="302"/>
      <c r="E181" s="302"/>
      <c r="F181" s="302"/>
      <c r="G181" s="303"/>
      <c r="H181" s="304"/>
      <c r="I181" s="305"/>
      <c r="J181" s="306"/>
      <c r="K181" s="306"/>
      <c r="L181" s="277"/>
      <c r="M181" s="160"/>
      <c r="N181" s="160"/>
      <c r="O181" s="160"/>
    </row>
    <row r="182" spans="1:15" ht="41.25" hidden="1" customHeight="1">
      <c r="A182" s="302"/>
      <c r="B182" s="302"/>
      <c r="C182" s="302"/>
      <c r="D182" s="302"/>
      <c r="E182" s="302"/>
      <c r="F182" s="302"/>
      <c r="G182" s="303"/>
      <c r="H182" s="304"/>
      <c r="I182" s="305"/>
      <c r="J182" s="306"/>
      <c r="K182" s="306"/>
      <c r="L182" s="277"/>
      <c r="M182" s="160"/>
      <c r="N182" s="160"/>
      <c r="O182" s="160"/>
    </row>
    <row r="183" spans="1:15" ht="41.25" hidden="1" customHeight="1">
      <c r="A183" s="302"/>
      <c r="B183" s="302"/>
      <c r="C183" s="302"/>
      <c r="D183" s="302"/>
      <c r="E183" s="302"/>
      <c r="F183" s="302"/>
      <c r="G183" s="303"/>
      <c r="H183" s="304"/>
      <c r="I183" s="305"/>
      <c r="J183" s="306"/>
      <c r="K183" s="306"/>
      <c r="L183" s="277"/>
      <c r="M183" s="160"/>
      <c r="N183" s="160"/>
      <c r="O183" s="160"/>
    </row>
    <row r="184" spans="1:15" ht="41.25" hidden="1" customHeight="1">
      <c r="A184" s="302"/>
      <c r="B184" s="302"/>
      <c r="C184" s="302"/>
      <c r="D184" s="302"/>
      <c r="E184" s="302"/>
      <c r="F184" s="302"/>
      <c r="G184" s="303"/>
      <c r="H184" s="304"/>
      <c r="I184" s="305"/>
      <c r="J184" s="306"/>
      <c r="K184" s="306"/>
      <c r="L184" s="277"/>
      <c r="M184" s="160"/>
      <c r="N184" s="160"/>
      <c r="O184" s="160"/>
    </row>
    <row r="185" spans="1:15" ht="41.25" hidden="1" customHeight="1">
      <c r="A185" s="302"/>
      <c r="B185" s="302"/>
      <c r="C185" s="302"/>
      <c r="D185" s="302"/>
      <c r="E185" s="302"/>
      <c r="F185" s="302"/>
      <c r="G185" s="303"/>
      <c r="H185" s="304"/>
      <c r="I185" s="305"/>
      <c r="J185" s="306"/>
      <c r="K185" s="306"/>
      <c r="L185" s="277"/>
      <c r="M185" s="160"/>
      <c r="N185" s="160"/>
      <c r="O185" s="160"/>
    </row>
    <row r="186" spans="1:15" ht="41.25" hidden="1" customHeight="1">
      <c r="A186" s="302"/>
      <c r="B186" s="302"/>
      <c r="C186" s="302"/>
      <c r="D186" s="302"/>
      <c r="E186" s="302"/>
      <c r="F186" s="302"/>
      <c r="G186" s="303"/>
      <c r="H186" s="304"/>
      <c r="I186" s="305"/>
      <c r="J186" s="306"/>
      <c r="K186" s="306"/>
      <c r="L186" s="277"/>
      <c r="M186" s="160"/>
      <c r="N186" s="160"/>
      <c r="O186" s="160"/>
    </row>
    <row r="187" spans="1:15" ht="41.25" hidden="1" customHeight="1">
      <c r="A187" s="302"/>
      <c r="B187" s="302"/>
      <c r="C187" s="302"/>
      <c r="D187" s="302"/>
      <c r="E187" s="302"/>
      <c r="F187" s="302"/>
      <c r="G187" s="303"/>
      <c r="H187" s="304"/>
      <c r="I187" s="305"/>
      <c r="J187" s="306"/>
      <c r="K187" s="306"/>
      <c r="L187" s="277"/>
      <c r="M187" s="160"/>
      <c r="N187" s="160"/>
      <c r="O187" s="160"/>
    </row>
    <row r="188" spans="1:15" ht="41.25" hidden="1" customHeight="1">
      <c r="A188" s="302"/>
      <c r="B188" s="302"/>
      <c r="C188" s="302"/>
      <c r="D188" s="302"/>
      <c r="E188" s="302"/>
      <c r="F188" s="302"/>
      <c r="G188" s="303"/>
      <c r="H188" s="304"/>
      <c r="I188" s="305"/>
      <c r="J188" s="306"/>
      <c r="K188" s="306"/>
      <c r="L188" s="277"/>
      <c r="M188" s="160"/>
      <c r="N188" s="160"/>
      <c r="O188" s="160"/>
    </row>
    <row r="189" spans="1:15" ht="41.25" hidden="1" customHeight="1">
      <c r="A189" s="302"/>
      <c r="B189" s="302"/>
      <c r="C189" s="302"/>
      <c r="D189" s="302"/>
      <c r="E189" s="302"/>
      <c r="F189" s="302"/>
      <c r="G189" s="303"/>
      <c r="H189" s="304"/>
      <c r="I189" s="305"/>
      <c r="J189" s="306"/>
      <c r="K189" s="306"/>
      <c r="L189" s="277"/>
      <c r="M189" s="160"/>
      <c r="N189" s="160"/>
      <c r="O189" s="160"/>
    </row>
    <row r="190" spans="1:15" ht="41.25" hidden="1" customHeight="1">
      <c r="A190" s="302"/>
      <c r="B190" s="302"/>
      <c r="C190" s="302"/>
      <c r="D190" s="302"/>
      <c r="E190" s="302"/>
      <c r="F190" s="302"/>
      <c r="G190" s="303"/>
      <c r="H190" s="304"/>
      <c r="I190" s="305"/>
      <c r="J190" s="306"/>
      <c r="K190" s="306"/>
      <c r="L190" s="277"/>
      <c r="M190" s="160"/>
      <c r="N190" s="160"/>
      <c r="O190" s="160"/>
    </row>
    <row r="191" spans="1:15" ht="41.25" hidden="1" customHeight="1">
      <c r="A191" s="302"/>
      <c r="B191" s="302"/>
      <c r="C191" s="302"/>
      <c r="D191" s="302"/>
      <c r="E191" s="302"/>
      <c r="F191" s="302"/>
      <c r="G191" s="303"/>
      <c r="H191" s="304"/>
      <c r="I191" s="305"/>
      <c r="J191" s="306"/>
      <c r="K191" s="306"/>
      <c r="L191" s="277"/>
      <c r="M191" s="160"/>
      <c r="N191" s="160"/>
      <c r="O191" s="160"/>
    </row>
    <row r="192" spans="1:15" ht="41.25" hidden="1" customHeight="1">
      <c r="A192" s="302"/>
      <c r="B192" s="302"/>
      <c r="C192" s="302"/>
      <c r="D192" s="302"/>
      <c r="E192" s="302"/>
      <c r="F192" s="302"/>
      <c r="G192" s="303"/>
      <c r="H192" s="304"/>
      <c r="I192" s="305"/>
      <c r="J192" s="306"/>
      <c r="K192" s="306"/>
      <c r="L192" s="277"/>
      <c r="M192" s="160"/>
      <c r="N192" s="160"/>
      <c r="O192" s="160"/>
    </row>
    <row r="193" spans="1:15" ht="41.25" hidden="1" customHeight="1">
      <c r="A193" s="302"/>
      <c r="B193" s="302"/>
      <c r="C193" s="302"/>
      <c r="D193" s="302"/>
      <c r="E193" s="302"/>
      <c r="F193" s="302"/>
      <c r="G193" s="303"/>
      <c r="H193" s="304"/>
      <c r="I193" s="305"/>
      <c r="J193" s="306"/>
      <c r="K193" s="306"/>
      <c r="L193" s="277"/>
      <c r="M193" s="160"/>
      <c r="N193" s="160"/>
      <c r="O193" s="160"/>
    </row>
    <row r="194" spans="1:15" ht="41.25" hidden="1" customHeight="1">
      <c r="A194" s="302"/>
      <c r="B194" s="302"/>
      <c r="C194" s="302"/>
      <c r="D194" s="302"/>
      <c r="E194" s="302"/>
      <c r="F194" s="302"/>
      <c r="G194" s="303"/>
      <c r="H194" s="304"/>
      <c r="I194" s="305"/>
      <c r="J194" s="306"/>
      <c r="K194" s="306"/>
      <c r="L194" s="277"/>
      <c r="M194" s="160"/>
      <c r="N194" s="160"/>
      <c r="O194" s="160"/>
    </row>
    <row r="195" spans="1:15" ht="41.25" hidden="1" customHeight="1">
      <c r="A195" s="302"/>
      <c r="B195" s="302"/>
      <c r="C195" s="302"/>
      <c r="D195" s="302"/>
      <c r="E195" s="302"/>
      <c r="F195" s="302"/>
      <c r="G195" s="303"/>
      <c r="H195" s="304"/>
      <c r="I195" s="305"/>
      <c r="J195" s="306"/>
      <c r="K195" s="306"/>
      <c r="L195" s="277"/>
      <c r="M195" s="160"/>
      <c r="N195" s="160"/>
      <c r="O195" s="160"/>
    </row>
    <row r="196" spans="1:15" ht="41.25" hidden="1" customHeight="1">
      <c r="A196" s="302"/>
      <c r="B196" s="302"/>
      <c r="C196" s="302"/>
      <c r="D196" s="302"/>
      <c r="E196" s="302"/>
      <c r="F196" s="302"/>
      <c r="G196" s="303"/>
      <c r="H196" s="304"/>
      <c r="I196" s="305"/>
      <c r="J196" s="306"/>
      <c r="K196" s="306"/>
      <c r="L196" s="277"/>
      <c r="M196" s="160"/>
      <c r="N196" s="160"/>
      <c r="O196" s="160"/>
    </row>
    <row r="197" spans="1:15" ht="41.25" hidden="1" customHeight="1">
      <c r="A197" s="302"/>
      <c r="B197" s="302"/>
      <c r="C197" s="302"/>
      <c r="D197" s="302"/>
      <c r="E197" s="302"/>
      <c r="F197" s="302"/>
      <c r="G197" s="303"/>
      <c r="H197" s="304"/>
      <c r="I197" s="305"/>
      <c r="J197" s="306"/>
      <c r="K197" s="306"/>
      <c r="L197" s="277"/>
      <c r="M197" s="160"/>
      <c r="N197" s="160"/>
      <c r="O197" s="160"/>
    </row>
    <row r="198" spans="1:15" ht="41.25" hidden="1" customHeight="1">
      <c r="A198" s="302"/>
      <c r="B198" s="302"/>
      <c r="C198" s="302"/>
      <c r="D198" s="302"/>
      <c r="E198" s="302"/>
      <c r="F198" s="302"/>
      <c r="G198" s="303"/>
      <c r="H198" s="304"/>
      <c r="I198" s="305"/>
      <c r="J198" s="306"/>
      <c r="K198" s="306"/>
      <c r="L198" s="277"/>
      <c r="M198" s="160"/>
      <c r="N198" s="160"/>
      <c r="O198" s="160"/>
    </row>
    <row r="199" spans="1:15" ht="41.25" hidden="1" customHeight="1">
      <c r="A199" s="302"/>
      <c r="B199" s="302"/>
      <c r="C199" s="302"/>
      <c r="D199" s="302"/>
      <c r="E199" s="302"/>
      <c r="F199" s="302"/>
      <c r="G199" s="303"/>
      <c r="H199" s="304"/>
      <c r="I199" s="305"/>
      <c r="J199" s="306"/>
      <c r="K199" s="306"/>
      <c r="L199" s="277"/>
      <c r="M199" s="160"/>
      <c r="N199" s="160"/>
      <c r="O199" s="160"/>
    </row>
    <row r="200" spans="1:15" ht="41.25" hidden="1" customHeight="1">
      <c r="A200" s="302"/>
      <c r="B200" s="302"/>
      <c r="C200" s="302"/>
      <c r="D200" s="302"/>
      <c r="E200" s="302"/>
      <c r="F200" s="302"/>
      <c r="G200" s="303"/>
      <c r="H200" s="304"/>
      <c r="I200" s="305"/>
      <c r="J200" s="306"/>
      <c r="K200" s="306"/>
      <c r="L200" s="277"/>
      <c r="M200" s="160"/>
      <c r="N200" s="160"/>
      <c r="O200" s="160"/>
    </row>
    <row r="201" spans="1:15" ht="41.25" hidden="1" customHeight="1">
      <c r="A201" s="302"/>
      <c r="B201" s="302"/>
      <c r="C201" s="302"/>
      <c r="D201" s="302"/>
      <c r="E201" s="302"/>
      <c r="F201" s="302"/>
      <c r="G201" s="303"/>
      <c r="H201" s="304"/>
      <c r="I201" s="305"/>
      <c r="J201" s="306"/>
      <c r="K201" s="306"/>
      <c r="L201" s="277"/>
      <c r="M201" s="160"/>
      <c r="N201" s="160"/>
      <c r="O201" s="160"/>
    </row>
    <row r="202" spans="1:15" ht="41.25" hidden="1" customHeight="1">
      <c r="A202" s="302"/>
      <c r="B202" s="302"/>
      <c r="C202" s="302"/>
      <c r="D202" s="302"/>
      <c r="E202" s="302"/>
      <c r="F202" s="302"/>
      <c r="G202" s="303"/>
      <c r="H202" s="304"/>
      <c r="I202" s="305"/>
      <c r="J202" s="306"/>
      <c r="K202" s="306"/>
      <c r="L202" s="277"/>
      <c r="M202" s="160"/>
      <c r="N202" s="160"/>
      <c r="O202" s="160"/>
    </row>
    <row r="203" spans="1:15" ht="41.25" hidden="1" customHeight="1">
      <c r="A203" s="302"/>
      <c r="B203" s="302"/>
      <c r="C203" s="302"/>
      <c r="D203" s="302"/>
      <c r="E203" s="302"/>
      <c r="F203" s="302"/>
      <c r="G203" s="303"/>
      <c r="H203" s="304"/>
      <c r="I203" s="305"/>
      <c r="J203" s="306"/>
      <c r="K203" s="306"/>
      <c r="L203" s="277"/>
      <c r="M203" s="160"/>
      <c r="N203" s="160"/>
      <c r="O203" s="160"/>
    </row>
    <row r="204" spans="1:15" ht="41.25" hidden="1" customHeight="1">
      <c r="A204" s="302"/>
      <c r="B204" s="302"/>
      <c r="C204" s="302"/>
      <c r="D204" s="302"/>
      <c r="E204" s="302"/>
      <c r="F204" s="302"/>
      <c r="G204" s="303"/>
      <c r="H204" s="304"/>
      <c r="I204" s="305"/>
      <c r="J204" s="306"/>
      <c r="K204" s="306"/>
      <c r="L204" s="277"/>
      <c r="M204" s="160"/>
      <c r="N204" s="160"/>
      <c r="O204" s="160"/>
    </row>
    <row r="205" spans="1:15" ht="41.25" hidden="1" customHeight="1">
      <c r="A205" s="302"/>
      <c r="B205" s="302"/>
      <c r="C205" s="302"/>
      <c r="D205" s="302"/>
      <c r="E205" s="302"/>
      <c r="F205" s="302"/>
      <c r="G205" s="303"/>
      <c r="H205" s="304"/>
      <c r="I205" s="305"/>
      <c r="J205" s="306"/>
      <c r="K205" s="306"/>
      <c r="L205" s="277"/>
      <c r="M205" s="160"/>
      <c r="N205" s="160"/>
      <c r="O205" s="160"/>
    </row>
    <row r="206" spans="1:15" ht="41.25" hidden="1" customHeight="1">
      <c r="A206" s="302"/>
      <c r="B206" s="302"/>
      <c r="C206" s="302"/>
      <c r="D206" s="302"/>
      <c r="E206" s="302"/>
      <c r="F206" s="302"/>
      <c r="G206" s="303"/>
      <c r="H206" s="304"/>
      <c r="I206" s="305"/>
      <c r="J206" s="306"/>
      <c r="K206" s="306"/>
      <c r="L206" s="277"/>
      <c r="M206" s="160"/>
      <c r="N206" s="160"/>
      <c r="O206" s="160"/>
    </row>
    <row r="207" spans="1:15" ht="41.25" hidden="1" customHeight="1">
      <c r="A207" s="302"/>
      <c r="B207" s="302"/>
      <c r="C207" s="302"/>
      <c r="D207" s="302"/>
      <c r="E207" s="302"/>
      <c r="F207" s="302"/>
      <c r="G207" s="303"/>
      <c r="H207" s="304"/>
      <c r="I207" s="305"/>
      <c r="J207" s="306"/>
      <c r="K207" s="306"/>
      <c r="L207" s="277"/>
      <c r="M207" s="160"/>
      <c r="N207" s="160"/>
      <c r="O207" s="160"/>
    </row>
    <row r="208" spans="1:15" ht="41.25" hidden="1" customHeight="1">
      <c r="A208" s="302"/>
      <c r="B208" s="302"/>
      <c r="C208" s="302"/>
      <c r="D208" s="302"/>
      <c r="E208" s="302"/>
      <c r="F208" s="302"/>
      <c r="G208" s="303"/>
      <c r="H208" s="304"/>
      <c r="I208" s="305"/>
      <c r="J208" s="306"/>
      <c r="K208" s="306"/>
      <c r="L208" s="277"/>
      <c r="M208" s="160"/>
      <c r="N208" s="160"/>
      <c r="O208" s="160"/>
    </row>
    <row r="209" spans="1:15" ht="41.25" hidden="1" customHeight="1">
      <c r="A209" s="302"/>
      <c r="B209" s="302"/>
      <c r="C209" s="302"/>
      <c r="D209" s="302"/>
      <c r="E209" s="302"/>
      <c r="F209" s="302"/>
      <c r="G209" s="303"/>
      <c r="H209" s="304"/>
      <c r="I209" s="305"/>
      <c r="J209" s="306"/>
      <c r="K209" s="306"/>
      <c r="L209" s="277"/>
      <c r="M209" s="160"/>
      <c r="N209" s="160"/>
      <c r="O209" s="160"/>
    </row>
    <row r="210" spans="1:15" ht="41.25" hidden="1" customHeight="1">
      <c r="A210" s="302"/>
      <c r="B210" s="302"/>
      <c r="C210" s="302"/>
      <c r="D210" s="302"/>
      <c r="E210" s="302"/>
      <c r="F210" s="302"/>
      <c r="G210" s="303"/>
      <c r="H210" s="304"/>
      <c r="I210" s="305"/>
      <c r="J210" s="306"/>
      <c r="K210" s="306"/>
      <c r="L210" s="277"/>
      <c r="M210" s="160"/>
      <c r="N210" s="160"/>
      <c r="O210" s="160"/>
    </row>
    <row r="211" spans="1:15" ht="41.25" hidden="1" customHeight="1">
      <c r="A211" s="302"/>
      <c r="B211" s="302"/>
      <c r="C211" s="302"/>
      <c r="D211" s="302"/>
      <c r="E211" s="302"/>
      <c r="F211" s="302"/>
      <c r="G211" s="303"/>
      <c r="H211" s="304"/>
      <c r="I211" s="305"/>
      <c r="J211" s="306"/>
      <c r="K211" s="306"/>
      <c r="L211" s="277"/>
      <c r="M211" s="160"/>
      <c r="N211" s="160"/>
      <c r="O211" s="160"/>
    </row>
    <row r="212" spans="1:15" ht="41.25" hidden="1" customHeight="1">
      <c r="A212" s="302"/>
      <c r="B212" s="302"/>
      <c r="C212" s="302"/>
      <c r="D212" s="302"/>
      <c r="E212" s="302"/>
      <c r="F212" s="302"/>
      <c r="G212" s="303"/>
      <c r="H212" s="304"/>
      <c r="I212" s="305"/>
      <c r="J212" s="306"/>
      <c r="K212" s="306"/>
      <c r="L212" s="277"/>
      <c r="M212" s="160"/>
      <c r="N212" s="160"/>
      <c r="O212" s="160"/>
    </row>
    <row r="213" spans="1:15" ht="41.25" hidden="1" customHeight="1">
      <c r="A213" s="302"/>
      <c r="B213" s="302"/>
      <c r="C213" s="302"/>
      <c r="D213" s="302"/>
      <c r="E213" s="302"/>
      <c r="F213" s="302"/>
      <c r="G213" s="303"/>
      <c r="H213" s="304"/>
      <c r="I213" s="305"/>
      <c r="J213" s="306"/>
      <c r="K213" s="306"/>
      <c r="L213" s="277"/>
      <c r="M213" s="160"/>
      <c r="N213" s="160"/>
      <c r="O213" s="160"/>
    </row>
    <row r="214" spans="1:15" ht="41.25" hidden="1" customHeight="1">
      <c r="A214" s="302"/>
      <c r="B214" s="302"/>
      <c r="C214" s="302"/>
      <c r="D214" s="302"/>
      <c r="E214" s="302"/>
      <c r="F214" s="302"/>
      <c r="G214" s="303"/>
      <c r="H214" s="304"/>
      <c r="I214" s="305"/>
      <c r="J214" s="306"/>
      <c r="K214" s="306"/>
      <c r="L214" s="277"/>
      <c r="M214" s="160"/>
      <c r="N214" s="160"/>
      <c r="O214" s="160"/>
    </row>
    <row r="215" spans="1:15" ht="41.25" hidden="1" customHeight="1">
      <c r="A215" s="302"/>
      <c r="B215" s="302"/>
      <c r="C215" s="302"/>
      <c r="D215" s="302"/>
      <c r="E215" s="302"/>
      <c r="F215" s="302"/>
      <c r="G215" s="303"/>
      <c r="H215" s="304"/>
      <c r="I215" s="305"/>
      <c r="J215" s="306"/>
      <c r="K215" s="306"/>
      <c r="L215" s="277"/>
      <c r="M215" s="160"/>
      <c r="N215" s="160"/>
      <c r="O215" s="160"/>
    </row>
    <row r="216" spans="1:15" ht="41.25" hidden="1" customHeight="1">
      <c r="A216" s="302"/>
      <c r="B216" s="302"/>
      <c r="C216" s="302"/>
      <c r="D216" s="302"/>
      <c r="E216" s="302"/>
      <c r="F216" s="302"/>
      <c r="G216" s="303"/>
      <c r="H216" s="304"/>
      <c r="I216" s="305"/>
      <c r="J216" s="306"/>
      <c r="K216" s="306"/>
      <c r="L216" s="277"/>
      <c r="M216" s="160"/>
      <c r="N216" s="160"/>
      <c r="O216" s="160"/>
    </row>
    <row r="217" spans="1:15" ht="41.25" hidden="1" customHeight="1">
      <c r="A217" s="302"/>
      <c r="B217" s="302"/>
      <c r="C217" s="302"/>
      <c r="D217" s="302"/>
      <c r="E217" s="302"/>
      <c r="F217" s="302"/>
      <c r="G217" s="303"/>
      <c r="H217" s="304"/>
      <c r="I217" s="305"/>
      <c r="J217" s="306"/>
      <c r="K217" s="306"/>
      <c r="L217" s="277"/>
      <c r="M217" s="160"/>
      <c r="N217" s="160"/>
      <c r="O217" s="160"/>
    </row>
    <row r="218" spans="1:15" ht="41.25" hidden="1" customHeight="1">
      <c r="A218" s="302"/>
      <c r="B218" s="302"/>
      <c r="C218" s="302"/>
      <c r="D218" s="302"/>
      <c r="E218" s="302"/>
      <c r="F218" s="302"/>
      <c r="G218" s="303"/>
      <c r="H218" s="304"/>
      <c r="I218" s="305"/>
      <c r="J218" s="306"/>
      <c r="K218" s="306"/>
      <c r="L218" s="277"/>
      <c r="M218" s="160"/>
      <c r="N218" s="160"/>
      <c r="O218" s="160"/>
    </row>
    <row r="219" spans="1:15" ht="41.25" hidden="1" customHeight="1">
      <c r="A219" s="302"/>
      <c r="B219" s="302"/>
      <c r="C219" s="302"/>
      <c r="D219" s="302"/>
      <c r="E219" s="302"/>
      <c r="F219" s="302"/>
      <c r="G219" s="303"/>
      <c r="H219" s="304"/>
      <c r="I219" s="305"/>
      <c r="J219" s="306"/>
      <c r="K219" s="306"/>
      <c r="L219" s="277"/>
      <c r="M219" s="160"/>
      <c r="N219" s="160"/>
      <c r="O219" s="160"/>
    </row>
    <row r="220" spans="1:15" ht="41.25" hidden="1" customHeight="1">
      <c r="A220" s="302"/>
      <c r="B220" s="302"/>
      <c r="C220" s="302"/>
      <c r="D220" s="302"/>
      <c r="E220" s="302"/>
      <c r="F220" s="302"/>
      <c r="G220" s="303"/>
      <c r="H220" s="304"/>
      <c r="I220" s="305"/>
      <c r="J220" s="306"/>
      <c r="K220" s="306"/>
      <c r="L220" s="277"/>
      <c r="M220" s="160"/>
      <c r="N220" s="160"/>
      <c r="O220" s="160"/>
    </row>
    <row r="221" spans="1:15" ht="41.25" hidden="1" customHeight="1">
      <c r="A221" s="302"/>
      <c r="B221" s="302"/>
      <c r="C221" s="302"/>
      <c r="D221" s="302"/>
      <c r="E221" s="302"/>
      <c r="F221" s="302"/>
      <c r="G221" s="303"/>
      <c r="H221" s="304"/>
      <c r="I221" s="305"/>
      <c r="J221" s="306"/>
      <c r="K221" s="306"/>
      <c r="L221" s="277"/>
      <c r="M221" s="160"/>
      <c r="N221" s="160"/>
      <c r="O221" s="160"/>
    </row>
    <row r="222" spans="1:15" ht="41.25" hidden="1" customHeight="1">
      <c r="A222" s="302"/>
      <c r="B222" s="302"/>
      <c r="C222" s="302"/>
      <c r="D222" s="302"/>
      <c r="E222" s="302"/>
      <c r="F222" s="302"/>
      <c r="G222" s="303"/>
      <c r="H222" s="304"/>
      <c r="I222" s="305"/>
      <c r="J222" s="306"/>
      <c r="K222" s="306"/>
      <c r="L222" s="277"/>
      <c r="M222" s="160"/>
      <c r="N222" s="160"/>
      <c r="O222" s="160"/>
    </row>
    <row r="223" spans="1:15" ht="41.25" hidden="1" customHeight="1">
      <c r="A223" s="302"/>
      <c r="B223" s="302"/>
      <c r="C223" s="302"/>
      <c r="D223" s="302"/>
      <c r="E223" s="302"/>
      <c r="F223" s="302"/>
      <c r="G223" s="303"/>
      <c r="H223" s="304"/>
      <c r="I223" s="305"/>
      <c r="J223" s="306"/>
      <c r="K223" s="306"/>
      <c r="L223" s="277"/>
      <c r="M223" s="160"/>
      <c r="N223" s="160"/>
      <c r="O223" s="160"/>
    </row>
    <row r="224" spans="1:15" ht="41.25" hidden="1" customHeight="1">
      <c r="A224" s="302"/>
      <c r="B224" s="302"/>
      <c r="C224" s="302"/>
      <c r="D224" s="302"/>
      <c r="E224" s="302"/>
      <c r="F224" s="302"/>
      <c r="G224" s="303"/>
      <c r="H224" s="304"/>
      <c r="I224" s="305"/>
      <c r="J224" s="306"/>
      <c r="K224" s="306"/>
      <c r="L224" s="277"/>
      <c r="M224" s="160"/>
      <c r="N224" s="160"/>
      <c r="O224" s="160"/>
    </row>
    <row r="225" spans="1:15" ht="41.25" hidden="1" customHeight="1">
      <c r="A225" s="302"/>
      <c r="B225" s="302"/>
      <c r="C225" s="302"/>
      <c r="D225" s="302"/>
      <c r="E225" s="302"/>
      <c r="F225" s="302"/>
      <c r="G225" s="303"/>
      <c r="H225" s="304"/>
      <c r="I225" s="305"/>
      <c r="J225" s="306"/>
      <c r="K225" s="306"/>
      <c r="L225" s="277"/>
      <c r="M225" s="160"/>
      <c r="N225" s="160"/>
      <c r="O225" s="160"/>
    </row>
    <row r="226" spans="1:15" ht="41.25" hidden="1" customHeight="1">
      <c r="A226" s="302"/>
      <c r="B226" s="302"/>
      <c r="C226" s="302"/>
      <c r="D226" s="302"/>
      <c r="E226" s="302"/>
      <c r="F226" s="302"/>
      <c r="G226" s="303"/>
      <c r="H226" s="304"/>
      <c r="I226" s="305"/>
      <c r="J226" s="306"/>
      <c r="K226" s="306"/>
      <c r="L226" s="277"/>
      <c r="M226" s="160"/>
      <c r="N226" s="160"/>
      <c r="O226" s="160"/>
    </row>
    <row r="227" spans="1:15" ht="41.25" hidden="1" customHeight="1">
      <c r="A227" s="302"/>
      <c r="B227" s="302"/>
      <c r="C227" s="302"/>
      <c r="D227" s="302"/>
      <c r="E227" s="302"/>
      <c r="F227" s="302"/>
      <c r="G227" s="303"/>
      <c r="H227" s="304"/>
      <c r="I227" s="305"/>
      <c r="J227" s="306"/>
      <c r="K227" s="306"/>
      <c r="L227" s="277"/>
      <c r="M227" s="160"/>
      <c r="N227" s="160"/>
      <c r="O227" s="160"/>
    </row>
    <row r="228" spans="1:15" ht="41.25" hidden="1" customHeight="1">
      <c r="A228" s="302"/>
      <c r="B228" s="302"/>
      <c r="C228" s="302"/>
      <c r="D228" s="302"/>
      <c r="E228" s="302"/>
      <c r="F228" s="302"/>
      <c r="G228" s="303"/>
      <c r="H228" s="304"/>
      <c r="I228" s="305"/>
      <c r="J228" s="306"/>
      <c r="K228" s="306"/>
      <c r="L228" s="277"/>
      <c r="M228" s="160"/>
      <c r="N228" s="160"/>
      <c r="O228" s="160"/>
    </row>
    <row r="229" spans="1:15" ht="41.25" hidden="1" customHeight="1">
      <c r="A229" s="302"/>
      <c r="B229" s="302"/>
      <c r="C229" s="302"/>
      <c r="D229" s="302"/>
      <c r="E229" s="302"/>
      <c r="F229" s="302"/>
      <c r="G229" s="303"/>
      <c r="H229" s="304"/>
      <c r="I229" s="305"/>
      <c r="J229" s="306"/>
      <c r="K229" s="306"/>
      <c r="L229" s="277"/>
      <c r="M229" s="160"/>
      <c r="N229" s="160"/>
      <c r="O229" s="160"/>
    </row>
    <row r="230" spans="1:15" ht="41.25" hidden="1" customHeight="1">
      <c r="A230" s="302"/>
      <c r="B230" s="302"/>
      <c r="C230" s="302"/>
      <c r="D230" s="302"/>
      <c r="E230" s="302"/>
      <c r="F230" s="302"/>
      <c r="G230" s="303"/>
      <c r="H230" s="304"/>
      <c r="I230" s="305"/>
      <c r="J230" s="306"/>
      <c r="K230" s="306"/>
      <c r="L230" s="277"/>
      <c r="M230" s="160"/>
      <c r="N230" s="160"/>
      <c r="O230" s="160"/>
    </row>
    <row r="231" spans="1:15" ht="41.25" hidden="1" customHeight="1">
      <c r="A231" s="302"/>
      <c r="B231" s="302"/>
      <c r="C231" s="302"/>
      <c r="D231" s="302"/>
      <c r="E231" s="302"/>
      <c r="F231" s="302"/>
      <c r="G231" s="303"/>
      <c r="H231" s="304"/>
      <c r="I231" s="305"/>
      <c r="J231" s="306"/>
      <c r="K231" s="306"/>
      <c r="L231" s="277"/>
      <c r="M231" s="160"/>
      <c r="N231" s="160"/>
      <c r="O231" s="160"/>
    </row>
    <row r="232" spans="1:15" ht="41.25" hidden="1" customHeight="1">
      <c r="A232" s="302"/>
      <c r="B232" s="302"/>
      <c r="C232" s="302"/>
      <c r="D232" s="302"/>
      <c r="E232" s="302"/>
      <c r="F232" s="302"/>
      <c r="G232" s="303"/>
      <c r="H232" s="304"/>
      <c r="I232" s="305"/>
      <c r="J232" s="306"/>
      <c r="K232" s="306"/>
      <c r="L232" s="277"/>
      <c r="M232" s="160"/>
      <c r="N232" s="160"/>
      <c r="O232" s="160"/>
    </row>
    <row r="233" spans="1:15" ht="41.25" hidden="1" customHeight="1">
      <c r="A233" s="302"/>
      <c r="B233" s="302"/>
      <c r="C233" s="302"/>
      <c r="D233" s="302"/>
      <c r="E233" s="302"/>
      <c r="F233" s="302"/>
      <c r="G233" s="303"/>
      <c r="H233" s="304"/>
      <c r="I233" s="305"/>
      <c r="J233" s="306"/>
      <c r="K233" s="306"/>
      <c r="L233" s="277"/>
      <c r="M233" s="160"/>
      <c r="N233" s="160"/>
      <c r="O233" s="160"/>
    </row>
    <row r="234" spans="1:15" ht="41.25" hidden="1" customHeight="1">
      <c r="A234" s="302"/>
      <c r="B234" s="302"/>
      <c r="C234" s="302"/>
      <c r="D234" s="302"/>
      <c r="E234" s="302"/>
      <c r="F234" s="302"/>
      <c r="G234" s="303"/>
      <c r="H234" s="304"/>
      <c r="I234" s="305"/>
      <c r="J234" s="306"/>
      <c r="K234" s="306"/>
      <c r="L234" s="277"/>
      <c r="M234" s="160"/>
      <c r="N234" s="160"/>
      <c r="O234" s="160"/>
    </row>
    <row r="235" spans="1:15" ht="41.25" hidden="1" customHeight="1">
      <c r="A235" s="302"/>
      <c r="B235" s="302"/>
      <c r="C235" s="302"/>
      <c r="D235" s="302"/>
      <c r="E235" s="302"/>
      <c r="F235" s="302"/>
      <c r="G235" s="303"/>
      <c r="H235" s="304"/>
      <c r="I235" s="305"/>
      <c r="J235" s="306"/>
      <c r="K235" s="306"/>
      <c r="L235" s="277"/>
      <c r="M235" s="160"/>
      <c r="N235" s="160"/>
      <c r="O235" s="160"/>
    </row>
    <row r="236" spans="1:15" ht="41.25" hidden="1" customHeight="1">
      <c r="A236" s="302"/>
      <c r="B236" s="302"/>
      <c r="C236" s="302"/>
      <c r="D236" s="302"/>
      <c r="E236" s="302"/>
      <c r="F236" s="302"/>
      <c r="G236" s="303"/>
      <c r="H236" s="304"/>
      <c r="I236" s="305"/>
      <c r="J236" s="306"/>
      <c r="K236" s="306"/>
      <c r="L236" s="277"/>
      <c r="M236" s="160"/>
      <c r="N236" s="160"/>
      <c r="O236" s="160"/>
    </row>
    <row r="237" spans="1:15" ht="41.25" hidden="1" customHeight="1">
      <c r="A237" s="302"/>
      <c r="B237" s="302"/>
      <c r="C237" s="302"/>
      <c r="D237" s="302"/>
      <c r="E237" s="302"/>
      <c r="F237" s="302"/>
      <c r="G237" s="303"/>
      <c r="H237" s="304"/>
      <c r="I237" s="305"/>
      <c r="J237" s="306"/>
      <c r="K237" s="306"/>
      <c r="L237" s="277"/>
      <c r="M237" s="160"/>
      <c r="N237" s="160"/>
      <c r="O237" s="160"/>
    </row>
    <row r="238" spans="1:15" ht="41.25" hidden="1" customHeight="1">
      <c r="A238" s="302"/>
      <c r="B238" s="302"/>
      <c r="C238" s="302"/>
      <c r="D238" s="302"/>
      <c r="E238" s="302"/>
      <c r="F238" s="302"/>
      <c r="G238" s="303"/>
      <c r="H238" s="304"/>
      <c r="I238" s="305"/>
      <c r="J238" s="306"/>
      <c r="K238" s="306"/>
      <c r="L238" s="277"/>
      <c r="M238" s="160"/>
      <c r="N238" s="160"/>
      <c r="O238" s="160"/>
    </row>
    <row r="239" spans="1:15" ht="41.25" hidden="1" customHeight="1">
      <c r="A239" s="302"/>
      <c r="B239" s="302"/>
      <c r="C239" s="302"/>
      <c r="D239" s="302"/>
      <c r="E239" s="302"/>
      <c r="F239" s="302"/>
      <c r="G239" s="303"/>
      <c r="H239" s="304"/>
      <c r="I239" s="305"/>
      <c r="J239" s="306"/>
      <c r="K239" s="306"/>
      <c r="L239" s="277"/>
      <c r="M239" s="160"/>
      <c r="N239" s="160"/>
      <c r="O239" s="160"/>
    </row>
    <row r="240" spans="1:15" ht="41.25" hidden="1" customHeight="1">
      <c r="A240" s="302"/>
      <c r="B240" s="302"/>
      <c r="C240" s="302"/>
      <c r="D240" s="302"/>
      <c r="E240" s="302"/>
      <c r="F240" s="302"/>
      <c r="G240" s="303"/>
      <c r="H240" s="304"/>
      <c r="I240" s="305"/>
      <c r="J240" s="306"/>
      <c r="K240" s="306"/>
      <c r="L240" s="277"/>
      <c r="M240" s="160"/>
      <c r="N240" s="160"/>
      <c r="O240" s="160"/>
    </row>
    <row r="241" spans="1:15" ht="41.25" hidden="1" customHeight="1">
      <c r="A241" s="302"/>
      <c r="B241" s="302"/>
      <c r="C241" s="302"/>
      <c r="D241" s="302"/>
      <c r="E241" s="302"/>
      <c r="F241" s="302"/>
      <c r="G241" s="303"/>
      <c r="H241" s="304"/>
      <c r="I241" s="305"/>
      <c r="J241" s="306"/>
      <c r="K241" s="306"/>
      <c r="L241" s="277"/>
      <c r="M241" s="160"/>
      <c r="N241" s="160"/>
      <c r="O241" s="160"/>
    </row>
    <row r="242" spans="1:15" ht="41.25" hidden="1" customHeight="1">
      <c r="A242" s="302"/>
      <c r="B242" s="302"/>
      <c r="C242" s="302"/>
      <c r="D242" s="302"/>
      <c r="E242" s="302"/>
      <c r="F242" s="302"/>
      <c r="G242" s="303"/>
      <c r="H242" s="304"/>
      <c r="I242" s="305"/>
      <c r="J242" s="306"/>
      <c r="K242" s="306"/>
      <c r="L242" s="277"/>
      <c r="M242" s="160"/>
      <c r="N242" s="160"/>
      <c r="O242" s="160"/>
    </row>
    <row r="243" spans="1:15" ht="41.25" hidden="1" customHeight="1">
      <c r="A243" s="302"/>
      <c r="B243" s="302"/>
      <c r="C243" s="302"/>
      <c r="D243" s="302"/>
      <c r="E243" s="302"/>
      <c r="F243" s="302"/>
      <c r="G243" s="303"/>
      <c r="H243" s="304"/>
      <c r="I243" s="305"/>
      <c r="J243" s="306"/>
      <c r="K243" s="306"/>
      <c r="L243" s="277"/>
      <c r="M243" s="160"/>
      <c r="N243" s="160"/>
      <c r="O243" s="160"/>
    </row>
    <row r="244" spans="1:15" ht="41.25" hidden="1" customHeight="1">
      <c r="A244" s="302"/>
      <c r="B244" s="302"/>
      <c r="C244" s="302"/>
      <c r="D244" s="302"/>
      <c r="E244" s="302"/>
      <c r="F244" s="302"/>
      <c r="G244" s="303"/>
      <c r="H244" s="304"/>
      <c r="I244" s="305"/>
      <c r="J244" s="306"/>
      <c r="K244" s="306"/>
      <c r="L244" s="277"/>
      <c r="M244" s="160"/>
      <c r="N244" s="160"/>
      <c r="O244" s="160"/>
    </row>
    <row r="245" spans="1:15" ht="41.25" hidden="1" customHeight="1">
      <c r="A245" s="302"/>
      <c r="B245" s="302"/>
      <c r="C245" s="302"/>
      <c r="D245" s="302"/>
      <c r="E245" s="302"/>
      <c r="F245" s="302"/>
      <c r="G245" s="303"/>
      <c r="H245" s="304"/>
      <c r="I245" s="305"/>
      <c r="J245" s="306"/>
      <c r="K245" s="306"/>
      <c r="L245" s="277"/>
      <c r="M245" s="160"/>
      <c r="N245" s="160"/>
      <c r="O245" s="160"/>
    </row>
    <row r="246" spans="1:15" ht="41.25" hidden="1" customHeight="1">
      <c r="A246" s="302"/>
      <c r="B246" s="302"/>
      <c r="C246" s="302"/>
      <c r="D246" s="302"/>
      <c r="E246" s="302"/>
      <c r="F246" s="302"/>
      <c r="G246" s="303"/>
      <c r="H246" s="304"/>
      <c r="I246" s="305"/>
      <c r="J246" s="306"/>
      <c r="K246" s="306"/>
      <c r="L246" s="277"/>
      <c r="M246" s="160"/>
      <c r="N246" s="160"/>
      <c r="O246" s="160"/>
    </row>
    <row r="247" spans="1:15" ht="41.25" hidden="1" customHeight="1">
      <c r="A247" s="302"/>
      <c r="B247" s="302"/>
      <c r="C247" s="302"/>
      <c r="D247" s="302"/>
      <c r="E247" s="302"/>
      <c r="F247" s="302"/>
      <c r="G247" s="303"/>
      <c r="H247" s="304"/>
      <c r="I247" s="305"/>
      <c r="J247" s="306"/>
      <c r="K247" s="306"/>
      <c r="L247" s="277"/>
      <c r="M247" s="160"/>
      <c r="N247" s="160"/>
      <c r="O247" s="160"/>
    </row>
    <row r="248" spans="1:15" ht="41.25" hidden="1" customHeight="1">
      <c r="A248" s="302"/>
      <c r="B248" s="302"/>
      <c r="C248" s="302"/>
      <c r="D248" s="302"/>
      <c r="E248" s="302"/>
      <c r="F248" s="302"/>
      <c r="G248" s="303"/>
      <c r="H248" s="304"/>
      <c r="I248" s="305"/>
      <c r="J248" s="306"/>
      <c r="K248" s="306"/>
      <c r="L248" s="277"/>
      <c r="M248" s="160"/>
      <c r="N248" s="160"/>
      <c r="O248" s="160"/>
    </row>
    <row r="249" spans="1:15" ht="41.25" hidden="1" customHeight="1">
      <c r="A249" s="302"/>
      <c r="B249" s="302"/>
      <c r="C249" s="302"/>
      <c r="D249" s="302"/>
      <c r="E249" s="302"/>
      <c r="F249" s="302"/>
      <c r="G249" s="303"/>
      <c r="H249" s="304"/>
      <c r="I249" s="305"/>
      <c r="J249" s="306"/>
      <c r="K249" s="306"/>
      <c r="L249" s="277"/>
      <c r="M249" s="160"/>
      <c r="N249" s="160"/>
      <c r="O249" s="160"/>
    </row>
    <row r="250" spans="1:15" ht="41.25" hidden="1" customHeight="1">
      <c r="A250" s="302"/>
      <c r="B250" s="302"/>
      <c r="C250" s="302"/>
      <c r="D250" s="302"/>
      <c r="E250" s="302"/>
      <c r="F250" s="302"/>
      <c r="G250" s="303"/>
      <c r="H250" s="304"/>
      <c r="I250" s="305"/>
      <c r="J250" s="306"/>
      <c r="K250" s="306"/>
      <c r="L250" s="277"/>
      <c r="M250" s="160"/>
      <c r="N250" s="160"/>
      <c r="O250" s="160"/>
    </row>
    <row r="251" spans="1:15" ht="41.25" hidden="1" customHeight="1">
      <c r="A251" s="302"/>
      <c r="B251" s="302"/>
      <c r="C251" s="302"/>
      <c r="D251" s="302"/>
      <c r="E251" s="302"/>
      <c r="F251" s="302"/>
      <c r="G251" s="303"/>
      <c r="H251" s="304"/>
      <c r="I251" s="305"/>
      <c r="J251" s="306"/>
      <c r="K251" s="306"/>
      <c r="L251" s="277"/>
      <c r="M251" s="160"/>
      <c r="N251" s="160"/>
      <c r="O251" s="160"/>
    </row>
    <row r="252" spans="1:15" ht="41.25" hidden="1" customHeight="1">
      <c r="A252" s="302"/>
      <c r="B252" s="302"/>
      <c r="C252" s="302"/>
      <c r="D252" s="302"/>
      <c r="E252" s="302"/>
      <c r="F252" s="302"/>
      <c r="G252" s="303"/>
      <c r="H252" s="304"/>
      <c r="I252" s="305"/>
      <c r="J252" s="306"/>
      <c r="K252" s="306"/>
      <c r="L252" s="277"/>
      <c r="M252" s="160"/>
      <c r="N252" s="160"/>
      <c r="O252" s="160"/>
    </row>
    <row r="253" spans="1:15" ht="41.25" hidden="1" customHeight="1">
      <c r="A253" s="302"/>
      <c r="B253" s="302"/>
      <c r="C253" s="302"/>
      <c r="D253" s="302"/>
      <c r="E253" s="302"/>
      <c r="F253" s="302"/>
      <c r="G253" s="303"/>
      <c r="H253" s="304"/>
      <c r="I253" s="305"/>
      <c r="J253" s="306"/>
      <c r="K253" s="306"/>
      <c r="L253" s="277"/>
      <c r="M253" s="160"/>
      <c r="N253" s="160"/>
      <c r="O253" s="160"/>
    </row>
    <row r="254" spans="1:15" ht="41.25" hidden="1" customHeight="1">
      <c r="A254" s="302"/>
      <c r="B254" s="302"/>
      <c r="C254" s="302"/>
      <c r="D254" s="302"/>
      <c r="E254" s="302"/>
      <c r="F254" s="302"/>
      <c r="G254" s="303"/>
      <c r="H254" s="304"/>
      <c r="I254" s="305"/>
      <c r="J254" s="306"/>
      <c r="K254" s="306"/>
      <c r="L254" s="277"/>
      <c r="M254" s="160"/>
      <c r="N254" s="160"/>
      <c r="O254" s="160"/>
    </row>
    <row r="255" spans="1:15" ht="41.25" hidden="1" customHeight="1">
      <c r="A255" s="302"/>
      <c r="B255" s="302"/>
      <c r="C255" s="302"/>
      <c r="D255" s="302"/>
      <c r="E255" s="302"/>
      <c r="F255" s="302"/>
      <c r="G255" s="303"/>
      <c r="H255" s="304"/>
      <c r="I255" s="305"/>
      <c r="J255" s="306"/>
      <c r="K255" s="306"/>
      <c r="L255" s="277"/>
      <c r="M255" s="160"/>
      <c r="N255" s="160"/>
      <c r="O255" s="160"/>
    </row>
    <row r="256" spans="1:15" ht="41.25" hidden="1" customHeight="1">
      <c r="A256" s="302"/>
      <c r="B256" s="302"/>
      <c r="C256" s="302"/>
      <c r="D256" s="302"/>
      <c r="E256" s="302"/>
      <c r="F256" s="302"/>
      <c r="G256" s="303"/>
      <c r="H256" s="304"/>
      <c r="I256" s="305"/>
      <c r="J256" s="306"/>
      <c r="K256" s="306"/>
      <c r="L256" s="277"/>
      <c r="M256" s="160"/>
      <c r="N256" s="160"/>
      <c r="O256" s="160"/>
    </row>
    <row r="257" spans="1:15" ht="41.25" hidden="1" customHeight="1">
      <c r="A257" s="302"/>
      <c r="B257" s="302"/>
      <c r="C257" s="302"/>
      <c r="D257" s="302"/>
      <c r="E257" s="302"/>
      <c r="F257" s="302"/>
      <c r="G257" s="303"/>
      <c r="H257" s="304"/>
      <c r="I257" s="305"/>
      <c r="J257" s="306"/>
      <c r="K257" s="306"/>
      <c r="L257" s="277"/>
      <c r="M257" s="160"/>
      <c r="N257" s="160"/>
      <c r="O257" s="160"/>
    </row>
    <row r="258" spans="1:15" ht="41.25" hidden="1" customHeight="1">
      <c r="A258" s="302"/>
      <c r="B258" s="302"/>
      <c r="C258" s="302"/>
      <c r="D258" s="302"/>
      <c r="E258" s="302"/>
      <c r="F258" s="302"/>
      <c r="G258" s="303"/>
      <c r="H258" s="304"/>
      <c r="I258" s="305"/>
      <c r="J258" s="306"/>
      <c r="K258" s="306"/>
      <c r="L258" s="277"/>
      <c r="M258" s="160"/>
      <c r="N258" s="160"/>
      <c r="O258" s="160"/>
    </row>
    <row r="259" spans="1:15" ht="41.25" hidden="1" customHeight="1">
      <c r="A259" s="302"/>
      <c r="B259" s="302"/>
      <c r="C259" s="302"/>
      <c r="D259" s="302"/>
      <c r="E259" s="302"/>
      <c r="F259" s="302"/>
      <c r="G259" s="303"/>
      <c r="H259" s="304"/>
      <c r="I259" s="305"/>
      <c r="J259" s="306"/>
      <c r="K259" s="306"/>
      <c r="L259" s="277"/>
      <c r="M259" s="160"/>
      <c r="N259" s="160"/>
      <c r="O259" s="160"/>
    </row>
    <row r="260" spans="1:15" ht="41.25" hidden="1" customHeight="1">
      <c r="A260" s="302"/>
      <c r="B260" s="302"/>
      <c r="C260" s="302"/>
      <c r="D260" s="302"/>
      <c r="E260" s="302"/>
      <c r="F260" s="302"/>
      <c r="G260" s="303"/>
      <c r="H260" s="304"/>
      <c r="I260" s="305"/>
      <c r="J260" s="306"/>
      <c r="K260" s="306"/>
      <c r="L260" s="277"/>
      <c r="M260" s="160"/>
      <c r="N260" s="160"/>
      <c r="O260" s="160"/>
    </row>
    <row r="261" spans="1:15" ht="41.25" hidden="1" customHeight="1">
      <c r="A261" s="302"/>
      <c r="B261" s="302"/>
      <c r="C261" s="302"/>
      <c r="D261" s="302"/>
      <c r="E261" s="302"/>
      <c r="F261" s="302"/>
      <c r="G261" s="303"/>
      <c r="H261" s="304"/>
      <c r="I261" s="305"/>
      <c r="J261" s="306"/>
      <c r="K261" s="306"/>
      <c r="L261" s="277"/>
      <c r="M261" s="160"/>
      <c r="N261" s="160"/>
      <c r="O261" s="160"/>
    </row>
    <row r="262" spans="1:15" ht="41.25" hidden="1" customHeight="1">
      <c r="A262" s="302"/>
      <c r="B262" s="302"/>
      <c r="C262" s="302"/>
      <c r="D262" s="302"/>
      <c r="E262" s="302"/>
      <c r="F262" s="302"/>
      <c r="G262" s="303"/>
      <c r="H262" s="304"/>
      <c r="I262" s="305"/>
      <c r="J262" s="306"/>
      <c r="K262" s="306"/>
      <c r="L262" s="277"/>
      <c r="M262" s="160"/>
      <c r="N262" s="160"/>
      <c r="O262" s="160"/>
    </row>
    <row r="263" spans="1:15" ht="41.25" hidden="1" customHeight="1">
      <c r="A263" s="302"/>
      <c r="B263" s="302"/>
      <c r="C263" s="302"/>
      <c r="D263" s="302"/>
      <c r="E263" s="302"/>
      <c r="F263" s="302"/>
      <c r="G263" s="303"/>
      <c r="H263" s="304"/>
      <c r="I263" s="305"/>
      <c r="J263" s="306"/>
      <c r="K263" s="306"/>
      <c r="L263" s="277"/>
      <c r="M263" s="160"/>
      <c r="N263" s="160"/>
      <c r="O263" s="160"/>
    </row>
    <row r="264" spans="1:15" ht="41.25" hidden="1" customHeight="1">
      <c r="A264" s="302"/>
      <c r="B264" s="302"/>
      <c r="C264" s="302"/>
      <c r="D264" s="302"/>
      <c r="E264" s="302"/>
      <c r="F264" s="302"/>
      <c r="G264" s="303"/>
      <c r="H264" s="304"/>
      <c r="I264" s="305"/>
      <c r="J264" s="306"/>
      <c r="K264" s="306"/>
      <c r="L264" s="277"/>
      <c r="M264" s="160"/>
      <c r="N264" s="160"/>
      <c r="O264" s="160"/>
    </row>
    <row r="265" spans="1:15" ht="41.25" hidden="1" customHeight="1">
      <c r="A265" s="302"/>
      <c r="B265" s="302"/>
      <c r="C265" s="302"/>
      <c r="D265" s="302"/>
      <c r="E265" s="302"/>
      <c r="F265" s="302"/>
      <c r="G265" s="303"/>
      <c r="H265" s="304"/>
      <c r="I265" s="305"/>
      <c r="J265" s="306"/>
      <c r="K265" s="306"/>
      <c r="L265" s="277"/>
      <c r="M265" s="160"/>
      <c r="N265" s="160"/>
      <c r="O265" s="160"/>
    </row>
    <row r="266" spans="1:15" ht="41.25" hidden="1" customHeight="1">
      <c r="A266" s="302"/>
      <c r="B266" s="302"/>
      <c r="C266" s="302"/>
      <c r="D266" s="302"/>
      <c r="E266" s="302"/>
      <c r="F266" s="302"/>
      <c r="G266" s="303"/>
      <c r="H266" s="304"/>
      <c r="I266" s="305"/>
      <c r="J266" s="306"/>
      <c r="K266" s="306"/>
      <c r="L266" s="277"/>
      <c r="M266" s="160"/>
      <c r="N266" s="160"/>
      <c r="O266" s="160"/>
    </row>
    <row r="267" spans="1:15" ht="41.25" hidden="1" customHeight="1">
      <c r="A267" s="302"/>
      <c r="B267" s="302"/>
      <c r="C267" s="302"/>
      <c r="D267" s="302"/>
      <c r="E267" s="302"/>
      <c r="F267" s="302"/>
      <c r="G267" s="303"/>
      <c r="H267" s="304"/>
      <c r="I267" s="305"/>
      <c r="J267" s="306"/>
      <c r="K267" s="306"/>
      <c r="L267" s="277"/>
      <c r="M267" s="160"/>
      <c r="N267" s="160"/>
      <c r="O267" s="160"/>
    </row>
    <row r="268" spans="1:15" ht="41.25" hidden="1" customHeight="1">
      <c r="A268" s="302"/>
      <c r="B268" s="302"/>
      <c r="C268" s="302"/>
      <c r="D268" s="302"/>
      <c r="E268" s="302"/>
      <c r="F268" s="302"/>
      <c r="G268" s="303"/>
      <c r="H268" s="304"/>
      <c r="I268" s="305"/>
      <c r="J268" s="306"/>
      <c r="K268" s="306"/>
      <c r="L268" s="277"/>
      <c r="M268" s="160"/>
      <c r="N268" s="160"/>
      <c r="O268" s="160"/>
    </row>
    <row r="269" spans="1:15" ht="41.25" hidden="1" customHeight="1">
      <c r="A269" s="302"/>
      <c r="B269" s="302"/>
      <c r="C269" s="302"/>
      <c r="D269" s="302"/>
      <c r="E269" s="302"/>
      <c r="F269" s="302"/>
      <c r="G269" s="303"/>
      <c r="H269" s="304"/>
      <c r="I269" s="305"/>
      <c r="J269" s="306"/>
      <c r="K269" s="306"/>
      <c r="L269" s="277"/>
      <c r="M269" s="160"/>
      <c r="N269" s="160"/>
      <c r="O269" s="160"/>
    </row>
    <row r="270" spans="1:15" ht="41.25" hidden="1" customHeight="1">
      <c r="A270" s="302"/>
      <c r="B270" s="302"/>
      <c r="C270" s="302"/>
      <c r="D270" s="302"/>
      <c r="E270" s="302"/>
      <c r="F270" s="302"/>
      <c r="G270" s="303"/>
      <c r="H270" s="304"/>
      <c r="I270" s="305"/>
      <c r="J270" s="306"/>
      <c r="K270" s="306"/>
      <c r="L270" s="277"/>
      <c r="M270" s="160"/>
      <c r="N270" s="160"/>
      <c r="O270" s="160"/>
    </row>
    <row r="271" spans="1:15" ht="41.25" hidden="1" customHeight="1">
      <c r="A271" s="302"/>
      <c r="B271" s="302"/>
      <c r="C271" s="302"/>
      <c r="D271" s="302"/>
      <c r="E271" s="302"/>
      <c r="F271" s="302"/>
      <c r="G271" s="303"/>
      <c r="H271" s="304"/>
      <c r="I271" s="305"/>
      <c r="J271" s="306"/>
      <c r="K271" s="306"/>
      <c r="L271" s="277"/>
      <c r="M271" s="160"/>
      <c r="N271" s="160"/>
      <c r="O271" s="160"/>
    </row>
    <row r="272" spans="1:15" ht="41.25" hidden="1" customHeight="1">
      <c r="A272" s="302"/>
      <c r="B272" s="302"/>
      <c r="C272" s="302"/>
      <c r="D272" s="302"/>
      <c r="E272" s="302"/>
      <c r="F272" s="302"/>
      <c r="G272" s="303"/>
      <c r="H272" s="304"/>
      <c r="I272" s="305"/>
      <c r="J272" s="306"/>
      <c r="K272" s="306"/>
      <c r="L272" s="277"/>
      <c r="M272" s="160"/>
      <c r="N272" s="160"/>
      <c r="O272" s="160"/>
    </row>
    <row r="273" spans="1:15" ht="41.25" hidden="1" customHeight="1">
      <c r="A273" s="302"/>
      <c r="B273" s="302"/>
      <c r="C273" s="302"/>
      <c r="D273" s="302"/>
      <c r="E273" s="302"/>
      <c r="F273" s="302"/>
      <c r="G273" s="303"/>
      <c r="H273" s="304"/>
      <c r="I273" s="305"/>
      <c r="J273" s="306"/>
      <c r="K273" s="306"/>
      <c r="L273" s="277"/>
      <c r="M273" s="160"/>
      <c r="N273" s="160"/>
      <c r="O273" s="160"/>
    </row>
    <row r="274" spans="1:15" ht="41.25" hidden="1" customHeight="1">
      <c r="A274" s="302"/>
      <c r="B274" s="302"/>
      <c r="C274" s="302"/>
      <c r="D274" s="302"/>
      <c r="E274" s="302"/>
      <c r="F274" s="302"/>
      <c r="G274" s="303"/>
      <c r="H274" s="304"/>
      <c r="I274" s="305"/>
      <c r="J274" s="306"/>
      <c r="K274" s="306"/>
      <c r="L274" s="277"/>
      <c r="M274" s="160"/>
      <c r="N274" s="160"/>
      <c r="O274" s="160"/>
    </row>
    <row r="275" spans="1:15" ht="41.25" hidden="1" customHeight="1">
      <c r="A275" s="302"/>
      <c r="B275" s="302"/>
      <c r="C275" s="302"/>
      <c r="D275" s="302"/>
      <c r="E275" s="302"/>
      <c r="F275" s="302"/>
      <c r="G275" s="303"/>
      <c r="H275" s="304"/>
      <c r="I275" s="305"/>
      <c r="J275" s="306"/>
      <c r="K275" s="306"/>
      <c r="L275" s="277"/>
      <c r="M275" s="160"/>
      <c r="N275" s="160"/>
      <c r="O275" s="160"/>
    </row>
    <row r="276" spans="1:15" ht="41.25" hidden="1" customHeight="1">
      <c r="A276" s="302"/>
      <c r="B276" s="302"/>
      <c r="C276" s="302"/>
      <c r="D276" s="302"/>
      <c r="E276" s="302"/>
      <c r="F276" s="302"/>
      <c r="G276" s="303"/>
      <c r="H276" s="304"/>
      <c r="I276" s="305"/>
      <c r="J276" s="306"/>
      <c r="K276" s="306"/>
      <c r="L276" s="277"/>
      <c r="M276" s="160"/>
      <c r="N276" s="160"/>
      <c r="O276" s="160"/>
    </row>
    <row r="277" spans="1:15" ht="41.25" hidden="1" customHeight="1">
      <c r="A277" s="302"/>
      <c r="B277" s="302"/>
      <c r="C277" s="302"/>
      <c r="D277" s="302"/>
      <c r="E277" s="302"/>
      <c r="F277" s="302"/>
      <c r="G277" s="303"/>
      <c r="H277" s="304"/>
      <c r="I277" s="305"/>
      <c r="J277" s="306"/>
      <c r="K277" s="306"/>
      <c r="L277" s="277"/>
      <c r="M277" s="160"/>
      <c r="N277" s="160"/>
      <c r="O277" s="160"/>
    </row>
    <row r="278" spans="1:15" ht="41.25" hidden="1" customHeight="1">
      <c r="A278" s="302"/>
      <c r="B278" s="302"/>
      <c r="C278" s="302"/>
      <c r="D278" s="302"/>
      <c r="E278" s="302"/>
      <c r="F278" s="302"/>
      <c r="G278" s="303"/>
      <c r="H278" s="304"/>
      <c r="I278" s="305"/>
      <c r="J278" s="306"/>
      <c r="K278" s="306"/>
      <c r="L278" s="277"/>
      <c r="M278" s="160"/>
      <c r="N278" s="160"/>
      <c r="O278" s="160"/>
    </row>
    <row r="279" spans="1:15" ht="41.25" hidden="1" customHeight="1">
      <c r="A279" s="302"/>
      <c r="B279" s="302"/>
      <c r="C279" s="302"/>
      <c r="D279" s="302"/>
      <c r="E279" s="302"/>
      <c r="F279" s="302"/>
      <c r="G279" s="303"/>
      <c r="H279" s="304"/>
      <c r="I279" s="305"/>
      <c r="J279" s="306"/>
      <c r="K279" s="306"/>
      <c r="L279" s="277"/>
      <c r="M279" s="160"/>
      <c r="N279" s="160"/>
      <c r="O279" s="160"/>
    </row>
    <row r="280" spans="1:15" ht="41.25" hidden="1" customHeight="1">
      <c r="A280" s="302"/>
      <c r="B280" s="302"/>
      <c r="C280" s="302"/>
      <c r="D280" s="302"/>
      <c r="E280" s="302"/>
      <c r="F280" s="302"/>
      <c r="G280" s="303"/>
      <c r="H280" s="304"/>
      <c r="I280" s="305"/>
      <c r="J280" s="306"/>
      <c r="K280" s="306"/>
      <c r="L280" s="277"/>
      <c r="M280" s="160"/>
      <c r="N280" s="160"/>
      <c r="O280" s="160"/>
    </row>
    <row r="281" spans="1:15" ht="41.25" hidden="1" customHeight="1">
      <c r="A281" s="302"/>
      <c r="B281" s="302"/>
      <c r="C281" s="302"/>
      <c r="D281" s="302"/>
      <c r="E281" s="302"/>
      <c r="F281" s="302"/>
      <c r="G281" s="303"/>
      <c r="H281" s="304"/>
      <c r="I281" s="305"/>
      <c r="J281" s="306"/>
      <c r="K281" s="306"/>
      <c r="L281" s="277"/>
      <c r="M281" s="160"/>
      <c r="N281" s="160"/>
      <c r="O281" s="160"/>
    </row>
    <row r="282" spans="1:15" ht="41.25" hidden="1" customHeight="1">
      <c r="A282" s="302"/>
      <c r="B282" s="302"/>
      <c r="C282" s="302"/>
      <c r="D282" s="302"/>
      <c r="E282" s="302"/>
      <c r="F282" s="302"/>
      <c r="G282" s="303"/>
      <c r="H282" s="304"/>
      <c r="I282" s="305"/>
      <c r="J282" s="306"/>
      <c r="K282" s="306"/>
      <c r="L282" s="277"/>
      <c r="M282" s="160"/>
      <c r="N282" s="160"/>
      <c r="O282" s="160"/>
    </row>
    <row r="283" spans="1:15" ht="41.25" hidden="1" customHeight="1">
      <c r="A283" s="302"/>
      <c r="B283" s="302"/>
      <c r="C283" s="302"/>
      <c r="D283" s="302"/>
      <c r="E283" s="302"/>
      <c r="F283" s="302"/>
      <c r="G283" s="303"/>
      <c r="H283" s="304"/>
      <c r="I283" s="305"/>
      <c r="J283" s="306"/>
      <c r="K283" s="306"/>
      <c r="L283" s="277"/>
      <c r="M283" s="160"/>
      <c r="N283" s="160"/>
      <c r="O283" s="160"/>
    </row>
    <row r="284" spans="1:15" ht="41.25" hidden="1" customHeight="1">
      <c r="A284" s="302"/>
      <c r="B284" s="302"/>
      <c r="C284" s="302"/>
      <c r="D284" s="302"/>
      <c r="E284" s="302"/>
      <c r="F284" s="302"/>
      <c r="G284" s="303"/>
      <c r="H284" s="304"/>
      <c r="I284" s="305"/>
      <c r="J284" s="306"/>
      <c r="K284" s="306"/>
      <c r="L284" s="277"/>
      <c r="M284" s="160"/>
      <c r="N284" s="160"/>
      <c r="O284" s="160"/>
    </row>
    <row r="285" spans="1:15" ht="41.25" hidden="1" customHeight="1">
      <c r="A285" s="302"/>
      <c r="B285" s="302"/>
      <c r="C285" s="302"/>
      <c r="D285" s="302"/>
      <c r="E285" s="302"/>
      <c r="F285" s="302"/>
      <c r="G285" s="303"/>
      <c r="H285" s="304"/>
      <c r="I285" s="305"/>
      <c r="J285" s="306"/>
      <c r="K285" s="306"/>
      <c r="L285" s="277"/>
      <c r="M285" s="160"/>
      <c r="N285" s="160"/>
      <c r="O285" s="160"/>
    </row>
    <row r="286" spans="1:15" ht="41.25" hidden="1" customHeight="1">
      <c r="A286" s="302"/>
      <c r="B286" s="302"/>
      <c r="C286" s="302"/>
      <c r="D286" s="302"/>
      <c r="E286" s="302"/>
      <c r="F286" s="302"/>
      <c r="G286" s="303"/>
      <c r="H286" s="304"/>
      <c r="I286" s="305"/>
      <c r="J286" s="306"/>
      <c r="K286" s="306"/>
      <c r="L286" s="277"/>
      <c r="M286" s="160"/>
      <c r="N286" s="160"/>
      <c r="O286" s="160"/>
    </row>
    <row r="287" spans="1:15" ht="41.25" hidden="1" customHeight="1">
      <c r="A287" s="302"/>
      <c r="B287" s="302"/>
      <c r="C287" s="302"/>
      <c r="D287" s="302"/>
      <c r="E287" s="302"/>
      <c r="F287" s="302"/>
      <c r="G287" s="303"/>
      <c r="H287" s="304"/>
      <c r="I287" s="305"/>
      <c r="J287" s="306"/>
      <c r="K287" s="306"/>
      <c r="L287" s="277"/>
      <c r="M287" s="160"/>
      <c r="N287" s="160"/>
      <c r="O287" s="160"/>
    </row>
    <row r="288" spans="1:15" ht="41.25" hidden="1" customHeight="1">
      <c r="A288" s="302"/>
      <c r="B288" s="302"/>
      <c r="C288" s="302"/>
      <c r="D288" s="302"/>
      <c r="E288" s="302"/>
      <c r="F288" s="302"/>
      <c r="G288" s="303"/>
      <c r="H288" s="304"/>
      <c r="I288" s="305"/>
      <c r="J288" s="306"/>
      <c r="K288" s="306"/>
      <c r="L288" s="277"/>
      <c r="M288" s="160"/>
      <c r="N288" s="160"/>
      <c r="O288" s="160"/>
    </row>
    <row r="289" spans="1:15" ht="41.25" hidden="1" customHeight="1">
      <c r="A289" s="302"/>
      <c r="B289" s="302"/>
      <c r="C289" s="302"/>
      <c r="D289" s="302"/>
      <c r="E289" s="302"/>
      <c r="F289" s="302"/>
      <c r="G289" s="303"/>
      <c r="H289" s="304"/>
      <c r="I289" s="305"/>
      <c r="J289" s="306"/>
      <c r="K289" s="306"/>
      <c r="L289" s="277"/>
      <c r="M289" s="160"/>
      <c r="N289" s="160"/>
      <c r="O289" s="160"/>
    </row>
    <row r="290" spans="1:15" ht="41.25" hidden="1" customHeight="1">
      <c r="A290" s="302"/>
      <c r="B290" s="302"/>
      <c r="C290" s="302"/>
      <c r="D290" s="302"/>
      <c r="E290" s="302"/>
      <c r="F290" s="302"/>
      <c r="G290" s="303"/>
      <c r="H290" s="304"/>
      <c r="I290" s="305"/>
      <c r="J290" s="306"/>
      <c r="K290" s="306"/>
      <c r="L290" s="277"/>
      <c r="M290" s="160"/>
      <c r="N290" s="160"/>
      <c r="O290" s="160"/>
    </row>
    <row r="291" spans="1:15" ht="41.25" hidden="1" customHeight="1">
      <c r="A291" s="302"/>
      <c r="B291" s="302"/>
      <c r="C291" s="302"/>
      <c r="D291" s="302"/>
      <c r="E291" s="302"/>
      <c r="F291" s="302"/>
      <c r="G291" s="303"/>
      <c r="H291" s="304"/>
      <c r="I291" s="305"/>
      <c r="J291" s="306"/>
      <c r="K291" s="306"/>
      <c r="L291" s="277"/>
      <c r="M291" s="160"/>
      <c r="N291" s="160"/>
      <c r="O291" s="160"/>
    </row>
    <row r="292" spans="1:15" ht="41.25" hidden="1" customHeight="1">
      <c r="A292" s="302"/>
      <c r="B292" s="302"/>
      <c r="C292" s="302"/>
      <c r="D292" s="302"/>
      <c r="E292" s="302"/>
      <c r="F292" s="302"/>
      <c r="G292" s="303"/>
      <c r="H292" s="304"/>
      <c r="I292" s="305"/>
      <c r="J292" s="306"/>
      <c r="K292" s="306"/>
      <c r="L292" s="277"/>
      <c r="M292" s="160"/>
      <c r="N292" s="160"/>
      <c r="O292" s="160"/>
    </row>
    <row r="293" spans="1:15" ht="41.25" hidden="1" customHeight="1">
      <c r="A293" s="302"/>
      <c r="B293" s="302"/>
      <c r="C293" s="302"/>
      <c r="D293" s="302"/>
      <c r="E293" s="302"/>
      <c r="F293" s="302"/>
      <c r="G293" s="303"/>
      <c r="H293" s="304"/>
      <c r="I293" s="305"/>
      <c r="J293" s="306"/>
      <c r="K293" s="306"/>
      <c r="L293" s="277"/>
      <c r="M293" s="160"/>
      <c r="N293" s="160"/>
      <c r="O293" s="160"/>
    </row>
    <row r="294" spans="1:15" ht="41.25" hidden="1" customHeight="1">
      <c r="A294" s="302"/>
      <c r="B294" s="302"/>
      <c r="C294" s="302"/>
      <c r="D294" s="302"/>
      <c r="E294" s="302"/>
      <c r="F294" s="302"/>
      <c r="G294" s="303"/>
      <c r="H294" s="304"/>
      <c r="I294" s="305"/>
      <c r="J294" s="306"/>
      <c r="K294" s="306"/>
      <c r="L294" s="277"/>
      <c r="M294" s="160"/>
      <c r="N294" s="160"/>
      <c r="O294" s="160"/>
    </row>
    <row r="295" spans="1:15" ht="41.25" hidden="1" customHeight="1">
      <c r="A295" s="302"/>
      <c r="B295" s="302"/>
      <c r="C295" s="302"/>
      <c r="D295" s="302"/>
      <c r="E295" s="302"/>
      <c r="F295" s="302"/>
      <c r="G295" s="303"/>
      <c r="H295" s="304"/>
      <c r="I295" s="305"/>
      <c r="J295" s="306"/>
      <c r="K295" s="306"/>
      <c r="L295" s="277"/>
      <c r="M295" s="160"/>
      <c r="N295" s="160"/>
      <c r="O295" s="160"/>
    </row>
    <row r="296" spans="1:15" ht="41.25" hidden="1" customHeight="1">
      <c r="A296" s="302"/>
      <c r="B296" s="302"/>
      <c r="C296" s="302"/>
      <c r="D296" s="302"/>
      <c r="E296" s="302"/>
      <c r="F296" s="302"/>
      <c r="G296" s="303"/>
      <c r="H296" s="304"/>
      <c r="I296" s="305"/>
      <c r="J296" s="306"/>
      <c r="K296" s="306"/>
      <c r="L296" s="277"/>
      <c r="M296" s="160"/>
      <c r="N296" s="160"/>
      <c r="O296" s="160"/>
    </row>
    <row r="297" spans="1:15" ht="41.25" hidden="1" customHeight="1">
      <c r="A297" s="302"/>
      <c r="B297" s="302"/>
      <c r="C297" s="302"/>
      <c r="D297" s="302"/>
      <c r="E297" s="302"/>
      <c r="F297" s="302"/>
      <c r="G297" s="303"/>
      <c r="H297" s="304"/>
      <c r="I297" s="305"/>
      <c r="J297" s="306"/>
      <c r="K297" s="306"/>
      <c r="L297" s="277"/>
      <c r="M297" s="160"/>
      <c r="N297" s="160"/>
      <c r="O297" s="160"/>
    </row>
    <row r="298" spans="1:15" ht="41.25" hidden="1" customHeight="1">
      <c r="A298" s="302"/>
      <c r="B298" s="302"/>
      <c r="C298" s="302"/>
      <c r="D298" s="302"/>
      <c r="E298" s="302"/>
      <c r="F298" s="302"/>
      <c r="G298" s="303"/>
      <c r="H298" s="304"/>
      <c r="I298" s="305"/>
      <c r="J298" s="306"/>
      <c r="K298" s="306"/>
      <c r="L298" s="277"/>
      <c r="M298" s="160"/>
      <c r="N298" s="160"/>
      <c r="O298" s="160"/>
    </row>
    <row r="299" spans="1:15" ht="41.25" hidden="1" customHeight="1">
      <c r="A299" s="302"/>
      <c r="B299" s="302"/>
      <c r="C299" s="302"/>
      <c r="D299" s="302"/>
      <c r="E299" s="302"/>
      <c r="F299" s="302"/>
      <c r="G299" s="303"/>
      <c r="H299" s="304"/>
      <c r="I299" s="305"/>
      <c r="J299" s="306"/>
      <c r="K299" s="306"/>
      <c r="L299" s="277"/>
      <c r="M299" s="160"/>
      <c r="N299" s="160"/>
      <c r="O299" s="160"/>
    </row>
    <row r="300" spans="1:15" ht="41.25" hidden="1" customHeight="1">
      <c r="A300" s="302"/>
      <c r="B300" s="302"/>
      <c r="C300" s="302"/>
      <c r="D300" s="302"/>
      <c r="E300" s="302"/>
      <c r="F300" s="302"/>
      <c r="G300" s="303"/>
      <c r="H300" s="304"/>
      <c r="I300" s="305"/>
      <c r="J300" s="306"/>
      <c r="K300" s="306"/>
      <c r="L300" s="277"/>
      <c r="M300" s="160"/>
      <c r="N300" s="160"/>
      <c r="O300" s="160"/>
    </row>
    <row r="301" spans="1:15" ht="41.25" hidden="1" customHeight="1">
      <c r="A301" s="302"/>
      <c r="B301" s="302"/>
      <c r="C301" s="302"/>
      <c r="D301" s="302"/>
      <c r="E301" s="302"/>
      <c r="F301" s="302"/>
      <c r="G301" s="303"/>
      <c r="H301" s="304"/>
      <c r="I301" s="305"/>
      <c r="J301" s="306"/>
      <c r="K301" s="306"/>
      <c r="L301" s="277"/>
      <c r="M301" s="160"/>
      <c r="N301" s="160"/>
      <c r="O301" s="160"/>
    </row>
    <row r="302" spans="1:15" ht="41.25" hidden="1" customHeight="1">
      <c r="A302" s="302"/>
      <c r="B302" s="302"/>
      <c r="C302" s="302"/>
      <c r="D302" s="302"/>
      <c r="E302" s="302"/>
      <c r="F302" s="302"/>
      <c r="G302" s="303"/>
      <c r="H302" s="304"/>
      <c r="I302" s="305"/>
      <c r="J302" s="306"/>
      <c r="K302" s="306"/>
      <c r="L302" s="277"/>
      <c r="M302" s="160"/>
      <c r="N302" s="160"/>
      <c r="O302" s="160"/>
    </row>
    <row r="303" spans="1:15" ht="41.25" hidden="1" customHeight="1">
      <c r="A303" s="302"/>
      <c r="B303" s="302"/>
      <c r="C303" s="302"/>
      <c r="D303" s="302"/>
      <c r="E303" s="302"/>
      <c r="F303" s="302"/>
      <c r="G303" s="303"/>
      <c r="H303" s="304"/>
      <c r="I303" s="305"/>
      <c r="J303" s="306"/>
      <c r="K303" s="306"/>
      <c r="L303" s="277"/>
      <c r="M303" s="160"/>
      <c r="N303" s="160"/>
      <c r="O303" s="160"/>
    </row>
    <row r="304" spans="1:15" ht="41.25" hidden="1" customHeight="1">
      <c r="A304" s="302"/>
      <c r="B304" s="302"/>
      <c r="C304" s="302"/>
      <c r="D304" s="302"/>
      <c r="E304" s="302"/>
      <c r="F304" s="302"/>
      <c r="G304" s="303"/>
      <c r="H304" s="304"/>
      <c r="I304" s="305"/>
      <c r="J304" s="306"/>
      <c r="K304" s="306"/>
      <c r="L304" s="277"/>
      <c r="M304" s="160"/>
      <c r="N304" s="160"/>
      <c r="O304" s="160"/>
    </row>
    <row r="305" spans="1:15" ht="41.25" hidden="1" customHeight="1">
      <c r="A305" s="302"/>
      <c r="B305" s="302"/>
      <c r="C305" s="302"/>
      <c r="D305" s="302"/>
      <c r="E305" s="302"/>
      <c r="F305" s="302"/>
      <c r="G305" s="303"/>
      <c r="H305" s="304"/>
      <c r="I305" s="305"/>
      <c r="J305" s="306"/>
      <c r="K305" s="306"/>
      <c r="L305" s="277"/>
      <c r="M305" s="160"/>
      <c r="N305" s="160"/>
      <c r="O305" s="160"/>
    </row>
    <row r="306" spans="1:15" ht="41.25" hidden="1" customHeight="1">
      <c r="A306" s="302"/>
      <c r="B306" s="302"/>
      <c r="C306" s="302"/>
      <c r="D306" s="302"/>
      <c r="E306" s="302"/>
      <c r="F306" s="302"/>
      <c r="G306" s="303"/>
      <c r="H306" s="304"/>
      <c r="I306" s="305"/>
      <c r="J306" s="306"/>
      <c r="K306" s="306"/>
      <c r="L306" s="277"/>
      <c r="M306" s="160"/>
      <c r="N306" s="160"/>
      <c r="O306" s="160"/>
    </row>
    <row r="307" spans="1:15" ht="41.25" hidden="1" customHeight="1">
      <c r="A307" s="302"/>
      <c r="B307" s="302"/>
      <c r="C307" s="302"/>
      <c r="D307" s="302"/>
      <c r="E307" s="302"/>
      <c r="F307" s="302"/>
      <c r="G307" s="303"/>
      <c r="H307" s="304"/>
      <c r="I307" s="305"/>
      <c r="J307" s="306"/>
      <c r="K307" s="306"/>
      <c r="L307" s="277"/>
      <c r="M307" s="160"/>
      <c r="N307" s="160"/>
      <c r="O307" s="160"/>
    </row>
    <row r="308" spans="1:15" ht="41.25" hidden="1" customHeight="1">
      <c r="A308" s="302"/>
      <c r="B308" s="302"/>
      <c r="C308" s="302"/>
      <c r="D308" s="302"/>
      <c r="E308" s="302"/>
      <c r="F308" s="302"/>
      <c r="G308" s="303"/>
      <c r="H308" s="304"/>
      <c r="I308" s="305"/>
      <c r="J308" s="306"/>
      <c r="K308" s="306"/>
      <c r="L308" s="277"/>
      <c r="M308" s="160"/>
      <c r="N308" s="160"/>
      <c r="O308" s="160"/>
    </row>
    <row r="309" spans="1:15" ht="41.25" hidden="1" customHeight="1">
      <c r="A309" s="302"/>
      <c r="B309" s="302"/>
      <c r="C309" s="302"/>
      <c r="D309" s="302"/>
      <c r="E309" s="302"/>
      <c r="F309" s="302"/>
      <c r="G309" s="303"/>
      <c r="H309" s="304"/>
      <c r="I309" s="305"/>
      <c r="J309" s="306"/>
      <c r="K309" s="306"/>
      <c r="L309" s="277"/>
      <c r="M309" s="160"/>
      <c r="N309" s="160"/>
      <c r="O309" s="160"/>
    </row>
    <row r="310" spans="1:15" ht="41.25" hidden="1" customHeight="1">
      <c r="A310" s="302"/>
      <c r="B310" s="302"/>
      <c r="C310" s="302"/>
      <c r="D310" s="302"/>
      <c r="E310" s="302"/>
      <c r="F310" s="302"/>
      <c r="G310" s="303"/>
      <c r="H310" s="304"/>
      <c r="I310" s="305"/>
      <c r="J310" s="306"/>
      <c r="K310" s="306"/>
      <c r="L310" s="277"/>
      <c r="M310" s="160"/>
      <c r="N310" s="160"/>
      <c r="O310" s="160"/>
    </row>
    <row r="311" spans="1:15" ht="41.25" hidden="1" customHeight="1">
      <c r="A311" s="302"/>
      <c r="B311" s="302"/>
      <c r="C311" s="302"/>
      <c r="D311" s="302"/>
      <c r="E311" s="302"/>
      <c r="F311" s="302"/>
      <c r="G311" s="303"/>
      <c r="H311" s="304"/>
      <c r="I311" s="305"/>
      <c r="J311" s="306"/>
      <c r="K311" s="306"/>
      <c r="L311" s="277"/>
      <c r="M311" s="160"/>
      <c r="N311" s="160"/>
      <c r="O311" s="160"/>
    </row>
    <row r="312" spans="1:15" ht="41.25" hidden="1" customHeight="1">
      <c r="A312" s="302"/>
      <c r="B312" s="302"/>
      <c r="C312" s="302"/>
      <c r="D312" s="302"/>
      <c r="E312" s="302"/>
      <c r="F312" s="302"/>
      <c r="G312" s="303"/>
      <c r="H312" s="304"/>
      <c r="I312" s="305"/>
      <c r="J312" s="306"/>
      <c r="K312" s="306"/>
      <c r="L312" s="277"/>
      <c r="M312" s="160"/>
      <c r="N312" s="160"/>
      <c r="O312" s="160"/>
    </row>
    <row r="313" spans="1:15" ht="41.25" hidden="1" customHeight="1">
      <c r="A313" s="302"/>
      <c r="B313" s="302"/>
      <c r="C313" s="302"/>
      <c r="D313" s="302"/>
      <c r="E313" s="302"/>
      <c r="F313" s="302"/>
      <c r="G313" s="303"/>
      <c r="H313" s="304"/>
      <c r="I313" s="305"/>
      <c r="J313" s="306"/>
      <c r="K313" s="306"/>
      <c r="L313" s="277"/>
      <c r="M313" s="160"/>
      <c r="N313" s="160"/>
      <c r="O313" s="160"/>
    </row>
    <row r="314" spans="1:15" ht="41.25" hidden="1" customHeight="1">
      <c r="A314" s="302"/>
      <c r="B314" s="302"/>
      <c r="C314" s="302"/>
      <c r="D314" s="302"/>
      <c r="E314" s="302"/>
      <c r="F314" s="302"/>
      <c r="G314" s="303"/>
      <c r="H314" s="304"/>
      <c r="I314" s="305"/>
      <c r="J314" s="306"/>
      <c r="K314" s="306"/>
      <c r="L314" s="277"/>
      <c r="M314" s="160"/>
      <c r="N314" s="160"/>
      <c r="O314" s="160"/>
    </row>
    <row r="315" spans="1:15" ht="41.25" hidden="1" customHeight="1">
      <c r="A315" s="302"/>
      <c r="B315" s="302"/>
      <c r="C315" s="302"/>
      <c r="D315" s="302"/>
      <c r="E315" s="302"/>
      <c r="F315" s="302"/>
      <c r="G315" s="303"/>
      <c r="H315" s="304"/>
      <c r="I315" s="305"/>
      <c r="J315" s="306"/>
      <c r="K315" s="306"/>
      <c r="L315" s="277"/>
      <c r="M315" s="160"/>
      <c r="N315" s="160"/>
      <c r="O315" s="160"/>
    </row>
    <row r="316" spans="1:15" ht="41.25" hidden="1" customHeight="1">
      <c r="A316" s="302"/>
      <c r="B316" s="302"/>
      <c r="C316" s="302"/>
      <c r="D316" s="302"/>
      <c r="E316" s="302"/>
      <c r="F316" s="302"/>
      <c r="G316" s="303"/>
      <c r="H316" s="304"/>
      <c r="I316" s="305"/>
      <c r="J316" s="306"/>
      <c r="K316" s="306"/>
      <c r="L316" s="277"/>
      <c r="M316" s="160"/>
      <c r="N316" s="160"/>
      <c r="O316" s="160"/>
    </row>
    <row r="317" spans="1:15" ht="41.25" hidden="1" customHeight="1">
      <c r="A317" s="302"/>
      <c r="B317" s="302"/>
      <c r="C317" s="302"/>
      <c r="D317" s="302"/>
      <c r="E317" s="302"/>
      <c r="F317" s="302"/>
      <c r="G317" s="303"/>
      <c r="H317" s="304"/>
      <c r="I317" s="305"/>
      <c r="J317" s="306"/>
      <c r="K317" s="306"/>
      <c r="L317" s="277"/>
      <c r="M317" s="160"/>
      <c r="N317" s="160"/>
      <c r="O317" s="160"/>
    </row>
    <row r="318" spans="1:15" ht="41.25" hidden="1" customHeight="1">
      <c r="A318" s="302"/>
      <c r="B318" s="302"/>
      <c r="C318" s="302"/>
      <c r="D318" s="302"/>
      <c r="E318" s="302"/>
      <c r="F318" s="302"/>
      <c r="G318" s="303"/>
      <c r="H318" s="304"/>
      <c r="I318" s="305"/>
      <c r="J318" s="306"/>
      <c r="K318" s="306"/>
      <c r="L318" s="277"/>
      <c r="M318" s="160"/>
      <c r="N318" s="160"/>
      <c r="O318" s="160"/>
    </row>
    <row r="319" spans="1:15" ht="41.25" hidden="1" customHeight="1">
      <c r="A319" s="302"/>
      <c r="B319" s="302"/>
      <c r="C319" s="302"/>
      <c r="D319" s="302"/>
      <c r="E319" s="302"/>
      <c r="F319" s="302"/>
      <c r="G319" s="303"/>
      <c r="H319" s="304"/>
      <c r="I319" s="305"/>
      <c r="J319" s="306"/>
      <c r="K319" s="306"/>
      <c r="L319" s="277"/>
      <c r="M319" s="160"/>
      <c r="N319" s="160"/>
      <c r="O319" s="160"/>
    </row>
    <row r="320" spans="1:15" ht="41.25" hidden="1" customHeight="1">
      <c r="A320" s="302"/>
      <c r="B320" s="302"/>
      <c r="C320" s="302"/>
      <c r="D320" s="302"/>
      <c r="E320" s="302"/>
      <c r="F320" s="302"/>
      <c r="G320" s="303"/>
      <c r="H320" s="304"/>
      <c r="I320" s="305"/>
      <c r="J320" s="306"/>
      <c r="K320" s="306"/>
      <c r="L320" s="277"/>
      <c r="M320" s="160"/>
      <c r="N320" s="160"/>
      <c r="O320" s="160"/>
    </row>
    <row r="321" spans="1:15" ht="41.25" hidden="1" customHeight="1">
      <c r="A321" s="302"/>
      <c r="B321" s="302"/>
      <c r="C321" s="302"/>
      <c r="D321" s="302"/>
      <c r="E321" s="302"/>
      <c r="F321" s="302"/>
      <c r="G321" s="303"/>
      <c r="H321" s="304"/>
      <c r="I321" s="305"/>
      <c r="J321" s="306"/>
      <c r="K321" s="306"/>
      <c r="L321" s="277"/>
      <c r="M321" s="160"/>
      <c r="N321" s="160"/>
      <c r="O321" s="160"/>
    </row>
    <row r="322" spans="1:15" ht="41.25" hidden="1" customHeight="1">
      <c r="A322" s="302"/>
      <c r="B322" s="302"/>
      <c r="C322" s="302"/>
      <c r="D322" s="302"/>
      <c r="E322" s="302"/>
      <c r="F322" s="302"/>
      <c r="G322" s="303"/>
      <c r="H322" s="304"/>
      <c r="I322" s="305"/>
      <c r="J322" s="306"/>
      <c r="K322" s="306"/>
      <c r="L322" s="277"/>
      <c r="M322" s="160"/>
      <c r="N322" s="160"/>
      <c r="O322" s="160"/>
    </row>
    <row r="323" spans="1:15" ht="41.25" hidden="1" customHeight="1">
      <c r="A323" s="302"/>
      <c r="B323" s="302"/>
      <c r="C323" s="302"/>
      <c r="D323" s="302"/>
      <c r="E323" s="302"/>
      <c r="F323" s="302"/>
      <c r="G323" s="303"/>
      <c r="H323" s="304"/>
      <c r="I323" s="305"/>
      <c r="J323" s="306"/>
      <c r="K323" s="306"/>
      <c r="L323" s="277"/>
      <c r="M323" s="160"/>
      <c r="N323" s="160"/>
      <c r="O323" s="160"/>
    </row>
    <row r="324" spans="1:15" ht="41.25" hidden="1" customHeight="1">
      <c r="A324" s="302"/>
      <c r="B324" s="302"/>
      <c r="C324" s="302"/>
      <c r="D324" s="302"/>
      <c r="E324" s="302"/>
      <c r="F324" s="302"/>
      <c r="G324" s="303"/>
      <c r="H324" s="304"/>
      <c r="I324" s="305"/>
      <c r="J324" s="306"/>
      <c r="K324" s="306"/>
      <c r="L324" s="277"/>
      <c r="M324" s="160"/>
      <c r="N324" s="160"/>
      <c r="O324" s="160"/>
    </row>
    <row r="325" spans="1:15" ht="15.75" customHeight="1">
      <c r="G325" s="300"/>
      <c r="H325" s="307"/>
    </row>
    <row r="326" spans="1:15" ht="15.75" customHeight="1">
      <c r="G326" s="300"/>
      <c r="H326" s="307"/>
    </row>
    <row r="327" spans="1:15" ht="15.75" customHeight="1">
      <c r="G327" s="300"/>
      <c r="H327" s="307"/>
    </row>
    <row r="328" spans="1:15" ht="15.75" customHeight="1">
      <c r="G328" s="300"/>
      <c r="H328" s="307"/>
    </row>
    <row r="329" spans="1:15" ht="15.75" customHeight="1">
      <c r="G329" s="300"/>
      <c r="H329" s="307"/>
    </row>
    <row r="330" spans="1:15" ht="15.75" customHeight="1">
      <c r="G330" s="300"/>
      <c r="H330" s="307"/>
    </row>
    <row r="331" spans="1:15" ht="15.75" customHeight="1">
      <c r="G331" s="300"/>
      <c r="H331" s="307"/>
    </row>
    <row r="332" spans="1:15" ht="15.75" customHeight="1">
      <c r="G332" s="300"/>
      <c r="H332" s="307"/>
    </row>
    <row r="333" spans="1:15" ht="15.75" customHeight="1">
      <c r="G333" s="300"/>
      <c r="H333" s="307"/>
    </row>
    <row r="334" spans="1:15" ht="15.75" customHeight="1">
      <c r="G334" s="300"/>
      <c r="H334" s="307"/>
    </row>
    <row r="335" spans="1:15" ht="15.75" customHeight="1">
      <c r="G335" s="300"/>
      <c r="H335" s="307"/>
    </row>
    <row r="336" spans="1:15" ht="15.75" customHeight="1">
      <c r="G336" s="300"/>
      <c r="H336" s="307"/>
    </row>
    <row r="337" spans="7:8" ht="15.75" customHeight="1">
      <c r="G337" s="300"/>
      <c r="H337" s="307"/>
    </row>
    <row r="338" spans="7:8" ht="15.75" customHeight="1">
      <c r="G338" s="300"/>
      <c r="H338" s="307"/>
    </row>
    <row r="339" spans="7:8" ht="15.75" customHeight="1">
      <c r="G339" s="300"/>
      <c r="H339" s="307"/>
    </row>
    <row r="340" spans="7:8" ht="15.75" customHeight="1">
      <c r="G340" s="300"/>
      <c r="H340" s="307"/>
    </row>
    <row r="341" spans="7:8" ht="15.75" customHeight="1">
      <c r="G341" s="300"/>
      <c r="H341" s="307"/>
    </row>
    <row r="342" spans="7:8" ht="15.75" customHeight="1">
      <c r="G342" s="300"/>
      <c r="H342" s="307"/>
    </row>
    <row r="343" spans="7:8" ht="15.75" customHeight="1">
      <c r="G343" s="300"/>
      <c r="H343" s="307"/>
    </row>
    <row r="344" spans="7:8" ht="15.75" customHeight="1">
      <c r="G344" s="300"/>
      <c r="H344" s="307"/>
    </row>
    <row r="345" spans="7:8" ht="15.75" customHeight="1">
      <c r="G345" s="300"/>
      <c r="H345" s="307"/>
    </row>
    <row r="346" spans="7:8" ht="15.75" customHeight="1">
      <c r="G346" s="300"/>
      <c r="H346" s="307"/>
    </row>
    <row r="347" spans="7:8" ht="15.75" customHeight="1">
      <c r="G347" s="300"/>
      <c r="H347" s="307"/>
    </row>
    <row r="348" spans="7:8" ht="15.75" customHeight="1">
      <c r="G348" s="300"/>
      <c r="H348" s="307"/>
    </row>
    <row r="349" spans="7:8" ht="15.75" customHeight="1">
      <c r="G349" s="300"/>
      <c r="H349" s="307"/>
    </row>
    <row r="350" spans="7:8" ht="15.75" customHeight="1">
      <c r="G350" s="300"/>
      <c r="H350" s="307"/>
    </row>
    <row r="351" spans="7:8" ht="15.75" customHeight="1">
      <c r="G351" s="300"/>
      <c r="H351" s="307"/>
    </row>
    <row r="352" spans="7:8" ht="15.75" customHeight="1">
      <c r="G352" s="300"/>
      <c r="H352" s="307"/>
    </row>
    <row r="353" spans="7:8" ht="15.75" customHeight="1">
      <c r="G353" s="300"/>
      <c r="H353" s="307"/>
    </row>
    <row r="354" spans="7:8" ht="15.75" customHeight="1">
      <c r="G354" s="300"/>
      <c r="H354" s="307"/>
    </row>
    <row r="355" spans="7:8" ht="15.75" customHeight="1">
      <c r="G355" s="300"/>
      <c r="H355" s="307"/>
    </row>
    <row r="356" spans="7:8" ht="15.75" customHeight="1">
      <c r="G356" s="300"/>
      <c r="H356" s="307"/>
    </row>
    <row r="357" spans="7:8" ht="15.75" customHeight="1">
      <c r="G357" s="300"/>
      <c r="H357" s="307"/>
    </row>
    <row r="358" spans="7:8" ht="15.75" customHeight="1">
      <c r="G358" s="300"/>
      <c r="H358" s="307"/>
    </row>
    <row r="359" spans="7:8" ht="15.75" customHeight="1">
      <c r="G359" s="300"/>
      <c r="H359" s="307"/>
    </row>
    <row r="360" spans="7:8" ht="15.75" customHeight="1">
      <c r="G360" s="300"/>
      <c r="H360" s="307"/>
    </row>
    <row r="361" spans="7:8" ht="15.75" customHeight="1">
      <c r="G361" s="300"/>
      <c r="H361" s="307"/>
    </row>
    <row r="362" spans="7:8" ht="15.75" customHeight="1">
      <c r="G362" s="300"/>
      <c r="H362" s="307"/>
    </row>
    <row r="363" spans="7:8" ht="15.75" customHeight="1">
      <c r="G363" s="300"/>
      <c r="H363" s="307"/>
    </row>
    <row r="364" spans="7:8" ht="15.75" customHeight="1">
      <c r="G364" s="300"/>
      <c r="H364" s="307"/>
    </row>
    <row r="365" spans="7:8" ht="15.75" customHeight="1">
      <c r="G365" s="300"/>
      <c r="H365" s="307"/>
    </row>
    <row r="366" spans="7:8" ht="15.75" customHeight="1">
      <c r="G366" s="300"/>
      <c r="H366" s="307"/>
    </row>
    <row r="367" spans="7:8" ht="15.75" customHeight="1">
      <c r="G367" s="300"/>
      <c r="H367" s="307"/>
    </row>
    <row r="368" spans="7:8" ht="15.75" customHeight="1">
      <c r="G368" s="300"/>
      <c r="H368" s="307"/>
    </row>
    <row r="369" spans="7:8" ht="15.75" customHeight="1">
      <c r="G369" s="300"/>
      <c r="H369" s="307"/>
    </row>
    <row r="370" spans="7:8" ht="15.75" customHeight="1">
      <c r="G370" s="300"/>
      <c r="H370" s="307"/>
    </row>
    <row r="371" spans="7:8" ht="15.75" customHeight="1">
      <c r="G371" s="300"/>
      <c r="H371" s="307"/>
    </row>
    <row r="372" spans="7:8" ht="15.75" customHeight="1">
      <c r="G372" s="300"/>
      <c r="H372" s="307"/>
    </row>
    <row r="373" spans="7:8" ht="15.75" customHeight="1">
      <c r="G373" s="300"/>
      <c r="H373" s="307"/>
    </row>
    <row r="374" spans="7:8" ht="15.75" customHeight="1">
      <c r="G374" s="300"/>
      <c r="H374" s="307"/>
    </row>
    <row r="375" spans="7:8" ht="15.75" customHeight="1">
      <c r="G375" s="300"/>
      <c r="H375" s="307"/>
    </row>
    <row r="376" spans="7:8" ht="15.75" customHeight="1">
      <c r="G376" s="300"/>
      <c r="H376" s="307"/>
    </row>
    <row r="377" spans="7:8" ht="15.75" customHeight="1">
      <c r="G377" s="300"/>
      <c r="H377" s="307"/>
    </row>
    <row r="378" spans="7:8" ht="15.75" customHeight="1">
      <c r="G378" s="300"/>
      <c r="H378" s="307"/>
    </row>
    <row r="379" spans="7:8" ht="15.75" customHeight="1">
      <c r="G379" s="300"/>
      <c r="H379" s="307"/>
    </row>
    <row r="380" spans="7:8" ht="15.75" customHeight="1">
      <c r="G380" s="300"/>
      <c r="H380" s="307"/>
    </row>
    <row r="381" spans="7:8" ht="15.75" customHeight="1">
      <c r="G381" s="300"/>
      <c r="H381" s="307"/>
    </row>
    <row r="382" spans="7:8" ht="15.75" customHeight="1">
      <c r="G382" s="300"/>
      <c r="H382" s="307"/>
    </row>
    <row r="383" spans="7:8" ht="15.75" customHeight="1">
      <c r="G383" s="300"/>
      <c r="H383" s="307"/>
    </row>
    <row r="384" spans="7:8" ht="15.75" customHeight="1">
      <c r="G384" s="300"/>
      <c r="H384" s="307"/>
    </row>
    <row r="385" spans="7:8" ht="15.75" customHeight="1">
      <c r="G385" s="300"/>
      <c r="H385" s="307"/>
    </row>
    <row r="386" spans="7:8" ht="15.75" customHeight="1">
      <c r="G386" s="300"/>
      <c r="H386" s="307"/>
    </row>
    <row r="387" spans="7:8" ht="15.75" customHeight="1">
      <c r="G387" s="300"/>
      <c r="H387" s="307"/>
    </row>
    <row r="388" spans="7:8" ht="15.75" customHeight="1">
      <c r="G388" s="300"/>
      <c r="H388" s="307"/>
    </row>
    <row r="389" spans="7:8" ht="15.75" customHeight="1">
      <c r="G389" s="300"/>
      <c r="H389" s="307"/>
    </row>
    <row r="390" spans="7:8" ht="15.75" customHeight="1">
      <c r="G390" s="300"/>
      <c r="H390" s="307"/>
    </row>
    <row r="391" spans="7:8" ht="15.75" customHeight="1">
      <c r="G391" s="300"/>
      <c r="H391" s="307"/>
    </row>
    <row r="392" spans="7:8" ht="15.75" customHeight="1">
      <c r="G392" s="300"/>
      <c r="H392" s="307"/>
    </row>
    <row r="393" spans="7:8" ht="15.75" customHeight="1">
      <c r="G393" s="300"/>
      <c r="H393" s="307"/>
    </row>
    <row r="394" spans="7:8" ht="15.75" customHeight="1">
      <c r="G394" s="300"/>
      <c r="H394" s="307"/>
    </row>
    <row r="395" spans="7:8" ht="15.75" customHeight="1">
      <c r="G395" s="300"/>
      <c r="H395" s="307"/>
    </row>
    <row r="396" spans="7:8" ht="15.75" customHeight="1">
      <c r="G396" s="300"/>
      <c r="H396" s="307"/>
    </row>
    <row r="397" spans="7:8" ht="15.75" customHeight="1">
      <c r="G397" s="300"/>
      <c r="H397" s="307"/>
    </row>
    <row r="398" spans="7:8" ht="15.75" customHeight="1">
      <c r="G398" s="300"/>
      <c r="H398" s="307"/>
    </row>
    <row r="399" spans="7:8" ht="15.75" customHeight="1">
      <c r="G399" s="300"/>
      <c r="H399" s="307"/>
    </row>
    <row r="400" spans="7:8" ht="15.75" customHeight="1">
      <c r="G400" s="300"/>
      <c r="H400" s="307"/>
    </row>
    <row r="401" spans="7:8" ht="15.75" customHeight="1">
      <c r="G401" s="300"/>
      <c r="H401" s="307"/>
    </row>
    <row r="402" spans="7:8" ht="15.75" customHeight="1">
      <c r="G402" s="300"/>
      <c r="H402" s="307"/>
    </row>
    <row r="403" spans="7:8" ht="15.75" customHeight="1">
      <c r="G403" s="300"/>
      <c r="H403" s="307"/>
    </row>
    <row r="404" spans="7:8" ht="15.75" customHeight="1">
      <c r="G404" s="300"/>
      <c r="H404" s="307"/>
    </row>
    <row r="405" spans="7:8" ht="15.75" customHeight="1">
      <c r="G405" s="300"/>
      <c r="H405" s="307"/>
    </row>
    <row r="406" spans="7:8" ht="15.75" customHeight="1">
      <c r="G406" s="300"/>
      <c r="H406" s="307"/>
    </row>
    <row r="407" spans="7:8" ht="15.75" customHeight="1">
      <c r="G407" s="300"/>
      <c r="H407" s="307"/>
    </row>
    <row r="408" spans="7:8" ht="15.75" customHeight="1">
      <c r="G408" s="300"/>
      <c r="H408" s="307"/>
    </row>
    <row r="409" spans="7:8" ht="15.75" customHeight="1">
      <c r="G409" s="300"/>
      <c r="H409" s="307"/>
    </row>
    <row r="410" spans="7:8" ht="15.75" customHeight="1">
      <c r="G410" s="300"/>
      <c r="H410" s="307"/>
    </row>
    <row r="411" spans="7:8" ht="15.75" customHeight="1">
      <c r="G411" s="300"/>
      <c r="H411" s="307"/>
    </row>
    <row r="412" spans="7:8" ht="15.75" customHeight="1">
      <c r="G412" s="300"/>
      <c r="H412" s="307"/>
    </row>
    <row r="413" spans="7:8" ht="15.75" customHeight="1">
      <c r="G413" s="300"/>
      <c r="H413" s="307"/>
    </row>
    <row r="414" spans="7:8" ht="15.75" customHeight="1">
      <c r="G414" s="300"/>
      <c r="H414" s="307"/>
    </row>
    <row r="415" spans="7:8" ht="15.75" customHeight="1">
      <c r="G415" s="300"/>
      <c r="H415" s="307"/>
    </row>
    <row r="416" spans="7:8" ht="15.75" customHeight="1">
      <c r="G416" s="300"/>
      <c r="H416" s="307"/>
    </row>
    <row r="417" spans="7:8" ht="15.75" customHeight="1">
      <c r="G417" s="300"/>
      <c r="H417" s="307"/>
    </row>
    <row r="418" spans="7:8" ht="15.75" customHeight="1">
      <c r="G418" s="300"/>
      <c r="H418" s="307"/>
    </row>
    <row r="419" spans="7:8" ht="15.75" customHeight="1">
      <c r="G419" s="300"/>
      <c r="H419" s="307"/>
    </row>
    <row r="420" spans="7:8" ht="15.75" customHeight="1">
      <c r="G420" s="300"/>
      <c r="H420" s="307"/>
    </row>
    <row r="421" spans="7:8" ht="15.75" customHeight="1">
      <c r="G421" s="300"/>
      <c r="H421" s="307"/>
    </row>
    <row r="422" spans="7:8" ht="15.75" customHeight="1">
      <c r="G422" s="300"/>
      <c r="H422" s="307"/>
    </row>
    <row r="423" spans="7:8" ht="15.75" customHeight="1">
      <c r="G423" s="300"/>
      <c r="H423" s="307"/>
    </row>
    <row r="424" spans="7:8" ht="15.75" customHeight="1">
      <c r="G424" s="300"/>
      <c r="H424" s="307"/>
    </row>
    <row r="425" spans="7:8" ht="15.75" customHeight="1">
      <c r="G425" s="300"/>
      <c r="H425" s="307"/>
    </row>
    <row r="426" spans="7:8" ht="15.75" customHeight="1">
      <c r="G426" s="300"/>
      <c r="H426" s="307"/>
    </row>
    <row r="427" spans="7:8" ht="15.75" customHeight="1">
      <c r="G427" s="300"/>
      <c r="H427" s="307"/>
    </row>
    <row r="428" spans="7:8" ht="15.75" customHeight="1">
      <c r="G428" s="300"/>
      <c r="H428" s="307"/>
    </row>
    <row r="429" spans="7:8" ht="15.75" customHeight="1">
      <c r="G429" s="300"/>
      <c r="H429" s="307"/>
    </row>
    <row r="430" spans="7:8" ht="15.75" customHeight="1">
      <c r="G430" s="300"/>
      <c r="H430" s="307"/>
    </row>
    <row r="431" spans="7:8" ht="15.75" customHeight="1">
      <c r="G431" s="300"/>
      <c r="H431" s="307"/>
    </row>
    <row r="432" spans="7:8" ht="15.75" customHeight="1">
      <c r="G432" s="300"/>
      <c r="H432" s="307"/>
    </row>
    <row r="433" spans="7:8" ht="15.75" customHeight="1">
      <c r="G433" s="300"/>
      <c r="H433" s="307"/>
    </row>
    <row r="434" spans="7:8" ht="15.75" customHeight="1">
      <c r="G434" s="300"/>
      <c r="H434" s="307"/>
    </row>
    <row r="435" spans="7:8" ht="15.75" customHeight="1">
      <c r="G435" s="300"/>
      <c r="H435" s="307"/>
    </row>
    <row r="436" spans="7:8" ht="15.75" customHeight="1">
      <c r="G436" s="300"/>
      <c r="H436" s="307"/>
    </row>
    <row r="437" spans="7:8" ht="15.75" customHeight="1">
      <c r="G437" s="300"/>
      <c r="H437" s="307"/>
    </row>
    <row r="438" spans="7:8" ht="15.75" customHeight="1">
      <c r="G438" s="300"/>
      <c r="H438" s="307"/>
    </row>
    <row r="439" spans="7:8" ht="15.75" customHeight="1">
      <c r="G439" s="300"/>
      <c r="H439" s="307"/>
    </row>
    <row r="440" spans="7:8" ht="15.75" customHeight="1">
      <c r="G440" s="300"/>
      <c r="H440" s="307"/>
    </row>
    <row r="441" spans="7:8" ht="15.75" customHeight="1">
      <c r="G441" s="300"/>
      <c r="H441" s="307"/>
    </row>
    <row r="442" spans="7:8" ht="15.75" customHeight="1">
      <c r="G442" s="300"/>
      <c r="H442" s="307"/>
    </row>
    <row r="443" spans="7:8" ht="15.75" customHeight="1">
      <c r="G443" s="300"/>
      <c r="H443" s="307"/>
    </row>
    <row r="444" spans="7:8" ht="15.75" customHeight="1">
      <c r="G444" s="300"/>
      <c r="H444" s="307"/>
    </row>
    <row r="445" spans="7:8" ht="15.75" customHeight="1">
      <c r="G445" s="300"/>
      <c r="H445" s="307"/>
    </row>
    <row r="446" spans="7:8" ht="15.75" customHeight="1">
      <c r="G446" s="300"/>
      <c r="H446" s="307"/>
    </row>
    <row r="447" spans="7:8" ht="15.75" customHeight="1">
      <c r="G447" s="300"/>
      <c r="H447" s="307"/>
    </row>
    <row r="448" spans="7:8" ht="15.75" customHeight="1">
      <c r="G448" s="300"/>
      <c r="H448" s="307"/>
    </row>
    <row r="449" spans="7:8" ht="15.75" customHeight="1">
      <c r="G449" s="300"/>
      <c r="H449" s="307"/>
    </row>
    <row r="450" spans="7:8" ht="15.75" customHeight="1">
      <c r="G450" s="300"/>
      <c r="H450" s="307"/>
    </row>
    <row r="451" spans="7:8" ht="15.75" customHeight="1">
      <c r="G451" s="300"/>
      <c r="H451" s="307"/>
    </row>
    <row r="452" spans="7:8" ht="15.75" customHeight="1">
      <c r="G452" s="300"/>
      <c r="H452" s="307"/>
    </row>
    <row r="453" spans="7:8" ht="15.75" customHeight="1">
      <c r="G453" s="300"/>
      <c r="H453" s="307"/>
    </row>
    <row r="454" spans="7:8" ht="15.75" customHeight="1">
      <c r="G454" s="300"/>
      <c r="H454" s="307"/>
    </row>
    <row r="455" spans="7:8" ht="15.75" customHeight="1">
      <c r="G455" s="300"/>
      <c r="H455" s="307"/>
    </row>
    <row r="456" spans="7:8" ht="15.75" customHeight="1">
      <c r="G456" s="300"/>
      <c r="H456" s="307"/>
    </row>
    <row r="457" spans="7:8" ht="15.75" customHeight="1">
      <c r="G457" s="300"/>
      <c r="H457" s="307"/>
    </row>
    <row r="458" spans="7:8" ht="15.75" customHeight="1">
      <c r="G458" s="300"/>
      <c r="H458" s="307"/>
    </row>
    <row r="459" spans="7:8" ht="15.75" customHeight="1">
      <c r="G459" s="300"/>
      <c r="H459" s="307"/>
    </row>
    <row r="460" spans="7:8" ht="15.75" customHeight="1">
      <c r="G460" s="300"/>
      <c r="H460" s="307"/>
    </row>
    <row r="461" spans="7:8" ht="15.75" customHeight="1">
      <c r="G461" s="300"/>
      <c r="H461" s="307"/>
    </row>
    <row r="462" spans="7:8" ht="15.75" customHeight="1">
      <c r="G462" s="300"/>
      <c r="H462" s="307"/>
    </row>
    <row r="463" spans="7:8" ht="15.75" customHeight="1">
      <c r="G463" s="300"/>
      <c r="H463" s="307"/>
    </row>
    <row r="464" spans="7:8" ht="15.75" customHeight="1">
      <c r="G464" s="300"/>
      <c r="H464" s="307"/>
    </row>
    <row r="465" spans="7:8" ht="15.75" customHeight="1">
      <c r="G465" s="300"/>
      <c r="H465" s="307"/>
    </row>
    <row r="466" spans="7:8" ht="15.75" customHeight="1">
      <c r="G466" s="300"/>
      <c r="H466" s="307"/>
    </row>
    <row r="467" spans="7:8" ht="15.75" customHeight="1">
      <c r="G467" s="300"/>
      <c r="H467" s="307"/>
    </row>
    <row r="468" spans="7:8" ht="15.75" customHeight="1">
      <c r="G468" s="300"/>
      <c r="H468" s="307"/>
    </row>
    <row r="469" spans="7:8" ht="15.75" customHeight="1">
      <c r="G469" s="300"/>
      <c r="H469" s="307"/>
    </row>
    <row r="470" spans="7:8" ht="15.75" customHeight="1">
      <c r="G470" s="300"/>
      <c r="H470" s="307"/>
    </row>
    <row r="471" spans="7:8" ht="15.75" customHeight="1">
      <c r="G471" s="300"/>
      <c r="H471" s="307"/>
    </row>
    <row r="472" spans="7:8" ht="15.75" customHeight="1">
      <c r="G472" s="300"/>
      <c r="H472" s="307"/>
    </row>
    <row r="473" spans="7:8" ht="15.75" customHeight="1">
      <c r="G473" s="300"/>
      <c r="H473" s="307"/>
    </row>
    <row r="474" spans="7:8" ht="15.75" customHeight="1">
      <c r="G474" s="300"/>
      <c r="H474" s="307"/>
    </row>
    <row r="475" spans="7:8" ht="15.75" customHeight="1">
      <c r="G475" s="300"/>
      <c r="H475" s="307"/>
    </row>
    <row r="476" spans="7:8" ht="15.75" customHeight="1">
      <c r="G476" s="300"/>
      <c r="H476" s="307"/>
    </row>
    <row r="477" spans="7:8" ht="15.75" customHeight="1">
      <c r="G477" s="300"/>
      <c r="H477" s="307"/>
    </row>
    <row r="478" spans="7:8" ht="15.75" customHeight="1">
      <c r="G478" s="300"/>
      <c r="H478" s="307"/>
    </row>
    <row r="479" spans="7:8" ht="15.75" customHeight="1">
      <c r="G479" s="300"/>
      <c r="H479" s="307"/>
    </row>
    <row r="480" spans="7:8" ht="15.75" customHeight="1">
      <c r="G480" s="300"/>
      <c r="H480" s="307"/>
    </row>
    <row r="481" spans="7:8" ht="15.75" customHeight="1">
      <c r="G481" s="300"/>
      <c r="H481" s="307"/>
    </row>
    <row r="482" spans="7:8" ht="15.75" customHeight="1">
      <c r="G482" s="300"/>
      <c r="H482" s="307"/>
    </row>
    <row r="483" spans="7:8" ht="15.75" customHeight="1">
      <c r="G483" s="300"/>
      <c r="H483" s="307"/>
    </row>
    <row r="484" spans="7:8" ht="15.75" customHeight="1">
      <c r="G484" s="300"/>
      <c r="H484" s="307"/>
    </row>
    <row r="485" spans="7:8" ht="15.75" customHeight="1">
      <c r="G485" s="300"/>
      <c r="H485" s="307"/>
    </row>
    <row r="486" spans="7:8" ht="15.75" customHeight="1">
      <c r="G486" s="300"/>
      <c r="H486" s="307"/>
    </row>
    <row r="487" spans="7:8" ht="15.75" customHeight="1">
      <c r="G487" s="300"/>
      <c r="H487" s="307"/>
    </row>
    <row r="488" spans="7:8" ht="15.75" customHeight="1">
      <c r="G488" s="300"/>
      <c r="H488" s="307"/>
    </row>
    <row r="489" spans="7:8" ht="15.75" customHeight="1">
      <c r="G489" s="300"/>
      <c r="H489" s="307"/>
    </row>
    <row r="490" spans="7:8" ht="15.75" customHeight="1">
      <c r="G490" s="300"/>
      <c r="H490" s="307"/>
    </row>
    <row r="491" spans="7:8" ht="15.75" customHeight="1">
      <c r="G491" s="300"/>
      <c r="H491" s="307"/>
    </row>
    <row r="492" spans="7:8" ht="15.75" customHeight="1">
      <c r="G492" s="300"/>
      <c r="H492" s="307"/>
    </row>
    <row r="493" spans="7:8" ht="15.75" customHeight="1">
      <c r="G493" s="300"/>
      <c r="H493" s="307"/>
    </row>
    <row r="494" spans="7:8" ht="15.75" customHeight="1">
      <c r="G494" s="300"/>
      <c r="H494" s="307"/>
    </row>
    <row r="495" spans="7:8" ht="15.75" customHeight="1">
      <c r="G495" s="300"/>
      <c r="H495" s="307"/>
    </row>
    <row r="496" spans="7:8" ht="15.75" customHeight="1">
      <c r="G496" s="300"/>
      <c r="H496" s="307"/>
    </row>
    <row r="497" spans="7:8" ht="15.75" customHeight="1">
      <c r="G497" s="300"/>
      <c r="H497" s="307"/>
    </row>
    <row r="498" spans="7:8" ht="15.75" customHeight="1">
      <c r="G498" s="300"/>
      <c r="H498" s="307"/>
    </row>
    <row r="499" spans="7:8" ht="15.75" customHeight="1">
      <c r="G499" s="300"/>
      <c r="H499" s="307"/>
    </row>
    <row r="500" spans="7:8" ht="15.75" customHeight="1">
      <c r="G500" s="300"/>
      <c r="H500" s="307"/>
    </row>
    <row r="501" spans="7:8" ht="15.75" customHeight="1">
      <c r="G501" s="300"/>
      <c r="H501" s="307"/>
    </row>
    <row r="502" spans="7:8" ht="15.75" customHeight="1">
      <c r="G502" s="300"/>
      <c r="H502" s="307"/>
    </row>
    <row r="503" spans="7:8" ht="15.75" customHeight="1">
      <c r="G503" s="300"/>
      <c r="H503" s="307"/>
    </row>
    <row r="504" spans="7:8" ht="15.75" customHeight="1">
      <c r="G504" s="300"/>
      <c r="H504" s="307"/>
    </row>
    <row r="505" spans="7:8" ht="15.75" customHeight="1">
      <c r="G505" s="300"/>
      <c r="H505" s="307"/>
    </row>
    <row r="506" spans="7:8" ht="15.75" customHeight="1">
      <c r="G506" s="300"/>
      <c r="H506" s="307"/>
    </row>
    <row r="507" spans="7:8" ht="15.75" customHeight="1">
      <c r="G507" s="300"/>
      <c r="H507" s="307"/>
    </row>
    <row r="508" spans="7:8" ht="15.75" customHeight="1">
      <c r="G508" s="300"/>
      <c r="H508" s="307"/>
    </row>
    <row r="509" spans="7:8" ht="15.75" customHeight="1">
      <c r="G509" s="300"/>
      <c r="H509" s="307"/>
    </row>
    <row r="510" spans="7:8" ht="15.75" customHeight="1">
      <c r="G510" s="300"/>
      <c r="H510" s="307"/>
    </row>
    <row r="511" spans="7:8" ht="15.75" customHeight="1">
      <c r="G511" s="300"/>
      <c r="H511" s="307"/>
    </row>
    <row r="512" spans="7:8" ht="15.75" customHeight="1">
      <c r="G512" s="300"/>
      <c r="H512" s="307"/>
    </row>
    <row r="513" spans="7:8" ht="15.75" customHeight="1">
      <c r="G513" s="300"/>
      <c r="H513" s="307"/>
    </row>
    <row r="514" spans="7:8" ht="15.75" customHeight="1">
      <c r="G514" s="300"/>
      <c r="H514" s="307"/>
    </row>
    <row r="515" spans="7:8" ht="15.75" customHeight="1">
      <c r="G515" s="300"/>
      <c r="H515" s="307"/>
    </row>
    <row r="516" spans="7:8" ht="15.75" customHeight="1">
      <c r="G516" s="300"/>
      <c r="H516" s="307"/>
    </row>
    <row r="517" spans="7:8" ht="15.75" customHeight="1">
      <c r="G517" s="300"/>
      <c r="H517" s="307"/>
    </row>
    <row r="518" spans="7:8" ht="15.75" customHeight="1">
      <c r="G518" s="300"/>
      <c r="H518" s="307"/>
    </row>
    <row r="519" spans="7:8" ht="15.75" customHeight="1">
      <c r="G519" s="300"/>
      <c r="H519" s="307"/>
    </row>
    <row r="520" spans="7:8" ht="15.75" customHeight="1">
      <c r="G520" s="300"/>
      <c r="H520" s="307"/>
    </row>
    <row r="521" spans="7:8" ht="15.75" customHeight="1">
      <c r="G521" s="300"/>
      <c r="H521" s="307"/>
    </row>
    <row r="522" spans="7:8" ht="15.75" customHeight="1">
      <c r="G522" s="300"/>
      <c r="H522" s="307"/>
    </row>
    <row r="523" spans="7:8" ht="15.75" customHeight="1">
      <c r="G523" s="300"/>
      <c r="H523" s="307"/>
    </row>
    <row r="524" spans="7:8" ht="15.75" customHeight="1">
      <c r="G524" s="300"/>
      <c r="H524" s="307"/>
    </row>
    <row r="525" spans="7:8" ht="15.75" customHeight="1">
      <c r="G525" s="300"/>
      <c r="H525" s="307"/>
    </row>
    <row r="526" spans="7:8" ht="15.75" customHeight="1">
      <c r="G526" s="300"/>
      <c r="H526" s="307"/>
    </row>
    <row r="527" spans="7:8" ht="15.75" customHeight="1">
      <c r="G527" s="300"/>
      <c r="H527" s="307"/>
    </row>
    <row r="528" spans="7:8" ht="15.75" customHeight="1">
      <c r="G528" s="300"/>
      <c r="H528" s="307"/>
    </row>
    <row r="529" spans="7:8" ht="15.75" customHeight="1">
      <c r="G529" s="300"/>
      <c r="H529" s="307"/>
    </row>
    <row r="530" spans="7:8" ht="15.75" customHeight="1">
      <c r="G530" s="300"/>
      <c r="H530" s="307"/>
    </row>
    <row r="531" spans="7:8" ht="15.75" customHeight="1">
      <c r="G531" s="300"/>
      <c r="H531" s="307"/>
    </row>
    <row r="532" spans="7:8" ht="15.75" customHeight="1">
      <c r="G532" s="300"/>
      <c r="H532" s="307"/>
    </row>
    <row r="533" spans="7:8" ht="15.75" customHeight="1">
      <c r="G533" s="300"/>
      <c r="H533" s="307"/>
    </row>
    <row r="534" spans="7:8" ht="15.75" customHeight="1">
      <c r="G534" s="300"/>
      <c r="H534" s="307"/>
    </row>
    <row r="535" spans="7:8" ht="15.75" customHeight="1">
      <c r="G535" s="300"/>
      <c r="H535" s="307"/>
    </row>
    <row r="536" spans="7:8" ht="15.75" customHeight="1">
      <c r="G536" s="300"/>
      <c r="H536" s="307"/>
    </row>
    <row r="537" spans="7:8" ht="15.75" customHeight="1">
      <c r="G537" s="300"/>
      <c r="H537" s="307"/>
    </row>
    <row r="538" spans="7:8" ht="15.75" customHeight="1">
      <c r="G538" s="300"/>
      <c r="H538" s="307"/>
    </row>
    <row r="539" spans="7:8" ht="15.75" customHeight="1">
      <c r="G539" s="300"/>
      <c r="H539" s="307"/>
    </row>
    <row r="540" spans="7:8" ht="15.75" customHeight="1">
      <c r="G540" s="300"/>
      <c r="H540" s="307"/>
    </row>
    <row r="541" spans="7:8" ht="15.75" customHeight="1">
      <c r="G541" s="300"/>
      <c r="H541" s="307"/>
    </row>
    <row r="542" spans="7:8" ht="15.75" customHeight="1">
      <c r="G542" s="300"/>
      <c r="H542" s="307"/>
    </row>
    <row r="543" spans="7:8" ht="15.75" customHeight="1">
      <c r="G543" s="300"/>
      <c r="H543" s="307"/>
    </row>
    <row r="544" spans="7:8" ht="15.75" customHeight="1">
      <c r="G544" s="300"/>
      <c r="H544" s="307"/>
    </row>
    <row r="545" spans="7:8" ht="15.75" customHeight="1">
      <c r="G545" s="300"/>
      <c r="H545" s="307"/>
    </row>
    <row r="546" spans="7:8" ht="15.75" customHeight="1">
      <c r="G546" s="300"/>
      <c r="H546" s="307"/>
    </row>
    <row r="547" spans="7:8" ht="15.75" customHeight="1">
      <c r="G547" s="300"/>
      <c r="H547" s="307"/>
    </row>
    <row r="548" spans="7:8" ht="15.75" customHeight="1">
      <c r="G548" s="300"/>
      <c r="H548" s="307"/>
    </row>
    <row r="549" spans="7:8" ht="15.75" customHeight="1">
      <c r="G549" s="300"/>
      <c r="H549" s="307"/>
    </row>
    <row r="550" spans="7:8" ht="15.75" customHeight="1">
      <c r="G550" s="300"/>
      <c r="H550" s="307"/>
    </row>
    <row r="551" spans="7:8" ht="15.75" customHeight="1">
      <c r="G551" s="300"/>
      <c r="H551" s="307"/>
    </row>
    <row r="552" spans="7:8" ht="15.75" customHeight="1">
      <c r="G552" s="300"/>
      <c r="H552" s="307"/>
    </row>
    <row r="553" spans="7:8" ht="15.75" customHeight="1">
      <c r="G553" s="300"/>
      <c r="H553" s="307"/>
    </row>
    <row r="554" spans="7:8" ht="15.75" customHeight="1">
      <c r="G554" s="300"/>
      <c r="H554" s="307"/>
    </row>
    <row r="555" spans="7:8" ht="15.75" customHeight="1">
      <c r="G555" s="300"/>
      <c r="H555" s="307"/>
    </row>
    <row r="556" spans="7:8" ht="15.75" customHeight="1">
      <c r="G556" s="300"/>
      <c r="H556" s="307"/>
    </row>
    <row r="557" spans="7:8" ht="15.75" customHeight="1">
      <c r="G557" s="300"/>
      <c r="H557" s="307"/>
    </row>
    <row r="558" spans="7:8" ht="15.75" customHeight="1">
      <c r="G558" s="300"/>
      <c r="H558" s="307"/>
    </row>
    <row r="559" spans="7:8" ht="15.75" customHeight="1">
      <c r="G559" s="300"/>
      <c r="H559" s="307"/>
    </row>
    <row r="560" spans="7:8" ht="15.75" customHeight="1">
      <c r="G560" s="300"/>
      <c r="H560" s="307"/>
    </row>
    <row r="561" spans="7:8" ht="15.75" customHeight="1">
      <c r="G561" s="300"/>
      <c r="H561" s="307"/>
    </row>
    <row r="562" spans="7:8" ht="15.75" customHeight="1">
      <c r="G562" s="300"/>
      <c r="H562" s="307"/>
    </row>
    <row r="563" spans="7:8" ht="15.75" customHeight="1">
      <c r="G563" s="300"/>
      <c r="H563" s="307"/>
    </row>
    <row r="564" spans="7:8" ht="15.75" customHeight="1">
      <c r="G564" s="300"/>
      <c r="H564" s="307"/>
    </row>
    <row r="565" spans="7:8" ht="15.75" customHeight="1">
      <c r="G565" s="300"/>
      <c r="H565" s="307"/>
    </row>
    <row r="566" spans="7:8" ht="15.75" customHeight="1">
      <c r="G566" s="300"/>
      <c r="H566" s="307"/>
    </row>
    <row r="567" spans="7:8" ht="15.75" customHeight="1">
      <c r="G567" s="300"/>
      <c r="H567" s="307"/>
    </row>
    <row r="568" spans="7:8" ht="15.75" customHeight="1">
      <c r="G568" s="300"/>
      <c r="H568" s="307"/>
    </row>
    <row r="569" spans="7:8" ht="15.75" customHeight="1">
      <c r="G569" s="300"/>
      <c r="H569" s="307"/>
    </row>
    <row r="570" spans="7:8" ht="15.75" customHeight="1">
      <c r="G570" s="300"/>
      <c r="H570" s="307"/>
    </row>
    <row r="571" spans="7:8" ht="15.75" customHeight="1">
      <c r="G571" s="300"/>
      <c r="H571" s="307"/>
    </row>
    <row r="572" spans="7:8" ht="15.75" customHeight="1">
      <c r="G572" s="300"/>
      <c r="H572" s="307"/>
    </row>
    <row r="573" spans="7:8" ht="15.75" customHeight="1">
      <c r="G573" s="300"/>
      <c r="H573" s="307"/>
    </row>
    <row r="574" spans="7:8" ht="15.75" customHeight="1">
      <c r="G574" s="300"/>
      <c r="H574" s="307"/>
    </row>
    <row r="575" spans="7:8" ht="15.75" customHeight="1">
      <c r="G575" s="300"/>
      <c r="H575" s="307"/>
    </row>
    <row r="576" spans="7:8" ht="15.75" customHeight="1">
      <c r="G576" s="300"/>
      <c r="H576" s="307"/>
    </row>
    <row r="577" spans="7:8" ht="15.75" customHeight="1">
      <c r="G577" s="300"/>
      <c r="H577" s="307"/>
    </row>
    <row r="578" spans="7:8" ht="15.75" customHeight="1">
      <c r="G578" s="300"/>
      <c r="H578" s="307"/>
    </row>
    <row r="579" spans="7:8" ht="15.75" customHeight="1">
      <c r="G579" s="300"/>
      <c r="H579" s="307"/>
    </row>
    <row r="580" spans="7:8" ht="15.75" customHeight="1">
      <c r="G580" s="300"/>
      <c r="H580" s="307"/>
    </row>
    <row r="581" spans="7:8" ht="15.75" customHeight="1">
      <c r="G581" s="300"/>
      <c r="H581" s="307"/>
    </row>
    <row r="582" spans="7:8" ht="15.75" customHeight="1">
      <c r="G582" s="300"/>
      <c r="H582" s="307"/>
    </row>
    <row r="583" spans="7:8" ht="15.75" customHeight="1">
      <c r="G583" s="300"/>
      <c r="H583" s="307"/>
    </row>
    <row r="584" spans="7:8" ht="15.75" customHeight="1">
      <c r="G584" s="300"/>
      <c r="H584" s="307"/>
    </row>
    <row r="585" spans="7:8" ht="15.75" customHeight="1">
      <c r="G585" s="300"/>
      <c r="H585" s="307"/>
    </row>
    <row r="586" spans="7:8" ht="15.75" customHeight="1">
      <c r="G586" s="300"/>
      <c r="H586" s="307"/>
    </row>
    <row r="587" spans="7:8" ht="15.75" customHeight="1">
      <c r="G587" s="300"/>
      <c r="H587" s="307"/>
    </row>
    <row r="588" spans="7:8" ht="15.75" customHeight="1">
      <c r="G588" s="300"/>
      <c r="H588" s="307"/>
    </row>
    <row r="589" spans="7:8" ht="15.75" customHeight="1">
      <c r="G589" s="300"/>
      <c r="H589" s="307"/>
    </row>
    <row r="590" spans="7:8" ht="15.75" customHeight="1">
      <c r="G590" s="300"/>
      <c r="H590" s="307"/>
    </row>
    <row r="591" spans="7:8" ht="15.75" customHeight="1">
      <c r="G591" s="300"/>
      <c r="H591" s="307"/>
    </row>
    <row r="592" spans="7:8" ht="15.75" customHeight="1">
      <c r="G592" s="300"/>
      <c r="H592" s="307"/>
    </row>
    <row r="593" spans="7:8" ht="15.75" customHeight="1">
      <c r="G593" s="300"/>
      <c r="H593" s="307"/>
    </row>
    <row r="594" spans="7:8" ht="15.75" customHeight="1">
      <c r="G594" s="300"/>
      <c r="H594" s="307"/>
    </row>
    <row r="595" spans="7:8" ht="15.75" customHeight="1">
      <c r="G595" s="300"/>
      <c r="H595" s="307"/>
    </row>
    <row r="596" spans="7:8" ht="15.75" customHeight="1">
      <c r="G596" s="300"/>
      <c r="H596" s="307"/>
    </row>
    <row r="597" spans="7:8" ht="15.75" customHeight="1">
      <c r="G597" s="300"/>
      <c r="H597" s="307"/>
    </row>
    <row r="598" spans="7:8" ht="15.75" customHeight="1">
      <c r="G598" s="300"/>
      <c r="H598" s="307"/>
    </row>
    <row r="599" spans="7:8" ht="15.75" customHeight="1">
      <c r="G599" s="300"/>
      <c r="H599" s="307"/>
    </row>
    <row r="600" spans="7:8" ht="15.75" customHeight="1">
      <c r="G600" s="300"/>
      <c r="H600" s="307"/>
    </row>
    <row r="601" spans="7:8" ht="15.75" customHeight="1">
      <c r="G601" s="300"/>
      <c r="H601" s="307"/>
    </row>
    <row r="602" spans="7:8" ht="15.75" customHeight="1">
      <c r="G602" s="300"/>
      <c r="H602" s="307"/>
    </row>
    <row r="603" spans="7:8" ht="15.75" customHeight="1">
      <c r="G603" s="300"/>
      <c r="H603" s="307"/>
    </row>
    <row r="604" spans="7:8" ht="15.75" customHeight="1">
      <c r="G604" s="300"/>
      <c r="H604" s="307"/>
    </row>
    <row r="605" spans="7:8" ht="15.75" customHeight="1">
      <c r="G605" s="300"/>
      <c r="H605" s="307"/>
    </row>
    <row r="606" spans="7:8" ht="15.75" customHeight="1">
      <c r="G606" s="300"/>
      <c r="H606" s="307"/>
    </row>
    <row r="607" spans="7:8" ht="15.75" customHeight="1">
      <c r="G607" s="300"/>
      <c r="H607" s="307"/>
    </row>
    <row r="608" spans="7:8" ht="15.75" customHeight="1">
      <c r="G608" s="300"/>
      <c r="H608" s="307"/>
    </row>
    <row r="609" spans="7:8" ht="15.75" customHeight="1">
      <c r="G609" s="300"/>
      <c r="H609" s="307"/>
    </row>
    <row r="610" spans="7:8" ht="15.75" customHeight="1">
      <c r="G610" s="300"/>
      <c r="H610" s="307"/>
    </row>
    <row r="611" spans="7:8" ht="15.75" customHeight="1">
      <c r="G611" s="300"/>
      <c r="H611" s="307"/>
    </row>
    <row r="612" spans="7:8" ht="15.75" customHeight="1">
      <c r="G612" s="300"/>
      <c r="H612" s="307"/>
    </row>
    <row r="613" spans="7:8" ht="15.75" customHeight="1">
      <c r="G613" s="300"/>
      <c r="H613" s="307"/>
    </row>
    <row r="614" spans="7:8" ht="15.75" customHeight="1">
      <c r="G614" s="300"/>
      <c r="H614" s="307"/>
    </row>
    <row r="615" spans="7:8" ht="15.75" customHeight="1">
      <c r="G615" s="300"/>
      <c r="H615" s="307"/>
    </row>
    <row r="616" spans="7:8" ht="15.75" customHeight="1">
      <c r="G616" s="300"/>
      <c r="H616" s="307"/>
    </row>
    <row r="617" spans="7:8" ht="15.75" customHeight="1">
      <c r="G617" s="300"/>
      <c r="H617" s="307"/>
    </row>
    <row r="618" spans="7:8" ht="15.75" customHeight="1">
      <c r="G618" s="300"/>
      <c r="H618" s="307"/>
    </row>
    <row r="619" spans="7:8" ht="15.75" customHeight="1">
      <c r="G619" s="300"/>
      <c r="H619" s="307"/>
    </row>
    <row r="620" spans="7:8" ht="15.75" customHeight="1">
      <c r="G620" s="300"/>
      <c r="H620" s="307"/>
    </row>
    <row r="621" spans="7:8" ht="15.75" customHeight="1">
      <c r="G621" s="300"/>
      <c r="H621" s="307"/>
    </row>
    <row r="622" spans="7:8" ht="15.75" customHeight="1">
      <c r="G622" s="300"/>
      <c r="H622" s="307"/>
    </row>
    <row r="623" spans="7:8" ht="15.75" customHeight="1">
      <c r="G623" s="300"/>
      <c r="H623" s="307"/>
    </row>
    <row r="624" spans="7:8" ht="15.75" customHeight="1">
      <c r="G624" s="300"/>
      <c r="H624" s="307"/>
    </row>
    <row r="625" spans="7:8" ht="15.75" customHeight="1">
      <c r="G625" s="300"/>
      <c r="H625" s="307"/>
    </row>
    <row r="626" spans="7:8" ht="15.75" customHeight="1">
      <c r="G626" s="300"/>
      <c r="H626" s="307"/>
    </row>
    <row r="627" spans="7:8" ht="15.75" customHeight="1">
      <c r="G627" s="300"/>
      <c r="H627" s="307"/>
    </row>
    <row r="628" spans="7:8" ht="15.75" customHeight="1">
      <c r="G628" s="300"/>
      <c r="H628" s="307"/>
    </row>
    <row r="629" spans="7:8" ht="15.75" customHeight="1">
      <c r="G629" s="300"/>
      <c r="H629" s="307"/>
    </row>
    <row r="630" spans="7:8" ht="15.75" customHeight="1">
      <c r="G630" s="300"/>
      <c r="H630" s="307"/>
    </row>
    <row r="631" spans="7:8" ht="15.75" customHeight="1">
      <c r="G631" s="300"/>
      <c r="H631" s="307"/>
    </row>
    <row r="632" spans="7:8" ht="15.75" customHeight="1">
      <c r="G632" s="300"/>
      <c r="H632" s="307"/>
    </row>
    <row r="633" spans="7:8" ht="15.75" customHeight="1">
      <c r="G633" s="300"/>
      <c r="H633" s="307"/>
    </row>
    <row r="634" spans="7:8" ht="15.75" customHeight="1">
      <c r="G634" s="300"/>
      <c r="H634" s="307"/>
    </row>
    <row r="635" spans="7:8" ht="15.75" customHeight="1">
      <c r="G635" s="300"/>
      <c r="H635" s="307"/>
    </row>
    <row r="636" spans="7:8" ht="15.75" customHeight="1">
      <c r="G636" s="300"/>
      <c r="H636" s="307"/>
    </row>
    <row r="637" spans="7:8" ht="15.75" customHeight="1">
      <c r="G637" s="300"/>
      <c r="H637" s="307"/>
    </row>
    <row r="638" spans="7:8" ht="15.75" customHeight="1">
      <c r="G638" s="300"/>
      <c r="H638" s="307"/>
    </row>
    <row r="639" spans="7:8" ht="15.75" customHeight="1">
      <c r="G639" s="300"/>
      <c r="H639" s="307"/>
    </row>
    <row r="640" spans="7:8" ht="15.75" customHeight="1">
      <c r="G640" s="300"/>
      <c r="H640" s="307"/>
    </row>
    <row r="641" spans="7:8" ht="15.75" customHeight="1">
      <c r="G641" s="300"/>
      <c r="H641" s="307"/>
    </row>
    <row r="642" spans="7:8" ht="15.75" customHeight="1">
      <c r="G642" s="300"/>
      <c r="H642" s="307"/>
    </row>
    <row r="643" spans="7:8" ht="15.75" customHeight="1">
      <c r="G643" s="300"/>
      <c r="H643" s="307"/>
    </row>
    <row r="644" spans="7:8" ht="15.75" customHeight="1">
      <c r="G644" s="300"/>
      <c r="H644" s="307"/>
    </row>
    <row r="645" spans="7:8" ht="15.75" customHeight="1">
      <c r="G645" s="300"/>
      <c r="H645" s="307"/>
    </row>
    <row r="646" spans="7:8" ht="15.75" customHeight="1">
      <c r="G646" s="300"/>
      <c r="H646" s="307"/>
    </row>
    <row r="647" spans="7:8" ht="15.75" customHeight="1">
      <c r="G647" s="300"/>
      <c r="H647" s="307"/>
    </row>
    <row r="648" spans="7:8" ht="15.75" customHeight="1">
      <c r="G648" s="300"/>
      <c r="H648" s="307"/>
    </row>
    <row r="649" spans="7:8" ht="15.75" customHeight="1">
      <c r="G649" s="300"/>
      <c r="H649" s="307"/>
    </row>
    <row r="650" spans="7:8" ht="15.75" customHeight="1">
      <c r="G650" s="300"/>
      <c r="H650" s="307"/>
    </row>
    <row r="651" spans="7:8" ht="15.75" customHeight="1">
      <c r="G651" s="300"/>
      <c r="H651" s="307"/>
    </row>
    <row r="652" spans="7:8" ht="15.75" customHeight="1">
      <c r="G652" s="300"/>
      <c r="H652" s="307"/>
    </row>
    <row r="653" spans="7:8" ht="15.75" customHeight="1">
      <c r="G653" s="300"/>
      <c r="H653" s="307"/>
    </row>
    <row r="654" spans="7:8" ht="15.75" customHeight="1">
      <c r="G654" s="300"/>
      <c r="H654" s="307"/>
    </row>
    <row r="655" spans="7:8" ht="15.75" customHeight="1">
      <c r="G655" s="300"/>
      <c r="H655" s="307"/>
    </row>
    <row r="656" spans="7:8" ht="15.75" customHeight="1">
      <c r="G656" s="300"/>
      <c r="H656" s="307"/>
    </row>
    <row r="657" spans="7:8" ht="15.75" customHeight="1">
      <c r="G657" s="300"/>
      <c r="H657" s="307"/>
    </row>
    <row r="658" spans="7:8" ht="15.75" customHeight="1">
      <c r="G658" s="300"/>
      <c r="H658" s="307"/>
    </row>
    <row r="659" spans="7:8" ht="15.75" customHeight="1">
      <c r="G659" s="300"/>
      <c r="H659" s="307"/>
    </row>
    <row r="660" spans="7:8" ht="15.75" customHeight="1">
      <c r="G660" s="300"/>
      <c r="H660" s="307"/>
    </row>
    <row r="661" spans="7:8" ht="15.75" customHeight="1">
      <c r="G661" s="300"/>
      <c r="H661" s="307"/>
    </row>
    <row r="662" spans="7:8" ht="15.75" customHeight="1">
      <c r="G662" s="300"/>
      <c r="H662" s="307"/>
    </row>
    <row r="663" spans="7:8" ht="15.75" customHeight="1">
      <c r="G663" s="300"/>
      <c r="H663" s="307"/>
    </row>
    <row r="664" spans="7:8" ht="15.75" customHeight="1">
      <c r="G664" s="300"/>
      <c r="H664" s="307"/>
    </row>
    <row r="665" spans="7:8" ht="15.75" customHeight="1">
      <c r="G665" s="300"/>
      <c r="H665" s="307"/>
    </row>
    <row r="666" spans="7:8" ht="15.75" customHeight="1">
      <c r="G666" s="300"/>
      <c r="H666" s="307"/>
    </row>
    <row r="667" spans="7:8" ht="15.75" customHeight="1">
      <c r="G667" s="300"/>
      <c r="H667" s="307"/>
    </row>
    <row r="668" spans="7:8" ht="15.75" customHeight="1">
      <c r="G668" s="300"/>
      <c r="H668" s="307"/>
    </row>
    <row r="669" spans="7:8" ht="15.75" customHeight="1">
      <c r="G669" s="300"/>
      <c r="H669" s="307"/>
    </row>
    <row r="670" spans="7:8" ht="15.75" customHeight="1">
      <c r="G670" s="300"/>
      <c r="H670" s="307"/>
    </row>
    <row r="671" spans="7:8" ht="15.75" customHeight="1">
      <c r="G671" s="300"/>
      <c r="H671" s="307"/>
    </row>
    <row r="672" spans="7:8" ht="15.75" customHeight="1">
      <c r="G672" s="300"/>
      <c r="H672" s="307"/>
    </row>
    <row r="673" spans="7:8" ht="15.75" customHeight="1">
      <c r="G673" s="300"/>
      <c r="H673" s="307"/>
    </row>
    <row r="674" spans="7:8" ht="15.75" customHeight="1">
      <c r="G674" s="300"/>
      <c r="H674" s="307"/>
    </row>
    <row r="675" spans="7:8" ht="15.75" customHeight="1">
      <c r="G675" s="300"/>
      <c r="H675" s="307"/>
    </row>
    <row r="676" spans="7:8" ht="15.75" customHeight="1">
      <c r="G676" s="300"/>
      <c r="H676" s="307"/>
    </row>
    <row r="677" spans="7:8" ht="15.75" customHeight="1">
      <c r="G677" s="300"/>
      <c r="H677" s="307"/>
    </row>
    <row r="678" spans="7:8" ht="15.75" customHeight="1">
      <c r="G678" s="300"/>
      <c r="H678" s="307"/>
    </row>
    <row r="679" spans="7:8" ht="15.75" customHeight="1">
      <c r="G679" s="300"/>
      <c r="H679" s="307"/>
    </row>
    <row r="680" spans="7:8" ht="15.75" customHeight="1">
      <c r="G680" s="300"/>
      <c r="H680" s="307"/>
    </row>
    <row r="681" spans="7:8" ht="15.75" customHeight="1">
      <c r="G681" s="300"/>
      <c r="H681" s="307"/>
    </row>
    <row r="682" spans="7:8" ht="15.75" customHeight="1">
      <c r="G682" s="300"/>
      <c r="H682" s="307"/>
    </row>
    <row r="683" spans="7:8" ht="15.75" customHeight="1">
      <c r="G683" s="300"/>
      <c r="H683" s="307"/>
    </row>
    <row r="684" spans="7:8" ht="15.75" customHeight="1">
      <c r="G684" s="300"/>
      <c r="H684" s="307"/>
    </row>
    <row r="685" spans="7:8" ht="15.75" customHeight="1">
      <c r="G685" s="300"/>
      <c r="H685" s="307"/>
    </row>
    <row r="686" spans="7:8" ht="15.75" customHeight="1">
      <c r="G686" s="300"/>
      <c r="H686" s="307"/>
    </row>
    <row r="687" spans="7:8" ht="15.75" customHeight="1">
      <c r="G687" s="300"/>
      <c r="H687" s="307"/>
    </row>
    <row r="688" spans="7:8" ht="15.75" customHeight="1">
      <c r="G688" s="300"/>
      <c r="H688" s="307"/>
    </row>
    <row r="689" spans="7:8" ht="15.75" customHeight="1">
      <c r="G689" s="300"/>
      <c r="H689" s="307"/>
    </row>
    <row r="690" spans="7:8" ht="15.75" customHeight="1">
      <c r="G690" s="300"/>
      <c r="H690" s="307"/>
    </row>
    <row r="691" spans="7:8" ht="15.75" customHeight="1">
      <c r="G691" s="300"/>
      <c r="H691" s="307"/>
    </row>
    <row r="692" spans="7:8" ht="15.75" customHeight="1">
      <c r="G692" s="300"/>
      <c r="H692" s="307"/>
    </row>
    <row r="693" spans="7:8" ht="15.75" customHeight="1">
      <c r="G693" s="300"/>
      <c r="H693" s="307"/>
    </row>
    <row r="694" spans="7:8" ht="15.75" customHeight="1">
      <c r="G694" s="300"/>
      <c r="H694" s="307"/>
    </row>
    <row r="695" spans="7:8" ht="15.75" customHeight="1">
      <c r="G695" s="300"/>
      <c r="H695" s="307"/>
    </row>
    <row r="696" spans="7:8" ht="15.75" customHeight="1">
      <c r="G696" s="300"/>
      <c r="H696" s="307"/>
    </row>
    <row r="697" spans="7:8" ht="15.75" customHeight="1">
      <c r="G697" s="300"/>
      <c r="H697" s="307"/>
    </row>
    <row r="698" spans="7:8" ht="15.75" customHeight="1">
      <c r="G698" s="300"/>
      <c r="H698" s="307"/>
    </row>
    <row r="699" spans="7:8" ht="15.75" customHeight="1">
      <c r="G699" s="300"/>
      <c r="H699" s="307"/>
    </row>
    <row r="700" spans="7:8" ht="15.75" customHeight="1">
      <c r="G700" s="300"/>
      <c r="H700" s="307"/>
    </row>
    <row r="701" spans="7:8" ht="15.75" customHeight="1">
      <c r="G701" s="300"/>
      <c r="H701" s="307"/>
    </row>
    <row r="702" spans="7:8" ht="15.75" customHeight="1">
      <c r="G702" s="300"/>
      <c r="H702" s="307"/>
    </row>
    <row r="703" spans="7:8" ht="15.75" customHeight="1">
      <c r="G703" s="300"/>
      <c r="H703" s="307"/>
    </row>
    <row r="704" spans="7:8" ht="15.75" customHeight="1">
      <c r="G704" s="300"/>
      <c r="H704" s="307"/>
    </row>
    <row r="705" spans="7:8" ht="15.75" customHeight="1">
      <c r="G705" s="300"/>
      <c r="H705" s="307"/>
    </row>
    <row r="706" spans="7:8" ht="15.75" customHeight="1">
      <c r="G706" s="300"/>
      <c r="H706" s="307"/>
    </row>
    <row r="707" spans="7:8" ht="15.75" customHeight="1">
      <c r="G707" s="300"/>
      <c r="H707" s="307"/>
    </row>
    <row r="708" spans="7:8" ht="15.75" customHeight="1">
      <c r="G708" s="300"/>
      <c r="H708" s="307"/>
    </row>
    <row r="709" spans="7:8" ht="15.75" customHeight="1">
      <c r="G709" s="300"/>
      <c r="H709" s="307"/>
    </row>
    <row r="710" spans="7:8" ht="15.75" customHeight="1">
      <c r="G710" s="300"/>
      <c r="H710" s="307"/>
    </row>
    <row r="711" spans="7:8" ht="15.75" customHeight="1">
      <c r="G711" s="300"/>
      <c r="H711" s="307"/>
    </row>
    <row r="712" spans="7:8" ht="15.75" customHeight="1">
      <c r="G712" s="300"/>
      <c r="H712" s="307"/>
    </row>
    <row r="713" spans="7:8" ht="15.75" customHeight="1">
      <c r="G713" s="300"/>
      <c r="H713" s="307"/>
    </row>
    <row r="714" spans="7:8" ht="15.75" customHeight="1">
      <c r="G714" s="300"/>
      <c r="H714" s="307"/>
    </row>
    <row r="715" spans="7:8" ht="15.75" customHeight="1">
      <c r="G715" s="300"/>
      <c r="H715" s="307"/>
    </row>
    <row r="716" spans="7:8" ht="15.75" customHeight="1">
      <c r="G716" s="300"/>
      <c r="H716" s="307"/>
    </row>
    <row r="717" spans="7:8" ht="15.75" customHeight="1">
      <c r="G717" s="300"/>
      <c r="H717" s="307"/>
    </row>
    <row r="718" spans="7:8" ht="15.75" customHeight="1">
      <c r="G718" s="300"/>
      <c r="H718" s="307"/>
    </row>
    <row r="719" spans="7:8" ht="15.75" customHeight="1">
      <c r="G719" s="300"/>
      <c r="H719" s="307"/>
    </row>
    <row r="720" spans="7:8" ht="15.75" customHeight="1">
      <c r="G720" s="300"/>
      <c r="H720" s="307"/>
    </row>
    <row r="721" spans="7:8" ht="15.75" customHeight="1">
      <c r="G721" s="300"/>
      <c r="H721" s="307"/>
    </row>
    <row r="722" spans="7:8" ht="15.75" customHeight="1">
      <c r="G722" s="300"/>
      <c r="H722" s="307"/>
    </row>
    <row r="723" spans="7:8" ht="15.75" customHeight="1">
      <c r="G723" s="300"/>
      <c r="H723" s="307"/>
    </row>
    <row r="724" spans="7:8" ht="15.75" customHeight="1">
      <c r="G724" s="300"/>
      <c r="H724" s="307"/>
    </row>
    <row r="725" spans="7:8" ht="15.75" customHeight="1">
      <c r="G725" s="300"/>
      <c r="H725" s="307"/>
    </row>
    <row r="726" spans="7:8" ht="15.75" customHeight="1">
      <c r="G726" s="300"/>
      <c r="H726" s="307"/>
    </row>
    <row r="727" spans="7:8" ht="15.75" customHeight="1">
      <c r="G727" s="300"/>
      <c r="H727" s="307"/>
    </row>
    <row r="728" spans="7:8" ht="15.75" customHeight="1">
      <c r="G728" s="300"/>
      <c r="H728" s="307"/>
    </row>
    <row r="729" spans="7:8" ht="15.75" customHeight="1">
      <c r="G729" s="300"/>
      <c r="H729" s="307"/>
    </row>
    <row r="730" spans="7:8" ht="15.75" customHeight="1">
      <c r="G730" s="300"/>
      <c r="H730" s="307"/>
    </row>
    <row r="731" spans="7:8" ht="15.75" customHeight="1">
      <c r="G731" s="300"/>
      <c r="H731" s="307"/>
    </row>
    <row r="732" spans="7:8" ht="15.75" customHeight="1">
      <c r="G732" s="300"/>
      <c r="H732" s="307"/>
    </row>
    <row r="733" spans="7:8" ht="15.75" customHeight="1">
      <c r="G733" s="300"/>
      <c r="H733" s="307"/>
    </row>
    <row r="734" spans="7:8" ht="15.75" customHeight="1">
      <c r="G734" s="300"/>
      <c r="H734" s="307"/>
    </row>
    <row r="735" spans="7:8" ht="15.75" customHeight="1">
      <c r="G735" s="300"/>
      <c r="H735" s="307"/>
    </row>
    <row r="736" spans="7:8" ht="15.75" customHeight="1">
      <c r="G736" s="300"/>
      <c r="H736" s="307"/>
    </row>
    <row r="737" spans="7:8" ht="15.75" customHeight="1">
      <c r="G737" s="300"/>
      <c r="H737" s="307"/>
    </row>
    <row r="738" spans="7:8" ht="15.75" customHeight="1">
      <c r="G738" s="300"/>
      <c r="H738" s="307"/>
    </row>
    <row r="739" spans="7:8" ht="15.75" customHeight="1">
      <c r="G739" s="300"/>
      <c r="H739" s="307"/>
    </row>
    <row r="740" spans="7:8" ht="15.75" customHeight="1">
      <c r="G740" s="300"/>
      <c r="H740" s="307"/>
    </row>
    <row r="741" spans="7:8" ht="15.75" customHeight="1">
      <c r="G741" s="300"/>
      <c r="H741" s="307"/>
    </row>
    <row r="742" spans="7:8" ht="15.75" customHeight="1">
      <c r="G742" s="300"/>
      <c r="H742" s="307"/>
    </row>
    <row r="743" spans="7:8" ht="15.75" customHeight="1">
      <c r="G743" s="300"/>
      <c r="H743" s="307"/>
    </row>
    <row r="744" spans="7:8" ht="15.75" customHeight="1">
      <c r="G744" s="300"/>
      <c r="H744" s="307"/>
    </row>
    <row r="745" spans="7:8" ht="15.75" customHeight="1">
      <c r="G745" s="300"/>
      <c r="H745" s="307"/>
    </row>
    <row r="746" spans="7:8" ht="15.75" customHeight="1">
      <c r="G746" s="300"/>
      <c r="H746" s="307"/>
    </row>
    <row r="747" spans="7:8" ht="15.75" customHeight="1">
      <c r="G747" s="300"/>
      <c r="H747" s="307"/>
    </row>
    <row r="748" spans="7:8" ht="15.75" customHeight="1">
      <c r="G748" s="300"/>
      <c r="H748" s="307"/>
    </row>
    <row r="749" spans="7:8" ht="15.75" customHeight="1">
      <c r="G749" s="300"/>
      <c r="H749" s="307"/>
    </row>
    <row r="750" spans="7:8" ht="15.75" customHeight="1">
      <c r="G750" s="300"/>
      <c r="H750" s="307"/>
    </row>
    <row r="751" spans="7:8" ht="15.75" customHeight="1">
      <c r="G751" s="300"/>
      <c r="H751" s="307"/>
    </row>
    <row r="752" spans="7:8" ht="15.75" customHeight="1">
      <c r="G752" s="300"/>
      <c r="H752" s="307"/>
    </row>
    <row r="753" spans="7:8" ht="15.75" customHeight="1">
      <c r="G753" s="300"/>
      <c r="H753" s="307"/>
    </row>
    <row r="754" spans="7:8" ht="15.75" customHeight="1">
      <c r="G754" s="300"/>
      <c r="H754" s="307"/>
    </row>
    <row r="755" spans="7:8" ht="15.75" customHeight="1">
      <c r="G755" s="300"/>
      <c r="H755" s="307"/>
    </row>
    <row r="756" spans="7:8" ht="15.75" customHeight="1">
      <c r="G756" s="300"/>
      <c r="H756" s="307"/>
    </row>
    <row r="757" spans="7:8" ht="15.75" customHeight="1">
      <c r="G757" s="300"/>
      <c r="H757" s="307"/>
    </row>
    <row r="758" spans="7:8" ht="15.75" customHeight="1">
      <c r="G758" s="300"/>
      <c r="H758" s="307"/>
    </row>
    <row r="759" spans="7:8" ht="15.75" customHeight="1">
      <c r="G759" s="300"/>
      <c r="H759" s="307"/>
    </row>
    <row r="760" spans="7:8" ht="15.75" customHeight="1">
      <c r="G760" s="300"/>
      <c r="H760" s="307"/>
    </row>
    <row r="761" spans="7:8" ht="15.75" customHeight="1">
      <c r="G761" s="300"/>
      <c r="H761" s="307"/>
    </row>
    <row r="762" spans="7:8" ht="15.75" customHeight="1">
      <c r="G762" s="300"/>
      <c r="H762" s="307"/>
    </row>
    <row r="763" spans="7:8" ht="15.75" customHeight="1">
      <c r="G763" s="300"/>
      <c r="H763" s="307"/>
    </row>
    <row r="764" spans="7:8" ht="15.75" customHeight="1">
      <c r="G764" s="300"/>
      <c r="H764" s="307"/>
    </row>
    <row r="765" spans="7:8" ht="15.75" customHeight="1">
      <c r="G765" s="300"/>
      <c r="H765" s="307"/>
    </row>
    <row r="766" spans="7:8" ht="15.75" customHeight="1">
      <c r="G766" s="300"/>
      <c r="H766" s="307"/>
    </row>
    <row r="767" spans="7:8" ht="15.75" customHeight="1">
      <c r="G767" s="300"/>
      <c r="H767" s="307"/>
    </row>
    <row r="768" spans="7:8" ht="15.75" customHeight="1">
      <c r="G768" s="300"/>
      <c r="H768" s="307"/>
    </row>
    <row r="769" spans="7:8" ht="15.75" customHeight="1">
      <c r="G769" s="300"/>
      <c r="H769" s="307"/>
    </row>
    <row r="770" spans="7:8" ht="15.75" customHeight="1">
      <c r="G770" s="300"/>
      <c r="H770" s="307"/>
    </row>
    <row r="771" spans="7:8" ht="15.75" customHeight="1">
      <c r="G771" s="300"/>
      <c r="H771" s="307"/>
    </row>
    <row r="772" spans="7:8" ht="15.75" customHeight="1">
      <c r="G772" s="300"/>
      <c r="H772" s="307"/>
    </row>
    <row r="773" spans="7:8" ht="15.75" customHeight="1">
      <c r="G773" s="300"/>
      <c r="H773" s="307"/>
    </row>
    <row r="774" spans="7:8" ht="15.75" customHeight="1">
      <c r="G774" s="300"/>
      <c r="H774" s="307"/>
    </row>
    <row r="775" spans="7:8" ht="15.75" customHeight="1">
      <c r="G775" s="300"/>
      <c r="H775" s="307"/>
    </row>
    <row r="776" spans="7:8" ht="15.75" customHeight="1">
      <c r="G776" s="300"/>
      <c r="H776" s="307"/>
    </row>
    <row r="777" spans="7:8" ht="15.75" customHeight="1">
      <c r="G777" s="300"/>
      <c r="H777" s="307"/>
    </row>
    <row r="778" spans="7:8" ht="15.75" customHeight="1">
      <c r="G778" s="300"/>
      <c r="H778" s="307"/>
    </row>
    <row r="779" spans="7:8" ht="15.75" customHeight="1">
      <c r="G779" s="300"/>
      <c r="H779" s="307"/>
    </row>
    <row r="780" spans="7:8" ht="15.75" customHeight="1">
      <c r="G780" s="300"/>
      <c r="H780" s="307"/>
    </row>
    <row r="781" spans="7:8" ht="15.75" customHeight="1">
      <c r="G781" s="300"/>
      <c r="H781" s="307"/>
    </row>
    <row r="782" spans="7:8" ht="15.75" customHeight="1">
      <c r="G782" s="300"/>
      <c r="H782" s="307"/>
    </row>
    <row r="783" spans="7:8" ht="15.75" customHeight="1">
      <c r="G783" s="300"/>
      <c r="H783" s="307"/>
    </row>
    <row r="784" spans="7:8" ht="15.75" customHeight="1">
      <c r="G784" s="300"/>
      <c r="H784" s="307"/>
    </row>
    <row r="785" spans="7:8" ht="15.75" customHeight="1">
      <c r="G785" s="300"/>
      <c r="H785" s="307"/>
    </row>
    <row r="786" spans="7:8" ht="15.75" customHeight="1">
      <c r="G786" s="300"/>
      <c r="H786" s="307"/>
    </row>
    <row r="787" spans="7:8" ht="15.75" customHeight="1">
      <c r="G787" s="300"/>
      <c r="H787" s="307"/>
    </row>
    <row r="788" spans="7:8" ht="15.75" customHeight="1">
      <c r="G788" s="300"/>
      <c r="H788" s="307"/>
    </row>
    <row r="789" spans="7:8" ht="15.75" customHeight="1">
      <c r="G789" s="300"/>
      <c r="H789" s="307"/>
    </row>
    <row r="790" spans="7:8" ht="15.75" customHeight="1">
      <c r="G790" s="300"/>
      <c r="H790" s="307"/>
    </row>
    <row r="791" spans="7:8" ht="15.75" customHeight="1">
      <c r="G791" s="300"/>
      <c r="H791" s="307"/>
    </row>
    <row r="792" spans="7:8" ht="15.75" customHeight="1">
      <c r="G792" s="300"/>
      <c r="H792" s="307"/>
    </row>
    <row r="793" spans="7:8" ht="15.75" customHeight="1">
      <c r="G793" s="300"/>
      <c r="H793" s="307"/>
    </row>
    <row r="794" spans="7:8" ht="15.75" customHeight="1">
      <c r="G794" s="300"/>
      <c r="H794" s="307"/>
    </row>
    <row r="795" spans="7:8" ht="15.75" customHeight="1">
      <c r="G795" s="300"/>
      <c r="H795" s="307"/>
    </row>
    <row r="796" spans="7:8" ht="15.75" customHeight="1">
      <c r="G796" s="300"/>
      <c r="H796" s="307"/>
    </row>
    <row r="797" spans="7:8" ht="15.75" customHeight="1">
      <c r="G797" s="300"/>
      <c r="H797" s="307"/>
    </row>
    <row r="798" spans="7:8" ht="15.75" customHeight="1">
      <c r="G798" s="300"/>
      <c r="H798" s="307"/>
    </row>
    <row r="799" spans="7:8" ht="15.75" customHeight="1">
      <c r="G799" s="300"/>
      <c r="H799" s="307"/>
    </row>
    <row r="800" spans="7:8" ht="15.75" customHeight="1">
      <c r="G800" s="300"/>
      <c r="H800" s="307"/>
    </row>
    <row r="801" spans="7:8" ht="15.75" customHeight="1">
      <c r="G801" s="300"/>
      <c r="H801" s="307"/>
    </row>
    <row r="802" spans="7:8" ht="15.75" customHeight="1">
      <c r="G802" s="300"/>
      <c r="H802" s="307"/>
    </row>
    <row r="803" spans="7:8" ht="15.75" customHeight="1">
      <c r="G803" s="300"/>
      <c r="H803" s="307"/>
    </row>
    <row r="804" spans="7:8" ht="15.75" customHeight="1">
      <c r="G804" s="300"/>
      <c r="H804" s="307"/>
    </row>
    <row r="805" spans="7:8" ht="15.75" customHeight="1">
      <c r="G805" s="300"/>
      <c r="H805" s="307"/>
    </row>
    <row r="806" spans="7:8" ht="15.75" customHeight="1">
      <c r="G806" s="300"/>
      <c r="H806" s="307"/>
    </row>
    <row r="807" spans="7:8" ht="15.75" customHeight="1">
      <c r="G807" s="300"/>
      <c r="H807" s="307"/>
    </row>
    <row r="808" spans="7:8" ht="15.75" customHeight="1">
      <c r="G808" s="300"/>
      <c r="H808" s="307"/>
    </row>
    <row r="809" spans="7:8" ht="15.75" customHeight="1">
      <c r="G809" s="300"/>
      <c r="H809" s="307"/>
    </row>
    <row r="810" spans="7:8" ht="15.75" customHeight="1">
      <c r="G810" s="300"/>
      <c r="H810" s="307"/>
    </row>
    <row r="811" spans="7:8" ht="15.75" customHeight="1">
      <c r="G811" s="300"/>
      <c r="H811" s="307"/>
    </row>
    <row r="812" spans="7:8" ht="15.75" customHeight="1">
      <c r="G812" s="300"/>
      <c r="H812" s="307"/>
    </row>
    <row r="813" spans="7:8" ht="15.75" customHeight="1">
      <c r="G813" s="300"/>
      <c r="H813" s="307"/>
    </row>
    <row r="814" spans="7:8" ht="15.75" customHeight="1">
      <c r="G814" s="300"/>
      <c r="H814" s="307"/>
    </row>
    <row r="815" spans="7:8" ht="15.75" customHeight="1">
      <c r="G815" s="300"/>
      <c r="H815" s="307"/>
    </row>
    <row r="816" spans="7:8" ht="15.75" customHeight="1">
      <c r="G816" s="300"/>
      <c r="H816" s="307"/>
    </row>
    <row r="817" spans="7:8" ht="15.75" customHeight="1">
      <c r="G817" s="300"/>
      <c r="H817" s="307"/>
    </row>
    <row r="818" spans="7:8" ht="15.75" customHeight="1">
      <c r="G818" s="300"/>
      <c r="H818" s="307"/>
    </row>
    <row r="819" spans="7:8" ht="15.75" customHeight="1">
      <c r="G819" s="300"/>
      <c r="H819" s="307"/>
    </row>
    <row r="820" spans="7:8" ht="15.75" customHeight="1">
      <c r="G820" s="300"/>
      <c r="H820" s="307"/>
    </row>
    <row r="821" spans="7:8" ht="15.75" customHeight="1">
      <c r="G821" s="300"/>
      <c r="H821" s="307"/>
    </row>
    <row r="822" spans="7:8" ht="15.75" customHeight="1">
      <c r="G822" s="300"/>
      <c r="H822" s="307"/>
    </row>
    <row r="823" spans="7:8" ht="15.75" customHeight="1">
      <c r="G823" s="300"/>
      <c r="H823" s="307"/>
    </row>
    <row r="824" spans="7:8" ht="15.75" customHeight="1">
      <c r="G824" s="300"/>
      <c r="H824" s="307"/>
    </row>
    <row r="825" spans="7:8" ht="15.75" customHeight="1">
      <c r="G825" s="300"/>
      <c r="H825" s="307"/>
    </row>
    <row r="826" spans="7:8" ht="15.75" customHeight="1">
      <c r="G826" s="300"/>
      <c r="H826" s="307"/>
    </row>
    <row r="827" spans="7:8" ht="15.75" customHeight="1">
      <c r="G827" s="300"/>
      <c r="H827" s="307"/>
    </row>
    <row r="828" spans="7:8" ht="15.75" customHeight="1">
      <c r="G828" s="300"/>
      <c r="H828" s="307"/>
    </row>
    <row r="829" spans="7:8" ht="15.75" customHeight="1">
      <c r="G829" s="300"/>
      <c r="H829" s="307"/>
    </row>
    <row r="830" spans="7:8" ht="15.75" customHeight="1">
      <c r="G830" s="300"/>
      <c r="H830" s="307"/>
    </row>
    <row r="831" spans="7:8" ht="15.75" customHeight="1">
      <c r="G831" s="300"/>
      <c r="H831" s="307"/>
    </row>
    <row r="832" spans="7:8" ht="15.75" customHeight="1">
      <c r="G832" s="300"/>
      <c r="H832" s="307"/>
    </row>
    <row r="833" spans="7:8" ht="15.75" customHeight="1">
      <c r="G833" s="300"/>
      <c r="H833" s="307"/>
    </row>
    <row r="834" spans="7:8" ht="15.75" customHeight="1">
      <c r="G834" s="300"/>
      <c r="H834" s="307"/>
    </row>
    <row r="835" spans="7:8" ht="15.75" customHeight="1">
      <c r="G835" s="300"/>
      <c r="H835" s="307"/>
    </row>
    <row r="836" spans="7:8" ht="15.75" customHeight="1">
      <c r="G836" s="300"/>
      <c r="H836" s="307"/>
    </row>
    <row r="837" spans="7:8" ht="15.75" customHeight="1">
      <c r="G837" s="300"/>
      <c r="H837" s="307"/>
    </row>
    <row r="838" spans="7:8" ht="15.75" customHeight="1">
      <c r="G838" s="300"/>
      <c r="H838" s="307"/>
    </row>
    <row r="839" spans="7:8" ht="15.75" customHeight="1">
      <c r="G839" s="300"/>
      <c r="H839" s="307"/>
    </row>
    <row r="840" spans="7:8" ht="15.75" customHeight="1">
      <c r="G840" s="300"/>
      <c r="H840" s="307"/>
    </row>
    <row r="841" spans="7:8" ht="15.75" customHeight="1">
      <c r="G841" s="300"/>
      <c r="H841" s="307"/>
    </row>
    <row r="842" spans="7:8" ht="15.75" customHeight="1">
      <c r="G842" s="300"/>
      <c r="H842" s="307"/>
    </row>
    <row r="843" spans="7:8" ht="15.75" customHeight="1">
      <c r="G843" s="300"/>
      <c r="H843" s="307"/>
    </row>
    <row r="844" spans="7:8" ht="15.75" customHeight="1">
      <c r="G844" s="300"/>
      <c r="H844" s="307"/>
    </row>
    <row r="845" spans="7:8" ht="15.75" customHeight="1">
      <c r="G845" s="300"/>
      <c r="H845" s="307"/>
    </row>
    <row r="846" spans="7:8" ht="15.75" customHeight="1">
      <c r="G846" s="300"/>
      <c r="H846" s="307"/>
    </row>
    <row r="847" spans="7:8" ht="15.75" customHeight="1">
      <c r="G847" s="300"/>
      <c r="H847" s="307"/>
    </row>
    <row r="848" spans="7:8" ht="15.75" customHeight="1">
      <c r="G848" s="300"/>
      <c r="H848" s="307"/>
    </row>
    <row r="849" spans="7:8" ht="15.75" customHeight="1">
      <c r="G849" s="300"/>
      <c r="H849" s="307"/>
    </row>
    <row r="850" spans="7:8" ht="15.75" customHeight="1">
      <c r="G850" s="300"/>
      <c r="H850" s="307"/>
    </row>
    <row r="851" spans="7:8" ht="15.75" customHeight="1">
      <c r="G851" s="300"/>
      <c r="H851" s="307"/>
    </row>
    <row r="852" spans="7:8" ht="15.75" customHeight="1">
      <c r="G852" s="300"/>
      <c r="H852" s="307"/>
    </row>
    <row r="853" spans="7:8" ht="15.75" customHeight="1">
      <c r="G853" s="300"/>
      <c r="H853" s="307"/>
    </row>
    <row r="854" spans="7:8" ht="15.75" customHeight="1">
      <c r="G854" s="300"/>
      <c r="H854" s="307"/>
    </row>
    <row r="855" spans="7:8" ht="15.75" customHeight="1">
      <c r="G855" s="300"/>
      <c r="H855" s="307"/>
    </row>
    <row r="856" spans="7:8" ht="15.75" customHeight="1">
      <c r="G856" s="300"/>
      <c r="H856" s="307"/>
    </row>
    <row r="857" spans="7:8" ht="15.75" customHeight="1">
      <c r="G857" s="300"/>
      <c r="H857" s="307"/>
    </row>
    <row r="858" spans="7:8" ht="15.75" customHeight="1">
      <c r="G858" s="300"/>
      <c r="H858" s="307"/>
    </row>
    <row r="859" spans="7:8" ht="15.75" customHeight="1">
      <c r="G859" s="300"/>
      <c r="H859" s="307"/>
    </row>
    <row r="860" spans="7:8" ht="15.75" customHeight="1">
      <c r="G860" s="300"/>
      <c r="H860" s="307"/>
    </row>
    <row r="861" spans="7:8" ht="15.75" customHeight="1">
      <c r="G861" s="300"/>
      <c r="H861" s="307"/>
    </row>
    <row r="862" spans="7:8" ht="15.75" customHeight="1">
      <c r="G862" s="300"/>
      <c r="H862" s="307"/>
    </row>
    <row r="863" spans="7:8" ht="15.75" customHeight="1">
      <c r="G863" s="300"/>
      <c r="H863" s="307"/>
    </row>
    <row r="864" spans="7:8" ht="15.75" customHeight="1">
      <c r="G864" s="300"/>
      <c r="H864" s="307"/>
    </row>
    <row r="865" spans="7:8" ht="15.75" customHeight="1">
      <c r="G865" s="300"/>
      <c r="H865" s="307"/>
    </row>
    <row r="866" spans="7:8" ht="15.75" customHeight="1">
      <c r="G866" s="300"/>
      <c r="H866" s="307"/>
    </row>
    <row r="867" spans="7:8" ht="15.75" customHeight="1">
      <c r="G867" s="300"/>
      <c r="H867" s="307"/>
    </row>
    <row r="868" spans="7:8" ht="15.75" customHeight="1">
      <c r="G868" s="300"/>
      <c r="H868" s="307"/>
    </row>
    <row r="869" spans="7:8" ht="15.75" customHeight="1">
      <c r="G869" s="300"/>
      <c r="H869" s="307"/>
    </row>
    <row r="870" spans="7:8" ht="15.75" customHeight="1">
      <c r="G870" s="300"/>
      <c r="H870" s="307"/>
    </row>
    <row r="871" spans="7:8" ht="15.75" customHeight="1">
      <c r="G871" s="300"/>
      <c r="H871" s="307"/>
    </row>
    <row r="872" spans="7:8" ht="15.75" customHeight="1">
      <c r="G872" s="300"/>
      <c r="H872" s="307"/>
    </row>
    <row r="873" spans="7:8" ht="15.75" customHeight="1">
      <c r="G873" s="300"/>
      <c r="H873" s="307"/>
    </row>
    <row r="874" spans="7:8" ht="15.75" customHeight="1">
      <c r="G874" s="300"/>
      <c r="H874" s="307"/>
    </row>
    <row r="875" spans="7:8" ht="15.75" customHeight="1">
      <c r="G875" s="300"/>
      <c r="H875" s="307"/>
    </row>
    <row r="876" spans="7:8" ht="15.75" customHeight="1">
      <c r="G876" s="300"/>
      <c r="H876" s="307"/>
    </row>
    <row r="877" spans="7:8" ht="15.75" customHeight="1">
      <c r="G877" s="300"/>
      <c r="H877" s="307"/>
    </row>
    <row r="878" spans="7:8" ht="15.75" customHeight="1">
      <c r="G878" s="300"/>
      <c r="H878" s="307"/>
    </row>
    <row r="879" spans="7:8" ht="15.75" customHeight="1">
      <c r="G879" s="300"/>
      <c r="H879" s="307"/>
    </row>
    <row r="880" spans="7:8" ht="15.75" customHeight="1">
      <c r="G880" s="300"/>
      <c r="H880" s="307"/>
    </row>
    <row r="881" spans="7:8" ht="15.75" customHeight="1">
      <c r="G881" s="300"/>
      <c r="H881" s="307"/>
    </row>
    <row r="882" spans="7:8" ht="15.75" customHeight="1">
      <c r="G882" s="300"/>
      <c r="H882" s="307"/>
    </row>
    <row r="883" spans="7:8" ht="15.75" customHeight="1">
      <c r="G883" s="300"/>
      <c r="H883" s="307"/>
    </row>
    <row r="884" spans="7:8" ht="15.75" customHeight="1">
      <c r="G884" s="300"/>
      <c r="H884" s="307"/>
    </row>
    <row r="885" spans="7:8" ht="15.75" customHeight="1">
      <c r="G885" s="300"/>
      <c r="H885" s="307"/>
    </row>
    <row r="886" spans="7:8" ht="15.75" customHeight="1">
      <c r="G886" s="300"/>
      <c r="H886" s="307"/>
    </row>
    <row r="887" spans="7:8" ht="15.75" customHeight="1">
      <c r="G887" s="300"/>
      <c r="H887" s="307"/>
    </row>
    <row r="888" spans="7:8" ht="15.75" customHeight="1">
      <c r="G888" s="300"/>
      <c r="H888" s="307"/>
    </row>
    <row r="889" spans="7:8" ht="15.75" customHeight="1">
      <c r="G889" s="300"/>
      <c r="H889" s="307"/>
    </row>
    <row r="890" spans="7:8" ht="15.75" customHeight="1">
      <c r="G890" s="300"/>
      <c r="H890" s="307"/>
    </row>
    <row r="891" spans="7:8" ht="15.75" customHeight="1">
      <c r="G891" s="300"/>
      <c r="H891" s="307"/>
    </row>
    <row r="892" spans="7:8" ht="15.75" customHeight="1">
      <c r="G892" s="300"/>
      <c r="H892" s="307"/>
    </row>
    <row r="893" spans="7:8" ht="15.75" customHeight="1">
      <c r="G893" s="300"/>
      <c r="H893" s="307"/>
    </row>
    <row r="894" spans="7:8" ht="15.75" customHeight="1">
      <c r="G894" s="300"/>
      <c r="H894" s="307"/>
    </row>
    <row r="895" spans="7:8" ht="15.75" customHeight="1">
      <c r="G895" s="300"/>
      <c r="H895" s="307"/>
    </row>
    <row r="896" spans="7:8" ht="15.75" customHeight="1">
      <c r="G896" s="300"/>
      <c r="H896" s="307"/>
    </row>
    <row r="897" spans="7:8" ht="15.75" customHeight="1">
      <c r="G897" s="300"/>
      <c r="H897" s="307"/>
    </row>
    <row r="898" spans="7:8" ht="15.75" customHeight="1">
      <c r="G898" s="300"/>
      <c r="H898" s="307"/>
    </row>
    <row r="899" spans="7:8" ht="15.75" customHeight="1">
      <c r="G899" s="300"/>
      <c r="H899" s="307"/>
    </row>
    <row r="900" spans="7:8" ht="15.75" customHeight="1">
      <c r="G900" s="300"/>
      <c r="H900" s="307"/>
    </row>
    <row r="901" spans="7:8" ht="15.75" customHeight="1">
      <c r="G901" s="300"/>
      <c r="H901" s="307"/>
    </row>
    <row r="902" spans="7:8" ht="15.75" customHeight="1">
      <c r="G902" s="300"/>
      <c r="H902" s="307"/>
    </row>
    <row r="903" spans="7:8" ht="15.75" customHeight="1">
      <c r="G903" s="300"/>
      <c r="H903" s="307"/>
    </row>
    <row r="904" spans="7:8" ht="15.75" customHeight="1">
      <c r="G904" s="300"/>
      <c r="H904" s="307"/>
    </row>
    <row r="905" spans="7:8" ht="15.75" customHeight="1">
      <c r="G905" s="300"/>
      <c r="H905" s="307"/>
    </row>
    <row r="906" spans="7:8" ht="15.75" customHeight="1">
      <c r="G906" s="300"/>
      <c r="H906" s="307"/>
    </row>
    <row r="907" spans="7:8" ht="15.75" customHeight="1">
      <c r="G907" s="300"/>
      <c r="H907" s="307"/>
    </row>
    <row r="908" spans="7:8" ht="15.75" customHeight="1">
      <c r="G908" s="300"/>
      <c r="H908" s="307"/>
    </row>
    <row r="909" spans="7:8" ht="15.75" customHeight="1">
      <c r="G909" s="300"/>
      <c r="H909" s="307"/>
    </row>
    <row r="910" spans="7:8" ht="15.75" customHeight="1">
      <c r="G910" s="300"/>
      <c r="H910" s="307"/>
    </row>
    <row r="911" spans="7:8" ht="15.75" customHeight="1">
      <c r="G911" s="300"/>
      <c r="H911" s="307"/>
    </row>
    <row r="912" spans="7:8" ht="15.75" customHeight="1">
      <c r="G912" s="300"/>
      <c r="H912" s="307"/>
    </row>
    <row r="913" spans="7:8" ht="15.75" customHeight="1">
      <c r="G913" s="300"/>
      <c r="H913" s="307"/>
    </row>
    <row r="914" spans="7:8" ht="15.75" customHeight="1">
      <c r="G914" s="300"/>
      <c r="H914" s="307"/>
    </row>
    <row r="915" spans="7:8" ht="15.75" customHeight="1">
      <c r="G915" s="300"/>
      <c r="H915" s="307"/>
    </row>
    <row r="916" spans="7:8" ht="15.75" customHeight="1">
      <c r="G916" s="300"/>
      <c r="H916" s="307"/>
    </row>
    <row r="917" spans="7:8" ht="15.75" customHeight="1">
      <c r="G917" s="300"/>
      <c r="H917" s="307"/>
    </row>
    <row r="918" spans="7:8" ht="15.75" customHeight="1">
      <c r="G918" s="300"/>
      <c r="H918" s="307"/>
    </row>
    <row r="919" spans="7:8" ht="15.75" customHeight="1">
      <c r="G919" s="300"/>
      <c r="H919" s="307"/>
    </row>
    <row r="920" spans="7:8" ht="15.75" customHeight="1">
      <c r="G920" s="300"/>
      <c r="H920" s="307"/>
    </row>
    <row r="921" spans="7:8" ht="15.75" customHeight="1">
      <c r="G921" s="300"/>
      <c r="H921" s="307"/>
    </row>
    <row r="922" spans="7:8" ht="15.75" customHeight="1">
      <c r="G922" s="300"/>
      <c r="H922" s="307"/>
    </row>
    <row r="923" spans="7:8" ht="15.75" customHeight="1">
      <c r="G923" s="300"/>
      <c r="H923" s="307"/>
    </row>
    <row r="924" spans="7:8" ht="15.75" customHeight="1">
      <c r="G924" s="300"/>
      <c r="H924" s="307"/>
    </row>
    <row r="925" spans="7:8" ht="15.75" customHeight="1">
      <c r="G925" s="300"/>
      <c r="H925" s="307"/>
    </row>
    <row r="926" spans="7:8" ht="15.75" customHeight="1">
      <c r="G926" s="300"/>
      <c r="H926" s="307"/>
    </row>
    <row r="927" spans="7:8" ht="15.75" customHeight="1">
      <c r="G927" s="300"/>
      <c r="H927" s="307"/>
    </row>
    <row r="928" spans="7:8" ht="15.75" customHeight="1">
      <c r="G928" s="300"/>
      <c r="H928" s="307"/>
    </row>
    <row r="929" spans="7:8" ht="15.75" customHeight="1">
      <c r="G929" s="300"/>
      <c r="H929" s="307"/>
    </row>
    <row r="930" spans="7:8" ht="15.75" customHeight="1">
      <c r="G930" s="300"/>
      <c r="H930" s="307"/>
    </row>
    <row r="931" spans="7:8" ht="15.75" customHeight="1">
      <c r="G931" s="300"/>
      <c r="H931" s="307"/>
    </row>
    <row r="932" spans="7:8" ht="15.75" customHeight="1">
      <c r="G932" s="300"/>
      <c r="H932" s="307"/>
    </row>
    <row r="933" spans="7:8" ht="15.75" customHeight="1">
      <c r="G933" s="300"/>
      <c r="H933" s="307"/>
    </row>
    <row r="934" spans="7:8" ht="15.75" customHeight="1">
      <c r="G934" s="300"/>
      <c r="H934" s="307"/>
    </row>
    <row r="935" spans="7:8" ht="15.75" customHeight="1">
      <c r="G935" s="300"/>
      <c r="H935" s="307"/>
    </row>
    <row r="936" spans="7:8" ht="15.75" customHeight="1">
      <c r="G936" s="300"/>
      <c r="H936" s="307"/>
    </row>
    <row r="937" spans="7:8" ht="15.75" customHeight="1">
      <c r="G937" s="300"/>
      <c r="H937" s="307"/>
    </row>
    <row r="938" spans="7:8" ht="15.75" customHeight="1">
      <c r="G938" s="300"/>
      <c r="H938" s="307"/>
    </row>
    <row r="939" spans="7:8" ht="15.75" customHeight="1">
      <c r="G939" s="300"/>
      <c r="H939" s="307"/>
    </row>
    <row r="940" spans="7:8" ht="15.75" customHeight="1">
      <c r="G940" s="300"/>
      <c r="H940" s="307"/>
    </row>
    <row r="941" spans="7:8" ht="15.75" customHeight="1">
      <c r="G941" s="300"/>
      <c r="H941" s="307"/>
    </row>
    <row r="942" spans="7:8" ht="15.75" customHeight="1">
      <c r="G942" s="300"/>
      <c r="H942" s="307"/>
    </row>
    <row r="943" spans="7:8" ht="15.75" customHeight="1">
      <c r="G943" s="300"/>
      <c r="H943" s="307"/>
    </row>
    <row r="944" spans="7:8" ht="15.75" customHeight="1">
      <c r="G944" s="300"/>
      <c r="H944" s="307"/>
    </row>
    <row r="945" spans="7:8" ht="15.75" customHeight="1">
      <c r="G945" s="300"/>
      <c r="H945" s="307"/>
    </row>
    <row r="946" spans="7:8" ht="15.75" customHeight="1">
      <c r="G946" s="300"/>
      <c r="H946" s="307"/>
    </row>
    <row r="947" spans="7:8" ht="15.75" customHeight="1">
      <c r="G947" s="300"/>
      <c r="H947" s="307"/>
    </row>
    <row r="948" spans="7:8" ht="15.75" customHeight="1">
      <c r="G948" s="300"/>
      <c r="H948" s="307"/>
    </row>
    <row r="949" spans="7:8" ht="15.75" customHeight="1">
      <c r="G949" s="300"/>
      <c r="H949" s="307"/>
    </row>
    <row r="950" spans="7:8" ht="15.75" customHeight="1">
      <c r="G950" s="300"/>
      <c r="H950" s="307"/>
    </row>
    <row r="951" spans="7:8" ht="15.75" customHeight="1">
      <c r="G951" s="300"/>
      <c r="H951" s="307"/>
    </row>
    <row r="952" spans="7:8" ht="15.75" customHeight="1">
      <c r="G952" s="300"/>
      <c r="H952" s="307"/>
    </row>
    <row r="953" spans="7:8" ht="15.75" customHeight="1">
      <c r="G953" s="300"/>
      <c r="H953" s="307"/>
    </row>
    <row r="954" spans="7:8" ht="15.75" customHeight="1">
      <c r="G954" s="300"/>
      <c r="H954" s="307"/>
    </row>
    <row r="955" spans="7:8" ht="15.75" customHeight="1">
      <c r="G955" s="300"/>
      <c r="H955" s="307"/>
    </row>
    <row r="956" spans="7:8" ht="15.75" customHeight="1">
      <c r="G956" s="300"/>
      <c r="H956" s="307"/>
    </row>
    <row r="957" spans="7:8" ht="15.75" customHeight="1">
      <c r="G957" s="300"/>
      <c r="H957" s="307"/>
    </row>
    <row r="958" spans="7:8" ht="15.75" customHeight="1">
      <c r="G958" s="300"/>
      <c r="H958" s="307"/>
    </row>
    <row r="959" spans="7:8" ht="15.75" customHeight="1">
      <c r="G959" s="300"/>
      <c r="H959" s="307"/>
    </row>
    <row r="960" spans="7:8" ht="15.75" customHeight="1">
      <c r="G960" s="300"/>
      <c r="H960" s="307"/>
    </row>
    <row r="961" spans="7:8" ht="15.75" customHeight="1">
      <c r="G961" s="300"/>
      <c r="H961" s="307"/>
    </row>
    <row r="962" spans="7:8" ht="15.75" customHeight="1">
      <c r="G962" s="300"/>
      <c r="H962" s="307"/>
    </row>
    <row r="963" spans="7:8" ht="15.75" customHeight="1">
      <c r="G963" s="300"/>
      <c r="H963" s="307"/>
    </row>
    <row r="964" spans="7:8" ht="15.75" customHeight="1">
      <c r="G964" s="300"/>
      <c r="H964" s="307"/>
    </row>
    <row r="965" spans="7:8" ht="15.75" customHeight="1">
      <c r="G965" s="300"/>
      <c r="H965" s="307"/>
    </row>
    <row r="966" spans="7:8" ht="15.75" customHeight="1">
      <c r="G966" s="300"/>
      <c r="H966" s="307"/>
    </row>
    <row r="967" spans="7:8" ht="15.75" customHeight="1">
      <c r="G967" s="300"/>
      <c r="H967" s="307"/>
    </row>
    <row r="968" spans="7:8" ht="15.75" customHeight="1">
      <c r="G968" s="300"/>
      <c r="H968" s="307"/>
    </row>
    <row r="969" spans="7:8" ht="15.75" customHeight="1">
      <c r="G969" s="300"/>
      <c r="H969" s="307"/>
    </row>
    <row r="970" spans="7:8" ht="15.75" customHeight="1">
      <c r="G970" s="300"/>
      <c r="H970" s="307"/>
    </row>
    <row r="971" spans="7:8" ht="15.75" customHeight="1">
      <c r="G971" s="300"/>
      <c r="H971" s="307"/>
    </row>
    <row r="972" spans="7:8" ht="15.75" customHeight="1">
      <c r="G972" s="300"/>
      <c r="H972" s="307"/>
    </row>
    <row r="973" spans="7:8" ht="15.75" customHeight="1">
      <c r="G973" s="300"/>
      <c r="H973" s="307"/>
    </row>
    <row r="974" spans="7:8" ht="15.75" customHeight="1">
      <c r="G974" s="300"/>
      <c r="H974" s="307"/>
    </row>
    <row r="975" spans="7:8" ht="15.75" customHeight="1">
      <c r="G975" s="300"/>
      <c r="H975" s="307"/>
    </row>
    <row r="976" spans="7:8" ht="15.75" customHeight="1">
      <c r="G976" s="300"/>
      <c r="H976" s="307"/>
    </row>
    <row r="977" spans="7:8" ht="15.75" customHeight="1">
      <c r="G977" s="300"/>
      <c r="H977" s="307"/>
    </row>
    <row r="978" spans="7:8" ht="15.75" customHeight="1">
      <c r="G978" s="300"/>
      <c r="H978" s="307"/>
    </row>
    <row r="979" spans="7:8" ht="15.75" customHeight="1">
      <c r="G979" s="300"/>
      <c r="H979" s="307"/>
    </row>
    <row r="980" spans="7:8" ht="15.75" customHeight="1">
      <c r="G980" s="300"/>
      <c r="H980" s="307"/>
    </row>
    <row r="981" spans="7:8" ht="15.75" customHeight="1">
      <c r="G981" s="300"/>
      <c r="H981" s="307"/>
    </row>
    <row r="982" spans="7:8" ht="15.75" customHeight="1">
      <c r="G982" s="300"/>
      <c r="H982" s="307"/>
    </row>
    <row r="983" spans="7:8" ht="15.75" customHeight="1">
      <c r="G983" s="300"/>
      <c r="H983" s="307"/>
    </row>
    <row r="984" spans="7:8" ht="15.75" customHeight="1">
      <c r="G984" s="300"/>
      <c r="H984" s="307"/>
    </row>
    <row r="985" spans="7:8" ht="15.75" customHeight="1">
      <c r="G985" s="300"/>
      <c r="H985" s="307"/>
    </row>
    <row r="986" spans="7:8" ht="15.75" customHeight="1">
      <c r="G986" s="300"/>
      <c r="H986" s="307"/>
    </row>
    <row r="987" spans="7:8" ht="15.75" customHeight="1">
      <c r="G987" s="300"/>
      <c r="H987" s="307"/>
    </row>
    <row r="988" spans="7:8" ht="15.75" customHeight="1">
      <c r="G988" s="300"/>
      <c r="H988" s="307"/>
    </row>
    <row r="989" spans="7:8" ht="15.75" customHeight="1">
      <c r="G989" s="300"/>
      <c r="H989" s="307"/>
    </row>
    <row r="990" spans="7:8" ht="15.75" customHeight="1">
      <c r="G990" s="300"/>
      <c r="H990" s="307"/>
    </row>
    <row r="991" spans="7:8" ht="15.75" customHeight="1">
      <c r="G991" s="300"/>
      <c r="H991" s="307"/>
    </row>
    <row r="992" spans="7:8" ht="15.75" customHeight="1">
      <c r="G992" s="300"/>
      <c r="H992" s="307"/>
    </row>
    <row r="993" spans="7:8" ht="15.75" customHeight="1">
      <c r="G993" s="300"/>
      <c r="H993" s="307"/>
    </row>
    <row r="994" spans="7:8" ht="15.75" customHeight="1">
      <c r="G994" s="300"/>
      <c r="H994" s="307"/>
    </row>
    <row r="995" spans="7:8" ht="15.75" customHeight="1">
      <c r="G995" s="300"/>
      <c r="H995" s="307"/>
    </row>
    <row r="996" spans="7:8" ht="15.75" customHeight="1">
      <c r="G996" s="300"/>
      <c r="H996" s="307"/>
    </row>
    <row r="997" spans="7:8" ht="15.75" customHeight="1">
      <c r="G997" s="300"/>
      <c r="H997" s="307"/>
    </row>
    <row r="998" spans="7:8" ht="15.75" customHeight="1">
      <c r="G998" s="300"/>
      <c r="H998" s="307"/>
    </row>
    <row r="999" spans="7:8" ht="15.75" customHeight="1">
      <c r="G999" s="300"/>
      <c r="H999" s="307"/>
    </row>
    <row r="1000" spans="7:8" ht="15.75" customHeight="1">
      <c r="G1000" s="300"/>
      <c r="H1000" s="307"/>
    </row>
  </sheetData>
  <mergeCells count="211">
    <mergeCell ref="B99:D99"/>
    <mergeCell ref="E99:F99"/>
    <mergeCell ref="A100:D100"/>
    <mergeCell ref="E100:F101"/>
    <mergeCell ref="A101:D101"/>
    <mergeCell ref="A94:D94"/>
    <mergeCell ref="E94:F94"/>
    <mergeCell ref="B95:D95"/>
    <mergeCell ref="E95:F95"/>
    <mergeCell ref="A96:D96"/>
    <mergeCell ref="E96:F97"/>
    <mergeCell ref="A97:D97"/>
    <mergeCell ref="A98:D98"/>
    <mergeCell ref="E98:F98"/>
    <mergeCell ref="A88:D88"/>
    <mergeCell ref="E88:F89"/>
    <mergeCell ref="A89:D89"/>
    <mergeCell ref="A90:D90"/>
    <mergeCell ref="E90:F90"/>
    <mergeCell ref="B91:D91"/>
    <mergeCell ref="E91:F91"/>
    <mergeCell ref="A92:D92"/>
    <mergeCell ref="E92:F93"/>
    <mergeCell ref="A93:D93"/>
    <mergeCell ref="E82:F82"/>
    <mergeCell ref="B83:D83"/>
    <mergeCell ref="E83:F83"/>
    <mergeCell ref="A84:D84"/>
    <mergeCell ref="E84:F85"/>
    <mergeCell ref="A85:D85"/>
    <mergeCell ref="A86:D86"/>
    <mergeCell ref="E86:F86"/>
    <mergeCell ref="B87:D87"/>
    <mergeCell ref="E87:F87"/>
    <mergeCell ref="A106:F106"/>
    <mergeCell ref="A114:F114"/>
    <mergeCell ref="E115:F116"/>
    <mergeCell ref="A107:F107"/>
    <mergeCell ref="A108:F108"/>
    <mergeCell ref="A109:F109"/>
    <mergeCell ref="A110:F110"/>
    <mergeCell ref="A111:F111"/>
    <mergeCell ref="A112:F112"/>
    <mergeCell ref="A113:F113"/>
    <mergeCell ref="A72:D72"/>
    <mergeCell ref="E72:F73"/>
    <mergeCell ref="A73:D73"/>
    <mergeCell ref="A102:D102"/>
    <mergeCell ref="E102:F102"/>
    <mergeCell ref="B103:D103"/>
    <mergeCell ref="E103:F103"/>
    <mergeCell ref="A104:F104"/>
    <mergeCell ref="A105:F105"/>
    <mergeCell ref="A74:D74"/>
    <mergeCell ref="E74:F74"/>
    <mergeCell ref="B75:D75"/>
    <mergeCell ref="E75:F75"/>
    <mergeCell ref="A76:D76"/>
    <mergeCell ref="E76:F77"/>
    <mergeCell ref="A77:D77"/>
    <mergeCell ref="A78:D78"/>
    <mergeCell ref="E78:F78"/>
    <mergeCell ref="B79:D79"/>
    <mergeCell ref="E79:F79"/>
    <mergeCell ref="A80:D80"/>
    <mergeCell ref="E80:F81"/>
    <mergeCell ref="A81:D81"/>
    <mergeCell ref="A82:D82"/>
    <mergeCell ref="A54:F54"/>
    <mergeCell ref="A55:F55"/>
    <mergeCell ref="A56:F56"/>
    <mergeCell ref="A57:F57"/>
    <mergeCell ref="A58:F58"/>
    <mergeCell ref="A59:F59"/>
    <mergeCell ref="A60:F60"/>
    <mergeCell ref="A61:F61"/>
    <mergeCell ref="A62:F62"/>
    <mergeCell ref="A45:F45"/>
    <mergeCell ref="A46:F46"/>
    <mergeCell ref="A47:F47"/>
    <mergeCell ref="A48:F48"/>
    <mergeCell ref="A49:F49"/>
    <mergeCell ref="A50:F50"/>
    <mergeCell ref="A51:F51"/>
    <mergeCell ref="A52:F52"/>
    <mergeCell ref="A53:F53"/>
    <mergeCell ref="A36:F36"/>
    <mergeCell ref="A37:B38"/>
    <mergeCell ref="C37:C38"/>
    <mergeCell ref="D37:D38"/>
    <mergeCell ref="A41:B43"/>
    <mergeCell ref="C41:E42"/>
    <mergeCell ref="F41:F42"/>
    <mergeCell ref="C43:E43"/>
    <mergeCell ref="A44:F44"/>
    <mergeCell ref="A19:F19"/>
    <mergeCell ref="A20:F20"/>
    <mergeCell ref="A21:F21"/>
    <mergeCell ref="A22:F22"/>
    <mergeCell ref="A23:F23"/>
    <mergeCell ref="A24:F24"/>
    <mergeCell ref="A25:F25"/>
    <mergeCell ref="A39:B40"/>
    <mergeCell ref="C39:C40"/>
    <mergeCell ref="D39:D40"/>
    <mergeCell ref="E39:E40"/>
    <mergeCell ref="F39:F40"/>
    <mergeCell ref="A26:F26"/>
    <mergeCell ref="A27:F27"/>
    <mergeCell ref="A28:F28"/>
    <mergeCell ref="A29:F29"/>
    <mergeCell ref="A30:F30"/>
    <mergeCell ref="A31:F31"/>
    <mergeCell ref="A32:F32"/>
    <mergeCell ref="E37:E38"/>
    <mergeCell ref="F37:F38"/>
    <mergeCell ref="A33:F33"/>
    <mergeCell ref="A34:F34"/>
    <mergeCell ref="A35:F35"/>
    <mergeCell ref="K104:K114"/>
    <mergeCell ref="L104:L114"/>
    <mergeCell ref="K115:K120"/>
    <mergeCell ref="F117:F118"/>
    <mergeCell ref="M117:M124"/>
    <mergeCell ref="F119:F120"/>
    <mergeCell ref="F121:F122"/>
    <mergeCell ref="F123:F124"/>
    <mergeCell ref="K63:K65"/>
    <mergeCell ref="K66:K68"/>
    <mergeCell ref="L66:L68"/>
    <mergeCell ref="K69:K71"/>
    <mergeCell ref="K72:K87"/>
    <mergeCell ref="M72:M103"/>
    <mergeCell ref="K88:K103"/>
    <mergeCell ref="A63:F63"/>
    <mergeCell ref="A64:F64"/>
    <mergeCell ref="A65:F65"/>
    <mergeCell ref="A66:F66"/>
    <mergeCell ref="A67:F67"/>
    <mergeCell ref="A68:F68"/>
    <mergeCell ref="A69:F69"/>
    <mergeCell ref="A70:F70"/>
    <mergeCell ref="A71:F71"/>
    <mergeCell ref="H66:H67"/>
    <mergeCell ref="H69:H70"/>
    <mergeCell ref="H104:H105"/>
    <mergeCell ref="H37:H43"/>
    <mergeCell ref="H45:H47"/>
    <mergeCell ref="H49:H51"/>
    <mergeCell ref="H53:H55"/>
    <mergeCell ref="H57:H58"/>
    <mergeCell ref="H60:H61"/>
    <mergeCell ref="H63:H64"/>
    <mergeCell ref="H34:H36"/>
    <mergeCell ref="K34:K44"/>
    <mergeCell ref="L34:L35"/>
    <mergeCell ref="L37:L43"/>
    <mergeCell ref="G41:G42"/>
    <mergeCell ref="K45:K48"/>
    <mergeCell ref="L45:L48"/>
    <mergeCell ref="K49:K52"/>
    <mergeCell ref="K53:K56"/>
    <mergeCell ref="L56:L62"/>
    <mergeCell ref="K57:K59"/>
    <mergeCell ref="K60:K62"/>
    <mergeCell ref="G37:G38"/>
    <mergeCell ref="G39:G40"/>
    <mergeCell ref="A12:F12"/>
    <mergeCell ref="F17:F18"/>
    <mergeCell ref="H17:H18"/>
    <mergeCell ref="H20:H21"/>
    <mergeCell ref="K20:K22"/>
    <mergeCell ref="H23:H24"/>
    <mergeCell ref="K23:K25"/>
    <mergeCell ref="K26:K29"/>
    <mergeCell ref="K30:K33"/>
    <mergeCell ref="H26:H28"/>
    <mergeCell ref="H30:H32"/>
    <mergeCell ref="A13:F13"/>
    <mergeCell ref="H13:H16"/>
    <mergeCell ref="A14:F14"/>
    <mergeCell ref="A15:F15"/>
    <mergeCell ref="A16:F16"/>
    <mergeCell ref="A17:B17"/>
    <mergeCell ref="C17:E18"/>
    <mergeCell ref="A18:B18"/>
    <mergeCell ref="J7:J19"/>
    <mergeCell ref="K7:K19"/>
    <mergeCell ref="A8:B8"/>
    <mergeCell ref="A9:B9"/>
    <mergeCell ref="A10:B10"/>
    <mergeCell ref="F8:F9"/>
    <mergeCell ref="H8:H9"/>
    <mergeCell ref="L7:L8"/>
    <mergeCell ref="L9:L11"/>
    <mergeCell ref="C8:E9"/>
    <mergeCell ref="C10:E11"/>
    <mergeCell ref="F10:F11"/>
    <mergeCell ref="H10:H11"/>
    <mergeCell ref="A11:B11"/>
    <mergeCell ref="A7:F7"/>
    <mergeCell ref="A4:F4"/>
    <mergeCell ref="A5:F5"/>
    <mergeCell ref="A2:F2"/>
    <mergeCell ref="L2:L3"/>
    <mergeCell ref="M2:M3"/>
    <mergeCell ref="N2:N3"/>
    <mergeCell ref="O2:O3"/>
    <mergeCell ref="A3:F3"/>
    <mergeCell ref="H4:H7"/>
    <mergeCell ref="A6:F6"/>
  </mergeCells>
  <phoneticPr fontId="91" type="noConversion"/>
  <hyperlinks>
    <hyperlink ref="A72" r:id="rId1" xr:uid="{00000000-0004-0000-0700-000000000000}"/>
    <hyperlink ref="E72" r:id="rId2" xr:uid="{00000000-0004-0000-0700-000001000000}"/>
    <hyperlink ref="A75" r:id="rId3" xr:uid="{00000000-0004-0000-0700-000002000000}"/>
    <hyperlink ref="A76" r:id="rId4" xr:uid="{00000000-0004-0000-0700-000003000000}"/>
    <hyperlink ref="E76" r:id="rId5" xr:uid="{00000000-0004-0000-0700-000004000000}"/>
    <hyperlink ref="A79" r:id="rId6" xr:uid="{00000000-0004-0000-0700-000005000000}"/>
    <hyperlink ref="A80" r:id="rId7" xr:uid="{00000000-0004-0000-0700-000006000000}"/>
    <hyperlink ref="E80" r:id="rId8" xr:uid="{00000000-0004-0000-0700-000007000000}"/>
    <hyperlink ref="A83" r:id="rId9" xr:uid="{00000000-0004-0000-0700-000008000000}"/>
    <hyperlink ref="A84" r:id="rId10" xr:uid="{00000000-0004-0000-0700-000009000000}"/>
    <hyperlink ref="E84" r:id="rId11" xr:uid="{00000000-0004-0000-0700-00000A000000}"/>
    <hyperlink ref="A87" r:id="rId12" xr:uid="{00000000-0004-0000-0700-00000B000000}"/>
    <hyperlink ref="A88" r:id="rId13" xr:uid="{00000000-0004-0000-0700-00000C000000}"/>
    <hyperlink ref="E88" r:id="rId14" xr:uid="{00000000-0004-0000-0700-00000D000000}"/>
    <hyperlink ref="A91" r:id="rId15" xr:uid="{00000000-0004-0000-0700-00000E000000}"/>
    <hyperlink ref="A92" r:id="rId16" xr:uid="{00000000-0004-0000-0700-00000F000000}"/>
    <hyperlink ref="E92" r:id="rId17" xr:uid="{00000000-0004-0000-0700-000010000000}"/>
    <hyperlink ref="A95" r:id="rId18" xr:uid="{00000000-0004-0000-0700-000011000000}"/>
    <hyperlink ref="A96" r:id="rId19" xr:uid="{00000000-0004-0000-0700-000012000000}"/>
    <hyperlink ref="E96" r:id="rId20" xr:uid="{00000000-0004-0000-0700-000013000000}"/>
    <hyperlink ref="A99" r:id="rId21" xr:uid="{00000000-0004-0000-0700-000014000000}"/>
    <hyperlink ref="A100" r:id="rId22" xr:uid="{00000000-0004-0000-0700-000015000000}"/>
    <hyperlink ref="E100" r:id="rId23" xr:uid="{00000000-0004-0000-0700-000016000000}"/>
    <hyperlink ref="A103" r:id="rId24" xr:uid="{00000000-0004-0000-0700-000017000000}"/>
    <hyperlink ref="E117" r:id="rId25" xr:uid="{00000000-0004-0000-0700-000018000000}"/>
    <hyperlink ref="E119" r:id="rId26" xr:uid="{00000000-0004-0000-0700-000019000000}"/>
    <hyperlink ref="E121" r:id="rId27" xr:uid="{00000000-0004-0000-0700-00001A000000}"/>
    <hyperlink ref="E123" r:id="rId28" xr:uid="{00000000-0004-0000-0700-00001B000000}"/>
  </hyperlinks>
  <pageMargins left="0.7" right="0.7" top="0.75" bottom="0.75" header="0" footer="0"/>
  <pageSetup orientation="landscape"/>
  <drawing r:id="rId2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outlinePr summaryBelow="0" summaryRight="0"/>
  </sheetPr>
  <dimension ref="A1:A1000"/>
  <sheetViews>
    <sheetView workbookViewId="0"/>
  </sheetViews>
  <sheetFormatPr defaultColWidth="12.5703125" defaultRowHeight="15" customHeight="1"/>
  <cols>
    <col min="1" max="6" width="9.5703125" customWidth="1"/>
    <col min="7" max="26" width="11" customWidth="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91" type="noConversion"/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S368"/>
  <sheetViews>
    <sheetView workbookViewId="0">
      <pane xSplit="9" ySplit="14" topLeftCell="J15" activePane="bottomRight" state="frozen"/>
      <selection pane="topRight" activeCell="J1" sqref="J1"/>
      <selection pane="bottomLeft" activeCell="A15" sqref="A15"/>
      <selection pane="bottomRight" activeCell="J15" sqref="J15"/>
    </sheetView>
  </sheetViews>
  <sheetFormatPr defaultColWidth="12.5703125" defaultRowHeight="15" customHeight="1" outlineLevelRow="1"/>
  <cols>
    <col min="1" max="1" width="9.5703125" customWidth="1"/>
    <col min="2" max="2" width="17.7109375" customWidth="1"/>
    <col min="3" max="3" width="17" customWidth="1"/>
    <col min="4" max="4" width="45.7109375" customWidth="1"/>
    <col min="5" max="5" width="12.5703125" customWidth="1"/>
    <col min="6" max="6" width="11.5703125" customWidth="1"/>
    <col min="7" max="7" width="19.5703125" customWidth="1"/>
    <col min="8" max="8" width="9.5703125" customWidth="1"/>
    <col min="9" max="9" width="36.42578125" customWidth="1"/>
    <col min="10" max="12" width="9.5703125" customWidth="1"/>
    <col min="13" max="13" width="23.42578125" customWidth="1"/>
    <col min="14" max="14" width="26.42578125" customWidth="1"/>
    <col min="15" max="15" width="25.5703125" customWidth="1"/>
    <col min="16" max="19" width="13" customWidth="1"/>
    <col min="20" max="71" width="9.5703125" customWidth="1"/>
  </cols>
  <sheetData>
    <row r="1" spans="1:71" ht="15.75" customHeight="1">
      <c r="A1" s="308"/>
      <c r="B1" s="689" t="s">
        <v>1025</v>
      </c>
      <c r="C1" s="381"/>
      <c r="D1" s="381"/>
      <c r="E1" s="382"/>
      <c r="F1" s="309"/>
      <c r="G1" s="310" t="s">
        <v>1026</v>
      </c>
      <c r="H1" s="309"/>
      <c r="I1" s="309"/>
      <c r="J1" s="309"/>
      <c r="K1" s="309"/>
      <c r="L1" s="309"/>
      <c r="M1" s="309"/>
      <c r="N1" s="309"/>
      <c r="O1" s="309"/>
      <c r="P1" s="309"/>
      <c r="Q1" s="311"/>
      <c r="R1" s="311"/>
      <c r="S1" s="311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308"/>
      <c r="AE1" s="308"/>
      <c r="AF1" s="308"/>
      <c r="AG1" s="308"/>
      <c r="AH1" s="308"/>
      <c r="AI1" s="308"/>
      <c r="AJ1" s="308"/>
      <c r="AK1" s="308"/>
      <c r="AL1" s="308"/>
      <c r="AM1" s="308"/>
      <c r="AN1" s="308"/>
      <c r="AO1" s="308"/>
      <c r="AP1" s="308"/>
      <c r="AQ1" s="308"/>
      <c r="AR1" s="308"/>
      <c r="AS1" s="308"/>
      <c r="AT1" s="308"/>
      <c r="AU1" s="308"/>
      <c r="AV1" s="308"/>
      <c r="AW1" s="308"/>
      <c r="AX1" s="308"/>
      <c r="AY1" s="308"/>
      <c r="AZ1" s="308"/>
      <c r="BA1" s="308"/>
      <c r="BB1" s="308"/>
      <c r="BC1" s="308"/>
      <c r="BD1" s="308"/>
      <c r="BE1" s="308"/>
      <c r="BF1" s="308"/>
      <c r="BG1" s="308"/>
      <c r="BH1" s="308"/>
      <c r="BI1" s="308"/>
      <c r="BJ1" s="308"/>
      <c r="BK1" s="308"/>
      <c r="BL1" s="308"/>
      <c r="BM1" s="308"/>
      <c r="BN1" s="308"/>
      <c r="BO1" s="308"/>
      <c r="BP1" s="308"/>
      <c r="BQ1" s="308"/>
      <c r="BR1" s="308"/>
      <c r="BS1" s="308"/>
    </row>
    <row r="2" spans="1:71" ht="15.75" customHeight="1" outlineLevel="1">
      <c r="A2" s="308"/>
      <c r="B2" s="312" t="s">
        <v>1027</v>
      </c>
      <c r="C2" s="312" t="s">
        <v>182</v>
      </c>
      <c r="D2" s="312" t="s">
        <v>1028</v>
      </c>
      <c r="E2" s="312" t="s">
        <v>919</v>
      </c>
      <c r="F2" s="309"/>
      <c r="G2" s="313" t="s">
        <v>1029</v>
      </c>
      <c r="H2" s="309"/>
      <c r="I2" s="309"/>
      <c r="J2" s="309"/>
      <c r="K2" s="309"/>
      <c r="L2" s="309"/>
      <c r="M2" s="309"/>
      <c r="N2" s="311"/>
      <c r="O2" s="311"/>
      <c r="P2" s="311"/>
      <c r="Q2" s="311"/>
      <c r="R2" s="311"/>
      <c r="S2" s="311"/>
      <c r="T2" s="308"/>
      <c r="U2" s="308"/>
      <c r="V2" s="308"/>
      <c r="W2" s="308"/>
      <c r="X2" s="308"/>
      <c r="Y2" s="308"/>
      <c r="Z2" s="308"/>
      <c r="AA2" s="308"/>
      <c r="AB2" s="308"/>
      <c r="AC2" s="308"/>
      <c r="AD2" s="308"/>
      <c r="AE2" s="308"/>
      <c r="AF2" s="308"/>
      <c r="AG2" s="308"/>
      <c r="AH2" s="308"/>
      <c r="AI2" s="308"/>
      <c r="AJ2" s="308"/>
      <c r="AK2" s="308"/>
      <c r="AL2" s="308"/>
      <c r="AM2" s="308"/>
      <c r="AN2" s="308"/>
      <c r="AO2" s="308"/>
      <c r="AP2" s="308"/>
      <c r="AQ2" s="308"/>
      <c r="AR2" s="308"/>
      <c r="AS2" s="308"/>
      <c r="AT2" s="308"/>
      <c r="AU2" s="308"/>
      <c r="AV2" s="308"/>
      <c r="AW2" s="308"/>
      <c r="AX2" s="308"/>
      <c r="AY2" s="308"/>
      <c r="AZ2" s="308"/>
      <c r="BA2" s="308"/>
      <c r="BB2" s="308"/>
      <c r="BC2" s="308"/>
      <c r="BD2" s="308"/>
      <c r="BE2" s="308"/>
      <c r="BF2" s="308"/>
      <c r="BG2" s="308"/>
      <c r="BH2" s="308"/>
      <c r="BI2" s="308"/>
      <c r="BJ2" s="308"/>
      <c r="BK2" s="308"/>
      <c r="BL2" s="308"/>
      <c r="BM2" s="308"/>
      <c r="BN2" s="308"/>
      <c r="BO2" s="308"/>
      <c r="BP2" s="308"/>
      <c r="BQ2" s="308"/>
      <c r="BR2" s="308"/>
      <c r="BS2" s="308"/>
    </row>
    <row r="3" spans="1:71" ht="15.75" customHeight="1" outlineLevel="1">
      <c r="A3" s="308"/>
      <c r="B3" s="312" t="s">
        <v>1030</v>
      </c>
      <c r="C3" s="312" t="s">
        <v>486</v>
      </c>
      <c r="D3" s="312" t="s">
        <v>608</v>
      </c>
      <c r="E3" s="312" t="s">
        <v>116</v>
      </c>
      <c r="F3" s="309"/>
      <c r="G3" s="309"/>
      <c r="H3" s="309"/>
      <c r="I3" s="309"/>
      <c r="J3" s="309"/>
      <c r="K3" s="309"/>
      <c r="L3" s="19"/>
      <c r="M3" s="309"/>
      <c r="N3" s="309"/>
      <c r="O3" s="309"/>
      <c r="P3" s="309"/>
      <c r="Q3" s="311"/>
      <c r="R3" s="311"/>
      <c r="S3" s="311"/>
      <c r="T3" s="308"/>
      <c r="U3" s="308"/>
      <c r="V3" s="308"/>
      <c r="W3" s="308"/>
      <c r="X3" s="308"/>
      <c r="Y3" s="308"/>
      <c r="Z3" s="308"/>
      <c r="AA3" s="308"/>
      <c r="AB3" s="308"/>
      <c r="AC3" s="308"/>
      <c r="AD3" s="308"/>
      <c r="AE3" s="308"/>
      <c r="AF3" s="308"/>
      <c r="AG3" s="308"/>
      <c r="AH3" s="308"/>
      <c r="AI3" s="308"/>
      <c r="AJ3" s="308"/>
      <c r="AK3" s="308"/>
      <c r="AL3" s="308"/>
      <c r="AM3" s="308"/>
      <c r="AN3" s="308"/>
      <c r="AO3" s="308"/>
      <c r="AP3" s="308"/>
      <c r="AQ3" s="308"/>
      <c r="AR3" s="308"/>
      <c r="AS3" s="308"/>
      <c r="AT3" s="308"/>
      <c r="AU3" s="308"/>
      <c r="AV3" s="308"/>
      <c r="AW3" s="308"/>
      <c r="AX3" s="308"/>
      <c r="AY3" s="308"/>
      <c r="AZ3" s="308"/>
      <c r="BA3" s="308"/>
      <c r="BB3" s="308"/>
      <c r="BC3" s="308"/>
      <c r="BD3" s="308"/>
      <c r="BE3" s="308"/>
      <c r="BF3" s="308"/>
      <c r="BG3" s="308"/>
      <c r="BH3" s="308"/>
      <c r="BI3" s="308"/>
      <c r="BJ3" s="308"/>
      <c r="BK3" s="308"/>
      <c r="BL3" s="308"/>
      <c r="BM3" s="308"/>
      <c r="BN3" s="308"/>
      <c r="BO3" s="308"/>
      <c r="BP3" s="308"/>
      <c r="BQ3" s="308"/>
      <c r="BR3" s="308"/>
      <c r="BS3" s="308"/>
    </row>
    <row r="4" spans="1:71" ht="15.75" customHeight="1" outlineLevel="1">
      <c r="A4" s="308"/>
      <c r="B4" s="312" t="s">
        <v>149</v>
      </c>
      <c r="C4" s="314" t="s">
        <v>264</v>
      </c>
      <c r="D4" s="312" t="s">
        <v>1031</v>
      </c>
      <c r="E4" s="309"/>
      <c r="F4" s="309"/>
      <c r="G4" s="309"/>
      <c r="H4" s="309"/>
      <c r="I4" s="309"/>
      <c r="J4" s="309"/>
      <c r="K4" s="309"/>
      <c r="L4" s="19"/>
      <c r="M4" s="309"/>
      <c r="N4" s="309"/>
      <c r="O4" s="309"/>
      <c r="P4" s="309"/>
      <c r="Q4" s="311"/>
      <c r="R4" s="311"/>
      <c r="S4" s="311"/>
      <c r="T4" s="308"/>
      <c r="U4" s="308"/>
      <c r="V4" s="308"/>
      <c r="W4" s="308"/>
      <c r="X4" s="308"/>
      <c r="Y4" s="308"/>
      <c r="Z4" s="308"/>
      <c r="AA4" s="308"/>
      <c r="AB4" s="308"/>
      <c r="AC4" s="308"/>
      <c r="AD4" s="308"/>
      <c r="AE4" s="308"/>
      <c r="AF4" s="308"/>
      <c r="AG4" s="308"/>
      <c r="AH4" s="308"/>
      <c r="AI4" s="308"/>
      <c r="AJ4" s="308"/>
      <c r="AK4" s="308"/>
      <c r="AL4" s="308"/>
      <c r="AM4" s="308"/>
      <c r="AN4" s="308"/>
      <c r="AO4" s="308"/>
      <c r="AP4" s="308"/>
      <c r="AQ4" s="308"/>
      <c r="AR4" s="308"/>
      <c r="AS4" s="308"/>
      <c r="AT4" s="308"/>
      <c r="AU4" s="308"/>
      <c r="AV4" s="308"/>
      <c r="AW4" s="308"/>
      <c r="AX4" s="308"/>
      <c r="AY4" s="308"/>
      <c r="AZ4" s="308"/>
      <c r="BA4" s="308"/>
      <c r="BB4" s="308"/>
      <c r="BC4" s="308"/>
      <c r="BD4" s="308"/>
      <c r="BE4" s="308"/>
      <c r="BF4" s="308"/>
      <c r="BG4" s="308"/>
      <c r="BH4" s="308"/>
      <c r="BI4" s="308"/>
      <c r="BJ4" s="308"/>
      <c r="BK4" s="308"/>
      <c r="BL4" s="308"/>
      <c r="BM4" s="308"/>
      <c r="BN4" s="308"/>
      <c r="BO4" s="308"/>
      <c r="BP4" s="308"/>
      <c r="BQ4" s="308"/>
      <c r="BR4" s="308"/>
      <c r="BS4" s="308"/>
    </row>
    <row r="5" spans="1:71" ht="15.75" customHeight="1" outlineLevel="1">
      <c r="A5" s="308"/>
      <c r="B5" s="312" t="s">
        <v>206</v>
      </c>
      <c r="C5" s="314" t="s">
        <v>817</v>
      </c>
      <c r="D5" s="312" t="s">
        <v>498</v>
      </c>
      <c r="E5" s="309"/>
      <c r="F5" s="309"/>
      <c r="G5" s="309"/>
      <c r="H5" s="309"/>
      <c r="I5" s="309"/>
      <c r="J5" s="309"/>
      <c r="K5" s="309"/>
      <c r="L5" s="19"/>
      <c r="M5" s="309"/>
      <c r="N5" s="309"/>
      <c r="O5" s="309"/>
      <c r="P5" s="309"/>
      <c r="Q5" s="311"/>
      <c r="R5" s="311"/>
      <c r="S5" s="311"/>
      <c r="T5" s="308"/>
      <c r="U5" s="308"/>
      <c r="V5" s="308"/>
      <c r="W5" s="308"/>
      <c r="X5" s="308"/>
      <c r="Y5" s="308"/>
      <c r="Z5" s="308"/>
      <c r="AA5" s="308"/>
      <c r="AB5" s="308"/>
      <c r="AC5" s="308"/>
      <c r="AD5" s="308"/>
      <c r="AE5" s="308"/>
      <c r="AF5" s="308"/>
      <c r="AG5" s="308"/>
      <c r="AH5" s="308"/>
      <c r="AI5" s="308"/>
      <c r="AJ5" s="308"/>
      <c r="AK5" s="308"/>
      <c r="AL5" s="308"/>
      <c r="AM5" s="308"/>
      <c r="AN5" s="308"/>
      <c r="AO5" s="308"/>
      <c r="AP5" s="308"/>
      <c r="AQ5" s="308"/>
      <c r="AR5" s="308"/>
      <c r="AS5" s="308"/>
      <c r="AT5" s="308"/>
      <c r="AU5" s="308"/>
      <c r="AV5" s="308"/>
      <c r="AW5" s="308"/>
      <c r="AX5" s="308"/>
      <c r="AY5" s="308"/>
      <c r="AZ5" s="308"/>
      <c r="BA5" s="308"/>
      <c r="BB5" s="308"/>
      <c r="BC5" s="308"/>
      <c r="BD5" s="308"/>
      <c r="BE5" s="308"/>
      <c r="BF5" s="308"/>
      <c r="BG5" s="308"/>
      <c r="BH5" s="308"/>
      <c r="BI5" s="308"/>
      <c r="BJ5" s="308"/>
      <c r="BK5" s="308"/>
      <c r="BL5" s="308"/>
      <c r="BM5" s="308"/>
      <c r="BN5" s="308"/>
      <c r="BO5" s="308"/>
      <c r="BP5" s="308"/>
      <c r="BQ5" s="308"/>
      <c r="BR5" s="308"/>
      <c r="BS5" s="308"/>
    </row>
    <row r="6" spans="1:71" ht="15.75" customHeight="1" outlineLevel="1">
      <c r="A6" s="308"/>
      <c r="B6" s="312" t="s">
        <v>209</v>
      </c>
      <c r="C6" s="314" t="s">
        <v>147</v>
      </c>
      <c r="D6" s="312" t="s">
        <v>564</v>
      </c>
      <c r="E6" s="309"/>
      <c r="F6" s="309"/>
      <c r="G6" s="309"/>
      <c r="H6" s="309"/>
      <c r="I6" s="309"/>
      <c r="J6" s="309"/>
      <c r="K6" s="309"/>
      <c r="L6" s="19"/>
      <c r="M6" s="309"/>
      <c r="N6" s="309"/>
      <c r="O6" s="309"/>
      <c r="P6" s="309"/>
      <c r="Q6" s="311"/>
      <c r="R6" s="311"/>
      <c r="S6" s="311"/>
      <c r="T6" s="308"/>
      <c r="U6" s="308"/>
      <c r="V6" s="308"/>
      <c r="W6" s="308"/>
      <c r="X6" s="308"/>
      <c r="Y6" s="308"/>
      <c r="Z6" s="308"/>
      <c r="AA6" s="308"/>
      <c r="AB6" s="308"/>
      <c r="AC6" s="308"/>
      <c r="AD6" s="308"/>
      <c r="AE6" s="308"/>
      <c r="AF6" s="308"/>
      <c r="AG6" s="308"/>
      <c r="AH6" s="308"/>
      <c r="AI6" s="308"/>
      <c r="AJ6" s="308"/>
      <c r="AK6" s="308"/>
      <c r="AL6" s="308"/>
      <c r="AM6" s="308"/>
      <c r="AN6" s="308"/>
      <c r="AO6" s="308"/>
      <c r="AP6" s="308"/>
      <c r="AQ6" s="308"/>
      <c r="AR6" s="308"/>
      <c r="AS6" s="308"/>
      <c r="AT6" s="308"/>
      <c r="AU6" s="308"/>
      <c r="AV6" s="308"/>
      <c r="AW6" s="308"/>
      <c r="AX6" s="308"/>
      <c r="AY6" s="308"/>
      <c r="AZ6" s="308"/>
      <c r="BA6" s="308"/>
      <c r="BB6" s="308"/>
      <c r="BC6" s="308"/>
      <c r="BD6" s="308"/>
      <c r="BE6" s="308"/>
      <c r="BF6" s="308"/>
      <c r="BG6" s="308"/>
      <c r="BH6" s="308"/>
      <c r="BI6" s="308"/>
      <c r="BJ6" s="308"/>
      <c r="BK6" s="308"/>
      <c r="BL6" s="308"/>
      <c r="BM6" s="308"/>
      <c r="BN6" s="308"/>
      <c r="BO6" s="308"/>
      <c r="BP6" s="308"/>
      <c r="BQ6" s="308"/>
      <c r="BR6" s="308"/>
      <c r="BS6" s="308"/>
    </row>
    <row r="7" spans="1:71" ht="15.75" customHeight="1" outlineLevel="1">
      <c r="A7" s="308"/>
      <c r="B7" s="312" t="s">
        <v>153</v>
      </c>
      <c r="C7" s="314" t="s">
        <v>466</v>
      </c>
      <c r="D7" s="314" t="s">
        <v>691</v>
      </c>
      <c r="E7" s="309"/>
      <c r="F7" s="309"/>
      <c r="G7" s="309"/>
      <c r="H7" s="309"/>
      <c r="I7" s="309"/>
      <c r="J7" s="309"/>
      <c r="K7" s="309"/>
      <c r="L7" s="19"/>
      <c r="M7" s="309"/>
      <c r="N7" s="309"/>
      <c r="O7" s="309"/>
      <c r="P7" s="309"/>
      <c r="Q7" s="311"/>
      <c r="R7" s="311"/>
      <c r="S7" s="311"/>
      <c r="T7" s="308"/>
      <c r="U7" s="308"/>
      <c r="V7" s="308"/>
      <c r="W7" s="308"/>
      <c r="X7" s="308"/>
      <c r="Y7" s="308"/>
      <c r="Z7" s="308"/>
      <c r="AA7" s="308"/>
      <c r="AB7" s="308"/>
      <c r="AC7" s="308"/>
      <c r="AD7" s="308"/>
      <c r="AE7" s="308"/>
      <c r="AF7" s="308"/>
      <c r="AG7" s="308"/>
      <c r="AH7" s="308"/>
      <c r="AI7" s="308"/>
      <c r="AJ7" s="308"/>
      <c r="AK7" s="308"/>
      <c r="AL7" s="308"/>
      <c r="AM7" s="308"/>
      <c r="AN7" s="308"/>
      <c r="AO7" s="308"/>
      <c r="AP7" s="308"/>
      <c r="AQ7" s="308"/>
      <c r="AR7" s="308"/>
      <c r="AS7" s="308"/>
      <c r="AT7" s="308"/>
      <c r="AU7" s="308"/>
      <c r="AV7" s="308"/>
      <c r="AW7" s="308"/>
      <c r="AX7" s="308"/>
      <c r="AY7" s="308"/>
      <c r="AZ7" s="308"/>
      <c r="BA7" s="308"/>
      <c r="BB7" s="308"/>
      <c r="BC7" s="308"/>
      <c r="BD7" s="308"/>
      <c r="BE7" s="308"/>
      <c r="BF7" s="308"/>
      <c r="BG7" s="308"/>
      <c r="BH7" s="308"/>
      <c r="BI7" s="308"/>
      <c r="BJ7" s="308"/>
      <c r="BK7" s="308"/>
      <c r="BL7" s="308"/>
      <c r="BM7" s="308"/>
      <c r="BN7" s="308"/>
      <c r="BO7" s="308"/>
      <c r="BP7" s="308"/>
      <c r="BQ7" s="308"/>
      <c r="BR7" s="308"/>
      <c r="BS7" s="308"/>
    </row>
    <row r="8" spans="1:71" ht="15.75" customHeight="1" outlineLevel="1">
      <c r="A8" s="308"/>
      <c r="B8" s="312" t="s">
        <v>448</v>
      </c>
      <c r="C8" s="314" t="s">
        <v>1032</v>
      </c>
      <c r="D8" s="314" t="s">
        <v>24</v>
      </c>
      <c r="E8" s="309"/>
      <c r="F8" s="309"/>
      <c r="G8" s="309"/>
      <c r="H8" s="309"/>
      <c r="I8" s="309"/>
      <c r="J8" s="309"/>
      <c r="K8" s="309"/>
      <c r="L8" s="309"/>
      <c r="M8" s="309"/>
      <c r="N8" s="309"/>
      <c r="O8" s="309"/>
      <c r="P8" s="309"/>
      <c r="Q8" s="311"/>
      <c r="R8" s="311"/>
      <c r="S8" s="311"/>
      <c r="T8" s="308"/>
      <c r="U8" s="308"/>
      <c r="V8" s="308"/>
      <c r="W8" s="308"/>
      <c r="X8" s="308"/>
      <c r="Y8" s="308"/>
      <c r="Z8" s="308"/>
      <c r="AA8" s="308"/>
      <c r="AB8" s="308"/>
      <c r="AC8" s="308"/>
      <c r="AD8" s="308"/>
      <c r="AE8" s="308"/>
      <c r="AF8" s="308"/>
      <c r="AG8" s="308"/>
      <c r="AH8" s="308"/>
      <c r="AI8" s="308"/>
      <c r="AJ8" s="308"/>
      <c r="AK8" s="308"/>
      <c r="AL8" s="308"/>
      <c r="AM8" s="308"/>
      <c r="AN8" s="308"/>
      <c r="AO8" s="308"/>
      <c r="AP8" s="308"/>
      <c r="AQ8" s="308"/>
      <c r="AR8" s="308"/>
      <c r="AS8" s="308"/>
      <c r="AT8" s="308"/>
      <c r="AU8" s="308"/>
      <c r="AV8" s="308"/>
      <c r="AW8" s="308"/>
      <c r="AX8" s="308"/>
      <c r="AY8" s="308"/>
      <c r="AZ8" s="308"/>
      <c r="BA8" s="308"/>
      <c r="BB8" s="308"/>
      <c r="BC8" s="308"/>
      <c r="BD8" s="308"/>
      <c r="BE8" s="308"/>
      <c r="BF8" s="308"/>
      <c r="BG8" s="308"/>
      <c r="BH8" s="308"/>
      <c r="BI8" s="308"/>
      <c r="BJ8" s="308"/>
      <c r="BK8" s="308"/>
      <c r="BL8" s="308"/>
      <c r="BM8" s="308"/>
      <c r="BN8" s="308"/>
      <c r="BO8" s="308"/>
      <c r="BP8" s="308"/>
      <c r="BQ8" s="308"/>
      <c r="BR8" s="308"/>
      <c r="BS8" s="308"/>
    </row>
    <row r="9" spans="1:71" ht="15.75" customHeight="1" outlineLevel="1">
      <c r="A9" s="19"/>
      <c r="B9" s="312" t="s">
        <v>1033</v>
      </c>
      <c r="C9" s="314" t="s">
        <v>743</v>
      </c>
      <c r="D9" s="314" t="s">
        <v>407</v>
      </c>
      <c r="E9" s="309"/>
      <c r="F9" s="19"/>
      <c r="G9" s="19"/>
      <c r="H9" s="19"/>
      <c r="I9" s="160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</row>
    <row r="10" spans="1:71" ht="15.75" customHeight="1" outlineLevel="1">
      <c r="A10" s="308"/>
      <c r="B10" s="312" t="s">
        <v>159</v>
      </c>
      <c r="C10" s="314" t="s">
        <v>1034</v>
      </c>
      <c r="D10" s="314" t="s">
        <v>1035</v>
      </c>
      <c r="E10" s="309"/>
      <c r="F10" s="309"/>
      <c r="G10" s="309"/>
      <c r="H10" s="309"/>
      <c r="I10" s="309"/>
      <c r="J10" s="309"/>
      <c r="K10" s="309"/>
      <c r="L10" s="309"/>
      <c r="M10" s="309"/>
      <c r="N10" s="309"/>
      <c r="O10" s="309"/>
      <c r="P10" s="309"/>
      <c r="Q10" s="311"/>
      <c r="R10" s="311"/>
      <c r="S10" s="311"/>
      <c r="T10" s="308"/>
      <c r="U10" s="308"/>
      <c r="V10" s="308"/>
      <c r="W10" s="308"/>
      <c r="X10" s="308"/>
      <c r="Y10" s="308"/>
      <c r="Z10" s="308"/>
      <c r="AA10" s="308"/>
      <c r="AB10" s="308"/>
      <c r="AC10" s="308"/>
      <c r="AD10" s="308"/>
      <c r="AE10" s="308"/>
      <c r="AF10" s="308"/>
      <c r="AG10" s="308"/>
      <c r="AH10" s="308"/>
      <c r="AI10" s="308"/>
      <c r="AJ10" s="308"/>
      <c r="AK10" s="308"/>
      <c r="AL10" s="308"/>
      <c r="AM10" s="308"/>
      <c r="AN10" s="308"/>
      <c r="AO10" s="308"/>
      <c r="AP10" s="308"/>
      <c r="AQ10" s="308"/>
      <c r="AR10" s="308"/>
      <c r="AS10" s="308"/>
      <c r="AT10" s="308"/>
      <c r="AU10" s="308"/>
      <c r="AV10" s="308"/>
      <c r="AW10" s="308"/>
      <c r="AX10" s="308"/>
      <c r="AY10" s="308"/>
      <c r="AZ10" s="308"/>
      <c r="BA10" s="308"/>
      <c r="BB10" s="308"/>
      <c r="BC10" s="308"/>
      <c r="BD10" s="308"/>
      <c r="BE10" s="308"/>
      <c r="BF10" s="308"/>
      <c r="BG10" s="308"/>
      <c r="BH10" s="308"/>
      <c r="BI10" s="308"/>
      <c r="BJ10" s="308"/>
      <c r="BK10" s="308"/>
      <c r="BL10" s="308"/>
      <c r="BM10" s="308"/>
      <c r="BN10" s="308"/>
      <c r="BO10" s="308"/>
      <c r="BP10" s="308"/>
      <c r="BQ10" s="308"/>
      <c r="BR10" s="308"/>
      <c r="BS10" s="308"/>
    </row>
    <row r="11" spans="1:71" ht="15.75" customHeight="1" outlineLevel="1">
      <c r="A11" s="308"/>
      <c r="B11" s="312" t="s">
        <v>168</v>
      </c>
      <c r="C11" s="312" t="s">
        <v>1036</v>
      </c>
      <c r="D11" s="312" t="s">
        <v>873</v>
      </c>
      <c r="E11" s="309"/>
      <c r="F11" s="309"/>
      <c r="G11" s="309"/>
      <c r="H11" s="309"/>
      <c r="I11" s="309"/>
      <c r="J11" s="309"/>
      <c r="K11" s="309"/>
      <c r="L11" s="309"/>
      <c r="M11" s="309"/>
      <c r="N11" s="309"/>
      <c r="O11" s="309"/>
      <c r="P11" s="309"/>
      <c r="Q11" s="311"/>
      <c r="R11" s="311"/>
      <c r="S11" s="311"/>
      <c r="T11" s="308"/>
      <c r="U11" s="308"/>
      <c r="V11" s="308"/>
      <c r="W11" s="308"/>
      <c r="X11" s="308"/>
      <c r="Y11" s="308"/>
      <c r="Z11" s="308"/>
      <c r="AA11" s="308"/>
      <c r="AB11" s="308"/>
      <c r="AC11" s="308"/>
      <c r="AD11" s="308"/>
      <c r="AE11" s="308"/>
      <c r="AF11" s="308"/>
      <c r="AG11" s="308"/>
      <c r="AH11" s="308"/>
      <c r="AI11" s="308"/>
      <c r="AJ11" s="308"/>
      <c r="AK11" s="308"/>
      <c r="AL11" s="308"/>
      <c r="AM11" s="308"/>
      <c r="AN11" s="308"/>
      <c r="AO11" s="308"/>
      <c r="AP11" s="308"/>
      <c r="AQ11" s="308"/>
      <c r="AR11" s="308"/>
      <c r="AS11" s="308"/>
      <c r="AT11" s="308"/>
      <c r="AU11" s="308"/>
      <c r="AV11" s="308"/>
      <c r="AW11" s="308"/>
      <c r="AX11" s="308"/>
      <c r="AY11" s="308"/>
      <c r="AZ11" s="308"/>
      <c r="BA11" s="308"/>
      <c r="BB11" s="308"/>
      <c r="BC11" s="308"/>
      <c r="BD11" s="308"/>
      <c r="BE11" s="308"/>
      <c r="BF11" s="308"/>
      <c r="BG11" s="308"/>
      <c r="BH11" s="308"/>
      <c r="BI11" s="308"/>
      <c r="BJ11" s="308"/>
      <c r="BK11" s="308"/>
      <c r="BL11" s="308"/>
      <c r="BM11" s="308"/>
      <c r="BN11" s="308"/>
      <c r="BO11" s="308"/>
      <c r="BP11" s="308"/>
      <c r="BQ11" s="308"/>
      <c r="BR11" s="308"/>
      <c r="BS11" s="308"/>
    </row>
    <row r="12" spans="1:71" ht="15.75" customHeight="1">
      <c r="A12" s="308"/>
      <c r="B12" s="315"/>
      <c r="C12" s="315"/>
      <c r="D12" s="309"/>
      <c r="E12" s="309"/>
      <c r="F12" s="309"/>
      <c r="G12" s="309"/>
      <c r="H12" s="309"/>
      <c r="I12" s="309"/>
      <c r="J12" s="311"/>
      <c r="K12" s="311"/>
      <c r="L12" s="311"/>
      <c r="M12" s="311"/>
      <c r="N12" s="311"/>
      <c r="O12" s="311"/>
      <c r="P12" s="311"/>
      <c r="Q12" s="311"/>
      <c r="R12" s="311"/>
      <c r="S12" s="311"/>
      <c r="T12" s="308"/>
      <c r="U12" s="308"/>
      <c r="V12" s="308"/>
      <c r="W12" s="308"/>
      <c r="X12" s="308"/>
      <c r="Y12" s="308"/>
      <c r="Z12" s="308"/>
      <c r="AA12" s="308"/>
      <c r="AB12" s="308"/>
      <c r="AC12" s="308"/>
      <c r="AD12" s="308"/>
      <c r="AE12" s="308"/>
      <c r="AF12" s="308"/>
      <c r="AG12" s="308"/>
      <c r="AH12" s="308"/>
      <c r="AI12" s="308"/>
      <c r="AJ12" s="308"/>
      <c r="AK12" s="308"/>
      <c r="AL12" s="308"/>
      <c r="AM12" s="308"/>
      <c r="AN12" s="308"/>
      <c r="AO12" s="308"/>
      <c r="AP12" s="308"/>
      <c r="AQ12" s="308"/>
      <c r="AR12" s="308"/>
      <c r="AS12" s="308"/>
      <c r="AT12" s="308"/>
      <c r="AU12" s="308"/>
      <c r="AV12" s="308"/>
      <c r="AW12" s="308"/>
      <c r="AX12" s="308"/>
      <c r="AY12" s="308"/>
      <c r="AZ12" s="308"/>
      <c r="BA12" s="308"/>
      <c r="BB12" s="308"/>
      <c r="BC12" s="308"/>
      <c r="BD12" s="308"/>
      <c r="BE12" s="308"/>
      <c r="BF12" s="308"/>
      <c r="BG12" s="308"/>
      <c r="BH12" s="308"/>
      <c r="BI12" s="308"/>
      <c r="BJ12" s="308"/>
      <c r="BK12" s="308"/>
      <c r="BL12" s="308"/>
      <c r="BM12" s="308"/>
      <c r="BN12" s="308"/>
      <c r="BO12" s="308"/>
      <c r="BP12" s="308"/>
      <c r="BQ12" s="308"/>
      <c r="BR12" s="308"/>
      <c r="BS12" s="308"/>
    </row>
    <row r="13" spans="1:71" ht="15.75" customHeight="1">
      <c r="A13" s="308"/>
      <c r="B13" s="690" t="s">
        <v>1</v>
      </c>
      <c r="C13" s="384"/>
      <c r="D13" s="385"/>
      <c r="E13" s="691" t="s">
        <v>1037</v>
      </c>
      <c r="F13" s="384"/>
      <c r="G13" s="384"/>
      <c r="H13" s="384"/>
      <c r="I13" s="385"/>
      <c r="J13" s="692" t="s">
        <v>1</v>
      </c>
      <c r="K13" s="384"/>
      <c r="L13" s="384"/>
      <c r="M13" s="384"/>
      <c r="N13" s="384"/>
      <c r="O13" s="384"/>
      <c r="P13" s="384"/>
      <c r="Q13" s="384"/>
      <c r="R13" s="385"/>
      <c r="S13" s="316" t="s">
        <v>1038</v>
      </c>
      <c r="T13" s="309"/>
      <c r="U13" s="308"/>
      <c r="V13" s="308"/>
      <c r="W13" s="309"/>
      <c r="X13" s="309"/>
      <c r="Y13" s="309"/>
      <c r="Z13" s="309"/>
      <c r="AA13" s="309"/>
      <c r="AB13" s="309"/>
      <c r="AC13" s="309"/>
      <c r="AD13" s="309"/>
      <c r="AE13" s="309"/>
      <c r="AF13" s="309"/>
      <c r="AG13" s="309"/>
      <c r="AH13" s="309"/>
      <c r="AI13" s="309"/>
      <c r="AJ13" s="309"/>
      <c r="AK13" s="309"/>
      <c r="AL13" s="309"/>
      <c r="AM13" s="309"/>
      <c r="AN13" s="309"/>
      <c r="AO13" s="309"/>
      <c r="AP13" s="309"/>
      <c r="AQ13" s="309"/>
      <c r="AR13" s="309"/>
      <c r="AS13" s="309"/>
      <c r="AT13" s="309"/>
      <c r="AU13" s="309"/>
      <c r="AV13" s="309"/>
      <c r="AW13" s="309"/>
      <c r="AX13" s="309"/>
      <c r="AY13" s="309"/>
      <c r="AZ13" s="309"/>
      <c r="BA13" s="309"/>
      <c r="BB13" s="309"/>
      <c r="BC13" s="309"/>
      <c r="BD13" s="309"/>
      <c r="BE13" s="309"/>
      <c r="BF13" s="309"/>
      <c r="BG13" s="309"/>
      <c r="BH13" s="309"/>
      <c r="BI13" s="309"/>
      <c r="BJ13" s="309"/>
      <c r="BK13" s="309"/>
      <c r="BL13" s="309"/>
      <c r="BM13" s="309"/>
      <c r="BN13" s="309"/>
      <c r="BO13" s="309"/>
      <c r="BP13" s="309"/>
      <c r="BQ13" s="309"/>
      <c r="BR13" s="309"/>
      <c r="BS13" s="309"/>
    </row>
    <row r="14" spans="1:71" ht="15.75" customHeight="1">
      <c r="A14" s="308"/>
      <c r="B14" s="317" t="s">
        <v>1039</v>
      </c>
      <c r="C14" s="317" t="s">
        <v>1040</v>
      </c>
      <c r="D14" s="317" t="s">
        <v>1041</v>
      </c>
      <c r="E14" s="317" t="s">
        <v>1042</v>
      </c>
      <c r="F14" s="317" t="s">
        <v>5</v>
      </c>
      <c r="G14" s="317" t="s">
        <v>1043</v>
      </c>
      <c r="H14" s="317" t="s">
        <v>6</v>
      </c>
      <c r="I14" s="317" t="s">
        <v>7</v>
      </c>
      <c r="J14" s="317" t="s">
        <v>100</v>
      </c>
      <c r="K14" s="317" t="s">
        <v>101</v>
      </c>
      <c r="L14" s="317" t="s">
        <v>8</v>
      </c>
      <c r="M14" s="317" t="s">
        <v>9</v>
      </c>
      <c r="N14" s="317" t="s">
        <v>10</v>
      </c>
      <c r="O14" s="317" t="s">
        <v>11</v>
      </c>
      <c r="P14" s="317" t="s">
        <v>12</v>
      </c>
      <c r="Q14" s="317" t="s">
        <v>13</v>
      </c>
      <c r="R14" s="317" t="s">
        <v>102</v>
      </c>
      <c r="S14" s="317" t="s">
        <v>1044</v>
      </c>
      <c r="T14" s="308"/>
      <c r="U14" s="318" t="s">
        <v>1039</v>
      </c>
      <c r="V14" s="319" t="s">
        <v>1040</v>
      </c>
      <c r="W14" s="308"/>
      <c r="X14" s="308"/>
      <c r="Y14" s="308"/>
      <c r="Z14" s="308"/>
      <c r="AA14" s="308"/>
      <c r="AB14" s="308"/>
      <c r="AC14" s="308"/>
      <c r="AD14" s="308"/>
      <c r="AE14" s="308"/>
      <c r="AF14" s="308"/>
      <c r="AG14" s="308"/>
      <c r="AH14" s="308"/>
      <c r="AI14" s="308"/>
      <c r="AJ14" s="308"/>
      <c r="AK14" s="308"/>
      <c r="AL14" s="308"/>
      <c r="AM14" s="308"/>
      <c r="AN14" s="308"/>
      <c r="AO14" s="308"/>
      <c r="AP14" s="308"/>
      <c r="AQ14" s="308"/>
      <c r="AR14" s="308"/>
      <c r="AS14" s="308"/>
      <c r="AT14" s="308"/>
      <c r="AU14" s="308"/>
      <c r="AV14" s="308"/>
      <c r="AW14" s="308"/>
      <c r="AX14" s="308"/>
      <c r="AY14" s="308"/>
      <c r="AZ14" s="308"/>
      <c r="BA14" s="308"/>
      <c r="BB14" s="308"/>
      <c r="BC14" s="308"/>
      <c r="BD14" s="308"/>
      <c r="BE14" s="308"/>
      <c r="BF14" s="308"/>
      <c r="BG14" s="308"/>
      <c r="BH14" s="308"/>
      <c r="BI14" s="308"/>
      <c r="BJ14" s="308"/>
      <c r="BK14" s="308"/>
      <c r="BL14" s="308"/>
      <c r="BM14" s="308"/>
      <c r="BN14" s="308"/>
      <c r="BO14" s="308"/>
      <c r="BP14" s="308"/>
      <c r="BQ14" s="308"/>
      <c r="BR14" s="308"/>
      <c r="BS14" s="308"/>
    </row>
    <row r="15" spans="1:71" ht="15.75" customHeight="1">
      <c r="A15" s="308"/>
      <c r="B15" s="320" t="s">
        <v>1027</v>
      </c>
      <c r="C15" s="320" t="s">
        <v>113</v>
      </c>
      <c r="D15" s="320" t="str">
        <f t="shared" ref="D15:D142" si="0">B15&amp;"_"&amp;C15</f>
        <v>頁面背景底色_固定</v>
      </c>
      <c r="E15" s="321" t="s">
        <v>114</v>
      </c>
      <c r="F15" s="322"/>
      <c r="G15" s="200" t="s">
        <v>1045</v>
      </c>
      <c r="H15" s="200">
        <v>0.5</v>
      </c>
      <c r="I15" s="323"/>
      <c r="J15" s="324" t="s">
        <v>1046</v>
      </c>
      <c r="K15" s="324" t="s">
        <v>1046</v>
      </c>
      <c r="L15" s="324" t="s">
        <v>1047</v>
      </c>
      <c r="M15" s="325" t="s">
        <v>1048</v>
      </c>
      <c r="N15" s="325" t="s">
        <v>115</v>
      </c>
      <c r="O15" s="325" t="s">
        <v>115</v>
      </c>
      <c r="P15" s="325" t="s">
        <v>115</v>
      </c>
      <c r="Q15" s="325" t="s">
        <v>115</v>
      </c>
      <c r="R15" s="191"/>
      <c r="S15" s="205">
        <f t="shared" ref="S15:S142" si="1">COUNTIF(J15:Q15, "&lt;&gt;-")</f>
        <v>4</v>
      </c>
      <c r="T15" s="308"/>
      <c r="U15" s="308" t="str">
        <f ca="1">IFERROR(__xludf.DUMMYFUNCTION("UNIQUE(FILTER('(勿動)組件目錄表'!B15:B1097, '(勿動)組件目錄表'!B15:B1097 &lt;&gt; """"))"),"頁面背景底色")</f>
        <v>頁面背景底色</v>
      </c>
      <c r="V15" s="308" t="str">
        <f ca="1">IFERROR(__xludf.DUMMYFUNCTION("BYROW(U15:U168, LAMBDA(type, IF(type="""", """", TRANSPOSE(UNIQUE(FILTER('(勿動)組件目錄表'!C15:C1097, '(勿動)組件目錄表'!B15:B1097 = type))))))
"),"固定")</f>
        <v>固定</v>
      </c>
      <c r="W15" s="308"/>
      <c r="X15" s="308"/>
      <c r="Y15" s="308"/>
      <c r="Z15" s="308"/>
      <c r="AA15" s="308"/>
      <c r="AB15" s="308"/>
      <c r="AC15" s="308"/>
      <c r="AD15" s="308"/>
      <c r="AE15" s="308"/>
      <c r="AF15" s="308"/>
      <c r="AG15" s="308"/>
      <c r="AH15" s="308"/>
      <c r="AI15" s="308"/>
      <c r="AJ15" s="308"/>
      <c r="AK15" s="308"/>
      <c r="AL15" s="308"/>
      <c r="AM15" s="308"/>
      <c r="AN15" s="308"/>
      <c r="AO15" s="308"/>
      <c r="AP15" s="308"/>
      <c r="AQ15" s="308"/>
      <c r="AR15" s="308"/>
      <c r="AS15" s="308"/>
      <c r="AT15" s="308"/>
      <c r="AU15" s="308"/>
      <c r="AV15" s="308"/>
      <c r="AW15" s="308"/>
      <c r="AX15" s="308"/>
      <c r="AY15" s="308"/>
      <c r="AZ15" s="308"/>
      <c r="BA15" s="308"/>
      <c r="BB15" s="308"/>
      <c r="BC15" s="308"/>
      <c r="BD15" s="308"/>
      <c r="BE15" s="308"/>
      <c r="BF15" s="308"/>
      <c r="BG15" s="308"/>
      <c r="BH15" s="308"/>
      <c r="BI15" s="308"/>
      <c r="BJ15" s="308"/>
      <c r="BK15" s="308"/>
      <c r="BL15" s="308"/>
      <c r="BM15" s="308"/>
      <c r="BN15" s="308"/>
      <c r="BO15" s="308"/>
      <c r="BP15" s="308"/>
      <c r="BQ15" s="308"/>
      <c r="BR15" s="308"/>
      <c r="BS15" s="308"/>
    </row>
    <row r="16" spans="1:71" ht="15.75" customHeight="1">
      <c r="A16" s="308"/>
      <c r="B16" s="326" t="s">
        <v>867</v>
      </c>
      <c r="C16" s="326" t="s">
        <v>113</v>
      </c>
      <c r="D16" s="320" t="str">
        <f t="shared" si="0"/>
        <v>ProductLabel_固定</v>
      </c>
      <c r="E16" s="321" t="s">
        <v>114</v>
      </c>
      <c r="F16" s="322"/>
      <c r="G16" s="200" t="s">
        <v>1049</v>
      </c>
      <c r="H16" s="200">
        <v>0.5</v>
      </c>
      <c r="I16" s="323"/>
      <c r="J16" s="324" t="s">
        <v>1046</v>
      </c>
      <c r="K16" s="324" t="s">
        <v>1046</v>
      </c>
      <c r="L16" s="324" t="s">
        <v>1047</v>
      </c>
      <c r="M16" s="325" t="s">
        <v>1050</v>
      </c>
      <c r="N16" s="325" t="s">
        <v>115</v>
      </c>
      <c r="O16" s="325" t="s">
        <v>115</v>
      </c>
      <c r="P16" s="325" t="s">
        <v>115</v>
      </c>
      <c r="Q16" s="325" t="s">
        <v>115</v>
      </c>
      <c r="R16" s="191"/>
      <c r="S16" s="205">
        <f t="shared" si="1"/>
        <v>4</v>
      </c>
      <c r="T16" s="308"/>
      <c r="U16" s="308" t="str">
        <f ca="1">IFERROR(__xludf.DUMMYFUNCTION("""COMPUTED_VALUE"""),"ProductLabel")</f>
        <v>ProductLabel</v>
      </c>
      <c r="V16" s="308" t="str">
        <f ca="1">IFERROR(__xludf.DUMMYFUNCTION("""COMPUTED_VALUE"""),"固定")</f>
        <v>固定</v>
      </c>
      <c r="W16" s="308"/>
      <c r="X16" s="308"/>
      <c r="Y16" s="308"/>
      <c r="Z16" s="308"/>
      <c r="AA16" s="308"/>
      <c r="AB16" s="308"/>
      <c r="AC16" s="308"/>
      <c r="AD16" s="308"/>
      <c r="AE16" s="308"/>
      <c r="AF16" s="308"/>
      <c r="AG16" s="308"/>
      <c r="AH16" s="308"/>
      <c r="AI16" s="308"/>
      <c r="AJ16" s="308"/>
      <c r="AK16" s="308"/>
      <c r="AL16" s="308"/>
      <c r="AM16" s="308"/>
      <c r="AN16" s="308"/>
      <c r="AO16" s="308"/>
      <c r="AP16" s="308"/>
      <c r="AQ16" s="308"/>
      <c r="AR16" s="308"/>
      <c r="AS16" s="308"/>
      <c r="AT16" s="308"/>
      <c r="AU16" s="308"/>
      <c r="AV16" s="308"/>
      <c r="AW16" s="308"/>
      <c r="AX16" s="308"/>
      <c r="AY16" s="308"/>
      <c r="AZ16" s="308"/>
      <c r="BA16" s="308"/>
      <c r="BB16" s="308"/>
      <c r="BC16" s="308"/>
      <c r="BD16" s="308"/>
      <c r="BE16" s="308"/>
      <c r="BF16" s="308"/>
      <c r="BG16" s="308"/>
      <c r="BH16" s="308"/>
      <c r="BI16" s="308"/>
      <c r="BJ16" s="308"/>
      <c r="BK16" s="308"/>
      <c r="BL16" s="308"/>
      <c r="BM16" s="308"/>
      <c r="BN16" s="308"/>
      <c r="BO16" s="308"/>
      <c r="BP16" s="308"/>
      <c r="BQ16" s="308"/>
      <c r="BR16" s="308"/>
      <c r="BS16" s="308"/>
    </row>
    <row r="17" spans="1:71" ht="15.75" customHeight="1">
      <c r="A17" s="308"/>
      <c r="B17" s="320" t="s">
        <v>149</v>
      </c>
      <c r="C17" s="320" t="s">
        <v>113</v>
      </c>
      <c r="D17" s="320" t="str">
        <f t="shared" si="0"/>
        <v>頭巾_固定</v>
      </c>
      <c r="E17" s="200" t="s">
        <v>150</v>
      </c>
      <c r="F17" s="322"/>
      <c r="G17" s="200" t="s">
        <v>149</v>
      </c>
      <c r="H17" s="200">
        <v>0.5</v>
      </c>
      <c r="I17" s="323" t="s">
        <v>151</v>
      </c>
      <c r="J17" s="324" t="s">
        <v>1046</v>
      </c>
      <c r="K17" s="324" t="s">
        <v>1046</v>
      </c>
      <c r="L17" s="324" t="s">
        <v>1047</v>
      </c>
      <c r="M17" s="325" t="s">
        <v>1051</v>
      </c>
      <c r="N17" s="325" t="s">
        <v>115</v>
      </c>
      <c r="O17" s="325" t="s">
        <v>115</v>
      </c>
      <c r="P17" s="325" t="s">
        <v>115</v>
      </c>
      <c r="Q17" s="325" t="s">
        <v>115</v>
      </c>
      <c r="R17" s="191"/>
      <c r="S17" s="205">
        <f t="shared" si="1"/>
        <v>4</v>
      </c>
      <c r="T17" s="308"/>
      <c r="U17" s="308" t="str">
        <f ca="1">IFERROR(__xludf.DUMMYFUNCTION("""COMPUTED_VALUE"""),"頭巾")</f>
        <v>頭巾</v>
      </c>
      <c r="V17" s="308" t="str">
        <f ca="1">IFERROR(__xludf.DUMMYFUNCTION("""COMPUTED_VALUE"""),"固定")</f>
        <v>固定</v>
      </c>
      <c r="W17" s="308"/>
      <c r="X17" s="308"/>
      <c r="Y17" s="308"/>
      <c r="Z17" s="308"/>
      <c r="AA17" s="308"/>
      <c r="AB17" s="308"/>
      <c r="AC17" s="308"/>
      <c r="AD17" s="308"/>
      <c r="AE17" s="308"/>
      <c r="AF17" s="308"/>
      <c r="AG17" s="308"/>
      <c r="AH17" s="308"/>
      <c r="AI17" s="308"/>
      <c r="AJ17" s="308"/>
      <c r="AK17" s="308"/>
      <c r="AL17" s="308"/>
      <c r="AM17" s="308"/>
      <c r="AN17" s="308"/>
      <c r="AO17" s="308"/>
      <c r="AP17" s="308"/>
      <c r="AQ17" s="308"/>
      <c r="AR17" s="308"/>
      <c r="AS17" s="308"/>
      <c r="AT17" s="308"/>
      <c r="AU17" s="308"/>
      <c r="AV17" s="308"/>
      <c r="AW17" s="308"/>
      <c r="AX17" s="308"/>
      <c r="AY17" s="308"/>
      <c r="AZ17" s="308"/>
      <c r="BA17" s="308"/>
      <c r="BB17" s="308"/>
      <c r="BC17" s="308"/>
      <c r="BD17" s="308"/>
      <c r="BE17" s="308"/>
      <c r="BF17" s="308"/>
      <c r="BG17" s="308"/>
      <c r="BH17" s="308"/>
      <c r="BI17" s="308"/>
      <c r="BJ17" s="308"/>
      <c r="BK17" s="308"/>
      <c r="BL17" s="308"/>
      <c r="BM17" s="308"/>
      <c r="BN17" s="308"/>
      <c r="BO17" s="308"/>
      <c r="BP17" s="308"/>
      <c r="BQ17" s="308"/>
      <c r="BR17" s="308"/>
      <c r="BS17" s="308"/>
    </row>
    <row r="18" spans="1:71" ht="15.75" customHeight="1">
      <c r="A18" s="308"/>
      <c r="B18" s="327" t="s">
        <v>206</v>
      </c>
      <c r="C18" s="327" t="s">
        <v>113</v>
      </c>
      <c r="D18" s="320" t="str">
        <f t="shared" si="0"/>
        <v>錨點_固定</v>
      </c>
      <c r="E18" s="321" t="s">
        <v>1052</v>
      </c>
      <c r="F18" s="322"/>
      <c r="G18" s="200"/>
      <c r="H18" s="200">
        <v>0.5</v>
      </c>
      <c r="I18" s="323"/>
      <c r="J18" s="324"/>
      <c r="K18" s="324"/>
      <c r="L18" s="324"/>
      <c r="M18" s="325"/>
      <c r="N18" s="325"/>
      <c r="O18" s="325"/>
      <c r="P18" s="325"/>
      <c r="Q18" s="325"/>
      <c r="R18" s="191"/>
      <c r="S18" s="205">
        <f t="shared" si="1"/>
        <v>8</v>
      </c>
      <c r="T18" s="308"/>
      <c r="U18" s="308" t="str">
        <f ca="1">IFERROR(__xludf.DUMMYFUNCTION("""COMPUTED_VALUE"""),"錨點")</f>
        <v>錨點</v>
      </c>
      <c r="V18" s="308" t="str">
        <f ca="1">IFERROR(__xludf.DUMMYFUNCTION("""COMPUTED_VALUE"""),"固定")</f>
        <v>固定</v>
      </c>
      <c r="W18" s="308"/>
      <c r="X18" s="308"/>
      <c r="Y18" s="308"/>
      <c r="Z18" s="308"/>
      <c r="AA18" s="308"/>
      <c r="AB18" s="308"/>
      <c r="AC18" s="308"/>
      <c r="AD18" s="308"/>
      <c r="AE18" s="308"/>
      <c r="AF18" s="308"/>
      <c r="AG18" s="308"/>
      <c r="AH18" s="308"/>
      <c r="AI18" s="308"/>
      <c r="AJ18" s="308"/>
      <c r="AK18" s="308"/>
      <c r="AL18" s="308"/>
      <c r="AM18" s="308"/>
      <c r="AN18" s="308"/>
      <c r="AO18" s="308"/>
      <c r="AP18" s="308"/>
      <c r="AQ18" s="308"/>
      <c r="AR18" s="308"/>
      <c r="AS18" s="308"/>
      <c r="AT18" s="308"/>
      <c r="AU18" s="308"/>
      <c r="AV18" s="308"/>
      <c r="AW18" s="308"/>
      <c r="AX18" s="308"/>
      <c r="AY18" s="308"/>
      <c r="AZ18" s="308"/>
      <c r="BA18" s="308"/>
      <c r="BB18" s="308"/>
      <c r="BC18" s="308"/>
      <c r="BD18" s="308"/>
      <c r="BE18" s="308"/>
      <c r="BF18" s="308"/>
      <c r="BG18" s="308"/>
      <c r="BH18" s="308"/>
      <c r="BI18" s="308"/>
      <c r="BJ18" s="308"/>
      <c r="BK18" s="308"/>
      <c r="BL18" s="308"/>
      <c r="BM18" s="308"/>
      <c r="BN18" s="308"/>
      <c r="BO18" s="308"/>
      <c r="BP18" s="308"/>
      <c r="BQ18" s="308"/>
      <c r="BR18" s="308"/>
      <c r="BS18" s="308"/>
    </row>
    <row r="19" spans="1:71" ht="15.75" customHeight="1">
      <c r="A19" s="308"/>
      <c r="B19" s="320" t="s">
        <v>209</v>
      </c>
      <c r="C19" s="320" t="s">
        <v>113</v>
      </c>
      <c r="D19" s="320" t="str">
        <f t="shared" si="0"/>
        <v>mission計時器_固定</v>
      </c>
      <c r="E19" s="200" t="s">
        <v>1053</v>
      </c>
      <c r="F19" s="322"/>
      <c r="G19" s="200" t="s">
        <v>208</v>
      </c>
      <c r="H19" s="200">
        <v>0.5</v>
      </c>
      <c r="I19" s="323" t="s">
        <v>1054</v>
      </c>
      <c r="J19" s="324" t="s">
        <v>1046</v>
      </c>
      <c r="K19" s="324" t="s">
        <v>1046</v>
      </c>
      <c r="L19" s="324" t="s">
        <v>1047</v>
      </c>
      <c r="M19" s="325" t="s">
        <v>1055</v>
      </c>
      <c r="N19" s="325" t="s">
        <v>115</v>
      </c>
      <c r="O19" s="325" t="s">
        <v>115</v>
      </c>
      <c r="P19" s="325" t="s">
        <v>115</v>
      </c>
      <c r="Q19" s="325" t="s">
        <v>115</v>
      </c>
      <c r="R19" s="191"/>
      <c r="S19" s="205">
        <f t="shared" si="1"/>
        <v>4</v>
      </c>
      <c r="T19" s="308"/>
      <c r="U19" s="308" t="str">
        <f ca="1">IFERROR(__xludf.DUMMYFUNCTION("""COMPUTED_VALUE"""),"mission計時器")</f>
        <v>mission計時器</v>
      </c>
      <c r="V19" s="308" t="str">
        <f ca="1">IFERROR(__xludf.DUMMYFUNCTION("""COMPUTED_VALUE"""),"固定")</f>
        <v>固定</v>
      </c>
      <c r="W19" s="308"/>
      <c r="X19" s="308"/>
      <c r="Y19" s="308"/>
      <c r="Z19" s="308"/>
      <c r="AA19" s="308"/>
      <c r="AB19" s="308"/>
      <c r="AC19" s="308"/>
      <c r="AD19" s="308"/>
      <c r="AE19" s="308"/>
      <c r="AF19" s="308"/>
      <c r="AG19" s="308"/>
      <c r="AH19" s="308"/>
      <c r="AI19" s="308"/>
      <c r="AJ19" s="308"/>
      <c r="AK19" s="308"/>
      <c r="AL19" s="308"/>
      <c r="AM19" s="308"/>
      <c r="AN19" s="308"/>
      <c r="AO19" s="308"/>
      <c r="AP19" s="308"/>
      <c r="AQ19" s="308"/>
      <c r="AR19" s="308"/>
      <c r="AS19" s="308"/>
      <c r="AT19" s="308"/>
      <c r="AU19" s="308"/>
      <c r="AV19" s="308"/>
      <c r="AW19" s="308"/>
      <c r="AX19" s="308"/>
      <c r="AY19" s="308"/>
      <c r="AZ19" s="308"/>
      <c r="BA19" s="308"/>
      <c r="BB19" s="308"/>
      <c r="BC19" s="308"/>
      <c r="BD19" s="308"/>
      <c r="BE19" s="308"/>
      <c r="BF19" s="308"/>
      <c r="BG19" s="308"/>
      <c r="BH19" s="308"/>
      <c r="BI19" s="308"/>
      <c r="BJ19" s="308"/>
      <c r="BK19" s="308"/>
      <c r="BL19" s="308"/>
      <c r="BM19" s="308"/>
      <c r="BN19" s="308"/>
      <c r="BO19" s="308"/>
      <c r="BP19" s="308"/>
      <c r="BQ19" s="308"/>
      <c r="BR19" s="308"/>
      <c r="BS19" s="308"/>
    </row>
    <row r="20" spans="1:71" ht="15.75" customHeight="1">
      <c r="A20" s="308"/>
      <c r="B20" s="320" t="s">
        <v>153</v>
      </c>
      <c r="C20" s="320" t="s">
        <v>154</v>
      </c>
      <c r="D20" s="320" t="str">
        <f t="shared" si="0"/>
        <v>KV_無CTA</v>
      </c>
      <c r="E20" s="200" t="s">
        <v>155</v>
      </c>
      <c r="F20" s="322"/>
      <c r="G20" s="200"/>
      <c r="H20" s="200">
        <v>0.5</v>
      </c>
      <c r="I20" s="323"/>
      <c r="J20" s="324" t="s">
        <v>1046</v>
      </c>
      <c r="K20" s="324" t="s">
        <v>1046</v>
      </c>
      <c r="L20" s="324" t="s">
        <v>1047</v>
      </c>
      <c r="M20" s="325" t="s">
        <v>1056</v>
      </c>
      <c r="N20" s="325" t="s">
        <v>115</v>
      </c>
      <c r="O20" s="325" t="s">
        <v>115</v>
      </c>
      <c r="P20" s="325" t="s">
        <v>115</v>
      </c>
      <c r="Q20" s="325" t="s">
        <v>115</v>
      </c>
      <c r="R20" s="191"/>
      <c r="S20" s="205">
        <f t="shared" si="1"/>
        <v>4</v>
      </c>
      <c r="T20" s="308"/>
      <c r="U20" s="308" t="str">
        <f ca="1">IFERROR(__xludf.DUMMYFUNCTION("""COMPUTED_VALUE"""),"KV")</f>
        <v>KV</v>
      </c>
      <c r="V20" s="308" t="str">
        <f ca="1">IFERROR(__xludf.DUMMYFUNCTION("""COMPUTED_VALUE"""),"無CTA")</f>
        <v>無CTA</v>
      </c>
      <c r="W20" s="308" t="str">
        <f ca="1">IFERROR(__xludf.DUMMYFUNCTION("""COMPUTED_VALUE"""),"Image Collection")</f>
        <v>Image Collection</v>
      </c>
      <c r="X20" s="308"/>
      <c r="Y20" s="308"/>
      <c r="Z20" s="308"/>
      <c r="AA20" s="308"/>
      <c r="AB20" s="308"/>
      <c r="AC20" s="308"/>
      <c r="AD20" s="308"/>
      <c r="AE20" s="308"/>
      <c r="AF20" s="308"/>
      <c r="AG20" s="308"/>
      <c r="AH20" s="308"/>
      <c r="AI20" s="308"/>
      <c r="AJ20" s="308"/>
      <c r="AK20" s="308"/>
      <c r="AL20" s="308"/>
      <c r="AM20" s="308"/>
      <c r="AN20" s="308"/>
      <c r="AO20" s="308"/>
      <c r="AP20" s="308"/>
      <c r="AQ20" s="308"/>
      <c r="AR20" s="308"/>
      <c r="AS20" s="308"/>
      <c r="AT20" s="308"/>
      <c r="AU20" s="308"/>
      <c r="AV20" s="308"/>
      <c r="AW20" s="308"/>
      <c r="AX20" s="308"/>
      <c r="AY20" s="308"/>
      <c r="AZ20" s="308"/>
      <c r="BA20" s="308"/>
      <c r="BB20" s="308"/>
      <c r="BC20" s="308"/>
      <c r="BD20" s="308"/>
      <c r="BE20" s="308"/>
      <c r="BF20" s="308"/>
      <c r="BG20" s="308"/>
      <c r="BH20" s="308"/>
      <c r="BI20" s="308"/>
      <c r="BJ20" s="308"/>
      <c r="BK20" s="308"/>
      <c r="BL20" s="308"/>
      <c r="BM20" s="308"/>
      <c r="BN20" s="308"/>
      <c r="BO20" s="308"/>
      <c r="BP20" s="308"/>
      <c r="BQ20" s="308"/>
      <c r="BR20" s="308"/>
      <c r="BS20" s="308"/>
    </row>
    <row r="21" spans="1:71" ht="15.75" customHeight="1">
      <c r="A21" s="308"/>
      <c r="B21" s="320" t="s">
        <v>153</v>
      </c>
      <c r="C21" s="320" t="s">
        <v>152</v>
      </c>
      <c r="D21" s="320" t="str">
        <f t="shared" si="0"/>
        <v>KV_Image Collection</v>
      </c>
      <c r="E21" s="200" t="s">
        <v>1057</v>
      </c>
      <c r="F21" s="322"/>
      <c r="G21" s="200" t="s">
        <v>152</v>
      </c>
      <c r="H21" s="200">
        <v>0.5</v>
      </c>
      <c r="I21" s="323"/>
      <c r="J21" s="324" t="s">
        <v>1046</v>
      </c>
      <c r="K21" s="324" t="s">
        <v>1046</v>
      </c>
      <c r="L21" s="324" t="s">
        <v>1047</v>
      </c>
      <c r="M21" s="325" t="s">
        <v>1058</v>
      </c>
      <c r="N21" s="325" t="s">
        <v>1059</v>
      </c>
      <c r="O21" s="325" t="s">
        <v>1060</v>
      </c>
      <c r="P21" s="325" t="s">
        <v>1061</v>
      </c>
      <c r="Q21" s="325" t="s">
        <v>115</v>
      </c>
      <c r="R21" s="191"/>
      <c r="S21" s="205">
        <f t="shared" si="1"/>
        <v>7</v>
      </c>
      <c r="T21" s="308"/>
      <c r="U21" s="308" t="str">
        <f ca="1">IFERROR(__xludf.DUMMYFUNCTION("""COMPUTED_VALUE"""),"活動倒數計時器")</f>
        <v>活動倒數計時器</v>
      </c>
      <c r="V21" s="308" t="str">
        <f ca="1">IFERROR(__xludf.DUMMYFUNCTION("""COMPUTED_VALUE"""),"固定")</f>
        <v>固定</v>
      </c>
      <c r="W21" s="308"/>
      <c r="X21" s="308"/>
      <c r="Y21" s="308"/>
      <c r="Z21" s="308"/>
      <c r="AA21" s="308"/>
      <c r="AB21" s="308"/>
      <c r="AC21" s="308"/>
      <c r="AD21" s="308"/>
      <c r="AE21" s="308"/>
      <c r="AF21" s="308"/>
      <c r="AG21" s="308"/>
      <c r="AH21" s="308"/>
      <c r="AI21" s="308"/>
      <c r="AJ21" s="308"/>
      <c r="AK21" s="308"/>
      <c r="AL21" s="308"/>
      <c r="AM21" s="308"/>
      <c r="AN21" s="308"/>
      <c r="AO21" s="308"/>
      <c r="AP21" s="308"/>
      <c r="AQ21" s="308"/>
      <c r="AR21" s="308"/>
      <c r="AS21" s="308"/>
      <c r="AT21" s="308"/>
      <c r="AU21" s="308"/>
      <c r="AV21" s="308"/>
      <c r="AW21" s="308"/>
      <c r="AX21" s="308"/>
      <c r="AY21" s="308"/>
      <c r="AZ21" s="308"/>
      <c r="BA21" s="308"/>
      <c r="BB21" s="308"/>
      <c r="BC21" s="308"/>
      <c r="BD21" s="308"/>
      <c r="BE21" s="308"/>
      <c r="BF21" s="308"/>
      <c r="BG21" s="308"/>
      <c r="BH21" s="308"/>
      <c r="BI21" s="308"/>
      <c r="BJ21" s="308"/>
      <c r="BK21" s="308"/>
      <c r="BL21" s="308"/>
      <c r="BM21" s="308"/>
      <c r="BN21" s="308"/>
      <c r="BO21" s="308"/>
      <c r="BP21" s="308"/>
      <c r="BQ21" s="308"/>
      <c r="BR21" s="308"/>
      <c r="BS21" s="308"/>
    </row>
    <row r="22" spans="1:71" ht="15.75" customHeight="1">
      <c r="A22" s="19"/>
      <c r="B22" s="328" t="s">
        <v>448</v>
      </c>
      <c r="C22" s="328" t="s">
        <v>113</v>
      </c>
      <c r="D22" s="329" t="str">
        <f t="shared" si="0"/>
        <v>活動倒數計時器_固定</v>
      </c>
      <c r="E22" s="330" t="s">
        <v>1062</v>
      </c>
      <c r="F22" s="191"/>
      <c r="G22" s="205" t="s">
        <v>1063</v>
      </c>
      <c r="H22" s="330">
        <v>0.8</v>
      </c>
      <c r="I22" s="329"/>
      <c r="J22" s="331" t="s">
        <v>1046</v>
      </c>
      <c r="K22" s="331" t="s">
        <v>1046</v>
      </c>
      <c r="L22" s="331" t="s">
        <v>1047</v>
      </c>
      <c r="M22" s="332" t="s">
        <v>1064</v>
      </c>
      <c r="N22" s="332" t="s">
        <v>1065</v>
      </c>
      <c r="O22" s="332" t="s">
        <v>1066</v>
      </c>
      <c r="P22" s="329" t="s">
        <v>1067</v>
      </c>
      <c r="Q22" s="329" t="s">
        <v>1068</v>
      </c>
      <c r="R22" s="191"/>
      <c r="S22" s="205">
        <f t="shared" si="1"/>
        <v>8</v>
      </c>
      <c r="T22" s="19"/>
      <c r="U22" s="19" t="str">
        <f ca="1">IFERROR(__xludf.DUMMYFUNCTION("""COMPUTED_VALUE"""),"三大保證")</f>
        <v>三大保證</v>
      </c>
      <c r="V22" s="19" t="str">
        <f ca="1">IFERROR(__xludf.DUMMYFUNCTION("""COMPUTED_VALUE"""),"固定(app&amp;pc)")</f>
        <v>固定(app&amp;pc)</v>
      </c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19"/>
      <c r="BQ22" s="19"/>
      <c r="BR22" s="19"/>
      <c r="BS22" s="19"/>
    </row>
    <row r="23" spans="1:71" ht="15.75" customHeight="1">
      <c r="A23" s="19"/>
      <c r="B23" s="327" t="s">
        <v>1033</v>
      </c>
      <c r="C23" s="327" t="s">
        <v>1069</v>
      </c>
      <c r="D23" s="329" t="str">
        <f t="shared" si="0"/>
        <v>三大保證_固定(app&amp;pc)</v>
      </c>
      <c r="E23" s="330" t="s">
        <v>1070</v>
      </c>
      <c r="F23" s="191"/>
      <c r="G23" s="205" t="s">
        <v>1071</v>
      </c>
      <c r="H23" s="330">
        <v>0.5</v>
      </c>
      <c r="I23" s="329"/>
      <c r="J23" s="331" t="s">
        <v>1046</v>
      </c>
      <c r="K23" s="331" t="s">
        <v>1046</v>
      </c>
      <c r="L23" s="331" t="s">
        <v>1047</v>
      </c>
      <c r="M23" s="332" t="s">
        <v>1055</v>
      </c>
      <c r="N23" s="332" t="s">
        <v>115</v>
      </c>
      <c r="O23" s="332" t="s">
        <v>115</v>
      </c>
      <c r="P23" s="332" t="s">
        <v>115</v>
      </c>
      <c r="Q23" s="332" t="s">
        <v>115</v>
      </c>
      <c r="R23" s="329"/>
      <c r="S23" s="205">
        <f t="shared" si="1"/>
        <v>4</v>
      </c>
      <c r="T23" s="19"/>
      <c r="U23" s="19" t="str">
        <f ca="1">IFERROR(__xludf.DUMMYFUNCTION("""COMPUTED_VALUE"""),"標題")</f>
        <v>標題</v>
      </c>
      <c r="V23" s="19" t="str">
        <f ca="1">IFERROR(__xludf.DUMMYFUNCTION("""COMPUTED_VALUE"""),"置中")</f>
        <v>置中</v>
      </c>
      <c r="W23" s="19" t="str">
        <f ca="1">IFERROR(__xludf.DUMMYFUNCTION("""COMPUTED_VALUE"""),"置中 + Display See All")</f>
        <v>置中 + Display See All</v>
      </c>
      <c r="X23" s="19" t="str">
        <f ca="1">IFERROR(__xludf.DUMMYFUNCTION("""COMPUTED_VALUE"""),"置左")</f>
        <v>置左</v>
      </c>
      <c r="Y23" s="19" t="str">
        <f ca="1">IFERROR(__xludf.DUMMYFUNCTION("""COMPUTED_VALUE"""),"置左 + Display See All")</f>
        <v>置左 + Display See All</v>
      </c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</row>
    <row r="24" spans="1:71" ht="15.75" customHeight="1">
      <c r="A24" s="308"/>
      <c r="B24" s="320" t="s">
        <v>159</v>
      </c>
      <c r="C24" s="320" t="s">
        <v>160</v>
      </c>
      <c r="D24" s="320" t="str">
        <f t="shared" si="0"/>
        <v>標題_置中</v>
      </c>
      <c r="E24" s="200" t="s">
        <v>161</v>
      </c>
      <c r="F24" s="322"/>
      <c r="G24" s="333"/>
      <c r="H24" s="200">
        <v>0.5</v>
      </c>
      <c r="I24" s="323" t="s">
        <v>162</v>
      </c>
      <c r="J24" s="324" t="s">
        <v>1046</v>
      </c>
      <c r="K24" s="324" t="s">
        <v>1046</v>
      </c>
      <c r="L24" s="324" t="s">
        <v>1047</v>
      </c>
      <c r="M24" s="325" t="s">
        <v>1072</v>
      </c>
      <c r="N24" s="325" t="s">
        <v>1073</v>
      </c>
      <c r="O24" s="325" t="s">
        <v>115</v>
      </c>
      <c r="P24" s="325" t="s">
        <v>115</v>
      </c>
      <c r="Q24" s="325" t="s">
        <v>115</v>
      </c>
      <c r="R24" s="191"/>
      <c r="S24" s="205">
        <f t="shared" si="1"/>
        <v>5</v>
      </c>
      <c r="T24" s="308"/>
      <c r="U24" s="308" t="str">
        <f ca="1">IFERROR(__xludf.DUMMYFUNCTION("""COMPUTED_VALUE"""),"文字")</f>
        <v>文字</v>
      </c>
      <c r="V24" s="308" t="str">
        <f ca="1">IFERROR(__xludf.DUMMYFUNCTION("""COMPUTED_VALUE"""),"說明文字-固定")</f>
        <v>說明文字-固定</v>
      </c>
      <c r="W24" s="308" t="str">
        <f ca="1">IFERROR(__xludf.DUMMYFUNCTION("""COMPUTED_VALUE"""),"活動辦法-固定")</f>
        <v>活動辦法-固定</v>
      </c>
      <c r="X24" s="308" t="str">
        <f ca="1">IFERROR(__xludf.DUMMYFUNCTION("""COMPUTED_VALUE"""),"中標")</f>
        <v>中標</v>
      </c>
      <c r="Y24" s="308" t="str">
        <f ca="1">IFERROR(__xludf.DUMMYFUNCTION("""COMPUTED_VALUE"""),"小標")</f>
        <v>小標</v>
      </c>
      <c r="Z24" s="308"/>
      <c r="AA24" s="308"/>
      <c r="AB24" s="308"/>
      <c r="AC24" s="308"/>
      <c r="AD24" s="308"/>
      <c r="AE24" s="308"/>
      <c r="AF24" s="308"/>
      <c r="AG24" s="308"/>
      <c r="AH24" s="308"/>
      <c r="AI24" s="308"/>
      <c r="AJ24" s="308"/>
      <c r="AK24" s="308"/>
      <c r="AL24" s="308"/>
      <c r="AM24" s="308"/>
      <c r="AN24" s="308"/>
      <c r="AO24" s="308"/>
      <c r="AP24" s="308"/>
      <c r="AQ24" s="308"/>
      <c r="AR24" s="308"/>
      <c r="AS24" s="308"/>
      <c r="AT24" s="308"/>
      <c r="AU24" s="308"/>
      <c r="AV24" s="308"/>
      <c r="AW24" s="308"/>
      <c r="AX24" s="308"/>
      <c r="AY24" s="308"/>
      <c r="AZ24" s="308"/>
      <c r="BA24" s="308"/>
      <c r="BB24" s="308"/>
      <c r="BC24" s="308"/>
      <c r="BD24" s="308"/>
      <c r="BE24" s="308"/>
      <c r="BF24" s="308"/>
      <c r="BG24" s="308"/>
      <c r="BH24" s="308"/>
      <c r="BI24" s="308"/>
      <c r="BJ24" s="308"/>
      <c r="BK24" s="308"/>
      <c r="BL24" s="308"/>
      <c r="BM24" s="308"/>
      <c r="BN24" s="308"/>
      <c r="BO24" s="308"/>
      <c r="BP24" s="308"/>
      <c r="BQ24" s="308"/>
      <c r="BR24" s="308"/>
      <c r="BS24" s="308"/>
    </row>
    <row r="25" spans="1:71" ht="15.75" customHeight="1">
      <c r="A25" s="308"/>
      <c r="B25" s="334" t="s">
        <v>159</v>
      </c>
      <c r="C25" s="334" t="s">
        <v>156</v>
      </c>
      <c r="D25" s="320" t="str">
        <f t="shared" si="0"/>
        <v>標題_置中 + Display See All</v>
      </c>
      <c r="E25" s="200" t="s">
        <v>1074</v>
      </c>
      <c r="F25" s="322"/>
      <c r="G25" s="333"/>
      <c r="H25" s="330">
        <v>0.5</v>
      </c>
      <c r="I25" s="332" t="s">
        <v>162</v>
      </c>
      <c r="J25" s="331" t="s">
        <v>1046</v>
      </c>
      <c r="K25" s="331" t="s">
        <v>1046</v>
      </c>
      <c r="L25" s="331" t="s">
        <v>1047</v>
      </c>
      <c r="M25" s="332" t="s">
        <v>1072</v>
      </c>
      <c r="N25" s="332" t="s">
        <v>1073</v>
      </c>
      <c r="O25" s="332" t="s">
        <v>1075</v>
      </c>
      <c r="P25" s="332" t="s">
        <v>115</v>
      </c>
      <c r="Q25" s="332" t="s">
        <v>115</v>
      </c>
      <c r="R25" s="329"/>
      <c r="S25" s="205">
        <f t="shared" si="1"/>
        <v>6</v>
      </c>
      <c r="T25" s="308"/>
      <c r="U25" s="308" t="str">
        <f ca="1">IFERROR(__xludf.DUMMYFUNCTION("""COMPUTED_VALUE"""),"優惠券_真券")</f>
        <v>優惠券_真券</v>
      </c>
      <c r="V25" s="308" t="str">
        <f ca="1">IFERROR(__xludf.DUMMYFUNCTION("""COMPUTED_VALUE"""),"一排1張(單張/多張)(無一鍵領取)")</f>
        <v>一排1張(單張/多張)(無一鍵領取)</v>
      </c>
      <c r="W25" s="308" t="str">
        <f ca="1">IFERROR(__xludf.DUMMYFUNCTION("""COMPUTED_VALUE"""),"一排1張 + Reminder(單張/多張)(無一鍵領取)")</f>
        <v>一排1張 + Reminder(單張/多張)(無一鍵領取)</v>
      </c>
      <c r="X25" s="308" t="str">
        <f ca="1">IFERROR(__xludf.DUMMYFUNCTION("""COMPUTED_VALUE"""),"一排1張 + 一鍵領取(多張)")</f>
        <v>一排1張 + 一鍵領取(多張)</v>
      </c>
      <c r="Y25" s="308" t="str">
        <f ca="1">IFERROR(__xludf.DUMMYFUNCTION("""COMPUTED_VALUE"""),"【僅供MKT Campaign使用】PC：一排兩張；APP：一排1張 + 一鍵領取(多張)")</f>
        <v>【僅供MKT Campaign使用】PC：一排兩張；APP：一排1張 + 一鍵領取(多張)</v>
      </c>
      <c r="Z25" s="308" t="str">
        <f ca="1">IFERROR(__xludf.DUMMYFUNCTION("""COMPUTED_VALUE"""),"【僅供MKT Campaign使用】PC：一排兩張；APP：一排1張 + 一鍵領取(多張) + Reminder")</f>
        <v>【僅供MKT Campaign使用】PC：一排兩張；APP：一排1張 + 一鍵領取(多張) + Reminder</v>
      </c>
      <c r="AA25" s="308" t="str">
        <f ca="1">IFERROR(__xludf.DUMMYFUNCTION("""COMPUTED_VALUE"""),"【僅供MKT Campaign使用】PC：一排兩張；APP：一排1張 + 一鍵領取(多張) + Reminder + 查看全部(系統預設加上「優惠券」文案)")</f>
        <v>【僅供MKT Campaign使用】PC：一排兩張；APP：一排1張 + 一鍵領取(多張) + Reminder + 查看全部(系統預設加上「優惠券」文案)</v>
      </c>
      <c r="AB25" s="308" t="str">
        <f ca="1">IFERROR(__xludf.DUMMYFUNCTION("""COMPUTED_VALUE"""),"一排2張(單張/多張)(無一鍵領取)")</f>
        <v>一排2張(單張/多張)(無一鍵領取)</v>
      </c>
      <c r="AC25" s="308" t="str">
        <f ca="1">IFERROR(__xludf.DUMMYFUNCTION("""COMPUTED_VALUE"""),"一排2張 + Reminder(單張/多張)(無一鍵領取)")</f>
        <v>一排2張 + Reminder(單張/多張)(無一鍵領取)</v>
      </c>
      <c r="AD25" s="308" t="str">
        <f ca="1">IFERROR(__xludf.DUMMYFUNCTION("""COMPUTED_VALUE"""),"一排2張 + 一鍵領取(多張)")</f>
        <v>一排2張 + 一鍵領取(多張)</v>
      </c>
      <c r="AE25" s="308"/>
      <c r="AF25" s="308"/>
      <c r="AG25" s="308"/>
      <c r="AH25" s="308"/>
      <c r="AI25" s="308"/>
      <c r="AJ25" s="308"/>
      <c r="AK25" s="308"/>
      <c r="AL25" s="308"/>
      <c r="AM25" s="308"/>
      <c r="AN25" s="308"/>
      <c r="AO25" s="308"/>
      <c r="AP25" s="308"/>
      <c r="AQ25" s="308"/>
      <c r="AR25" s="308"/>
      <c r="AS25" s="308"/>
      <c r="AT25" s="308"/>
      <c r="AU25" s="308"/>
      <c r="AV25" s="308"/>
      <c r="AW25" s="308"/>
      <c r="AX25" s="308"/>
      <c r="AY25" s="308"/>
      <c r="AZ25" s="308"/>
      <c r="BA25" s="308"/>
      <c r="BB25" s="308"/>
      <c r="BC25" s="308"/>
      <c r="BD25" s="308"/>
      <c r="BE25" s="308"/>
      <c r="BF25" s="308"/>
      <c r="BG25" s="308"/>
      <c r="BH25" s="308"/>
      <c r="BI25" s="308"/>
      <c r="BJ25" s="308"/>
      <c r="BK25" s="308"/>
      <c r="BL25" s="308"/>
      <c r="BM25" s="308"/>
      <c r="BN25" s="308"/>
      <c r="BO25" s="308"/>
      <c r="BP25" s="308"/>
      <c r="BQ25" s="308"/>
      <c r="BR25" s="308"/>
      <c r="BS25" s="308"/>
    </row>
    <row r="26" spans="1:71" ht="15.75" customHeight="1">
      <c r="A26" s="308"/>
      <c r="B26" s="320" t="s">
        <v>159</v>
      </c>
      <c r="C26" s="320" t="s">
        <v>157</v>
      </c>
      <c r="D26" s="320" t="str">
        <f t="shared" si="0"/>
        <v>標題_置左</v>
      </c>
      <c r="E26" s="200" t="s">
        <v>163</v>
      </c>
      <c r="F26" s="322"/>
      <c r="G26" s="335"/>
      <c r="H26" s="200">
        <v>0.5</v>
      </c>
      <c r="I26" s="323" t="s">
        <v>162</v>
      </c>
      <c r="J26" s="324" t="s">
        <v>1046</v>
      </c>
      <c r="K26" s="324" t="s">
        <v>1046</v>
      </c>
      <c r="L26" s="324" t="s">
        <v>1047</v>
      </c>
      <c r="M26" s="325" t="s">
        <v>1072</v>
      </c>
      <c r="N26" s="325" t="s">
        <v>1073</v>
      </c>
      <c r="O26" s="325" t="s">
        <v>115</v>
      </c>
      <c r="P26" s="325" t="s">
        <v>115</v>
      </c>
      <c r="Q26" s="325" t="s">
        <v>115</v>
      </c>
      <c r="R26" s="191"/>
      <c r="S26" s="205">
        <f t="shared" si="1"/>
        <v>5</v>
      </c>
      <c r="T26" s="308"/>
      <c r="U26" s="308" t="str">
        <f ca="1">IFERROR(__xludf.DUMMYFUNCTION("""COMPUTED_VALUE"""),"優惠券_GD模版")</f>
        <v>優惠券_GD模版</v>
      </c>
      <c r="V26" s="308" t="str">
        <f ca="1">IFERROR(__xludf.DUMMYFUNCTION("""COMPUTED_VALUE"""),"(全站券) 假券一排1張 CTA")</f>
        <v>(全站券) 假券一排1張 CTA</v>
      </c>
      <c r="W26" s="308" t="str">
        <f ca="1">IFERROR(__xludf.DUMMYFUNCTION("""COMPUTED_VALUE"""),"(全站券) 假券一排1張 Reminder")</f>
        <v>(全站券) 假券一排1張 Reminder</v>
      </c>
      <c r="X26" s="308" t="str">
        <f ca="1">IFERROR(__xludf.DUMMYFUNCTION("""COMPUTED_VALUE"""),"(全站券) 假券一排2張 CTA+CTA")</f>
        <v>(全站券) 假券一排2張 CTA+CTA</v>
      </c>
      <c r="Y26" s="308" t="str">
        <f ca="1">IFERROR(__xludf.DUMMYFUNCTION("""COMPUTED_VALUE"""),"(全站券) 假券一排2張 Reminder+Reminder")</f>
        <v>(全站券) 假券一排2張 Reminder+Reminder</v>
      </c>
      <c r="Z26" s="308" t="str">
        <f ca="1">IFERROR(__xludf.DUMMYFUNCTION("""COMPUTED_VALUE"""),"(全站券) 假券一排2張 CTA+Reminder")</f>
        <v>(全站券) 假券一排2張 CTA+Reminder</v>
      </c>
      <c r="AA26" s="308" t="str">
        <f ca="1">IFERROR(__xludf.DUMMYFUNCTION("""COMPUTED_VALUE"""),"(商城券) 假券一排1張 CTA")</f>
        <v>(商城券) 假券一排1張 CTA</v>
      </c>
      <c r="AB26" s="308" t="str">
        <f ca="1">IFERROR(__xludf.DUMMYFUNCTION("""COMPUTED_VALUE"""),"(商城券) 假券一排1張 Reminder")</f>
        <v>(商城券) 假券一排1張 Reminder</v>
      </c>
      <c r="AC26" s="308" t="str">
        <f ca="1">IFERROR(__xludf.DUMMYFUNCTION("""COMPUTED_VALUE"""),"(商城券) 假券一排2張 CTA+CTA")</f>
        <v>(商城券) 假券一排2張 CTA+CTA</v>
      </c>
      <c r="AD26" s="308" t="str">
        <f ca="1">IFERROR(__xludf.DUMMYFUNCTION("""COMPUTED_VALUE"""),"(商城券) 假券一排2張 Reminder+Reminder")</f>
        <v>(商城券) 假券一排2張 Reminder+Reminder</v>
      </c>
      <c r="AE26" s="308" t="str">
        <f ca="1">IFERROR(__xludf.DUMMYFUNCTION("""COMPUTED_VALUE"""),"(商城券) 假券一排2張 CTA+Reminder")</f>
        <v>(商城券) 假券一排2張 CTA+Reminder</v>
      </c>
      <c r="AF26" s="308" t="str">
        <f ca="1">IFERROR(__xludf.DUMMYFUNCTION("""COMPUTED_VALUE"""),"(全站券+商城券) 假券一排2張 CTA+CTA")</f>
        <v>(全站券+商城券) 假券一排2張 CTA+CTA</v>
      </c>
      <c r="AG26" s="308" t="str">
        <f ca="1">IFERROR(__xludf.DUMMYFUNCTION("""COMPUTED_VALUE"""),"(全站券+商城券) 假券一排2張 Reminder+Reminder")</f>
        <v>(全站券+商城券) 假券一排2張 Reminder+Reminder</v>
      </c>
      <c r="AH26" s="308" t="str">
        <f ca="1">IFERROR(__xludf.DUMMYFUNCTION("""COMPUTED_VALUE"""),"(全站券+商城券) 假券一排2張 CTA+Reminder")</f>
        <v>(全站券+商城券) 假券一排2張 CTA+Reminder</v>
      </c>
      <c r="AI26" s="308"/>
      <c r="AJ26" s="308"/>
      <c r="AK26" s="308"/>
      <c r="AL26" s="308"/>
      <c r="AM26" s="308"/>
      <c r="AN26" s="308"/>
      <c r="AO26" s="308"/>
      <c r="AP26" s="308"/>
      <c r="AQ26" s="308"/>
      <c r="AR26" s="308"/>
      <c r="AS26" s="308"/>
      <c r="AT26" s="308"/>
      <c r="AU26" s="308"/>
      <c r="AV26" s="308"/>
      <c r="AW26" s="308"/>
      <c r="AX26" s="308"/>
      <c r="AY26" s="308"/>
      <c r="AZ26" s="308"/>
      <c r="BA26" s="308"/>
      <c r="BB26" s="308"/>
      <c r="BC26" s="308"/>
      <c r="BD26" s="308"/>
      <c r="BE26" s="308"/>
      <c r="BF26" s="308"/>
      <c r="BG26" s="308"/>
      <c r="BH26" s="308"/>
      <c r="BI26" s="308"/>
      <c r="BJ26" s="308"/>
      <c r="BK26" s="308"/>
      <c r="BL26" s="308"/>
      <c r="BM26" s="308"/>
      <c r="BN26" s="308"/>
      <c r="BO26" s="308"/>
      <c r="BP26" s="308"/>
      <c r="BQ26" s="308"/>
      <c r="BR26" s="308"/>
      <c r="BS26" s="308"/>
    </row>
    <row r="27" spans="1:71" ht="15.75" customHeight="1">
      <c r="A27" s="308"/>
      <c r="B27" s="334" t="s">
        <v>159</v>
      </c>
      <c r="C27" s="334" t="s">
        <v>158</v>
      </c>
      <c r="D27" s="320" t="str">
        <f t="shared" si="0"/>
        <v>標題_置左 + Display See All</v>
      </c>
      <c r="E27" s="200" t="s">
        <v>1076</v>
      </c>
      <c r="F27" s="322"/>
      <c r="G27" s="335"/>
      <c r="H27" s="200">
        <v>0.5</v>
      </c>
      <c r="I27" s="323" t="s">
        <v>162</v>
      </c>
      <c r="J27" s="331" t="s">
        <v>1046</v>
      </c>
      <c r="K27" s="331" t="s">
        <v>1046</v>
      </c>
      <c r="L27" s="331" t="s">
        <v>1047</v>
      </c>
      <c r="M27" s="332" t="s">
        <v>1072</v>
      </c>
      <c r="N27" s="332" t="s">
        <v>1073</v>
      </c>
      <c r="O27" s="332" t="s">
        <v>1075</v>
      </c>
      <c r="P27" s="332" t="s">
        <v>115</v>
      </c>
      <c r="Q27" s="332" t="s">
        <v>115</v>
      </c>
      <c r="R27" s="329"/>
      <c r="S27" s="205">
        <f t="shared" si="1"/>
        <v>6</v>
      </c>
      <c r="T27" s="308"/>
      <c r="U27" s="308" t="str">
        <f ca="1">IFERROR(__xludf.DUMMYFUNCTION("""COMPUTED_VALUE"""),"品")</f>
        <v>品</v>
      </c>
      <c r="V27" s="308" t="str">
        <f ca="1">IFERROR(__xludf.DUMMYFUNCTION("""COMPUTED_VALUE"""),"一排1品(垂直展示)")</f>
        <v>一排1品(垂直展示)</v>
      </c>
      <c r="W27" s="308" t="str">
        <f ca="1">IFERROR(__xludf.DUMMYFUNCTION("""COMPUTED_VALUE"""),"一排2品(垂直展示)")</f>
        <v>一排2品(垂直展示)</v>
      </c>
      <c r="X27" s="308" t="str">
        <f ca="1">IFERROR(__xludf.DUMMYFUNCTION("""COMPUTED_VALUE"""),"一排3品(垂直展示)")</f>
        <v>一排3品(垂直展示)</v>
      </c>
      <c r="Y27" s="308" t="str">
        <f ca="1">IFERROR(__xludf.DUMMYFUNCTION("""COMPUTED_VALUE"""),"Collection 1條(水平展示)")</f>
        <v>Collection 1條(水平展示)</v>
      </c>
      <c r="Z27" s="308" t="str">
        <f ca="1">IFERROR(__xludf.DUMMYFUNCTION("""COMPUTED_VALUE"""),"Collection 1條(水平展示) + 查看全部(Footer)")</f>
        <v>Collection 1條(水平展示) + 查看全部(Footer)</v>
      </c>
      <c r="AA27" s="308" t="str">
        <f ca="1">IFERROR(__xludf.DUMMYFUNCTION("""COMPUTED_VALUE"""),"Multi tabs")</f>
        <v>Multi tabs</v>
      </c>
      <c r="AB27" s="308" t="str">
        <f ca="1">IFERROR(__xludf.DUMMYFUNCTION("""COMPUTED_VALUE"""),"推薦品 Item Recommendation-固定")</f>
        <v>推薦品 Item Recommendation-固定</v>
      </c>
      <c r="AC27" s="308"/>
      <c r="AD27" s="308"/>
      <c r="AE27" s="308"/>
      <c r="AF27" s="308"/>
      <c r="AG27" s="308"/>
      <c r="AH27" s="308"/>
      <c r="AI27" s="308"/>
      <c r="AJ27" s="308"/>
      <c r="AK27" s="308"/>
      <c r="AL27" s="308"/>
      <c r="AM27" s="308"/>
      <c r="AN27" s="308"/>
      <c r="AO27" s="308"/>
      <c r="AP27" s="308"/>
      <c r="AQ27" s="308"/>
      <c r="AR27" s="308"/>
      <c r="AS27" s="308"/>
      <c r="AT27" s="308"/>
      <c r="AU27" s="308"/>
      <c r="AV27" s="308"/>
      <c r="AW27" s="308"/>
      <c r="AX27" s="308"/>
      <c r="AY27" s="308"/>
      <c r="AZ27" s="308"/>
      <c r="BA27" s="308"/>
      <c r="BB27" s="308"/>
      <c r="BC27" s="308"/>
      <c r="BD27" s="308"/>
      <c r="BE27" s="308"/>
      <c r="BF27" s="308"/>
      <c r="BG27" s="308"/>
      <c r="BH27" s="308"/>
      <c r="BI27" s="308"/>
      <c r="BJ27" s="308"/>
      <c r="BK27" s="308"/>
      <c r="BL27" s="308"/>
      <c r="BM27" s="308"/>
      <c r="BN27" s="308"/>
      <c r="BO27" s="308"/>
      <c r="BP27" s="308"/>
      <c r="BQ27" s="308"/>
      <c r="BR27" s="308"/>
      <c r="BS27" s="308"/>
    </row>
    <row r="28" spans="1:71" ht="15.75" customHeight="1">
      <c r="A28" s="308"/>
      <c r="B28" s="320" t="s">
        <v>168</v>
      </c>
      <c r="C28" s="320" t="s">
        <v>1077</v>
      </c>
      <c r="D28" s="320" t="str">
        <f t="shared" si="0"/>
        <v>文字_說明文字-固定</v>
      </c>
      <c r="E28" s="200" t="s">
        <v>1078</v>
      </c>
      <c r="F28" s="322"/>
      <c r="G28" s="200" t="s">
        <v>1079</v>
      </c>
      <c r="H28" s="200">
        <v>0.5</v>
      </c>
      <c r="I28" s="323" t="s">
        <v>1080</v>
      </c>
      <c r="J28" s="324" t="s">
        <v>1046</v>
      </c>
      <c r="K28" s="324" t="s">
        <v>1046</v>
      </c>
      <c r="L28" s="324" t="s">
        <v>1047</v>
      </c>
      <c r="M28" s="325" t="s">
        <v>1081</v>
      </c>
      <c r="N28" s="325" t="s">
        <v>1082</v>
      </c>
      <c r="O28" s="325" t="s">
        <v>115</v>
      </c>
      <c r="P28" s="325" t="s">
        <v>115</v>
      </c>
      <c r="Q28" s="325" t="s">
        <v>115</v>
      </c>
      <c r="R28" s="191"/>
      <c r="S28" s="205">
        <f t="shared" si="1"/>
        <v>5</v>
      </c>
      <c r="T28" s="308"/>
      <c r="U28" s="308" t="str">
        <f ca="1">IFERROR(__xludf.DUMMYFUNCTION("""COMPUTED_VALUE"""),"店")</f>
        <v>店</v>
      </c>
      <c r="V28" s="308" t="str">
        <f ca="1">IFERROR(__xludf.DUMMYFUNCTION("""COMPUTED_VALUE"""),"Collection 1條")</f>
        <v>Collection 1條</v>
      </c>
      <c r="W28" s="308"/>
      <c r="X28" s="308"/>
      <c r="Y28" s="308"/>
      <c r="Z28" s="308"/>
      <c r="AA28" s="308"/>
      <c r="AB28" s="308"/>
      <c r="AC28" s="308"/>
      <c r="AD28" s="308"/>
      <c r="AE28" s="308"/>
      <c r="AF28" s="308"/>
      <c r="AG28" s="308"/>
      <c r="AH28" s="308"/>
      <c r="AI28" s="308"/>
      <c r="AJ28" s="308"/>
      <c r="AK28" s="308"/>
      <c r="AL28" s="308"/>
      <c r="AM28" s="308"/>
      <c r="AN28" s="308"/>
      <c r="AO28" s="308"/>
      <c r="AP28" s="308"/>
      <c r="AQ28" s="308"/>
      <c r="AR28" s="308"/>
      <c r="AS28" s="308"/>
      <c r="AT28" s="308"/>
      <c r="AU28" s="308"/>
      <c r="AV28" s="308"/>
      <c r="AW28" s="308"/>
      <c r="AX28" s="308"/>
      <c r="AY28" s="308"/>
      <c r="AZ28" s="308"/>
      <c r="BA28" s="308"/>
      <c r="BB28" s="308"/>
      <c r="BC28" s="308"/>
      <c r="BD28" s="308"/>
      <c r="BE28" s="308"/>
      <c r="BF28" s="308"/>
      <c r="BG28" s="308"/>
      <c r="BH28" s="308"/>
      <c r="BI28" s="308"/>
      <c r="BJ28" s="308"/>
      <c r="BK28" s="308"/>
      <c r="BL28" s="308"/>
      <c r="BM28" s="308"/>
      <c r="BN28" s="308"/>
      <c r="BO28" s="308"/>
      <c r="BP28" s="308"/>
      <c r="BQ28" s="308"/>
      <c r="BR28" s="308"/>
      <c r="BS28" s="308"/>
    </row>
    <row r="29" spans="1:71" ht="15.75" customHeight="1">
      <c r="A29" s="308"/>
      <c r="B29" s="320" t="s">
        <v>168</v>
      </c>
      <c r="C29" s="320" t="s">
        <v>165</v>
      </c>
      <c r="D29" s="320" t="str">
        <f t="shared" si="0"/>
        <v>文字_活動辦法-固定</v>
      </c>
      <c r="E29" s="200" t="s">
        <v>1083</v>
      </c>
      <c r="F29" s="322"/>
      <c r="G29" s="200" t="s">
        <v>402</v>
      </c>
      <c r="H29" s="200">
        <v>1</v>
      </c>
      <c r="I29" s="323" t="s">
        <v>1084</v>
      </c>
      <c r="J29" s="324" t="s">
        <v>1046</v>
      </c>
      <c r="K29" s="324" t="s">
        <v>1046</v>
      </c>
      <c r="L29" s="324" t="s">
        <v>1047</v>
      </c>
      <c r="M29" s="325" t="s">
        <v>1081</v>
      </c>
      <c r="N29" s="325" t="s">
        <v>1085</v>
      </c>
      <c r="O29" s="325" t="s">
        <v>115</v>
      </c>
      <c r="P29" s="325" t="s">
        <v>115</v>
      </c>
      <c r="Q29" s="325" t="s">
        <v>115</v>
      </c>
      <c r="R29" s="191"/>
      <c r="S29" s="205">
        <f t="shared" si="1"/>
        <v>5</v>
      </c>
      <c r="T29" s="308"/>
      <c r="U29" s="308" t="str">
        <f ca="1">IFERROR(__xludf.DUMMYFUNCTION("""COMPUTED_VALUE"""),"圖_MSBN")</f>
        <v>圖_MSBN</v>
      </c>
      <c r="V29" s="308" t="str">
        <f ca="1">IFERROR(__xludf.DUMMYFUNCTION("""COMPUTED_VALUE"""),"無CTA")</f>
        <v>無CTA</v>
      </c>
      <c r="W29" s="308" t="str">
        <f ca="1">IFERROR(__xludf.DUMMYFUNCTION("""COMPUTED_VALUE"""),"LINK*1")</f>
        <v>LINK*1</v>
      </c>
      <c r="X29" s="308" t="str">
        <f ca="1">IFERROR(__xludf.DUMMYFUNCTION("""COMPUTED_VALUE"""),"LINK*2")</f>
        <v>LINK*2</v>
      </c>
      <c r="Y29" s="308" t="str">
        <f ca="1">IFERROR(__xludf.DUMMYFUNCTION("""COMPUTED_VALUE"""),"LINK*3")</f>
        <v>LINK*3</v>
      </c>
      <c r="Z29" s="308" t="str">
        <f ca="1">IFERROR(__xludf.DUMMYFUNCTION("""COMPUTED_VALUE"""),"LINK&gt;3")</f>
        <v>LINK&gt;3</v>
      </c>
      <c r="AA29" s="308" t="str">
        <f ca="1">IFERROR(__xludf.DUMMYFUNCTION("""COMPUTED_VALUE"""),"Reminder*1")</f>
        <v>Reminder*1</v>
      </c>
      <c r="AB29" s="308" t="str">
        <f ca="1">IFERROR(__xludf.DUMMYFUNCTION("""COMPUTED_VALUE"""),"Reminder*2")</f>
        <v>Reminder*2</v>
      </c>
      <c r="AC29" s="308" t="str">
        <f ca="1">IFERROR(__xludf.DUMMYFUNCTION("""COMPUTED_VALUE"""),"Reminder*3")</f>
        <v>Reminder*3</v>
      </c>
      <c r="AD29" s="308" t="str">
        <f ca="1">IFERROR(__xludf.DUMMYFUNCTION("""COMPUTED_VALUE"""),"Reminder*4")</f>
        <v>Reminder*4</v>
      </c>
      <c r="AE29" s="308" t="str">
        <f ca="1">IFERROR(__xludf.DUMMYFUNCTION("""COMPUTED_VALUE"""),"Reminder*5")</f>
        <v>Reminder*5</v>
      </c>
      <c r="AF29" s="308" t="str">
        <f ca="1">IFERROR(__xludf.DUMMYFUNCTION("""COMPUTED_VALUE"""),"Reminder&gt;5")</f>
        <v>Reminder&gt;5</v>
      </c>
      <c r="AG29" s="308" t="str">
        <f ca="1">IFERROR(__xludf.DUMMYFUNCTION("""COMPUTED_VALUE"""),"LINK*1 + Reminder*1")</f>
        <v>LINK*1 + Reminder*1</v>
      </c>
      <c r="AH29" s="308" t="str">
        <f ca="1">IFERROR(__xludf.DUMMYFUNCTION("""COMPUTED_VALUE"""),"LINK*1 + Reminder*2")</f>
        <v>LINK*1 + Reminder*2</v>
      </c>
      <c r="AI29" s="308" t="str">
        <f ca="1">IFERROR(__xludf.DUMMYFUNCTION("""COMPUTED_VALUE"""),"LINK*2 + Reminder*1")</f>
        <v>LINK*2 + Reminder*1</v>
      </c>
      <c r="AJ29" s="308" t="str">
        <f ca="1">IFERROR(__xludf.DUMMYFUNCTION("""COMPUTED_VALUE"""),"Add to Cart*1")</f>
        <v>Add to Cart*1</v>
      </c>
      <c r="AK29" s="308" t="str">
        <f ca="1">IFERROR(__xludf.DUMMYFUNCTION("""COMPUTED_VALUE"""),"Add to Cart*2")</f>
        <v>Add to Cart*2</v>
      </c>
      <c r="AL29" s="308" t="str">
        <f ca="1">IFERROR(__xludf.DUMMYFUNCTION("""COMPUTED_VALUE"""),"Add to Cart*3")</f>
        <v>Add to Cart*3</v>
      </c>
      <c r="AM29" s="308" t="str">
        <f ca="1">IFERROR(__xludf.DUMMYFUNCTION("""COMPUTED_VALUE"""),"(Reminder+ATC) *1")</f>
        <v>(Reminder+ATC) *1</v>
      </c>
      <c r="AN29" s="308" t="str">
        <f ca="1">IFERROR(__xludf.DUMMYFUNCTION("""COMPUTED_VALUE"""),"(Reminder+ATC) *2")</f>
        <v>(Reminder+ATC) *2</v>
      </c>
      <c r="AO29" s="308" t="str">
        <f ca="1">IFERROR(__xludf.DUMMYFUNCTION("""COMPUTED_VALUE"""),"(Reminder+ATC) *3")</f>
        <v>(Reminder+ATC) *3</v>
      </c>
      <c r="AP29" s="308" t="str">
        <f ca="1">IFERROR(__xludf.DUMMYFUNCTION("""COMPUTED_VALUE"""),"Popup*1")</f>
        <v>Popup*1</v>
      </c>
      <c r="AQ29" s="308" t="str">
        <f ca="1">IFERROR(__xludf.DUMMYFUNCTION("""COMPUTED_VALUE"""),"Popup*2")</f>
        <v>Popup*2</v>
      </c>
      <c r="AR29" s="308" t="str">
        <f ca="1">IFERROR(__xludf.DUMMYFUNCTION("""COMPUTED_VALUE"""),"Popup*3")</f>
        <v>Popup*3</v>
      </c>
      <c r="AS29" s="308" t="str">
        <f ca="1">IFERROR(__xludf.DUMMYFUNCTION("""COMPUTED_VALUE"""),"Copy*1")</f>
        <v>Copy*1</v>
      </c>
      <c r="AT29" s="308" t="str">
        <f ca="1">IFERROR(__xludf.DUMMYFUNCTION("""COMPUTED_VALUE"""),"Copy*2")</f>
        <v>Copy*2</v>
      </c>
      <c r="AU29" s="308" t="str">
        <f ca="1">IFERROR(__xludf.DUMMYFUNCTION("""COMPUTED_VALUE"""),"Copy*3")</f>
        <v>Copy*3</v>
      </c>
      <c r="AV29" s="308" t="str">
        <f ca="1">IFERROR(__xludf.DUMMYFUNCTION("""COMPUTED_VALUE"""),"Share*1")</f>
        <v>Share*1</v>
      </c>
      <c r="AW29" s="308" t="str">
        <f ca="1">IFERROR(__xludf.DUMMYFUNCTION("""COMPUTED_VALUE"""),"Share*2")</f>
        <v>Share*2</v>
      </c>
      <c r="AX29" s="308" t="str">
        <f ca="1">IFERROR(__xludf.DUMMYFUNCTION("""COMPUTED_VALUE"""),"Share*3")</f>
        <v>Share*3</v>
      </c>
      <c r="AY29" s="308" t="str">
        <f ca="1">IFERROR(__xludf.DUMMYFUNCTION("""COMPUTED_VALUE"""),"Placeholders")</f>
        <v>Placeholders</v>
      </c>
      <c r="AZ29" s="308"/>
      <c r="BA29" s="308"/>
      <c r="BB29" s="308"/>
      <c r="BC29" s="308"/>
      <c r="BD29" s="308"/>
      <c r="BE29" s="308"/>
      <c r="BF29" s="308"/>
      <c r="BG29" s="308"/>
      <c r="BH29" s="308"/>
      <c r="BI29" s="308"/>
      <c r="BJ29" s="308"/>
      <c r="BK29" s="308"/>
      <c r="BL29" s="308"/>
      <c r="BM29" s="308"/>
      <c r="BN29" s="308"/>
      <c r="BO29" s="308"/>
      <c r="BP29" s="308"/>
      <c r="BQ29" s="308"/>
      <c r="BR29" s="308"/>
      <c r="BS29" s="308"/>
    </row>
    <row r="30" spans="1:71" ht="15.75" customHeight="1">
      <c r="A30" s="308"/>
      <c r="B30" s="326" t="s">
        <v>168</v>
      </c>
      <c r="C30" s="326" t="s">
        <v>166</v>
      </c>
      <c r="D30" s="320" t="str">
        <f t="shared" si="0"/>
        <v>文字_中標</v>
      </c>
      <c r="E30" s="200" t="s">
        <v>169</v>
      </c>
      <c r="F30" s="322"/>
      <c r="G30" s="200"/>
      <c r="H30" s="200">
        <v>0.5</v>
      </c>
      <c r="I30" s="323" t="s">
        <v>170</v>
      </c>
      <c r="J30" s="324" t="s">
        <v>1046</v>
      </c>
      <c r="K30" s="324" t="s">
        <v>1046</v>
      </c>
      <c r="L30" s="324" t="s">
        <v>1047</v>
      </c>
      <c r="M30" s="325" t="s">
        <v>1081</v>
      </c>
      <c r="N30" s="325" t="s">
        <v>1082</v>
      </c>
      <c r="O30" s="325" t="s">
        <v>115</v>
      </c>
      <c r="P30" s="325" t="s">
        <v>115</v>
      </c>
      <c r="Q30" s="325" t="s">
        <v>115</v>
      </c>
      <c r="R30" s="191"/>
      <c r="S30" s="205">
        <f t="shared" si="1"/>
        <v>5</v>
      </c>
      <c r="T30" s="308"/>
      <c r="U30" s="308" t="str">
        <f ca="1">IFERROR(__xludf.DUMMYFUNCTION("""COMPUTED_VALUE"""),"圖_ImageCollection")</f>
        <v>圖_ImageCollection</v>
      </c>
      <c r="V30" s="308" t="str">
        <f ca="1">IFERROR(__xludf.DUMMYFUNCTION("""COMPUTED_VALUE"""),"輪播 水平滑動(display number per row: 1)")</f>
        <v>輪播 水平滑動(display number per row: 1)</v>
      </c>
      <c r="W30" s="308"/>
      <c r="X30" s="308"/>
      <c r="Y30" s="308"/>
      <c r="Z30" s="308"/>
      <c r="AA30" s="308"/>
      <c r="AB30" s="308"/>
      <c r="AC30" s="308"/>
      <c r="AD30" s="308"/>
      <c r="AE30" s="308"/>
      <c r="AF30" s="308"/>
      <c r="AG30" s="308"/>
      <c r="AH30" s="308"/>
      <c r="AI30" s="308"/>
      <c r="AJ30" s="308"/>
      <c r="AK30" s="308"/>
      <c r="AL30" s="308"/>
      <c r="AM30" s="308"/>
      <c r="AN30" s="308"/>
      <c r="AO30" s="308"/>
      <c r="AP30" s="308"/>
      <c r="AQ30" s="308"/>
      <c r="AR30" s="308"/>
      <c r="AS30" s="308"/>
      <c r="AT30" s="308"/>
      <c r="AU30" s="308"/>
      <c r="AV30" s="308"/>
      <c r="AW30" s="308"/>
      <c r="AX30" s="308"/>
      <c r="AY30" s="308"/>
      <c r="AZ30" s="308"/>
      <c r="BA30" s="308"/>
      <c r="BB30" s="308"/>
      <c r="BC30" s="308"/>
      <c r="BD30" s="308"/>
      <c r="BE30" s="308"/>
      <c r="BF30" s="308"/>
      <c r="BG30" s="308"/>
      <c r="BH30" s="308"/>
      <c r="BI30" s="308"/>
      <c r="BJ30" s="308"/>
      <c r="BK30" s="308"/>
      <c r="BL30" s="308"/>
      <c r="BM30" s="308"/>
      <c r="BN30" s="308"/>
      <c r="BO30" s="308"/>
      <c r="BP30" s="308"/>
      <c r="BQ30" s="308"/>
      <c r="BR30" s="308"/>
      <c r="BS30" s="308"/>
    </row>
    <row r="31" spans="1:71" ht="15.75" customHeight="1">
      <c r="A31" s="308"/>
      <c r="B31" s="326" t="s">
        <v>168</v>
      </c>
      <c r="C31" s="326" t="s">
        <v>167</v>
      </c>
      <c r="D31" s="320" t="str">
        <f t="shared" si="0"/>
        <v>文字_小標</v>
      </c>
      <c r="E31" s="200" t="s">
        <v>171</v>
      </c>
      <c r="F31" s="322"/>
      <c r="G31" s="200"/>
      <c r="H31" s="200">
        <v>0.5</v>
      </c>
      <c r="I31" s="323" t="s">
        <v>172</v>
      </c>
      <c r="J31" s="324" t="s">
        <v>1046</v>
      </c>
      <c r="K31" s="324" t="s">
        <v>1046</v>
      </c>
      <c r="L31" s="324" t="s">
        <v>1047</v>
      </c>
      <c r="M31" s="325" t="s">
        <v>1081</v>
      </c>
      <c r="N31" s="325" t="s">
        <v>1082</v>
      </c>
      <c r="O31" s="325" t="s">
        <v>115</v>
      </c>
      <c r="P31" s="325" t="s">
        <v>115</v>
      </c>
      <c r="Q31" s="325" t="s">
        <v>115</v>
      </c>
      <c r="R31" s="191"/>
      <c r="S31" s="205">
        <f t="shared" si="1"/>
        <v>5</v>
      </c>
      <c r="T31" s="308"/>
      <c r="U31" s="308" t="str">
        <f ca="1">IFERROR(__xludf.DUMMYFUNCTION("""COMPUTED_VALUE"""),"圖_GD模版_MKT_Camp公版")</f>
        <v>圖_GD模版_MKT_Camp公版</v>
      </c>
      <c r="V31" s="308" t="str">
        <f ca="1">IFERROR(__xludf.DUMMYFUNCTION("""COMPUTED_VALUE"""),"時間軸(一排1個)")</f>
        <v>時間軸(一排1個)</v>
      </c>
      <c r="W31" s="308" t="str">
        <f ca="1">IFERROR(__xludf.DUMMYFUNCTION("""COMPUTED_VALUE"""),"時間軸(一排2個)")</f>
        <v>時間軸(一排2個)</v>
      </c>
      <c r="X31" s="308" t="str">
        <f ca="1">IFERROR(__xludf.DUMMYFUNCTION("""COMPUTED_VALUE"""),"時間軸(一排3個)")</f>
        <v>時間軸(一排3個)</v>
      </c>
      <c r="Y31" s="308" t="str">
        <f ca="1">IFERROR(__xludf.DUMMYFUNCTION("""COMPUTED_VALUE"""),"LOGO(一排3品)")</f>
        <v>LOGO(一排3品)</v>
      </c>
      <c r="Z31" s="308" t="str">
        <f ca="1">IFERROR(__xludf.DUMMYFUNCTION("""COMPUTED_VALUE"""),"品名+$(一排3品)")</f>
        <v>品名+$(一排3品)</v>
      </c>
      <c r="AA31" s="308" t="str">
        <f ca="1">IFERROR(__xludf.DUMMYFUNCTION("""COMPUTED_VALUE"""),"LOGO(一排2品)")</f>
        <v>LOGO(一排2品)</v>
      </c>
      <c r="AB31" s="308" t="str">
        <f ca="1">IFERROR(__xludf.DUMMYFUNCTION("""COMPUTED_VALUE"""),"品名+$(一排2品)")</f>
        <v>品名+$(一排2品)</v>
      </c>
      <c r="AC31" s="308" t="str">
        <f ca="1">IFERROR(__xludf.DUMMYFUNCTION("""COMPUTED_VALUE"""),"CTA(提醒我/提醒我/提醒我)")</f>
        <v>CTA(提醒我/提醒我/提醒我)</v>
      </c>
      <c r="AD31" s="308" t="str">
        <f ca="1">IFERROR(__xludf.DUMMYFUNCTION("""COMPUTED_VALUE"""),"CTA(下單去/下單去/下單去)")</f>
        <v>CTA(下單去/下單去/下單去)</v>
      </c>
      <c r="AE31" s="308" t="str">
        <f ca="1">IFERROR(__xludf.DUMMYFUNCTION("""COMPUTED_VALUE"""),"Mega大促 上蓋")</f>
        <v>Mega大促 上蓋</v>
      </c>
      <c r="AF31" s="308" t="str">
        <f ca="1">IFERROR(__xludf.DUMMYFUNCTION("""COMPUTED_VALUE"""),"Mega大促 LOGO+品名+$(一排3品)")</f>
        <v>Mega大促 LOGO+品名+$(一排3品)</v>
      </c>
      <c r="AG31" s="308" t="str">
        <f ca="1">IFERROR(__xludf.DUMMYFUNCTION("""COMPUTED_VALUE"""),"Mega大促 CTA(提醒我/提醒我/提醒我)")</f>
        <v>Mega大促 CTA(提醒我/提醒我/提醒我)</v>
      </c>
      <c r="AH31" s="308" t="str">
        <f ca="1">IFERROR(__xludf.DUMMYFUNCTION("""COMPUTED_VALUE"""),"Mega大促 CTA(下單去/下單去/下單去)")</f>
        <v>Mega大促 CTA(下單去/下單去/下單去)</v>
      </c>
      <c r="AI31" s="308" t="str">
        <f ca="1">IFERROR(__xludf.DUMMYFUNCTION("""COMPUTED_VALUE"""),"Mega大促 下蓋")</f>
        <v>Mega大促 下蓋</v>
      </c>
      <c r="AJ31" s="308"/>
      <c r="AK31" s="308"/>
      <c r="AL31" s="308"/>
      <c r="AM31" s="308"/>
      <c r="AN31" s="308"/>
      <c r="AO31" s="308"/>
      <c r="AP31" s="308"/>
      <c r="AQ31" s="308"/>
      <c r="AR31" s="308"/>
      <c r="AS31" s="308"/>
      <c r="AT31" s="308"/>
      <c r="AU31" s="308"/>
      <c r="AV31" s="308"/>
      <c r="AW31" s="308"/>
      <c r="AX31" s="308"/>
      <c r="AY31" s="308"/>
      <c r="AZ31" s="308"/>
      <c r="BA31" s="308"/>
      <c r="BB31" s="308"/>
      <c r="BC31" s="308"/>
      <c r="BD31" s="308"/>
      <c r="BE31" s="308"/>
      <c r="BF31" s="308"/>
      <c r="BG31" s="308"/>
      <c r="BH31" s="308"/>
      <c r="BI31" s="308"/>
      <c r="BJ31" s="308"/>
      <c r="BK31" s="308"/>
      <c r="BL31" s="308"/>
      <c r="BM31" s="308"/>
      <c r="BN31" s="308"/>
      <c r="BO31" s="308"/>
      <c r="BP31" s="308"/>
      <c r="BQ31" s="308"/>
      <c r="BR31" s="308"/>
      <c r="BS31" s="308"/>
    </row>
    <row r="32" spans="1:71" ht="15.75" customHeight="1">
      <c r="A32" s="308"/>
      <c r="B32" s="320" t="s">
        <v>182</v>
      </c>
      <c r="C32" s="320" t="s">
        <v>222</v>
      </c>
      <c r="D32" s="320" t="str">
        <f t="shared" si="0"/>
        <v>優惠券_真券_一排1張(單張/多張)(無一鍵領取)</v>
      </c>
      <c r="E32" s="200" t="s">
        <v>1086</v>
      </c>
      <c r="F32" s="322"/>
      <c r="G32" s="200" t="s">
        <v>1087</v>
      </c>
      <c r="H32" s="200">
        <v>0.5</v>
      </c>
      <c r="I32" s="323" t="s">
        <v>1088</v>
      </c>
      <c r="J32" s="324" t="s">
        <v>1046</v>
      </c>
      <c r="K32" s="324" t="s">
        <v>1046</v>
      </c>
      <c r="L32" s="324" t="s">
        <v>1047</v>
      </c>
      <c r="M32" s="325" t="s">
        <v>1089</v>
      </c>
      <c r="N32" s="325" t="s">
        <v>1090</v>
      </c>
      <c r="O32" s="325" t="s">
        <v>115</v>
      </c>
      <c r="P32" s="325" t="s">
        <v>115</v>
      </c>
      <c r="Q32" s="325" t="s">
        <v>115</v>
      </c>
      <c r="R32" s="191"/>
      <c r="S32" s="205">
        <f t="shared" si="1"/>
        <v>5</v>
      </c>
      <c r="T32" s="308"/>
      <c r="U32" s="308" t="str">
        <f ca="1">IFERROR(__xludf.DUMMYFUNCTION("""COMPUTED_VALUE"""),"圖_GD模版_通用公版")</f>
        <v>圖_GD模版_通用公版</v>
      </c>
      <c r="V32" s="308" t="str">
        <f ca="1">IFERROR(__xludf.DUMMYFUNCTION("""COMPUTED_VALUE"""),"商品圖+$ 1品(文字在左側)")</f>
        <v>商品圖+$ 1品(文字在左側)</v>
      </c>
      <c r="W32" s="308" t="str">
        <f ca="1">IFERROR(__xludf.DUMMYFUNCTION("""COMPUTED_VALUE"""),"商品圖+$ 2品(文字在左側)")</f>
        <v>商品圖+$ 2品(文字在左側)</v>
      </c>
      <c r="X32" s="308" t="str">
        <f ca="1">IFERROR(__xludf.DUMMYFUNCTION("""COMPUTED_VALUE"""),"CTA 自行輸入文案(一排1個) CTA")</f>
        <v>CTA 自行輸入文案(一排1個) CTA</v>
      </c>
      <c r="Y32" s="308" t="str">
        <f ca="1">IFERROR(__xludf.DUMMYFUNCTION("""COMPUTED_VALUE"""),"CTA 自行輸入文案(一排1個) Reminder")</f>
        <v>CTA 自行輸入文案(一排1個) Reminder</v>
      </c>
      <c r="Z32" s="308" t="str">
        <f ca="1">IFERROR(__xludf.DUMMYFUNCTION("""COMPUTED_VALUE"""),"CTA 自行輸入文案(一排2個) Reminder+Reminder")</f>
        <v>CTA 自行輸入文案(一排2個) Reminder+Reminder</v>
      </c>
      <c r="AA32" s="308" t="str">
        <f ca="1">IFERROR(__xludf.DUMMYFUNCTION("""COMPUTED_VALUE"""),"CTA 自行輸入文案(一排2個) CTA+Reminder")</f>
        <v>CTA 自行輸入文案(一排2個) CTA+Reminder</v>
      </c>
      <c r="AB32" s="308" t="str">
        <f ca="1">IFERROR(__xludf.DUMMYFUNCTION("""COMPUTED_VALUE"""),"CTA 自行輸入文案(一排2個) CTA+CTA")</f>
        <v>CTA 自行輸入文案(一排2個) CTA+CTA</v>
      </c>
      <c r="AC32" s="308"/>
      <c r="AD32" s="308"/>
      <c r="AE32" s="308"/>
      <c r="AF32" s="308"/>
      <c r="AG32" s="308"/>
      <c r="AH32" s="308"/>
      <c r="AI32" s="308"/>
      <c r="AJ32" s="308"/>
      <c r="AK32" s="308"/>
      <c r="AL32" s="308"/>
      <c r="AM32" s="308"/>
      <c r="AN32" s="308"/>
      <c r="AO32" s="308"/>
      <c r="AP32" s="308"/>
      <c r="AQ32" s="308"/>
      <c r="AR32" s="308"/>
      <c r="AS32" s="308"/>
      <c r="AT32" s="308"/>
      <c r="AU32" s="308"/>
      <c r="AV32" s="308"/>
      <c r="AW32" s="308"/>
      <c r="AX32" s="308"/>
      <c r="AY32" s="308"/>
      <c r="AZ32" s="308"/>
      <c r="BA32" s="308"/>
      <c r="BB32" s="308"/>
      <c r="BC32" s="308"/>
      <c r="BD32" s="308"/>
      <c r="BE32" s="308"/>
      <c r="BF32" s="308"/>
      <c r="BG32" s="308"/>
      <c r="BH32" s="308"/>
      <c r="BI32" s="308"/>
      <c r="BJ32" s="308"/>
      <c r="BK32" s="308"/>
      <c r="BL32" s="308"/>
      <c r="BM32" s="308"/>
      <c r="BN32" s="308"/>
      <c r="BO32" s="308"/>
      <c r="BP32" s="308"/>
      <c r="BQ32" s="308"/>
      <c r="BR32" s="308"/>
      <c r="BS32" s="308"/>
    </row>
    <row r="33" spans="1:71" ht="15.75" customHeight="1">
      <c r="A33" s="308"/>
      <c r="B33" s="326" t="s">
        <v>182</v>
      </c>
      <c r="C33" s="326" t="s">
        <v>174</v>
      </c>
      <c r="D33" s="320" t="str">
        <f t="shared" si="0"/>
        <v>優惠券_真券_一排1張 + Reminder(單張/多張)(無一鍵領取)</v>
      </c>
      <c r="E33" s="200" t="s">
        <v>1091</v>
      </c>
      <c r="F33" s="322"/>
      <c r="G33" s="200" t="s">
        <v>1087</v>
      </c>
      <c r="H33" s="200">
        <v>0.8</v>
      </c>
      <c r="I33" s="323" t="s">
        <v>1088</v>
      </c>
      <c r="J33" s="324" t="s">
        <v>1046</v>
      </c>
      <c r="K33" s="324" t="s">
        <v>1046</v>
      </c>
      <c r="L33" s="324" t="s">
        <v>1047</v>
      </c>
      <c r="M33" s="325" t="s">
        <v>1089</v>
      </c>
      <c r="N33" s="325" t="s">
        <v>1090</v>
      </c>
      <c r="O33" s="325" t="s">
        <v>1092</v>
      </c>
      <c r="P33" s="325" t="s">
        <v>115</v>
      </c>
      <c r="Q33" s="325" t="s">
        <v>115</v>
      </c>
      <c r="R33" s="191"/>
      <c r="S33" s="205">
        <f t="shared" si="1"/>
        <v>6</v>
      </c>
      <c r="T33" s="308"/>
      <c r="U33" s="308" t="str">
        <f ca="1">IFERROR(__xludf.DUMMYFUNCTION("""COMPUTED_VALUE"""),"圖_GD模版_MKT_LS公版")</f>
        <v>圖_GD模版_MKT_LS公版</v>
      </c>
      <c r="V33" s="308" t="str">
        <f ca="1">IFERROR(__xludf.DUMMYFUNCTION("""COMPUTED_VALUE"""),"品類週 上蓋")</f>
        <v>品類週 上蓋</v>
      </c>
      <c r="W33" s="308" t="str">
        <f ca="1">IFERROR(__xludf.DUMMYFUNCTION("""COMPUTED_VALUE"""),"日期(黃底)(一排3個)")</f>
        <v>日期(黃底)(一排3個)</v>
      </c>
      <c r="X33" s="308" t="str">
        <f ca="1">IFERROR(__xludf.DUMMYFUNCTION("""COMPUTED_VALUE"""),"LOGO(黃底)(一排3品)")</f>
        <v>LOGO(黃底)(一排3品)</v>
      </c>
      <c r="Y33" s="308" t="str">
        <f ca="1">IFERROR(__xludf.DUMMYFUNCTION("""COMPUTED_VALUE"""),"品名+$(黃底)(一排3品)")</f>
        <v>品名+$(黃底)(一排3品)</v>
      </c>
      <c r="Z33" s="308" t="str">
        <f ca="1">IFERROR(__xludf.DUMMYFUNCTION("""COMPUTED_VALUE"""),"CTA(黃底)(提醒我/提醒我/提醒我)")</f>
        <v>CTA(黃底)(提醒我/提醒我/提醒我)</v>
      </c>
      <c r="AA33" s="308" t="str">
        <f ca="1">IFERROR(__xludf.DUMMYFUNCTION("""COMPUTED_VALUE"""),"CTA(黃底)(看直播/看直播/看直播)")</f>
        <v>CTA(黃底)(看直播/看直播/看直播)</v>
      </c>
      <c r="AB33" s="308" t="str">
        <f ca="1">IFERROR(__xludf.DUMMYFUNCTION("""COMPUTED_VALUE"""),"品類週 下蓋")</f>
        <v>品類週 下蓋</v>
      </c>
      <c r="AC33" s="308"/>
      <c r="AD33" s="308"/>
      <c r="AE33" s="308"/>
      <c r="AF33" s="308"/>
      <c r="AG33" s="308"/>
      <c r="AH33" s="308"/>
      <c r="AI33" s="308"/>
      <c r="AJ33" s="308"/>
      <c r="AK33" s="308"/>
      <c r="AL33" s="308"/>
      <c r="AM33" s="308"/>
      <c r="AN33" s="308"/>
      <c r="AO33" s="308"/>
      <c r="AP33" s="308"/>
      <c r="AQ33" s="308"/>
      <c r="AR33" s="308"/>
      <c r="AS33" s="308"/>
      <c r="AT33" s="308"/>
      <c r="AU33" s="308"/>
      <c r="AV33" s="308"/>
      <c r="AW33" s="308"/>
      <c r="AX33" s="308"/>
      <c r="AY33" s="308"/>
      <c r="AZ33" s="308"/>
      <c r="BA33" s="308"/>
      <c r="BB33" s="308"/>
      <c r="BC33" s="308"/>
      <c r="BD33" s="308"/>
      <c r="BE33" s="308"/>
      <c r="BF33" s="308"/>
      <c r="BG33" s="308"/>
      <c r="BH33" s="308"/>
      <c r="BI33" s="308"/>
      <c r="BJ33" s="308"/>
      <c r="BK33" s="308"/>
      <c r="BL33" s="308"/>
      <c r="BM33" s="308"/>
      <c r="BN33" s="308"/>
      <c r="BO33" s="308"/>
      <c r="BP33" s="308"/>
      <c r="BQ33" s="308"/>
      <c r="BR33" s="308"/>
      <c r="BS33" s="308"/>
    </row>
    <row r="34" spans="1:71" ht="15.75" customHeight="1">
      <c r="A34" s="308"/>
      <c r="B34" s="320" t="s">
        <v>182</v>
      </c>
      <c r="C34" s="320" t="s">
        <v>175</v>
      </c>
      <c r="D34" s="320" t="str">
        <f t="shared" si="0"/>
        <v>優惠券_真券_一排1張 + 一鍵領取(多張)</v>
      </c>
      <c r="E34" s="200" t="s">
        <v>1093</v>
      </c>
      <c r="F34" s="322"/>
      <c r="G34" s="200" t="s">
        <v>1087</v>
      </c>
      <c r="H34" s="200">
        <v>0.5</v>
      </c>
      <c r="I34" s="323" t="s">
        <v>1088</v>
      </c>
      <c r="J34" s="324" t="s">
        <v>1046</v>
      </c>
      <c r="K34" s="324" t="s">
        <v>1046</v>
      </c>
      <c r="L34" s="324" t="s">
        <v>1047</v>
      </c>
      <c r="M34" s="325" t="s">
        <v>1089</v>
      </c>
      <c r="N34" s="325" t="s">
        <v>1094</v>
      </c>
      <c r="O34" s="325" t="s">
        <v>115</v>
      </c>
      <c r="P34" s="325" t="s">
        <v>115</v>
      </c>
      <c r="Q34" s="325" t="s">
        <v>115</v>
      </c>
      <c r="R34" s="191"/>
      <c r="S34" s="205">
        <f t="shared" si="1"/>
        <v>5</v>
      </c>
      <c r="T34" s="308"/>
      <c r="U34" s="308" t="str">
        <f ca="1">IFERROR(__xludf.DUMMYFUNCTION("""COMPUTED_VALUE"""),"CollectionGroup")</f>
        <v>CollectionGroup</v>
      </c>
      <c r="V34" s="308" t="str">
        <f ca="1">IFERROR(__xludf.DUMMYFUNCTION("""COMPUTED_VALUE"""),"一行一列")</f>
        <v>一行一列</v>
      </c>
      <c r="W34" s="308"/>
      <c r="X34" s="308"/>
      <c r="Y34" s="308"/>
      <c r="Z34" s="308"/>
      <c r="AA34" s="308"/>
      <c r="AB34" s="308"/>
      <c r="AC34" s="308"/>
      <c r="AD34" s="308"/>
      <c r="AE34" s="308"/>
      <c r="AF34" s="308"/>
      <c r="AG34" s="308"/>
      <c r="AH34" s="308"/>
      <c r="AI34" s="308"/>
      <c r="AJ34" s="308"/>
      <c r="AK34" s="308"/>
      <c r="AL34" s="308"/>
      <c r="AM34" s="308"/>
      <c r="AN34" s="308"/>
      <c r="AO34" s="308"/>
      <c r="AP34" s="308"/>
      <c r="AQ34" s="308"/>
      <c r="AR34" s="308"/>
      <c r="AS34" s="308"/>
      <c r="AT34" s="308"/>
      <c r="AU34" s="308"/>
      <c r="AV34" s="308"/>
      <c r="AW34" s="308"/>
      <c r="AX34" s="308"/>
      <c r="AY34" s="308"/>
      <c r="AZ34" s="308"/>
      <c r="BA34" s="308"/>
      <c r="BB34" s="308"/>
      <c r="BC34" s="308"/>
      <c r="BD34" s="308"/>
      <c r="BE34" s="308"/>
      <c r="BF34" s="308"/>
      <c r="BG34" s="308"/>
      <c r="BH34" s="308"/>
      <c r="BI34" s="308"/>
      <c r="BJ34" s="308"/>
      <c r="BK34" s="308"/>
      <c r="BL34" s="308"/>
      <c r="BM34" s="308"/>
      <c r="BN34" s="308"/>
      <c r="BO34" s="308"/>
      <c r="BP34" s="308"/>
      <c r="BQ34" s="308"/>
      <c r="BR34" s="308"/>
      <c r="BS34" s="308"/>
    </row>
    <row r="35" spans="1:71" ht="15.75" customHeight="1">
      <c r="A35" s="308"/>
      <c r="B35" s="326" t="s">
        <v>182</v>
      </c>
      <c r="C35" s="326" t="s">
        <v>176</v>
      </c>
      <c r="D35" s="320" t="str">
        <f t="shared" si="0"/>
        <v>優惠券_真券_【僅供MKT Campaign使用】PC：一排兩張；APP：一排1張 + 一鍵領取(多張)</v>
      </c>
      <c r="E35" s="200" t="s">
        <v>1095</v>
      </c>
      <c r="F35" s="322"/>
      <c r="G35" s="200" t="s">
        <v>1087</v>
      </c>
      <c r="H35" s="200">
        <v>0.5</v>
      </c>
      <c r="I35" s="323" t="s">
        <v>1096</v>
      </c>
      <c r="J35" s="324" t="s">
        <v>1046</v>
      </c>
      <c r="K35" s="324" t="s">
        <v>1046</v>
      </c>
      <c r="L35" s="324" t="s">
        <v>1047</v>
      </c>
      <c r="M35" s="325" t="s">
        <v>1089</v>
      </c>
      <c r="N35" s="325" t="s">
        <v>1094</v>
      </c>
      <c r="O35" s="325" t="s">
        <v>115</v>
      </c>
      <c r="P35" s="325" t="s">
        <v>115</v>
      </c>
      <c r="Q35" s="325" t="s">
        <v>115</v>
      </c>
      <c r="R35" s="191"/>
      <c r="S35" s="205">
        <f t="shared" si="1"/>
        <v>5</v>
      </c>
      <c r="T35" s="308"/>
      <c r="U35" s="308" t="str">
        <f ca="1">IFERROR(__xludf.DUMMYFUNCTION("""COMPUTED_VALUE"""),"VoucherGroup")</f>
        <v>VoucherGroup</v>
      </c>
      <c r="V35" s="308" t="str">
        <f ca="1">IFERROR(__xludf.DUMMYFUNCTION("""COMPUTED_VALUE"""),"隔日到貨")</f>
        <v>隔日到貨</v>
      </c>
      <c r="W35" s="308" t="str">
        <f ca="1">IFERROR(__xludf.DUMMYFUNCTION("""COMPUTED_VALUE"""),"FSS免運門檻")</f>
        <v>FSS免運門檻</v>
      </c>
      <c r="X35" s="308"/>
      <c r="Y35" s="308"/>
      <c r="Z35" s="308"/>
      <c r="AA35" s="308"/>
      <c r="AB35" s="308"/>
      <c r="AC35" s="308"/>
      <c r="AD35" s="308"/>
      <c r="AE35" s="308"/>
      <c r="AF35" s="308"/>
      <c r="AG35" s="308"/>
      <c r="AH35" s="308"/>
      <c r="AI35" s="308"/>
      <c r="AJ35" s="308"/>
      <c r="AK35" s="308"/>
      <c r="AL35" s="308"/>
      <c r="AM35" s="308"/>
      <c r="AN35" s="308"/>
      <c r="AO35" s="308"/>
      <c r="AP35" s="308"/>
      <c r="AQ35" s="308"/>
      <c r="AR35" s="308"/>
      <c r="AS35" s="308"/>
      <c r="AT35" s="308"/>
      <c r="AU35" s="308"/>
      <c r="AV35" s="308"/>
      <c r="AW35" s="308"/>
      <c r="AX35" s="308"/>
      <c r="AY35" s="308"/>
      <c r="AZ35" s="308"/>
      <c r="BA35" s="308"/>
      <c r="BB35" s="308"/>
      <c r="BC35" s="308"/>
      <c r="BD35" s="308"/>
      <c r="BE35" s="308"/>
      <c r="BF35" s="308"/>
      <c r="BG35" s="308"/>
      <c r="BH35" s="308"/>
      <c r="BI35" s="308"/>
      <c r="BJ35" s="308"/>
      <c r="BK35" s="308"/>
      <c r="BL35" s="308"/>
      <c r="BM35" s="308"/>
      <c r="BN35" s="308"/>
      <c r="BO35" s="308"/>
      <c r="BP35" s="308"/>
      <c r="BQ35" s="308"/>
      <c r="BR35" s="308"/>
      <c r="BS35" s="308"/>
    </row>
    <row r="36" spans="1:71" ht="15.75" customHeight="1">
      <c r="A36" s="308"/>
      <c r="B36" s="326" t="s">
        <v>182</v>
      </c>
      <c r="C36" s="326" t="s">
        <v>177</v>
      </c>
      <c r="D36" s="320" t="str">
        <f t="shared" si="0"/>
        <v>優惠券_真券_【僅供MKT Campaign使用】PC：一排兩張；APP：一排1張 + 一鍵領取(多張) + Reminder</v>
      </c>
      <c r="E36" s="200" t="s">
        <v>1097</v>
      </c>
      <c r="F36" s="322"/>
      <c r="G36" s="200" t="s">
        <v>1087</v>
      </c>
      <c r="H36" s="200">
        <v>0.8</v>
      </c>
      <c r="I36" s="323" t="s">
        <v>1096</v>
      </c>
      <c r="J36" s="324" t="s">
        <v>1046</v>
      </c>
      <c r="K36" s="324" t="s">
        <v>1046</v>
      </c>
      <c r="L36" s="324" t="s">
        <v>1047</v>
      </c>
      <c r="M36" s="325" t="s">
        <v>1089</v>
      </c>
      <c r="N36" s="325" t="s">
        <v>1092</v>
      </c>
      <c r="O36" s="325" t="s">
        <v>115</v>
      </c>
      <c r="P36" s="325" t="s">
        <v>115</v>
      </c>
      <c r="Q36" s="325" t="s">
        <v>115</v>
      </c>
      <c r="R36" s="191"/>
      <c r="S36" s="205">
        <f t="shared" si="1"/>
        <v>5</v>
      </c>
      <c r="T36" s="308"/>
      <c r="U36" s="308" t="str">
        <f ca="1">IFERROR(__xludf.DUMMYFUNCTION("""COMPUTED_VALUE"""),"限時特賣")</f>
        <v>限時特賣</v>
      </c>
      <c r="V36" s="308" t="str">
        <f ca="1">IFERROR(__xludf.DUMMYFUNCTION("""COMPUTED_VALUE"""),"全站")</f>
        <v>全站</v>
      </c>
      <c r="W36" s="308" t="str">
        <f ca="1">IFERROR(__xludf.DUMMYFUNCTION("""COMPUTED_VALUE"""),"商城")</f>
        <v>商城</v>
      </c>
      <c r="X36" s="308"/>
      <c r="Y36" s="308"/>
      <c r="Z36" s="308"/>
      <c r="AA36" s="308"/>
      <c r="AB36" s="308"/>
      <c r="AC36" s="308"/>
      <c r="AD36" s="308"/>
      <c r="AE36" s="308"/>
      <c r="AF36" s="308"/>
      <c r="AG36" s="308"/>
      <c r="AH36" s="308"/>
      <c r="AI36" s="308"/>
      <c r="AJ36" s="308"/>
      <c r="AK36" s="308"/>
      <c r="AL36" s="308"/>
      <c r="AM36" s="308"/>
      <c r="AN36" s="308"/>
      <c r="AO36" s="308"/>
      <c r="AP36" s="308"/>
      <c r="AQ36" s="308"/>
      <c r="AR36" s="308"/>
      <c r="AS36" s="308"/>
      <c r="AT36" s="308"/>
      <c r="AU36" s="308"/>
      <c r="AV36" s="308"/>
      <c r="AW36" s="308"/>
      <c r="AX36" s="308"/>
      <c r="AY36" s="308"/>
      <c r="AZ36" s="308"/>
      <c r="BA36" s="308"/>
      <c r="BB36" s="308"/>
      <c r="BC36" s="308"/>
      <c r="BD36" s="308"/>
      <c r="BE36" s="308"/>
      <c r="BF36" s="308"/>
      <c r="BG36" s="308"/>
      <c r="BH36" s="308"/>
      <c r="BI36" s="308"/>
      <c r="BJ36" s="308"/>
      <c r="BK36" s="308"/>
      <c r="BL36" s="308"/>
      <c r="BM36" s="308"/>
      <c r="BN36" s="308"/>
      <c r="BO36" s="308"/>
      <c r="BP36" s="308"/>
      <c r="BQ36" s="308"/>
      <c r="BR36" s="308"/>
      <c r="BS36" s="308"/>
    </row>
    <row r="37" spans="1:71" ht="15.75" customHeight="1">
      <c r="A37" s="308"/>
      <c r="B37" s="334" t="s">
        <v>182</v>
      </c>
      <c r="C37" s="334" t="s">
        <v>178</v>
      </c>
      <c r="D37" s="320" t="str">
        <f t="shared" si="0"/>
        <v>優惠券_真券_【僅供MKT Campaign使用】PC：一排兩張；APP：一排1張 + 一鍵領取(多張) + Reminder + 查看全部(系統預設加上「優惠券」文案)</v>
      </c>
      <c r="E37" s="200" t="s">
        <v>1098</v>
      </c>
      <c r="F37" s="322"/>
      <c r="G37" s="200" t="s">
        <v>1087</v>
      </c>
      <c r="H37" s="200">
        <v>0.8</v>
      </c>
      <c r="I37" s="323" t="s">
        <v>1096</v>
      </c>
      <c r="J37" s="324" t="s">
        <v>1046</v>
      </c>
      <c r="K37" s="324" t="s">
        <v>1046</v>
      </c>
      <c r="L37" s="324" t="s">
        <v>1047</v>
      </c>
      <c r="M37" s="325" t="s">
        <v>1089</v>
      </c>
      <c r="N37" s="325" t="s">
        <v>1094</v>
      </c>
      <c r="O37" s="325" t="s">
        <v>1092</v>
      </c>
      <c r="P37" s="325" t="s">
        <v>115</v>
      </c>
      <c r="Q37" s="325" t="s">
        <v>115</v>
      </c>
      <c r="R37" s="191"/>
      <c r="S37" s="205">
        <f t="shared" si="1"/>
        <v>6</v>
      </c>
      <c r="T37" s="308"/>
      <c r="U37" s="308" t="str">
        <f ca="1">IFERROR(__xludf.DUMMYFUNCTION("""COMPUTED_VALUE"""),"CTAbutton")</f>
        <v>CTAbutton</v>
      </c>
      <c r="V37" s="308" t="str">
        <f ca="1">IFERROR(__xludf.DUMMYFUNCTION("""COMPUTED_VALUE"""),"固定")</f>
        <v>固定</v>
      </c>
      <c r="W37" s="308"/>
      <c r="X37" s="308"/>
      <c r="Y37" s="308"/>
      <c r="Z37" s="308"/>
      <c r="AA37" s="308"/>
      <c r="AB37" s="308"/>
      <c r="AC37" s="308"/>
      <c r="AD37" s="308"/>
      <c r="AE37" s="308"/>
      <c r="AF37" s="308"/>
      <c r="AG37" s="308"/>
      <c r="AH37" s="308"/>
      <c r="AI37" s="308"/>
      <c r="AJ37" s="308"/>
      <c r="AK37" s="308"/>
      <c r="AL37" s="308"/>
      <c r="AM37" s="308"/>
      <c r="AN37" s="308"/>
      <c r="AO37" s="308"/>
      <c r="AP37" s="308"/>
      <c r="AQ37" s="308"/>
      <c r="AR37" s="308"/>
      <c r="AS37" s="308"/>
      <c r="AT37" s="308"/>
      <c r="AU37" s="308"/>
      <c r="AV37" s="308"/>
      <c r="AW37" s="308"/>
      <c r="AX37" s="308"/>
      <c r="AY37" s="308"/>
      <c r="AZ37" s="308"/>
      <c r="BA37" s="308"/>
      <c r="BB37" s="308"/>
      <c r="BC37" s="308"/>
      <c r="BD37" s="308"/>
      <c r="BE37" s="308"/>
      <c r="BF37" s="308"/>
      <c r="BG37" s="308"/>
      <c r="BH37" s="308"/>
      <c r="BI37" s="308"/>
      <c r="BJ37" s="308"/>
      <c r="BK37" s="308"/>
      <c r="BL37" s="308"/>
      <c r="BM37" s="308"/>
      <c r="BN37" s="308"/>
      <c r="BO37" s="308"/>
      <c r="BP37" s="308"/>
      <c r="BQ37" s="308"/>
      <c r="BR37" s="308"/>
      <c r="BS37" s="308"/>
    </row>
    <row r="38" spans="1:71" ht="15.75" customHeight="1">
      <c r="A38" s="308"/>
      <c r="B38" s="334" t="s">
        <v>182</v>
      </c>
      <c r="C38" s="334" t="s">
        <v>179</v>
      </c>
      <c r="D38" s="320" t="str">
        <f t="shared" si="0"/>
        <v>優惠券_真券_一排2張(單張/多張)(無一鍵領取)</v>
      </c>
      <c r="E38" s="200" t="s">
        <v>1099</v>
      </c>
      <c r="F38" s="322"/>
      <c r="G38" s="200"/>
      <c r="H38" s="200">
        <v>0.5</v>
      </c>
      <c r="I38" s="323" t="s">
        <v>1088</v>
      </c>
      <c r="J38" s="324" t="s">
        <v>1046</v>
      </c>
      <c r="K38" s="324" t="s">
        <v>1046</v>
      </c>
      <c r="L38" s="324" t="s">
        <v>1047</v>
      </c>
      <c r="M38" s="325" t="s">
        <v>1089</v>
      </c>
      <c r="N38" s="325" t="s">
        <v>1090</v>
      </c>
      <c r="O38" s="325" t="s">
        <v>115</v>
      </c>
      <c r="P38" s="325" t="s">
        <v>115</v>
      </c>
      <c r="Q38" s="325" t="s">
        <v>115</v>
      </c>
      <c r="R38" s="191"/>
      <c r="S38" s="205">
        <f t="shared" si="1"/>
        <v>5</v>
      </c>
      <c r="T38" s="308"/>
      <c r="U38" s="308" t="str">
        <f ca="1">IFERROR(__xludf.DUMMYFUNCTION("""COMPUTED_VALUE"""),"iframe")</f>
        <v>iframe</v>
      </c>
      <c r="V38" s="308" t="str">
        <f ca="1">IFERROR(__xludf.DUMMYFUNCTION("""COMPUTED_VALUE"""),"固定")</f>
        <v>固定</v>
      </c>
      <c r="W38" s="308"/>
      <c r="X38" s="308"/>
      <c r="Y38" s="308"/>
      <c r="Z38" s="308"/>
      <c r="AA38" s="308"/>
      <c r="AB38" s="308"/>
      <c r="AC38" s="308"/>
      <c r="AD38" s="308"/>
      <c r="AE38" s="308"/>
      <c r="AF38" s="308"/>
      <c r="AG38" s="308"/>
      <c r="AH38" s="308"/>
      <c r="AI38" s="308"/>
      <c r="AJ38" s="308"/>
      <c r="AK38" s="308"/>
      <c r="AL38" s="308"/>
      <c r="AM38" s="308"/>
      <c r="AN38" s="308"/>
      <c r="AO38" s="308"/>
      <c r="AP38" s="308"/>
      <c r="AQ38" s="308"/>
      <c r="AR38" s="308"/>
      <c r="AS38" s="308"/>
      <c r="AT38" s="308"/>
      <c r="AU38" s="308"/>
      <c r="AV38" s="308"/>
      <c r="AW38" s="308"/>
      <c r="AX38" s="308"/>
      <c r="AY38" s="308"/>
      <c r="AZ38" s="308"/>
      <c r="BA38" s="308"/>
      <c r="BB38" s="308"/>
      <c r="BC38" s="308"/>
      <c r="BD38" s="308"/>
      <c r="BE38" s="308"/>
      <c r="BF38" s="308"/>
      <c r="BG38" s="308"/>
      <c r="BH38" s="308"/>
      <c r="BI38" s="308"/>
      <c r="BJ38" s="308"/>
      <c r="BK38" s="308"/>
      <c r="BL38" s="308"/>
      <c r="BM38" s="308"/>
      <c r="BN38" s="308"/>
      <c r="BO38" s="308"/>
      <c r="BP38" s="308"/>
      <c r="BQ38" s="308"/>
      <c r="BR38" s="308"/>
      <c r="BS38" s="308"/>
    </row>
    <row r="39" spans="1:71" ht="15.75" customHeight="1">
      <c r="A39" s="308"/>
      <c r="B39" s="326" t="s">
        <v>182</v>
      </c>
      <c r="C39" s="326" t="s">
        <v>180</v>
      </c>
      <c r="D39" s="320" t="str">
        <f t="shared" si="0"/>
        <v>優惠券_真券_一排2張 + Reminder(單張/多張)(無一鍵領取)</v>
      </c>
      <c r="E39" s="200" t="s">
        <v>1100</v>
      </c>
      <c r="F39" s="322"/>
      <c r="G39" s="200"/>
      <c r="H39" s="200">
        <v>1</v>
      </c>
      <c r="I39" s="323" t="s">
        <v>1088</v>
      </c>
      <c r="J39" s="324" t="s">
        <v>1046</v>
      </c>
      <c r="K39" s="324" t="s">
        <v>1046</v>
      </c>
      <c r="L39" s="324" t="s">
        <v>1047</v>
      </c>
      <c r="M39" s="325" t="s">
        <v>1089</v>
      </c>
      <c r="N39" s="325" t="s">
        <v>1092</v>
      </c>
      <c r="O39" s="325" t="s">
        <v>115</v>
      </c>
      <c r="P39" s="325" t="s">
        <v>115</v>
      </c>
      <c r="Q39" s="325" t="s">
        <v>115</v>
      </c>
      <c r="R39" s="191"/>
      <c r="S39" s="205">
        <f t="shared" si="1"/>
        <v>5</v>
      </c>
      <c r="T39" s="308"/>
      <c r="U39" s="308" t="str">
        <f ca="1">IFERROR(__xludf.DUMMYFUNCTION("""COMPUTED_VALUE"""),"FavouriteGame")</f>
        <v>FavouriteGame</v>
      </c>
      <c r="V39" s="308" t="str">
        <f ca="1">IFERROR(__xludf.DUMMYFUNCTION("""COMPUTED_VALUE"""),"固定")</f>
        <v>固定</v>
      </c>
      <c r="W39" s="308"/>
      <c r="X39" s="308"/>
      <c r="Y39" s="308"/>
      <c r="Z39" s="308"/>
      <c r="AA39" s="308"/>
      <c r="AB39" s="308"/>
      <c r="AC39" s="308"/>
      <c r="AD39" s="308"/>
      <c r="AE39" s="308"/>
      <c r="AF39" s="308"/>
      <c r="AG39" s="308"/>
      <c r="AH39" s="308"/>
      <c r="AI39" s="308"/>
      <c r="AJ39" s="308"/>
      <c r="AK39" s="308"/>
      <c r="AL39" s="308"/>
      <c r="AM39" s="308"/>
      <c r="AN39" s="308"/>
      <c r="AO39" s="308"/>
      <c r="AP39" s="308"/>
      <c r="AQ39" s="308"/>
      <c r="AR39" s="308"/>
      <c r="AS39" s="308"/>
      <c r="AT39" s="308"/>
      <c r="AU39" s="308"/>
      <c r="AV39" s="308"/>
      <c r="AW39" s="308"/>
      <c r="AX39" s="308"/>
      <c r="AY39" s="308"/>
      <c r="AZ39" s="308"/>
      <c r="BA39" s="308"/>
      <c r="BB39" s="308"/>
      <c r="BC39" s="308"/>
      <c r="BD39" s="308"/>
      <c r="BE39" s="308"/>
      <c r="BF39" s="308"/>
      <c r="BG39" s="308"/>
      <c r="BH39" s="308"/>
      <c r="BI39" s="308"/>
      <c r="BJ39" s="308"/>
      <c r="BK39" s="308"/>
      <c r="BL39" s="308"/>
      <c r="BM39" s="308"/>
      <c r="BN39" s="308"/>
      <c r="BO39" s="308"/>
      <c r="BP39" s="308"/>
      <c r="BQ39" s="308"/>
      <c r="BR39" s="308"/>
      <c r="BS39" s="308"/>
    </row>
    <row r="40" spans="1:71" ht="15.75" customHeight="1">
      <c r="A40" s="308"/>
      <c r="B40" s="327" t="s">
        <v>182</v>
      </c>
      <c r="C40" s="327" t="s">
        <v>181</v>
      </c>
      <c r="D40" s="329" t="str">
        <f t="shared" si="0"/>
        <v>優惠券_真券_一排2張 + 一鍵領取(多張)</v>
      </c>
      <c r="E40" s="330" t="s">
        <v>1101</v>
      </c>
      <c r="F40" s="329"/>
      <c r="G40" s="200"/>
      <c r="H40" s="330">
        <v>1</v>
      </c>
      <c r="I40" s="332" t="s">
        <v>1088</v>
      </c>
      <c r="J40" s="331" t="s">
        <v>1046</v>
      </c>
      <c r="K40" s="331" t="s">
        <v>1046</v>
      </c>
      <c r="L40" s="331" t="s">
        <v>1047</v>
      </c>
      <c r="M40" s="332" t="s">
        <v>1089</v>
      </c>
      <c r="N40" s="332" t="s">
        <v>1094</v>
      </c>
      <c r="O40" s="332" t="s">
        <v>115</v>
      </c>
      <c r="P40" s="332" t="s">
        <v>115</v>
      </c>
      <c r="Q40" s="332" t="s">
        <v>115</v>
      </c>
      <c r="R40" s="329"/>
      <c r="S40" s="205">
        <f t="shared" si="1"/>
        <v>5</v>
      </c>
      <c r="T40" s="308"/>
      <c r="U40" s="308" t="str">
        <f ca="1">IFERROR(__xludf.DUMMYFUNCTION("""COMPUTED_VALUE"""),"直播間")</f>
        <v>直播間</v>
      </c>
      <c r="V40" s="308" t="str">
        <f ca="1">IFERROR(__xludf.DUMMYFUNCTION("""COMPUTED_VALUE"""),"水平滑動")</f>
        <v>水平滑動</v>
      </c>
      <c r="W40" s="308"/>
      <c r="X40" s="308"/>
      <c r="Y40" s="308"/>
      <c r="Z40" s="308"/>
      <c r="AA40" s="308"/>
      <c r="AB40" s="308"/>
      <c r="AC40" s="308"/>
      <c r="AD40" s="308"/>
      <c r="AE40" s="308"/>
      <c r="AF40" s="308"/>
      <c r="AG40" s="308"/>
      <c r="AH40" s="308"/>
      <c r="AI40" s="308"/>
      <c r="AJ40" s="308"/>
      <c r="AK40" s="308"/>
      <c r="AL40" s="308"/>
      <c r="AM40" s="308"/>
      <c r="AN40" s="308"/>
      <c r="AO40" s="308"/>
      <c r="AP40" s="308"/>
      <c r="AQ40" s="308"/>
      <c r="AR40" s="308"/>
      <c r="AS40" s="308"/>
      <c r="AT40" s="308"/>
      <c r="AU40" s="308"/>
      <c r="AV40" s="308"/>
      <c r="AW40" s="308"/>
      <c r="AX40" s="308"/>
      <c r="AY40" s="308"/>
      <c r="AZ40" s="308"/>
      <c r="BA40" s="308"/>
      <c r="BB40" s="308"/>
      <c r="BC40" s="308"/>
      <c r="BD40" s="308"/>
      <c r="BE40" s="308"/>
      <c r="BF40" s="308"/>
      <c r="BG40" s="308"/>
      <c r="BH40" s="308"/>
      <c r="BI40" s="308"/>
      <c r="BJ40" s="308"/>
      <c r="BK40" s="308"/>
      <c r="BL40" s="308"/>
      <c r="BM40" s="308"/>
      <c r="BN40" s="308"/>
      <c r="BO40" s="308"/>
      <c r="BP40" s="308"/>
      <c r="BQ40" s="308"/>
      <c r="BR40" s="308"/>
      <c r="BS40" s="308"/>
    </row>
    <row r="41" spans="1:71" ht="15.75" customHeight="1">
      <c r="A41" s="308"/>
      <c r="B41" s="334" t="s">
        <v>486</v>
      </c>
      <c r="C41" s="334" t="s">
        <v>491</v>
      </c>
      <c r="D41" s="320" t="str">
        <f t="shared" si="0"/>
        <v>優惠券_GD模版_(全站券) 假券一排1張 CTA</v>
      </c>
      <c r="E41" s="200" t="s">
        <v>1102</v>
      </c>
      <c r="F41" s="322"/>
      <c r="G41" s="200" t="s">
        <v>1103</v>
      </c>
      <c r="H41" s="200">
        <v>1</v>
      </c>
      <c r="I41" s="323"/>
      <c r="J41" s="324" t="s">
        <v>1046</v>
      </c>
      <c r="K41" s="324" t="s">
        <v>1046</v>
      </c>
      <c r="L41" s="324" t="s">
        <v>1047</v>
      </c>
      <c r="M41" s="325" t="s">
        <v>1104</v>
      </c>
      <c r="N41" s="325" t="s">
        <v>1105</v>
      </c>
      <c r="O41" s="325" t="s">
        <v>115</v>
      </c>
      <c r="P41" s="325" t="s">
        <v>115</v>
      </c>
      <c r="Q41" s="325" t="s">
        <v>115</v>
      </c>
      <c r="R41" s="191"/>
      <c r="S41" s="205">
        <f t="shared" si="1"/>
        <v>5</v>
      </c>
      <c r="T41" s="308"/>
      <c r="U41" s="308" t="str">
        <f ca="1">IFERROR(__xludf.DUMMYFUNCTION("""COMPUTED_VALUE"""),"Gap")</f>
        <v>Gap</v>
      </c>
      <c r="V41" s="308" t="str">
        <f ca="1">IFERROR(__xludf.DUMMYFUNCTION("""COMPUTED_VALUE"""),"固定灰bar")</f>
        <v>固定灰bar</v>
      </c>
      <c r="W41" s="308" t="str">
        <f ca="1">IFERROR(__xludf.DUMMYFUNCTION("""COMPUTED_VALUE"""),"空白格")</f>
        <v>空白格</v>
      </c>
      <c r="X41" s="308"/>
      <c r="Y41" s="308"/>
      <c r="Z41" s="308"/>
      <c r="AA41" s="308"/>
      <c r="AB41" s="308"/>
      <c r="AC41" s="308"/>
      <c r="AD41" s="308"/>
      <c r="AE41" s="308"/>
      <c r="AF41" s="308"/>
      <c r="AG41" s="308"/>
      <c r="AH41" s="308"/>
      <c r="AI41" s="308"/>
      <c r="AJ41" s="308"/>
      <c r="AK41" s="308"/>
      <c r="AL41" s="308"/>
      <c r="AM41" s="308"/>
      <c r="AN41" s="308"/>
      <c r="AO41" s="308"/>
      <c r="AP41" s="308"/>
      <c r="AQ41" s="308"/>
      <c r="AR41" s="308"/>
      <c r="AS41" s="308"/>
      <c r="AT41" s="308"/>
      <c r="AU41" s="308"/>
      <c r="AV41" s="308"/>
      <c r="AW41" s="308"/>
      <c r="AX41" s="308"/>
      <c r="AY41" s="308"/>
      <c r="AZ41" s="308"/>
      <c r="BA41" s="308"/>
      <c r="BB41" s="308"/>
      <c r="BC41" s="308"/>
      <c r="BD41" s="308"/>
      <c r="BE41" s="308"/>
      <c r="BF41" s="308"/>
      <c r="BG41" s="308"/>
      <c r="BH41" s="308"/>
      <c r="BI41" s="308"/>
      <c r="BJ41" s="308"/>
      <c r="BK41" s="308"/>
      <c r="BL41" s="308"/>
      <c r="BM41" s="308"/>
      <c r="BN41" s="308"/>
      <c r="BO41" s="308"/>
      <c r="BP41" s="308"/>
      <c r="BQ41" s="308"/>
      <c r="BR41" s="308"/>
      <c r="BS41" s="308"/>
    </row>
    <row r="42" spans="1:71" ht="15.75" customHeight="1">
      <c r="A42" s="308"/>
      <c r="B42" s="334" t="s">
        <v>486</v>
      </c>
      <c r="C42" s="334" t="s">
        <v>471</v>
      </c>
      <c r="D42" s="320" t="str">
        <f t="shared" si="0"/>
        <v>優惠券_GD模版_(全站券) 假券一排1張 Reminder</v>
      </c>
      <c r="E42" s="200" t="s">
        <v>1106</v>
      </c>
      <c r="F42" s="322"/>
      <c r="G42" s="330" t="s">
        <v>1103</v>
      </c>
      <c r="H42" s="200">
        <v>1</v>
      </c>
      <c r="I42" s="323"/>
      <c r="J42" s="324" t="s">
        <v>1046</v>
      </c>
      <c r="K42" s="324" t="s">
        <v>1046</v>
      </c>
      <c r="L42" s="324" t="s">
        <v>1047</v>
      </c>
      <c r="M42" s="325" t="s">
        <v>1107</v>
      </c>
      <c r="N42" s="325" t="s">
        <v>1108</v>
      </c>
      <c r="O42" s="325" t="s">
        <v>115</v>
      </c>
      <c r="P42" s="325" t="s">
        <v>115</v>
      </c>
      <c r="Q42" s="325" t="s">
        <v>115</v>
      </c>
      <c r="R42" s="191"/>
      <c r="S42" s="205">
        <f t="shared" si="1"/>
        <v>5</v>
      </c>
      <c r="T42" s="308"/>
      <c r="U42" s="308" t="str">
        <f ca="1">IFERROR(__xludf.DUMMYFUNCTION("""COMPUTED_VALUE"""),"版權商標")</f>
        <v>版權商標</v>
      </c>
      <c r="V42" s="308" t="str">
        <f ca="1">IFERROR(__xludf.DUMMYFUNCTION("""COMPUTED_VALUE"""),"淺色背景(app&amp;pc)")</f>
        <v>淺色背景(app&amp;pc)</v>
      </c>
      <c r="W42" s="308" t="str">
        <f ca="1">IFERROR(__xludf.DUMMYFUNCTION("""COMPUTED_VALUE"""),"深色背景(app&amp;pc)")</f>
        <v>深色背景(app&amp;pc)</v>
      </c>
      <c r="X42" s="308"/>
      <c r="Y42" s="308"/>
      <c r="Z42" s="308"/>
      <c r="AA42" s="308"/>
      <c r="AB42" s="308"/>
      <c r="AC42" s="308"/>
      <c r="AD42" s="308"/>
      <c r="AE42" s="308"/>
      <c r="AF42" s="308"/>
      <c r="AG42" s="308"/>
      <c r="AH42" s="308"/>
      <c r="AI42" s="308"/>
      <c r="AJ42" s="308"/>
      <c r="AK42" s="308"/>
      <c r="AL42" s="308"/>
      <c r="AM42" s="308"/>
      <c r="AN42" s="308"/>
      <c r="AO42" s="308"/>
      <c r="AP42" s="308"/>
      <c r="AQ42" s="308"/>
      <c r="AR42" s="308"/>
      <c r="AS42" s="308"/>
      <c r="AT42" s="308"/>
      <c r="AU42" s="308"/>
      <c r="AV42" s="308"/>
      <c r="AW42" s="308"/>
      <c r="AX42" s="308"/>
      <c r="AY42" s="308"/>
      <c r="AZ42" s="308"/>
      <c r="BA42" s="308"/>
      <c r="BB42" s="308"/>
      <c r="BC42" s="308"/>
      <c r="BD42" s="308"/>
      <c r="BE42" s="308"/>
      <c r="BF42" s="308"/>
      <c r="BG42" s="308"/>
      <c r="BH42" s="308"/>
      <c r="BI42" s="308"/>
      <c r="BJ42" s="308"/>
      <c r="BK42" s="308"/>
      <c r="BL42" s="308"/>
      <c r="BM42" s="308"/>
      <c r="BN42" s="308"/>
      <c r="BO42" s="308"/>
      <c r="BP42" s="308"/>
      <c r="BQ42" s="308"/>
      <c r="BR42" s="308"/>
      <c r="BS42" s="308"/>
    </row>
    <row r="43" spans="1:71" ht="15.75" customHeight="1">
      <c r="A43" s="308"/>
      <c r="B43" s="334" t="s">
        <v>486</v>
      </c>
      <c r="C43" s="334" t="s">
        <v>472</v>
      </c>
      <c r="D43" s="320" t="str">
        <f t="shared" si="0"/>
        <v>優惠券_GD模版_(全站券) 假券一排2張 CTA+CTA</v>
      </c>
      <c r="E43" s="200" t="s">
        <v>1109</v>
      </c>
      <c r="F43" s="322"/>
      <c r="G43" s="200"/>
      <c r="H43" s="200">
        <v>1</v>
      </c>
      <c r="I43" s="323"/>
      <c r="J43" s="324" t="s">
        <v>1046</v>
      </c>
      <c r="K43" s="324" t="s">
        <v>1046</v>
      </c>
      <c r="L43" s="324" t="s">
        <v>1047</v>
      </c>
      <c r="M43" s="325" t="s">
        <v>1110</v>
      </c>
      <c r="N43" s="325" t="s">
        <v>1111</v>
      </c>
      <c r="O43" s="325" t="s">
        <v>1112</v>
      </c>
      <c r="P43" s="325" t="s">
        <v>1113</v>
      </c>
      <c r="Q43" s="325" t="s">
        <v>115</v>
      </c>
      <c r="R43" s="191"/>
      <c r="S43" s="205">
        <f t="shared" si="1"/>
        <v>7</v>
      </c>
      <c r="T43" s="308"/>
      <c r="U43" s="308" t="str">
        <f ca="1">IFERROR(__xludf.DUMMYFUNCTION("""COMPUTED_VALUE"""),"FloatingIcon")</f>
        <v>FloatingIcon</v>
      </c>
      <c r="V43" s="308" t="str">
        <f ca="1">IFERROR(__xludf.DUMMYFUNCTION("""COMPUTED_VALUE"""),"有mission計時器")</f>
        <v>有mission計時器</v>
      </c>
      <c r="W43" s="308" t="str">
        <f ca="1">IFERROR(__xludf.DUMMYFUNCTION("""COMPUTED_VALUE"""),"無mission計時器")</f>
        <v>無mission計時器</v>
      </c>
      <c r="X43" s="308"/>
      <c r="Y43" s="308"/>
      <c r="Z43" s="308"/>
      <c r="AA43" s="308"/>
      <c r="AB43" s="308"/>
      <c r="AC43" s="308"/>
      <c r="AD43" s="308"/>
      <c r="AE43" s="308"/>
      <c r="AF43" s="308"/>
      <c r="AG43" s="308"/>
      <c r="AH43" s="308"/>
      <c r="AI43" s="308"/>
      <c r="AJ43" s="308"/>
      <c r="AK43" s="308"/>
      <c r="AL43" s="308"/>
      <c r="AM43" s="308"/>
      <c r="AN43" s="308"/>
      <c r="AO43" s="308"/>
      <c r="AP43" s="308"/>
      <c r="AQ43" s="308"/>
      <c r="AR43" s="308"/>
      <c r="AS43" s="308"/>
      <c r="AT43" s="308"/>
      <c r="AU43" s="308"/>
      <c r="AV43" s="308"/>
      <c r="AW43" s="308"/>
      <c r="AX43" s="308"/>
      <c r="AY43" s="308"/>
      <c r="AZ43" s="308"/>
      <c r="BA43" s="308"/>
      <c r="BB43" s="308"/>
      <c r="BC43" s="308"/>
      <c r="BD43" s="308"/>
      <c r="BE43" s="308"/>
      <c r="BF43" s="308"/>
      <c r="BG43" s="308"/>
      <c r="BH43" s="308"/>
      <c r="BI43" s="308"/>
      <c r="BJ43" s="308"/>
      <c r="BK43" s="308"/>
      <c r="BL43" s="308"/>
      <c r="BM43" s="308"/>
      <c r="BN43" s="308"/>
      <c r="BO43" s="308"/>
      <c r="BP43" s="308"/>
      <c r="BQ43" s="308"/>
      <c r="BR43" s="308"/>
      <c r="BS43" s="308"/>
    </row>
    <row r="44" spans="1:71" ht="15.75" customHeight="1">
      <c r="A44" s="308"/>
      <c r="B44" s="334" t="s">
        <v>486</v>
      </c>
      <c r="C44" s="334" t="s">
        <v>473</v>
      </c>
      <c r="D44" s="320" t="str">
        <f t="shared" si="0"/>
        <v>優惠券_GD模版_(全站券) 假券一排2張 Reminder+Reminder</v>
      </c>
      <c r="E44" s="200" t="s">
        <v>1114</v>
      </c>
      <c r="F44" s="322"/>
      <c r="G44" s="200"/>
      <c r="H44" s="200">
        <v>1.5</v>
      </c>
      <c r="I44" s="323"/>
      <c r="J44" s="324" t="s">
        <v>1046</v>
      </c>
      <c r="K44" s="324" t="s">
        <v>1046</v>
      </c>
      <c r="L44" s="324" t="s">
        <v>1047</v>
      </c>
      <c r="M44" s="325" t="s">
        <v>1115</v>
      </c>
      <c r="N44" s="325" t="s">
        <v>1116</v>
      </c>
      <c r="O44" s="325" t="s">
        <v>1117</v>
      </c>
      <c r="P44" s="325" t="s">
        <v>1118</v>
      </c>
      <c r="Q44" s="325" t="s">
        <v>115</v>
      </c>
      <c r="R44" s="191"/>
      <c r="S44" s="205">
        <f t="shared" si="1"/>
        <v>7</v>
      </c>
      <c r="T44" s="308"/>
      <c r="U44" s="308" t="str">
        <f ca="1">IFERROR(__xludf.DUMMYFUNCTION("""COMPUTED_VALUE"""),"吸底圖")</f>
        <v>吸底圖</v>
      </c>
      <c r="V44" s="308" t="str">
        <f ca="1">IFERROR(__xludf.DUMMYFUNCTION("""COMPUTED_VALUE"""),"icon*2(app&amp;pc)")</f>
        <v>icon*2(app&amp;pc)</v>
      </c>
      <c r="W44" s="308" t="str">
        <f ca="1">IFERROR(__xludf.DUMMYFUNCTION("""COMPUTED_VALUE"""),"icon*3(app&amp;pc)")</f>
        <v>icon*3(app&amp;pc)</v>
      </c>
      <c r="X44" s="308" t="str">
        <f ca="1">IFERROR(__xludf.DUMMYFUNCTION("""COMPUTED_VALUE"""),"icon*4(app&amp;pc)")</f>
        <v>icon*4(app&amp;pc)</v>
      </c>
      <c r="Y44" s="308" t="str">
        <f ca="1">IFERROR(__xludf.DUMMYFUNCTION("""COMPUTED_VALUE"""),"icon*5(app&amp;pc)")</f>
        <v>icon*5(app&amp;pc)</v>
      </c>
      <c r="Z44" s="308"/>
      <c r="AA44" s="308"/>
      <c r="AB44" s="308"/>
      <c r="AC44" s="308"/>
      <c r="AD44" s="308"/>
      <c r="AE44" s="308"/>
      <c r="AF44" s="308"/>
      <c r="AG44" s="308"/>
      <c r="AH44" s="308"/>
      <c r="AI44" s="308"/>
      <c r="AJ44" s="308"/>
      <c r="AK44" s="308"/>
      <c r="AL44" s="308"/>
      <c r="AM44" s="308"/>
      <c r="AN44" s="308"/>
      <c r="AO44" s="308"/>
      <c r="AP44" s="308"/>
      <c r="AQ44" s="308"/>
      <c r="AR44" s="308"/>
      <c r="AS44" s="308"/>
      <c r="AT44" s="308"/>
      <c r="AU44" s="308"/>
      <c r="AV44" s="308"/>
      <c r="AW44" s="308"/>
      <c r="AX44" s="308"/>
      <c r="AY44" s="308"/>
      <c r="AZ44" s="308"/>
      <c r="BA44" s="308"/>
      <c r="BB44" s="308"/>
      <c r="BC44" s="308"/>
      <c r="BD44" s="308"/>
      <c r="BE44" s="308"/>
      <c r="BF44" s="308"/>
      <c r="BG44" s="308"/>
      <c r="BH44" s="308"/>
      <c r="BI44" s="308"/>
      <c r="BJ44" s="308"/>
      <c r="BK44" s="308"/>
      <c r="BL44" s="308"/>
      <c r="BM44" s="308"/>
      <c r="BN44" s="308"/>
      <c r="BO44" s="308"/>
      <c r="BP44" s="308"/>
      <c r="BQ44" s="308"/>
      <c r="BR44" s="308"/>
      <c r="BS44" s="308"/>
    </row>
    <row r="45" spans="1:71" ht="15.75" customHeight="1">
      <c r="A45" s="308"/>
      <c r="B45" s="334" t="s">
        <v>486</v>
      </c>
      <c r="C45" s="334" t="s">
        <v>474</v>
      </c>
      <c r="D45" s="320" t="str">
        <f t="shared" si="0"/>
        <v>優惠券_GD模版_(全站券) 假券一排2張 CTA+Reminder</v>
      </c>
      <c r="E45" s="200" t="s">
        <v>1119</v>
      </c>
      <c r="F45" s="322"/>
      <c r="G45" s="200"/>
      <c r="H45" s="200">
        <v>1.5</v>
      </c>
      <c r="I45" s="323"/>
      <c r="J45" s="324" t="s">
        <v>1046</v>
      </c>
      <c r="K45" s="324" t="s">
        <v>1046</v>
      </c>
      <c r="L45" s="324" t="s">
        <v>1047</v>
      </c>
      <c r="M45" s="325" t="s">
        <v>1110</v>
      </c>
      <c r="N45" s="325" t="s">
        <v>1111</v>
      </c>
      <c r="O45" s="325" t="s">
        <v>1117</v>
      </c>
      <c r="P45" s="325" t="s">
        <v>1118</v>
      </c>
      <c r="Q45" s="325" t="s">
        <v>115</v>
      </c>
      <c r="R45" s="191"/>
      <c r="S45" s="205">
        <f t="shared" si="1"/>
        <v>7</v>
      </c>
      <c r="T45" s="308"/>
      <c r="U45" s="308" t="str">
        <f ca="1">IFERROR(__xludf.DUMMYFUNCTION("""COMPUTED_VALUE"""),"BackToTop")</f>
        <v>BackToTop</v>
      </c>
      <c r="V45" s="308" t="str">
        <f ca="1">IFERROR(__xludf.DUMMYFUNCTION("""COMPUTED_VALUE"""),"有mission計時器")</f>
        <v>有mission計時器</v>
      </c>
      <c r="W45" s="308" t="str">
        <f ca="1">IFERROR(__xludf.DUMMYFUNCTION("""COMPUTED_VALUE"""),"無mission計時器")</f>
        <v>無mission計時器</v>
      </c>
      <c r="X45" s="308"/>
      <c r="Y45" s="308"/>
      <c r="Z45" s="308"/>
      <c r="AA45" s="308"/>
      <c r="AB45" s="308"/>
      <c r="AC45" s="308"/>
      <c r="AD45" s="308"/>
      <c r="AE45" s="308"/>
      <c r="AF45" s="308"/>
      <c r="AG45" s="308"/>
      <c r="AH45" s="308"/>
      <c r="AI45" s="308"/>
      <c r="AJ45" s="308"/>
      <c r="AK45" s="308"/>
      <c r="AL45" s="308"/>
      <c r="AM45" s="308"/>
      <c r="AN45" s="308"/>
      <c r="AO45" s="308"/>
      <c r="AP45" s="308"/>
      <c r="AQ45" s="308"/>
      <c r="AR45" s="308"/>
      <c r="AS45" s="308"/>
      <c r="AT45" s="308"/>
      <c r="AU45" s="308"/>
      <c r="AV45" s="308"/>
      <c r="AW45" s="308"/>
      <c r="AX45" s="308"/>
      <c r="AY45" s="308"/>
      <c r="AZ45" s="308"/>
      <c r="BA45" s="308"/>
      <c r="BB45" s="308"/>
      <c r="BC45" s="308"/>
      <c r="BD45" s="308"/>
      <c r="BE45" s="308"/>
      <c r="BF45" s="308"/>
      <c r="BG45" s="308"/>
      <c r="BH45" s="308"/>
      <c r="BI45" s="308"/>
      <c r="BJ45" s="308"/>
      <c r="BK45" s="308"/>
      <c r="BL45" s="308"/>
      <c r="BM45" s="308"/>
      <c r="BN45" s="308"/>
      <c r="BO45" s="308"/>
      <c r="BP45" s="308"/>
      <c r="BQ45" s="308"/>
      <c r="BR45" s="308"/>
      <c r="BS45" s="308"/>
    </row>
    <row r="46" spans="1:71" ht="15.75" customHeight="1">
      <c r="A46" s="308"/>
      <c r="B46" s="334" t="s">
        <v>486</v>
      </c>
      <c r="C46" s="334" t="s">
        <v>475</v>
      </c>
      <c r="D46" s="320" t="str">
        <f t="shared" si="0"/>
        <v>優惠券_GD模版_(商城券) 假券一排1張 CTA</v>
      </c>
      <c r="E46" s="200" t="s">
        <v>1120</v>
      </c>
      <c r="F46" s="322"/>
      <c r="G46" s="200" t="s">
        <v>1103</v>
      </c>
      <c r="H46" s="200">
        <v>1</v>
      </c>
      <c r="I46" s="323"/>
      <c r="J46" s="324" t="s">
        <v>1046</v>
      </c>
      <c r="K46" s="324" t="s">
        <v>1046</v>
      </c>
      <c r="L46" s="324" t="s">
        <v>1047</v>
      </c>
      <c r="M46" s="325" t="s">
        <v>1104</v>
      </c>
      <c r="N46" s="325" t="s">
        <v>1105</v>
      </c>
      <c r="O46" s="325" t="s">
        <v>115</v>
      </c>
      <c r="P46" s="325" t="s">
        <v>115</v>
      </c>
      <c r="Q46" s="325" t="s">
        <v>115</v>
      </c>
      <c r="R46" s="191"/>
      <c r="S46" s="205">
        <f t="shared" si="1"/>
        <v>5</v>
      </c>
      <c r="T46" s="308"/>
      <c r="U46" s="308" t="str">
        <f ca="1">IFERROR(__xludf.DUMMYFUNCTION("""COMPUTED_VALUE"""),"短影音")</f>
        <v>短影音</v>
      </c>
      <c r="V46" s="308" t="str">
        <f ca="1">IFERROR(__xludf.DUMMYFUNCTION("""COMPUTED_VALUE"""),"固定")</f>
        <v>固定</v>
      </c>
      <c r="W46" s="308"/>
      <c r="X46" s="308"/>
      <c r="Y46" s="308"/>
      <c r="Z46" s="308"/>
      <c r="AA46" s="308"/>
      <c r="AB46" s="308"/>
      <c r="AC46" s="308"/>
      <c r="AD46" s="308"/>
      <c r="AE46" s="308"/>
      <c r="AF46" s="308"/>
      <c r="AG46" s="308"/>
      <c r="AH46" s="308"/>
      <c r="AI46" s="308"/>
      <c r="AJ46" s="308"/>
      <c r="AK46" s="308"/>
      <c r="AL46" s="308"/>
      <c r="AM46" s="308"/>
      <c r="AN46" s="308"/>
      <c r="AO46" s="308"/>
      <c r="AP46" s="308"/>
      <c r="AQ46" s="308"/>
      <c r="AR46" s="308"/>
      <c r="AS46" s="308"/>
      <c r="AT46" s="308"/>
      <c r="AU46" s="308"/>
      <c r="AV46" s="308"/>
      <c r="AW46" s="308"/>
      <c r="AX46" s="308"/>
      <c r="AY46" s="308"/>
      <c r="AZ46" s="308"/>
      <c r="BA46" s="308"/>
      <c r="BB46" s="308"/>
      <c r="BC46" s="308"/>
      <c r="BD46" s="308"/>
      <c r="BE46" s="308"/>
      <c r="BF46" s="308"/>
      <c r="BG46" s="308"/>
      <c r="BH46" s="308"/>
      <c r="BI46" s="308"/>
      <c r="BJ46" s="308"/>
      <c r="BK46" s="308"/>
      <c r="BL46" s="308"/>
      <c r="BM46" s="308"/>
      <c r="BN46" s="308"/>
      <c r="BO46" s="308"/>
      <c r="BP46" s="308"/>
      <c r="BQ46" s="308"/>
      <c r="BR46" s="308"/>
      <c r="BS46" s="308"/>
    </row>
    <row r="47" spans="1:71" ht="15.75" customHeight="1">
      <c r="A47" s="308"/>
      <c r="B47" s="334" t="s">
        <v>486</v>
      </c>
      <c r="C47" s="334" t="s">
        <v>476</v>
      </c>
      <c r="D47" s="320" t="str">
        <f t="shared" si="0"/>
        <v>優惠券_GD模版_(商城券) 假券一排1張 Reminder</v>
      </c>
      <c r="E47" s="200" t="s">
        <v>1121</v>
      </c>
      <c r="F47" s="322"/>
      <c r="G47" s="200" t="s">
        <v>1103</v>
      </c>
      <c r="H47" s="200">
        <v>1</v>
      </c>
      <c r="I47" s="323"/>
      <c r="J47" s="324" t="s">
        <v>1046</v>
      </c>
      <c r="K47" s="324" t="s">
        <v>1046</v>
      </c>
      <c r="L47" s="324" t="s">
        <v>1047</v>
      </c>
      <c r="M47" s="325" t="s">
        <v>1107</v>
      </c>
      <c r="N47" s="325" t="s">
        <v>1108</v>
      </c>
      <c r="O47" s="325" t="s">
        <v>115</v>
      </c>
      <c r="P47" s="325" t="s">
        <v>115</v>
      </c>
      <c r="Q47" s="325" t="s">
        <v>115</v>
      </c>
      <c r="R47" s="191"/>
      <c r="S47" s="205">
        <f t="shared" si="1"/>
        <v>5</v>
      </c>
      <c r="T47" s="308"/>
      <c r="U47" s="308"/>
      <c r="V47" s="308" t="str">
        <f ca="1">IFERROR(__xludf.DUMMYFUNCTION("""COMPUTED_VALUE"""),"")</f>
        <v/>
      </c>
      <c r="W47" s="308"/>
      <c r="X47" s="308"/>
      <c r="Y47" s="308"/>
      <c r="Z47" s="308"/>
      <c r="AA47" s="308"/>
      <c r="AB47" s="308"/>
      <c r="AC47" s="308"/>
      <c r="AD47" s="308"/>
      <c r="AE47" s="308"/>
      <c r="AF47" s="308"/>
      <c r="AG47" s="308"/>
      <c r="AH47" s="308"/>
      <c r="AI47" s="308"/>
      <c r="AJ47" s="308"/>
      <c r="AK47" s="308"/>
      <c r="AL47" s="308"/>
      <c r="AM47" s="308"/>
      <c r="AN47" s="308"/>
      <c r="AO47" s="308"/>
      <c r="AP47" s="308"/>
      <c r="AQ47" s="308"/>
      <c r="AR47" s="308"/>
      <c r="AS47" s="308"/>
      <c r="AT47" s="308"/>
      <c r="AU47" s="308"/>
      <c r="AV47" s="308"/>
      <c r="AW47" s="308"/>
      <c r="AX47" s="308"/>
      <c r="AY47" s="308"/>
      <c r="AZ47" s="308"/>
      <c r="BA47" s="308"/>
      <c r="BB47" s="308"/>
      <c r="BC47" s="308"/>
      <c r="BD47" s="308"/>
      <c r="BE47" s="308"/>
      <c r="BF47" s="308"/>
      <c r="BG47" s="308"/>
      <c r="BH47" s="308"/>
      <c r="BI47" s="308"/>
      <c r="BJ47" s="308"/>
      <c r="BK47" s="308"/>
      <c r="BL47" s="308"/>
      <c r="BM47" s="308"/>
      <c r="BN47" s="308"/>
      <c r="BO47" s="308"/>
      <c r="BP47" s="308"/>
      <c r="BQ47" s="308"/>
      <c r="BR47" s="308"/>
      <c r="BS47" s="308"/>
    </row>
    <row r="48" spans="1:71" ht="15.75" customHeight="1">
      <c r="A48" s="308"/>
      <c r="B48" s="334" t="s">
        <v>486</v>
      </c>
      <c r="C48" s="334" t="s">
        <v>477</v>
      </c>
      <c r="D48" s="320" t="str">
        <f t="shared" si="0"/>
        <v>優惠券_GD模版_(商城券) 假券一排2張 CTA+CTA</v>
      </c>
      <c r="E48" s="200" t="s">
        <v>1122</v>
      </c>
      <c r="F48" s="322"/>
      <c r="G48" s="200"/>
      <c r="H48" s="200">
        <v>1</v>
      </c>
      <c r="I48" s="323"/>
      <c r="J48" s="324" t="s">
        <v>1046</v>
      </c>
      <c r="K48" s="324" t="s">
        <v>1046</v>
      </c>
      <c r="L48" s="324" t="s">
        <v>1047</v>
      </c>
      <c r="M48" s="325" t="s">
        <v>1110</v>
      </c>
      <c r="N48" s="325" t="s">
        <v>1111</v>
      </c>
      <c r="O48" s="325" t="s">
        <v>1112</v>
      </c>
      <c r="P48" s="325" t="s">
        <v>1113</v>
      </c>
      <c r="Q48" s="325" t="s">
        <v>115</v>
      </c>
      <c r="R48" s="191"/>
      <c r="S48" s="205">
        <f t="shared" si="1"/>
        <v>7</v>
      </c>
      <c r="T48" s="308"/>
      <c r="U48" s="308"/>
      <c r="V48" s="308" t="str">
        <f ca="1">IFERROR(__xludf.DUMMYFUNCTION("""COMPUTED_VALUE"""),"")</f>
        <v/>
      </c>
      <c r="W48" s="308"/>
      <c r="X48" s="308"/>
      <c r="Y48" s="308"/>
      <c r="Z48" s="308"/>
      <c r="AA48" s="308"/>
      <c r="AB48" s="308"/>
      <c r="AC48" s="308"/>
      <c r="AD48" s="308"/>
      <c r="AE48" s="308"/>
      <c r="AF48" s="308"/>
      <c r="AG48" s="308"/>
      <c r="AH48" s="308"/>
      <c r="AI48" s="308"/>
      <c r="AJ48" s="308"/>
      <c r="AK48" s="308"/>
      <c r="AL48" s="308"/>
      <c r="AM48" s="308"/>
      <c r="AN48" s="308"/>
      <c r="AO48" s="308"/>
      <c r="AP48" s="308"/>
      <c r="AQ48" s="308"/>
      <c r="AR48" s="308"/>
      <c r="AS48" s="308"/>
      <c r="AT48" s="308"/>
      <c r="AU48" s="308"/>
      <c r="AV48" s="308"/>
      <c r="AW48" s="308"/>
      <c r="AX48" s="308"/>
      <c r="AY48" s="308"/>
      <c r="AZ48" s="308"/>
      <c r="BA48" s="308"/>
      <c r="BB48" s="308"/>
      <c r="BC48" s="308"/>
      <c r="BD48" s="308"/>
      <c r="BE48" s="308"/>
      <c r="BF48" s="308"/>
      <c r="BG48" s="308"/>
      <c r="BH48" s="308"/>
      <c r="BI48" s="308"/>
      <c r="BJ48" s="308"/>
      <c r="BK48" s="308"/>
      <c r="BL48" s="308"/>
      <c r="BM48" s="308"/>
      <c r="BN48" s="308"/>
      <c r="BO48" s="308"/>
      <c r="BP48" s="308"/>
      <c r="BQ48" s="308"/>
      <c r="BR48" s="308"/>
      <c r="BS48" s="308"/>
    </row>
    <row r="49" spans="1:71" ht="15.75" customHeight="1">
      <c r="A49" s="308"/>
      <c r="B49" s="334" t="s">
        <v>486</v>
      </c>
      <c r="C49" s="334" t="s">
        <v>478</v>
      </c>
      <c r="D49" s="320" t="str">
        <f t="shared" si="0"/>
        <v>優惠券_GD模版_(商城券) 假券一排2張 Reminder+Reminder</v>
      </c>
      <c r="E49" s="200" t="s">
        <v>1123</v>
      </c>
      <c r="F49" s="322"/>
      <c r="G49" s="200"/>
      <c r="H49" s="200">
        <v>1.5</v>
      </c>
      <c r="I49" s="323"/>
      <c r="J49" s="324" t="s">
        <v>1046</v>
      </c>
      <c r="K49" s="324" t="s">
        <v>1046</v>
      </c>
      <c r="L49" s="324" t="s">
        <v>1047</v>
      </c>
      <c r="M49" s="325" t="s">
        <v>1115</v>
      </c>
      <c r="N49" s="325" t="s">
        <v>1116</v>
      </c>
      <c r="O49" s="325" t="s">
        <v>1117</v>
      </c>
      <c r="P49" s="325" t="s">
        <v>1118</v>
      </c>
      <c r="Q49" s="325" t="s">
        <v>115</v>
      </c>
      <c r="R49" s="191"/>
      <c r="S49" s="205">
        <f t="shared" si="1"/>
        <v>7</v>
      </c>
      <c r="T49" s="308"/>
      <c r="U49" s="308"/>
      <c r="V49" s="308" t="str">
        <f ca="1">IFERROR(__xludf.DUMMYFUNCTION("""COMPUTED_VALUE"""),"")</f>
        <v/>
      </c>
      <c r="W49" s="308"/>
      <c r="X49" s="308"/>
      <c r="Y49" s="308"/>
      <c r="Z49" s="308"/>
      <c r="AA49" s="308"/>
      <c r="AB49" s="308"/>
      <c r="AC49" s="308"/>
      <c r="AD49" s="308"/>
      <c r="AE49" s="308"/>
      <c r="AF49" s="308"/>
      <c r="AG49" s="308"/>
      <c r="AH49" s="308"/>
      <c r="AI49" s="308"/>
      <c r="AJ49" s="308"/>
      <c r="AK49" s="308"/>
      <c r="AL49" s="308"/>
      <c r="AM49" s="308"/>
      <c r="AN49" s="308"/>
      <c r="AO49" s="308"/>
      <c r="AP49" s="308"/>
      <c r="AQ49" s="308"/>
      <c r="AR49" s="308"/>
      <c r="AS49" s="308"/>
      <c r="AT49" s="308"/>
      <c r="AU49" s="308"/>
      <c r="AV49" s="308"/>
      <c r="AW49" s="308"/>
      <c r="AX49" s="308"/>
      <c r="AY49" s="308"/>
      <c r="AZ49" s="308"/>
      <c r="BA49" s="308"/>
      <c r="BB49" s="308"/>
      <c r="BC49" s="308"/>
      <c r="BD49" s="308"/>
      <c r="BE49" s="308"/>
      <c r="BF49" s="308"/>
      <c r="BG49" s="308"/>
      <c r="BH49" s="308"/>
      <c r="BI49" s="308"/>
      <c r="BJ49" s="308"/>
      <c r="BK49" s="308"/>
      <c r="BL49" s="308"/>
      <c r="BM49" s="308"/>
      <c r="BN49" s="308"/>
      <c r="BO49" s="308"/>
      <c r="BP49" s="308"/>
      <c r="BQ49" s="308"/>
      <c r="BR49" s="308"/>
      <c r="BS49" s="308"/>
    </row>
    <row r="50" spans="1:71" ht="15.75" customHeight="1">
      <c r="A50" s="308"/>
      <c r="B50" s="334" t="s">
        <v>486</v>
      </c>
      <c r="C50" s="334" t="s">
        <v>479</v>
      </c>
      <c r="D50" s="320" t="str">
        <f t="shared" si="0"/>
        <v>優惠券_GD模版_(商城券) 假券一排2張 CTA+Reminder</v>
      </c>
      <c r="E50" s="200" t="s">
        <v>1124</v>
      </c>
      <c r="F50" s="322"/>
      <c r="G50" s="200"/>
      <c r="H50" s="200">
        <v>1.5</v>
      </c>
      <c r="I50" s="323"/>
      <c r="J50" s="324" t="s">
        <v>1046</v>
      </c>
      <c r="K50" s="324" t="s">
        <v>1046</v>
      </c>
      <c r="L50" s="324" t="s">
        <v>1047</v>
      </c>
      <c r="M50" s="325" t="s">
        <v>1110</v>
      </c>
      <c r="N50" s="325" t="s">
        <v>1111</v>
      </c>
      <c r="O50" s="325" t="s">
        <v>1117</v>
      </c>
      <c r="P50" s="325" t="s">
        <v>1118</v>
      </c>
      <c r="Q50" s="325" t="s">
        <v>115</v>
      </c>
      <c r="R50" s="191"/>
      <c r="S50" s="205">
        <f t="shared" si="1"/>
        <v>7</v>
      </c>
      <c r="T50" s="308"/>
      <c r="U50" s="308"/>
      <c r="V50" s="308" t="str">
        <f ca="1">IFERROR(__xludf.DUMMYFUNCTION("""COMPUTED_VALUE"""),"")</f>
        <v/>
      </c>
      <c r="W50" s="308"/>
      <c r="X50" s="308"/>
      <c r="Y50" s="308"/>
      <c r="Z50" s="308"/>
      <c r="AA50" s="308"/>
      <c r="AB50" s="308"/>
      <c r="AC50" s="308"/>
      <c r="AD50" s="308"/>
      <c r="AE50" s="308"/>
      <c r="AF50" s="308"/>
      <c r="AG50" s="308"/>
      <c r="AH50" s="308"/>
      <c r="AI50" s="308"/>
      <c r="AJ50" s="308"/>
      <c r="AK50" s="308"/>
      <c r="AL50" s="308"/>
      <c r="AM50" s="308"/>
      <c r="AN50" s="308"/>
      <c r="AO50" s="308"/>
      <c r="AP50" s="308"/>
      <c r="AQ50" s="308"/>
      <c r="AR50" s="308"/>
      <c r="AS50" s="308"/>
      <c r="AT50" s="308"/>
      <c r="AU50" s="308"/>
      <c r="AV50" s="308"/>
      <c r="AW50" s="308"/>
      <c r="AX50" s="308"/>
      <c r="AY50" s="308"/>
      <c r="AZ50" s="308"/>
      <c r="BA50" s="308"/>
      <c r="BB50" s="308"/>
      <c r="BC50" s="308"/>
      <c r="BD50" s="308"/>
      <c r="BE50" s="308"/>
      <c r="BF50" s="308"/>
      <c r="BG50" s="308"/>
      <c r="BH50" s="308"/>
      <c r="BI50" s="308"/>
      <c r="BJ50" s="308"/>
      <c r="BK50" s="308"/>
      <c r="BL50" s="308"/>
      <c r="BM50" s="308"/>
      <c r="BN50" s="308"/>
      <c r="BO50" s="308"/>
      <c r="BP50" s="308"/>
      <c r="BQ50" s="308"/>
      <c r="BR50" s="308"/>
      <c r="BS50" s="308"/>
    </row>
    <row r="51" spans="1:71" ht="15.75" customHeight="1">
      <c r="A51" s="308"/>
      <c r="B51" s="334" t="s">
        <v>486</v>
      </c>
      <c r="C51" s="334" t="s">
        <v>480</v>
      </c>
      <c r="D51" s="320" t="str">
        <f t="shared" si="0"/>
        <v>優惠券_GD模版_(全站券+商城券) 假券一排2張 CTA+CTA</v>
      </c>
      <c r="E51" s="200" t="s">
        <v>1125</v>
      </c>
      <c r="F51" s="322"/>
      <c r="G51" s="200"/>
      <c r="H51" s="200">
        <v>1</v>
      </c>
      <c r="I51" s="323"/>
      <c r="J51" s="324" t="s">
        <v>1046</v>
      </c>
      <c r="K51" s="324" t="s">
        <v>1046</v>
      </c>
      <c r="L51" s="324" t="s">
        <v>1047</v>
      </c>
      <c r="M51" s="325" t="s">
        <v>1110</v>
      </c>
      <c r="N51" s="325" t="s">
        <v>1111</v>
      </c>
      <c r="O51" s="325" t="s">
        <v>1112</v>
      </c>
      <c r="P51" s="325" t="s">
        <v>1113</v>
      </c>
      <c r="Q51" s="325" t="s">
        <v>115</v>
      </c>
      <c r="R51" s="191"/>
      <c r="S51" s="205">
        <f t="shared" si="1"/>
        <v>7</v>
      </c>
      <c r="T51" s="308"/>
      <c r="U51" s="308"/>
      <c r="V51" s="308" t="str">
        <f ca="1">IFERROR(__xludf.DUMMYFUNCTION("""COMPUTED_VALUE"""),"")</f>
        <v/>
      </c>
      <c r="W51" s="308"/>
      <c r="X51" s="308"/>
      <c r="Y51" s="308"/>
      <c r="Z51" s="308"/>
      <c r="AA51" s="308"/>
      <c r="AB51" s="308"/>
      <c r="AC51" s="308"/>
      <c r="AD51" s="308"/>
      <c r="AE51" s="308"/>
      <c r="AF51" s="308"/>
      <c r="AG51" s="308"/>
      <c r="AH51" s="308"/>
      <c r="AI51" s="308"/>
      <c r="AJ51" s="308"/>
      <c r="AK51" s="308"/>
      <c r="AL51" s="308"/>
      <c r="AM51" s="308"/>
      <c r="AN51" s="308"/>
      <c r="AO51" s="308"/>
      <c r="AP51" s="308"/>
      <c r="AQ51" s="308"/>
      <c r="AR51" s="308"/>
      <c r="AS51" s="308"/>
      <c r="AT51" s="308"/>
      <c r="AU51" s="308"/>
      <c r="AV51" s="308"/>
      <c r="AW51" s="308"/>
      <c r="AX51" s="308"/>
      <c r="AY51" s="308"/>
      <c r="AZ51" s="308"/>
      <c r="BA51" s="308"/>
      <c r="BB51" s="308"/>
      <c r="BC51" s="308"/>
      <c r="BD51" s="308"/>
      <c r="BE51" s="308"/>
      <c r="BF51" s="308"/>
      <c r="BG51" s="308"/>
      <c r="BH51" s="308"/>
      <c r="BI51" s="308"/>
      <c r="BJ51" s="308"/>
      <c r="BK51" s="308"/>
      <c r="BL51" s="308"/>
      <c r="BM51" s="308"/>
      <c r="BN51" s="308"/>
      <c r="BO51" s="308"/>
      <c r="BP51" s="308"/>
      <c r="BQ51" s="308"/>
      <c r="BR51" s="308"/>
      <c r="BS51" s="308"/>
    </row>
    <row r="52" spans="1:71" ht="15.75" customHeight="1">
      <c r="A52" s="308"/>
      <c r="B52" s="334" t="s">
        <v>486</v>
      </c>
      <c r="C52" s="334" t="s">
        <v>481</v>
      </c>
      <c r="D52" s="320" t="str">
        <f t="shared" si="0"/>
        <v>優惠券_GD模版_(全站券+商城券) 假券一排2張 Reminder+Reminder</v>
      </c>
      <c r="E52" s="200" t="s">
        <v>1126</v>
      </c>
      <c r="F52" s="322"/>
      <c r="G52" s="200"/>
      <c r="H52" s="200">
        <v>1.5</v>
      </c>
      <c r="I52" s="323"/>
      <c r="J52" s="324" t="s">
        <v>1046</v>
      </c>
      <c r="K52" s="324" t="s">
        <v>1046</v>
      </c>
      <c r="L52" s="324" t="s">
        <v>1047</v>
      </c>
      <c r="M52" s="325" t="s">
        <v>1115</v>
      </c>
      <c r="N52" s="325" t="s">
        <v>1116</v>
      </c>
      <c r="O52" s="325" t="s">
        <v>1117</v>
      </c>
      <c r="P52" s="325" t="s">
        <v>1118</v>
      </c>
      <c r="Q52" s="325" t="s">
        <v>115</v>
      </c>
      <c r="R52" s="191"/>
      <c r="S52" s="205">
        <f t="shared" si="1"/>
        <v>7</v>
      </c>
      <c r="T52" s="308"/>
      <c r="U52" s="308"/>
      <c r="V52" s="308" t="str">
        <f ca="1">IFERROR(__xludf.DUMMYFUNCTION("""COMPUTED_VALUE"""),"")</f>
        <v/>
      </c>
      <c r="W52" s="308"/>
      <c r="X52" s="308"/>
      <c r="Y52" s="308"/>
      <c r="Z52" s="308"/>
      <c r="AA52" s="308"/>
      <c r="AB52" s="308"/>
      <c r="AC52" s="308"/>
      <c r="AD52" s="308"/>
      <c r="AE52" s="308"/>
      <c r="AF52" s="308"/>
      <c r="AG52" s="308"/>
      <c r="AH52" s="308"/>
      <c r="AI52" s="308"/>
      <c r="AJ52" s="308"/>
      <c r="AK52" s="308"/>
      <c r="AL52" s="308"/>
      <c r="AM52" s="308"/>
      <c r="AN52" s="308"/>
      <c r="AO52" s="308"/>
      <c r="AP52" s="308"/>
      <c r="AQ52" s="308"/>
      <c r="AR52" s="308"/>
      <c r="AS52" s="308"/>
      <c r="AT52" s="308"/>
      <c r="AU52" s="308"/>
      <c r="AV52" s="308"/>
      <c r="AW52" s="308"/>
      <c r="AX52" s="308"/>
      <c r="AY52" s="308"/>
      <c r="AZ52" s="308"/>
      <c r="BA52" s="308"/>
      <c r="BB52" s="308"/>
      <c r="BC52" s="308"/>
      <c r="BD52" s="308"/>
      <c r="BE52" s="308"/>
      <c r="BF52" s="308"/>
      <c r="BG52" s="308"/>
      <c r="BH52" s="308"/>
      <c r="BI52" s="308"/>
      <c r="BJ52" s="308"/>
      <c r="BK52" s="308"/>
      <c r="BL52" s="308"/>
      <c r="BM52" s="308"/>
      <c r="BN52" s="308"/>
      <c r="BO52" s="308"/>
      <c r="BP52" s="308"/>
      <c r="BQ52" s="308"/>
      <c r="BR52" s="308"/>
      <c r="BS52" s="308"/>
    </row>
    <row r="53" spans="1:71" ht="15.75" customHeight="1">
      <c r="A53" s="308"/>
      <c r="B53" s="334" t="s">
        <v>486</v>
      </c>
      <c r="C53" s="334" t="s">
        <v>482</v>
      </c>
      <c r="D53" s="320" t="str">
        <f t="shared" si="0"/>
        <v>優惠券_GD模版_(全站券+商城券) 假券一排2張 CTA+Reminder</v>
      </c>
      <c r="E53" s="200" t="s">
        <v>1127</v>
      </c>
      <c r="F53" s="322"/>
      <c r="G53" s="200"/>
      <c r="H53" s="200">
        <v>1.5</v>
      </c>
      <c r="I53" s="323"/>
      <c r="J53" s="324" t="s">
        <v>1046</v>
      </c>
      <c r="K53" s="324" t="s">
        <v>1046</v>
      </c>
      <c r="L53" s="324" t="s">
        <v>1047</v>
      </c>
      <c r="M53" s="325" t="s">
        <v>1110</v>
      </c>
      <c r="N53" s="325" t="s">
        <v>1111</v>
      </c>
      <c r="O53" s="325" t="s">
        <v>1117</v>
      </c>
      <c r="P53" s="325" t="s">
        <v>1118</v>
      </c>
      <c r="Q53" s="325" t="s">
        <v>115</v>
      </c>
      <c r="R53" s="191"/>
      <c r="S53" s="205">
        <f t="shared" si="1"/>
        <v>7</v>
      </c>
      <c r="T53" s="308"/>
      <c r="U53" s="308"/>
      <c r="V53" s="308" t="str">
        <f ca="1">IFERROR(__xludf.DUMMYFUNCTION("""COMPUTED_VALUE"""),"")</f>
        <v/>
      </c>
      <c r="W53" s="308"/>
      <c r="X53" s="308"/>
      <c r="Y53" s="308"/>
      <c r="Z53" s="308"/>
      <c r="AA53" s="308"/>
      <c r="AB53" s="308"/>
      <c r="AC53" s="308"/>
      <c r="AD53" s="308"/>
      <c r="AE53" s="308"/>
      <c r="AF53" s="308"/>
      <c r="AG53" s="308"/>
      <c r="AH53" s="308"/>
      <c r="AI53" s="308"/>
      <c r="AJ53" s="308"/>
      <c r="AK53" s="308"/>
      <c r="AL53" s="308"/>
      <c r="AM53" s="308"/>
      <c r="AN53" s="308"/>
      <c r="AO53" s="308"/>
      <c r="AP53" s="308"/>
      <c r="AQ53" s="308"/>
      <c r="AR53" s="308"/>
      <c r="AS53" s="308"/>
      <c r="AT53" s="308"/>
      <c r="AU53" s="308"/>
      <c r="AV53" s="308"/>
      <c r="AW53" s="308"/>
      <c r="AX53" s="308"/>
      <c r="AY53" s="308"/>
      <c r="AZ53" s="308"/>
      <c r="BA53" s="308"/>
      <c r="BB53" s="308"/>
      <c r="BC53" s="308"/>
      <c r="BD53" s="308"/>
      <c r="BE53" s="308"/>
      <c r="BF53" s="308"/>
      <c r="BG53" s="308"/>
      <c r="BH53" s="308"/>
      <c r="BI53" s="308"/>
      <c r="BJ53" s="308"/>
      <c r="BK53" s="308"/>
      <c r="BL53" s="308"/>
      <c r="BM53" s="308"/>
      <c r="BN53" s="308"/>
      <c r="BO53" s="308"/>
      <c r="BP53" s="308"/>
      <c r="BQ53" s="308"/>
      <c r="BR53" s="308"/>
      <c r="BS53" s="308"/>
    </row>
    <row r="54" spans="1:71" ht="15.75" customHeight="1">
      <c r="A54" s="308"/>
      <c r="B54" s="320" t="s">
        <v>264</v>
      </c>
      <c r="C54" s="320" t="s">
        <v>1128</v>
      </c>
      <c r="D54" s="320" t="str">
        <f t="shared" si="0"/>
        <v>品_一排1品(垂直展示)</v>
      </c>
      <c r="E54" s="200" t="s">
        <v>1129</v>
      </c>
      <c r="F54" s="322"/>
      <c r="G54" s="200" t="s">
        <v>264</v>
      </c>
      <c r="H54" s="200">
        <v>1</v>
      </c>
      <c r="I54" s="323" t="s">
        <v>1130</v>
      </c>
      <c r="J54" s="324" t="s">
        <v>1046</v>
      </c>
      <c r="K54" s="324" t="s">
        <v>1046</v>
      </c>
      <c r="L54" s="324" t="s">
        <v>1047</v>
      </c>
      <c r="M54" s="325" t="s">
        <v>1131</v>
      </c>
      <c r="N54" s="325" t="s">
        <v>1132</v>
      </c>
      <c r="O54" s="325" t="s">
        <v>115</v>
      </c>
      <c r="P54" s="325" t="s">
        <v>115</v>
      </c>
      <c r="Q54" s="325" t="s">
        <v>115</v>
      </c>
      <c r="R54" s="191"/>
      <c r="S54" s="205">
        <f t="shared" si="1"/>
        <v>5</v>
      </c>
      <c r="T54" s="308"/>
      <c r="U54" s="308"/>
      <c r="V54" s="308" t="str">
        <f ca="1">IFERROR(__xludf.DUMMYFUNCTION("""COMPUTED_VALUE"""),"")</f>
        <v/>
      </c>
      <c r="W54" s="308"/>
      <c r="X54" s="308"/>
      <c r="Y54" s="308"/>
      <c r="Z54" s="308"/>
      <c r="AA54" s="308"/>
      <c r="AB54" s="308"/>
      <c r="AC54" s="308"/>
      <c r="AD54" s="308"/>
      <c r="AE54" s="308"/>
      <c r="AF54" s="308"/>
      <c r="AG54" s="308"/>
      <c r="AH54" s="308"/>
      <c r="AI54" s="308"/>
      <c r="AJ54" s="308"/>
      <c r="AK54" s="308"/>
      <c r="AL54" s="308"/>
      <c r="AM54" s="308"/>
      <c r="AN54" s="308"/>
      <c r="AO54" s="308"/>
      <c r="AP54" s="308"/>
      <c r="AQ54" s="308"/>
      <c r="AR54" s="308"/>
      <c r="AS54" s="308"/>
      <c r="AT54" s="308"/>
      <c r="AU54" s="308"/>
      <c r="AV54" s="308"/>
      <c r="AW54" s="308"/>
      <c r="AX54" s="308"/>
      <c r="AY54" s="308"/>
      <c r="AZ54" s="308"/>
      <c r="BA54" s="308"/>
      <c r="BB54" s="308"/>
      <c r="BC54" s="308"/>
      <c r="BD54" s="308"/>
      <c r="BE54" s="308"/>
      <c r="BF54" s="308"/>
      <c r="BG54" s="308"/>
      <c r="BH54" s="308"/>
      <c r="BI54" s="308"/>
      <c r="BJ54" s="308"/>
      <c r="BK54" s="308"/>
      <c r="BL54" s="308"/>
      <c r="BM54" s="308"/>
      <c r="BN54" s="308"/>
      <c r="BO54" s="308"/>
      <c r="BP54" s="308"/>
      <c r="BQ54" s="308"/>
      <c r="BR54" s="308"/>
      <c r="BS54" s="308"/>
    </row>
    <row r="55" spans="1:71" ht="15.75" customHeight="1">
      <c r="A55" s="308"/>
      <c r="B55" s="320" t="s">
        <v>264</v>
      </c>
      <c r="C55" s="320" t="s">
        <v>255</v>
      </c>
      <c r="D55" s="320" t="str">
        <f t="shared" si="0"/>
        <v>品_一排2品(垂直展示)</v>
      </c>
      <c r="E55" s="200" t="s">
        <v>1133</v>
      </c>
      <c r="F55" s="322"/>
      <c r="G55" s="200"/>
      <c r="H55" s="200">
        <v>1</v>
      </c>
      <c r="I55" s="323" t="s">
        <v>1130</v>
      </c>
      <c r="J55" s="324" t="s">
        <v>1046</v>
      </c>
      <c r="K55" s="324" t="s">
        <v>1046</v>
      </c>
      <c r="L55" s="324" t="s">
        <v>1047</v>
      </c>
      <c r="M55" s="325" t="s">
        <v>1131</v>
      </c>
      <c r="N55" s="325" t="s">
        <v>1132</v>
      </c>
      <c r="O55" s="325" t="s">
        <v>115</v>
      </c>
      <c r="P55" s="325" t="s">
        <v>115</v>
      </c>
      <c r="Q55" s="325" t="s">
        <v>115</v>
      </c>
      <c r="R55" s="191"/>
      <c r="S55" s="205">
        <f t="shared" si="1"/>
        <v>5</v>
      </c>
      <c r="T55" s="308"/>
      <c r="U55" s="308"/>
      <c r="V55" s="308" t="str">
        <f ca="1">IFERROR(__xludf.DUMMYFUNCTION("""COMPUTED_VALUE"""),"")</f>
        <v/>
      </c>
      <c r="W55" s="308"/>
      <c r="X55" s="308"/>
      <c r="Y55" s="308"/>
      <c r="Z55" s="308"/>
      <c r="AA55" s="308"/>
      <c r="AB55" s="308"/>
      <c r="AC55" s="308"/>
      <c r="AD55" s="308"/>
      <c r="AE55" s="308"/>
      <c r="AF55" s="308"/>
      <c r="AG55" s="308"/>
      <c r="AH55" s="308"/>
      <c r="AI55" s="308"/>
      <c r="AJ55" s="308"/>
      <c r="AK55" s="308"/>
      <c r="AL55" s="308"/>
      <c r="AM55" s="308"/>
      <c r="AN55" s="308"/>
      <c r="AO55" s="308"/>
      <c r="AP55" s="308"/>
      <c r="AQ55" s="308"/>
      <c r="AR55" s="308"/>
      <c r="AS55" s="308"/>
      <c r="AT55" s="308"/>
      <c r="AU55" s="308"/>
      <c r="AV55" s="308"/>
      <c r="AW55" s="308"/>
      <c r="AX55" s="308"/>
      <c r="AY55" s="308"/>
      <c r="AZ55" s="308"/>
      <c r="BA55" s="308"/>
      <c r="BB55" s="308"/>
      <c r="BC55" s="308"/>
      <c r="BD55" s="308"/>
      <c r="BE55" s="308"/>
      <c r="BF55" s="308"/>
      <c r="BG55" s="308"/>
      <c r="BH55" s="308"/>
      <c r="BI55" s="308"/>
      <c r="BJ55" s="308"/>
      <c r="BK55" s="308"/>
      <c r="BL55" s="308"/>
      <c r="BM55" s="308"/>
      <c r="BN55" s="308"/>
      <c r="BO55" s="308"/>
      <c r="BP55" s="308"/>
      <c r="BQ55" s="308"/>
      <c r="BR55" s="308"/>
      <c r="BS55" s="308"/>
    </row>
    <row r="56" spans="1:71" ht="15.75" customHeight="1">
      <c r="A56" s="308"/>
      <c r="B56" s="320" t="s">
        <v>264</v>
      </c>
      <c r="C56" s="320" t="s">
        <v>256</v>
      </c>
      <c r="D56" s="320" t="str">
        <f t="shared" si="0"/>
        <v>品_一排3品(垂直展示)</v>
      </c>
      <c r="E56" s="200" t="s">
        <v>1134</v>
      </c>
      <c r="F56" s="322"/>
      <c r="G56" s="200"/>
      <c r="H56" s="200">
        <v>1</v>
      </c>
      <c r="I56" s="323" t="s">
        <v>1130</v>
      </c>
      <c r="J56" s="324" t="s">
        <v>1046</v>
      </c>
      <c r="K56" s="324" t="s">
        <v>1046</v>
      </c>
      <c r="L56" s="324" t="s">
        <v>1047</v>
      </c>
      <c r="M56" s="325" t="s">
        <v>1131</v>
      </c>
      <c r="N56" s="325" t="s">
        <v>1132</v>
      </c>
      <c r="O56" s="325" t="s">
        <v>115</v>
      </c>
      <c r="P56" s="325" t="s">
        <v>115</v>
      </c>
      <c r="Q56" s="325" t="s">
        <v>115</v>
      </c>
      <c r="R56" s="191"/>
      <c r="S56" s="205">
        <f t="shared" si="1"/>
        <v>5</v>
      </c>
      <c r="T56" s="308"/>
      <c r="U56" s="308"/>
      <c r="V56" s="308" t="str">
        <f ca="1">IFERROR(__xludf.DUMMYFUNCTION("""COMPUTED_VALUE"""),"")</f>
        <v/>
      </c>
      <c r="W56" s="308"/>
      <c r="X56" s="308"/>
      <c r="Y56" s="308"/>
      <c r="Z56" s="308"/>
      <c r="AA56" s="308"/>
      <c r="AB56" s="308"/>
      <c r="AC56" s="308"/>
      <c r="AD56" s="308"/>
      <c r="AE56" s="308"/>
      <c r="AF56" s="308"/>
      <c r="AG56" s="308"/>
      <c r="AH56" s="308"/>
      <c r="AI56" s="308"/>
      <c r="AJ56" s="308"/>
      <c r="AK56" s="308"/>
      <c r="AL56" s="308"/>
      <c r="AM56" s="308"/>
      <c r="AN56" s="308"/>
      <c r="AO56" s="308"/>
      <c r="AP56" s="308"/>
      <c r="AQ56" s="308"/>
      <c r="AR56" s="308"/>
      <c r="AS56" s="308"/>
      <c r="AT56" s="308"/>
      <c r="AU56" s="308"/>
      <c r="AV56" s="308"/>
      <c r="AW56" s="308"/>
      <c r="AX56" s="308"/>
      <c r="AY56" s="308"/>
      <c r="AZ56" s="308"/>
      <c r="BA56" s="308"/>
      <c r="BB56" s="308"/>
      <c r="BC56" s="308"/>
      <c r="BD56" s="308"/>
      <c r="BE56" s="308"/>
      <c r="BF56" s="308"/>
      <c r="BG56" s="308"/>
      <c r="BH56" s="308"/>
      <c r="BI56" s="308"/>
      <c r="BJ56" s="308"/>
      <c r="BK56" s="308"/>
      <c r="BL56" s="308"/>
      <c r="BM56" s="308"/>
      <c r="BN56" s="308"/>
      <c r="BO56" s="308"/>
      <c r="BP56" s="308"/>
      <c r="BQ56" s="308"/>
      <c r="BR56" s="308"/>
      <c r="BS56" s="308"/>
    </row>
    <row r="57" spans="1:71" ht="15.75" customHeight="1">
      <c r="A57" s="308"/>
      <c r="B57" s="320" t="s">
        <v>264</v>
      </c>
      <c r="C57" s="320" t="s">
        <v>257</v>
      </c>
      <c r="D57" s="320" t="str">
        <f t="shared" si="0"/>
        <v>品_Collection 1條(水平展示)</v>
      </c>
      <c r="E57" s="200" t="s">
        <v>1135</v>
      </c>
      <c r="F57" s="322"/>
      <c r="G57" s="200" t="s">
        <v>1136</v>
      </c>
      <c r="H57" s="200">
        <v>0.5</v>
      </c>
      <c r="I57" s="323" t="s">
        <v>1137</v>
      </c>
      <c r="J57" s="324" t="s">
        <v>1046</v>
      </c>
      <c r="K57" s="324" t="s">
        <v>1046</v>
      </c>
      <c r="L57" s="324" t="s">
        <v>1047</v>
      </c>
      <c r="M57" s="325" t="s">
        <v>1138</v>
      </c>
      <c r="N57" s="325" t="s">
        <v>115</v>
      </c>
      <c r="O57" s="325" t="s">
        <v>115</v>
      </c>
      <c r="P57" s="325" t="s">
        <v>115</v>
      </c>
      <c r="Q57" s="325" t="s">
        <v>115</v>
      </c>
      <c r="R57" s="191"/>
      <c r="S57" s="205">
        <f t="shared" si="1"/>
        <v>4</v>
      </c>
      <c r="T57" s="308"/>
      <c r="U57" s="308"/>
      <c r="V57" s="308" t="str">
        <f ca="1">IFERROR(__xludf.DUMMYFUNCTION("""COMPUTED_VALUE"""),"")</f>
        <v/>
      </c>
      <c r="W57" s="308"/>
      <c r="X57" s="308"/>
      <c r="Y57" s="308"/>
      <c r="Z57" s="308"/>
      <c r="AA57" s="308"/>
      <c r="AB57" s="308"/>
      <c r="AC57" s="308"/>
      <c r="AD57" s="308"/>
      <c r="AE57" s="308"/>
      <c r="AF57" s="308"/>
      <c r="AG57" s="308"/>
      <c r="AH57" s="308"/>
      <c r="AI57" s="308"/>
      <c r="AJ57" s="308"/>
      <c r="AK57" s="308"/>
      <c r="AL57" s="308"/>
      <c r="AM57" s="308"/>
      <c r="AN57" s="308"/>
      <c r="AO57" s="308"/>
      <c r="AP57" s="308"/>
      <c r="AQ57" s="308"/>
      <c r="AR57" s="308"/>
      <c r="AS57" s="308"/>
      <c r="AT57" s="308"/>
      <c r="AU57" s="308"/>
      <c r="AV57" s="308"/>
      <c r="AW57" s="308"/>
      <c r="AX57" s="308"/>
      <c r="AY57" s="308"/>
      <c r="AZ57" s="308"/>
      <c r="BA57" s="308"/>
      <c r="BB57" s="308"/>
      <c r="BC57" s="308"/>
      <c r="BD57" s="308"/>
      <c r="BE57" s="308"/>
      <c r="BF57" s="308"/>
      <c r="BG57" s="308"/>
      <c r="BH57" s="308"/>
      <c r="BI57" s="308"/>
      <c r="BJ57" s="308"/>
      <c r="BK57" s="308"/>
      <c r="BL57" s="308"/>
      <c r="BM57" s="308"/>
      <c r="BN57" s="308"/>
      <c r="BO57" s="308"/>
      <c r="BP57" s="308"/>
      <c r="BQ57" s="308"/>
      <c r="BR57" s="308"/>
      <c r="BS57" s="308"/>
    </row>
    <row r="58" spans="1:71" ht="15.75" customHeight="1">
      <c r="A58" s="308"/>
      <c r="B58" s="320" t="s">
        <v>264</v>
      </c>
      <c r="C58" s="320" t="s">
        <v>258</v>
      </c>
      <c r="D58" s="320" t="str">
        <f t="shared" si="0"/>
        <v>品_Collection 1條(水平展示) + 查看全部(Footer)</v>
      </c>
      <c r="E58" s="200" t="s">
        <v>1139</v>
      </c>
      <c r="F58" s="322"/>
      <c r="G58" s="200" t="s">
        <v>1136</v>
      </c>
      <c r="H58" s="200">
        <v>0.5</v>
      </c>
      <c r="I58" s="323" t="s">
        <v>1137</v>
      </c>
      <c r="J58" s="324" t="s">
        <v>1046</v>
      </c>
      <c r="K58" s="324" t="s">
        <v>1046</v>
      </c>
      <c r="L58" s="324" t="s">
        <v>1047</v>
      </c>
      <c r="M58" s="325" t="s">
        <v>1138</v>
      </c>
      <c r="N58" s="325" t="s">
        <v>1140</v>
      </c>
      <c r="O58" s="325" t="s">
        <v>115</v>
      </c>
      <c r="P58" s="325" t="s">
        <v>115</v>
      </c>
      <c r="Q58" s="325" t="s">
        <v>115</v>
      </c>
      <c r="R58" s="191"/>
      <c r="S58" s="205">
        <f t="shared" si="1"/>
        <v>5</v>
      </c>
      <c r="T58" s="308"/>
      <c r="U58" s="308"/>
      <c r="V58" s="308" t="str">
        <f ca="1">IFERROR(__xludf.DUMMYFUNCTION("""COMPUTED_VALUE"""),"")</f>
        <v/>
      </c>
      <c r="W58" s="308"/>
      <c r="X58" s="308"/>
      <c r="Y58" s="308"/>
      <c r="Z58" s="308"/>
      <c r="AA58" s="308"/>
      <c r="AB58" s="308"/>
      <c r="AC58" s="308"/>
      <c r="AD58" s="308"/>
      <c r="AE58" s="308"/>
      <c r="AF58" s="308"/>
      <c r="AG58" s="308"/>
      <c r="AH58" s="308"/>
      <c r="AI58" s="308"/>
      <c r="AJ58" s="308"/>
      <c r="AK58" s="308"/>
      <c r="AL58" s="308"/>
      <c r="AM58" s="308"/>
      <c r="AN58" s="308"/>
      <c r="AO58" s="308"/>
      <c r="AP58" s="308"/>
      <c r="AQ58" s="308"/>
      <c r="AR58" s="308"/>
      <c r="AS58" s="308"/>
      <c r="AT58" s="308"/>
      <c r="AU58" s="308"/>
      <c r="AV58" s="308"/>
      <c r="AW58" s="308"/>
      <c r="AX58" s="308"/>
      <c r="AY58" s="308"/>
      <c r="AZ58" s="308"/>
      <c r="BA58" s="308"/>
      <c r="BB58" s="308"/>
      <c r="BC58" s="308"/>
      <c r="BD58" s="308"/>
      <c r="BE58" s="308"/>
      <c r="BF58" s="308"/>
      <c r="BG58" s="308"/>
      <c r="BH58" s="308"/>
      <c r="BI58" s="308"/>
      <c r="BJ58" s="308"/>
      <c r="BK58" s="308"/>
      <c r="BL58" s="308"/>
      <c r="BM58" s="308"/>
      <c r="BN58" s="308"/>
      <c r="BO58" s="308"/>
      <c r="BP58" s="308"/>
      <c r="BQ58" s="308"/>
      <c r="BR58" s="308"/>
      <c r="BS58" s="308"/>
    </row>
    <row r="59" spans="1:71" ht="15.75" customHeight="1">
      <c r="A59" s="308"/>
      <c r="B59" s="326" t="s">
        <v>264</v>
      </c>
      <c r="C59" s="326" t="s">
        <v>259</v>
      </c>
      <c r="D59" s="320" t="str">
        <f t="shared" si="0"/>
        <v>品_Multi tabs</v>
      </c>
      <c r="E59" s="200" t="s">
        <v>1141</v>
      </c>
      <c r="F59" s="322"/>
      <c r="G59" s="200" t="s">
        <v>1142</v>
      </c>
      <c r="H59" s="200">
        <v>1</v>
      </c>
      <c r="I59" s="191" t="s">
        <v>1143</v>
      </c>
      <c r="J59" s="324" t="s">
        <v>1046</v>
      </c>
      <c r="K59" s="324" t="s">
        <v>1046</v>
      </c>
      <c r="L59" s="324" t="s">
        <v>1047</v>
      </c>
      <c r="M59" s="325" t="s">
        <v>1144</v>
      </c>
      <c r="N59" s="325" t="s">
        <v>115</v>
      </c>
      <c r="O59" s="325" t="s">
        <v>115</v>
      </c>
      <c r="P59" s="325" t="s">
        <v>115</v>
      </c>
      <c r="Q59" s="325" t="s">
        <v>115</v>
      </c>
      <c r="R59" s="191"/>
      <c r="S59" s="205">
        <f t="shared" si="1"/>
        <v>4</v>
      </c>
      <c r="T59" s="308"/>
      <c r="U59" s="308"/>
      <c r="V59" s="308" t="str">
        <f ca="1">IFERROR(__xludf.DUMMYFUNCTION("""COMPUTED_VALUE"""),"")</f>
        <v/>
      </c>
      <c r="W59" s="308"/>
      <c r="X59" s="308"/>
      <c r="Y59" s="308"/>
      <c r="Z59" s="308"/>
      <c r="AA59" s="308"/>
      <c r="AB59" s="308"/>
      <c r="AC59" s="308"/>
      <c r="AD59" s="308"/>
      <c r="AE59" s="308"/>
      <c r="AF59" s="308"/>
      <c r="AG59" s="308"/>
      <c r="AH59" s="308"/>
      <c r="AI59" s="308"/>
      <c r="AJ59" s="308"/>
      <c r="AK59" s="308"/>
      <c r="AL59" s="308"/>
      <c r="AM59" s="308"/>
      <c r="AN59" s="308"/>
      <c r="AO59" s="308"/>
      <c r="AP59" s="308"/>
      <c r="AQ59" s="308"/>
      <c r="AR59" s="308"/>
      <c r="AS59" s="308"/>
      <c r="AT59" s="308"/>
      <c r="AU59" s="308"/>
      <c r="AV59" s="308"/>
      <c r="AW59" s="308"/>
      <c r="AX59" s="308"/>
      <c r="AY59" s="308"/>
      <c r="AZ59" s="308"/>
      <c r="BA59" s="308"/>
      <c r="BB59" s="308"/>
      <c r="BC59" s="308"/>
      <c r="BD59" s="308"/>
      <c r="BE59" s="308"/>
      <c r="BF59" s="308"/>
      <c r="BG59" s="308"/>
      <c r="BH59" s="308"/>
      <c r="BI59" s="308"/>
      <c r="BJ59" s="308"/>
      <c r="BK59" s="308"/>
      <c r="BL59" s="308"/>
      <c r="BM59" s="308"/>
      <c r="BN59" s="308"/>
      <c r="BO59" s="308"/>
      <c r="BP59" s="308"/>
      <c r="BQ59" s="308"/>
      <c r="BR59" s="308"/>
      <c r="BS59" s="308"/>
    </row>
    <row r="60" spans="1:71" ht="15.75" customHeight="1">
      <c r="A60" s="308"/>
      <c r="B60" s="326" t="s">
        <v>264</v>
      </c>
      <c r="C60" s="326" t="s">
        <v>260</v>
      </c>
      <c r="D60" s="320" t="str">
        <f t="shared" si="0"/>
        <v>品_推薦品 Item Recommendation-固定</v>
      </c>
      <c r="E60" s="200" t="s">
        <v>1145</v>
      </c>
      <c r="F60" s="322"/>
      <c r="G60" s="200" t="s">
        <v>1146</v>
      </c>
      <c r="H60" s="200">
        <v>0.5</v>
      </c>
      <c r="I60" s="323"/>
      <c r="J60" s="324" t="s">
        <v>1046</v>
      </c>
      <c r="K60" s="324" t="s">
        <v>1046</v>
      </c>
      <c r="L60" s="324" t="s">
        <v>1047</v>
      </c>
      <c r="M60" s="325" t="s">
        <v>1131</v>
      </c>
      <c r="N60" s="325" t="s">
        <v>1050</v>
      </c>
      <c r="O60" s="325" t="s">
        <v>115</v>
      </c>
      <c r="P60" s="325" t="s">
        <v>115</v>
      </c>
      <c r="Q60" s="325" t="s">
        <v>115</v>
      </c>
      <c r="R60" s="191"/>
      <c r="S60" s="205">
        <f t="shared" si="1"/>
        <v>5</v>
      </c>
      <c r="T60" s="308"/>
      <c r="U60" s="308"/>
      <c r="V60" s="308" t="str">
        <f ca="1">IFERROR(__xludf.DUMMYFUNCTION("""COMPUTED_VALUE"""),"")</f>
        <v/>
      </c>
      <c r="W60" s="308"/>
      <c r="X60" s="308"/>
      <c r="Y60" s="308"/>
      <c r="Z60" s="308"/>
      <c r="AA60" s="308"/>
      <c r="AB60" s="308"/>
      <c r="AC60" s="308"/>
      <c r="AD60" s="308"/>
      <c r="AE60" s="308"/>
      <c r="AF60" s="308"/>
      <c r="AG60" s="308"/>
      <c r="AH60" s="308"/>
      <c r="AI60" s="308"/>
      <c r="AJ60" s="308"/>
      <c r="AK60" s="308"/>
      <c r="AL60" s="308"/>
      <c r="AM60" s="308"/>
      <c r="AN60" s="308"/>
      <c r="AO60" s="308"/>
      <c r="AP60" s="308"/>
      <c r="AQ60" s="308"/>
      <c r="AR60" s="308"/>
      <c r="AS60" s="308"/>
      <c r="AT60" s="308"/>
      <c r="AU60" s="308"/>
      <c r="AV60" s="308"/>
      <c r="AW60" s="308"/>
      <c r="AX60" s="308"/>
      <c r="AY60" s="308"/>
      <c r="AZ60" s="308"/>
      <c r="BA60" s="308"/>
      <c r="BB60" s="308"/>
      <c r="BC60" s="308"/>
      <c r="BD60" s="308"/>
      <c r="BE60" s="308"/>
      <c r="BF60" s="308"/>
      <c r="BG60" s="308"/>
      <c r="BH60" s="308"/>
      <c r="BI60" s="308"/>
      <c r="BJ60" s="308"/>
      <c r="BK60" s="308"/>
      <c r="BL60" s="308"/>
      <c r="BM60" s="308"/>
      <c r="BN60" s="308"/>
      <c r="BO60" s="308"/>
      <c r="BP60" s="308"/>
      <c r="BQ60" s="308"/>
      <c r="BR60" s="308"/>
      <c r="BS60" s="308"/>
    </row>
    <row r="61" spans="1:71" ht="15.75" customHeight="1">
      <c r="A61" s="308"/>
      <c r="B61" s="334" t="s">
        <v>817</v>
      </c>
      <c r="C61" s="334" t="s">
        <v>1147</v>
      </c>
      <c r="D61" s="320" t="str">
        <f t="shared" si="0"/>
        <v>店_Collection 1條</v>
      </c>
      <c r="E61" s="200" t="s">
        <v>1148</v>
      </c>
      <c r="F61" s="322"/>
      <c r="G61" s="200" t="s">
        <v>1149</v>
      </c>
      <c r="H61" s="200">
        <v>0.5</v>
      </c>
      <c r="I61" s="323" t="s">
        <v>1150</v>
      </c>
      <c r="J61" s="324" t="s">
        <v>1046</v>
      </c>
      <c r="K61" s="324" t="s">
        <v>1046</v>
      </c>
      <c r="L61" s="324" t="s">
        <v>1047</v>
      </c>
      <c r="M61" s="325" t="s">
        <v>1151</v>
      </c>
      <c r="N61" s="325" t="s">
        <v>115</v>
      </c>
      <c r="O61" s="325" t="s">
        <v>115</v>
      </c>
      <c r="P61" s="325" t="s">
        <v>115</v>
      </c>
      <c r="Q61" s="325" t="s">
        <v>115</v>
      </c>
      <c r="R61" s="191"/>
      <c r="S61" s="205">
        <f t="shared" si="1"/>
        <v>4</v>
      </c>
      <c r="T61" s="308"/>
      <c r="U61" s="308"/>
      <c r="V61" s="308" t="str">
        <f ca="1">IFERROR(__xludf.DUMMYFUNCTION("""COMPUTED_VALUE"""),"")</f>
        <v/>
      </c>
      <c r="W61" s="308"/>
      <c r="X61" s="308"/>
      <c r="Y61" s="308"/>
      <c r="Z61" s="308"/>
      <c r="AA61" s="308"/>
      <c r="AB61" s="308"/>
      <c r="AC61" s="308"/>
      <c r="AD61" s="308"/>
      <c r="AE61" s="308"/>
      <c r="AF61" s="308"/>
      <c r="AG61" s="308"/>
      <c r="AH61" s="308"/>
      <c r="AI61" s="308"/>
      <c r="AJ61" s="308"/>
      <c r="AK61" s="308"/>
      <c r="AL61" s="308"/>
      <c r="AM61" s="308"/>
      <c r="AN61" s="308"/>
      <c r="AO61" s="308"/>
      <c r="AP61" s="308"/>
      <c r="AQ61" s="308"/>
      <c r="AR61" s="308"/>
      <c r="AS61" s="308"/>
      <c r="AT61" s="308"/>
      <c r="AU61" s="308"/>
      <c r="AV61" s="308"/>
      <c r="AW61" s="308"/>
      <c r="AX61" s="308"/>
      <c r="AY61" s="308"/>
      <c r="AZ61" s="308"/>
      <c r="BA61" s="308"/>
      <c r="BB61" s="308"/>
      <c r="BC61" s="308"/>
      <c r="BD61" s="308"/>
      <c r="BE61" s="308"/>
      <c r="BF61" s="308"/>
      <c r="BG61" s="308"/>
      <c r="BH61" s="308"/>
      <c r="BI61" s="308"/>
      <c r="BJ61" s="308"/>
      <c r="BK61" s="308"/>
      <c r="BL61" s="308"/>
      <c r="BM61" s="308"/>
      <c r="BN61" s="308"/>
      <c r="BO61" s="308"/>
      <c r="BP61" s="308"/>
      <c r="BQ61" s="308"/>
      <c r="BR61" s="308"/>
      <c r="BS61" s="308"/>
    </row>
    <row r="62" spans="1:71" ht="15.75" customHeight="1">
      <c r="A62" s="308"/>
      <c r="B62" s="320" t="s">
        <v>147</v>
      </c>
      <c r="C62" s="320" t="s">
        <v>154</v>
      </c>
      <c r="D62" s="320" t="str">
        <f t="shared" si="0"/>
        <v>圖_MSBN_無CTA</v>
      </c>
      <c r="E62" s="200" t="s">
        <v>1152</v>
      </c>
      <c r="F62" s="322"/>
      <c r="G62" s="200" t="s">
        <v>1153</v>
      </c>
      <c r="H62" s="200">
        <v>0.5</v>
      </c>
      <c r="I62" s="323"/>
      <c r="J62" s="324" t="s">
        <v>1046</v>
      </c>
      <c r="K62" s="324" t="s">
        <v>1046</v>
      </c>
      <c r="L62" s="324" t="s">
        <v>1047</v>
      </c>
      <c r="M62" s="325" t="s">
        <v>1056</v>
      </c>
      <c r="N62" s="325" t="s">
        <v>115</v>
      </c>
      <c r="O62" s="325" t="s">
        <v>115</v>
      </c>
      <c r="P62" s="325" t="s">
        <v>115</v>
      </c>
      <c r="Q62" s="325" t="s">
        <v>115</v>
      </c>
      <c r="R62" s="191"/>
      <c r="S62" s="205">
        <f t="shared" si="1"/>
        <v>4</v>
      </c>
      <c r="T62" s="308"/>
      <c r="U62" s="308"/>
      <c r="V62" s="308" t="str">
        <f ca="1">IFERROR(__xludf.DUMMYFUNCTION("""COMPUTED_VALUE"""),"")</f>
        <v/>
      </c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08"/>
      <c r="AP62" s="308"/>
      <c r="AQ62" s="308"/>
      <c r="AR62" s="308"/>
      <c r="AS62" s="308"/>
      <c r="AT62" s="308"/>
      <c r="AU62" s="308"/>
      <c r="AV62" s="308"/>
      <c r="AW62" s="308"/>
      <c r="AX62" s="308"/>
      <c r="AY62" s="308"/>
      <c r="AZ62" s="308"/>
      <c r="BA62" s="308"/>
      <c r="BB62" s="308"/>
      <c r="BC62" s="308"/>
      <c r="BD62" s="308"/>
      <c r="BE62" s="308"/>
      <c r="BF62" s="308"/>
      <c r="BG62" s="308"/>
      <c r="BH62" s="308"/>
      <c r="BI62" s="308"/>
      <c r="BJ62" s="308"/>
      <c r="BK62" s="308"/>
      <c r="BL62" s="308"/>
      <c r="BM62" s="308"/>
      <c r="BN62" s="308"/>
      <c r="BO62" s="308"/>
      <c r="BP62" s="308"/>
      <c r="BQ62" s="308"/>
      <c r="BR62" s="308"/>
      <c r="BS62" s="308"/>
    </row>
    <row r="63" spans="1:71" ht="15.75" customHeight="1">
      <c r="A63" s="308"/>
      <c r="B63" s="320" t="s">
        <v>147</v>
      </c>
      <c r="C63" s="320" t="s">
        <v>118</v>
      </c>
      <c r="D63" s="320" t="str">
        <f t="shared" si="0"/>
        <v>圖_MSBN_LINK*1</v>
      </c>
      <c r="E63" s="200" t="s">
        <v>148</v>
      </c>
      <c r="F63" s="322"/>
      <c r="G63" s="200" t="s">
        <v>1153</v>
      </c>
      <c r="H63" s="200">
        <v>0.5</v>
      </c>
      <c r="I63" s="323"/>
      <c r="J63" s="324" t="s">
        <v>1046</v>
      </c>
      <c r="K63" s="324" t="s">
        <v>1046</v>
      </c>
      <c r="L63" s="324" t="s">
        <v>1047</v>
      </c>
      <c r="M63" s="325" t="s">
        <v>1056</v>
      </c>
      <c r="N63" s="325" t="s">
        <v>1105</v>
      </c>
      <c r="O63" s="325" t="s">
        <v>115</v>
      </c>
      <c r="P63" s="325" t="s">
        <v>115</v>
      </c>
      <c r="Q63" s="325" t="s">
        <v>115</v>
      </c>
      <c r="R63" s="191"/>
      <c r="S63" s="205">
        <f t="shared" si="1"/>
        <v>5</v>
      </c>
      <c r="T63" s="308"/>
      <c r="U63" s="308"/>
      <c r="V63" s="308" t="str">
        <f ca="1">IFERROR(__xludf.DUMMYFUNCTION("""COMPUTED_VALUE"""),"")</f>
        <v/>
      </c>
      <c r="W63" s="308"/>
      <c r="X63" s="308"/>
      <c r="Y63" s="308"/>
      <c r="Z63" s="308"/>
      <c r="AA63" s="308"/>
      <c r="AB63" s="308"/>
      <c r="AC63" s="308"/>
      <c r="AD63" s="308"/>
      <c r="AE63" s="308"/>
      <c r="AF63" s="308"/>
      <c r="AG63" s="308"/>
      <c r="AH63" s="308"/>
      <c r="AI63" s="308"/>
      <c r="AJ63" s="308"/>
      <c r="AK63" s="308"/>
      <c r="AL63" s="308"/>
      <c r="AM63" s="308"/>
      <c r="AN63" s="308"/>
      <c r="AO63" s="308"/>
      <c r="AP63" s="308"/>
      <c r="AQ63" s="308"/>
      <c r="AR63" s="308"/>
      <c r="AS63" s="308"/>
      <c r="AT63" s="308"/>
      <c r="AU63" s="308"/>
      <c r="AV63" s="308"/>
      <c r="AW63" s="308"/>
      <c r="AX63" s="308"/>
      <c r="AY63" s="308"/>
      <c r="AZ63" s="308"/>
      <c r="BA63" s="308"/>
      <c r="BB63" s="308"/>
      <c r="BC63" s="308"/>
      <c r="BD63" s="308"/>
      <c r="BE63" s="308"/>
      <c r="BF63" s="308"/>
      <c r="BG63" s="308"/>
      <c r="BH63" s="308"/>
      <c r="BI63" s="308"/>
      <c r="BJ63" s="308"/>
      <c r="BK63" s="308"/>
      <c r="BL63" s="308"/>
      <c r="BM63" s="308"/>
      <c r="BN63" s="308"/>
      <c r="BO63" s="308"/>
      <c r="BP63" s="308"/>
      <c r="BQ63" s="308"/>
      <c r="BR63" s="308"/>
      <c r="BS63" s="308"/>
    </row>
    <row r="64" spans="1:71" ht="15.75" customHeight="1">
      <c r="A64" s="308"/>
      <c r="B64" s="320" t="s">
        <v>147</v>
      </c>
      <c r="C64" s="320" t="s">
        <v>119</v>
      </c>
      <c r="D64" s="320" t="str">
        <f t="shared" si="0"/>
        <v>圖_MSBN_LINK*2</v>
      </c>
      <c r="E64" s="200" t="s">
        <v>1154</v>
      </c>
      <c r="F64" s="322"/>
      <c r="G64" s="200" t="s">
        <v>1153</v>
      </c>
      <c r="H64" s="200">
        <v>0.5</v>
      </c>
      <c r="I64" s="323"/>
      <c r="J64" s="324" t="s">
        <v>1046</v>
      </c>
      <c r="K64" s="324" t="s">
        <v>1046</v>
      </c>
      <c r="L64" s="324" t="s">
        <v>1047</v>
      </c>
      <c r="M64" s="325" t="s">
        <v>1056</v>
      </c>
      <c r="N64" s="325" t="s">
        <v>1155</v>
      </c>
      <c r="O64" s="325" t="s">
        <v>115</v>
      </c>
      <c r="P64" s="325" t="s">
        <v>115</v>
      </c>
      <c r="Q64" s="325" t="s">
        <v>115</v>
      </c>
      <c r="R64" s="191"/>
      <c r="S64" s="205">
        <f t="shared" si="1"/>
        <v>5</v>
      </c>
      <c r="T64" s="308"/>
      <c r="U64" s="308"/>
      <c r="V64" s="308" t="str">
        <f ca="1">IFERROR(__xludf.DUMMYFUNCTION("""COMPUTED_VALUE"""),"")</f>
        <v/>
      </c>
      <c r="W64" s="308"/>
      <c r="X64" s="308"/>
      <c r="Y64" s="308"/>
      <c r="Z64" s="308"/>
      <c r="AA64" s="308"/>
      <c r="AB64" s="308"/>
      <c r="AC64" s="308"/>
      <c r="AD64" s="308"/>
      <c r="AE64" s="308"/>
      <c r="AF64" s="308"/>
      <c r="AG64" s="308"/>
      <c r="AH64" s="308"/>
      <c r="AI64" s="308"/>
      <c r="AJ64" s="308"/>
      <c r="AK64" s="308"/>
      <c r="AL64" s="308"/>
      <c r="AM64" s="308"/>
      <c r="AN64" s="308"/>
      <c r="AO64" s="308"/>
      <c r="AP64" s="308"/>
      <c r="AQ64" s="308"/>
      <c r="AR64" s="308"/>
      <c r="AS64" s="308"/>
      <c r="AT64" s="308"/>
      <c r="AU64" s="308"/>
      <c r="AV64" s="308"/>
      <c r="AW64" s="308"/>
      <c r="AX64" s="308"/>
      <c r="AY64" s="308"/>
      <c r="AZ64" s="308"/>
      <c r="BA64" s="308"/>
      <c r="BB64" s="308"/>
      <c r="BC64" s="308"/>
      <c r="BD64" s="308"/>
      <c r="BE64" s="308"/>
      <c r="BF64" s="308"/>
      <c r="BG64" s="308"/>
      <c r="BH64" s="308"/>
      <c r="BI64" s="308"/>
      <c r="BJ64" s="308"/>
      <c r="BK64" s="308"/>
      <c r="BL64" s="308"/>
      <c r="BM64" s="308"/>
      <c r="BN64" s="308"/>
      <c r="BO64" s="308"/>
      <c r="BP64" s="308"/>
      <c r="BQ64" s="308"/>
      <c r="BR64" s="308"/>
      <c r="BS64" s="308"/>
    </row>
    <row r="65" spans="1:71" ht="15.75" customHeight="1">
      <c r="A65" s="308"/>
      <c r="B65" s="326" t="s">
        <v>147</v>
      </c>
      <c r="C65" s="326" t="s">
        <v>120</v>
      </c>
      <c r="D65" s="320" t="str">
        <f t="shared" si="0"/>
        <v>圖_MSBN_LINK*3</v>
      </c>
      <c r="E65" s="200" t="s">
        <v>1156</v>
      </c>
      <c r="F65" s="322"/>
      <c r="G65" s="200" t="s">
        <v>1153</v>
      </c>
      <c r="H65" s="200">
        <v>0.8</v>
      </c>
      <c r="I65" s="323"/>
      <c r="J65" s="324" t="s">
        <v>1046</v>
      </c>
      <c r="K65" s="324" t="s">
        <v>1046</v>
      </c>
      <c r="L65" s="324" t="s">
        <v>1047</v>
      </c>
      <c r="M65" s="325" t="s">
        <v>1056</v>
      </c>
      <c r="N65" s="325" t="s">
        <v>1157</v>
      </c>
      <c r="O65" s="325" t="s">
        <v>115</v>
      </c>
      <c r="P65" s="325" t="s">
        <v>115</v>
      </c>
      <c r="Q65" s="325" t="s">
        <v>115</v>
      </c>
      <c r="R65" s="191"/>
      <c r="S65" s="205">
        <f t="shared" si="1"/>
        <v>5</v>
      </c>
      <c r="T65" s="308"/>
      <c r="U65" s="308"/>
      <c r="V65" s="308" t="str">
        <f ca="1">IFERROR(__xludf.DUMMYFUNCTION("""COMPUTED_VALUE"""),"")</f>
        <v/>
      </c>
      <c r="W65" s="308"/>
      <c r="X65" s="308"/>
      <c r="Y65" s="308"/>
      <c r="Z65" s="308"/>
      <c r="AA65" s="308"/>
      <c r="AB65" s="308"/>
      <c r="AC65" s="308"/>
      <c r="AD65" s="308"/>
      <c r="AE65" s="308"/>
      <c r="AF65" s="308"/>
      <c r="AG65" s="308"/>
      <c r="AH65" s="308"/>
      <c r="AI65" s="308"/>
      <c r="AJ65" s="308"/>
      <c r="AK65" s="308"/>
      <c r="AL65" s="308"/>
      <c r="AM65" s="308"/>
      <c r="AN65" s="308"/>
      <c r="AO65" s="308"/>
      <c r="AP65" s="308"/>
      <c r="AQ65" s="308"/>
      <c r="AR65" s="308"/>
      <c r="AS65" s="308"/>
      <c r="AT65" s="308"/>
      <c r="AU65" s="308"/>
      <c r="AV65" s="308"/>
      <c r="AW65" s="308"/>
      <c r="AX65" s="308"/>
      <c r="AY65" s="308"/>
      <c r="AZ65" s="308"/>
      <c r="BA65" s="308"/>
      <c r="BB65" s="308"/>
      <c r="BC65" s="308"/>
      <c r="BD65" s="308"/>
      <c r="BE65" s="308"/>
      <c r="BF65" s="308"/>
      <c r="BG65" s="308"/>
      <c r="BH65" s="308"/>
      <c r="BI65" s="308"/>
      <c r="BJ65" s="308"/>
      <c r="BK65" s="308"/>
      <c r="BL65" s="308"/>
      <c r="BM65" s="308"/>
      <c r="BN65" s="308"/>
      <c r="BO65" s="308"/>
      <c r="BP65" s="308"/>
      <c r="BQ65" s="308"/>
      <c r="BR65" s="308"/>
      <c r="BS65" s="308"/>
    </row>
    <row r="66" spans="1:71" ht="15.75" customHeight="1">
      <c r="A66" s="308"/>
      <c r="B66" s="334" t="s">
        <v>147</v>
      </c>
      <c r="C66" s="334" t="s">
        <v>121</v>
      </c>
      <c r="D66" s="320" t="str">
        <f t="shared" si="0"/>
        <v>圖_MSBN_LINK&gt;3</v>
      </c>
      <c r="E66" s="200" t="s">
        <v>1158</v>
      </c>
      <c r="F66" s="322"/>
      <c r="G66" s="200" t="s">
        <v>1153</v>
      </c>
      <c r="H66" s="200">
        <v>1</v>
      </c>
      <c r="I66" s="323"/>
      <c r="J66" s="324" t="s">
        <v>1046</v>
      </c>
      <c r="K66" s="324" t="s">
        <v>1046</v>
      </c>
      <c r="L66" s="324" t="s">
        <v>1047</v>
      </c>
      <c r="M66" s="325" t="s">
        <v>1056</v>
      </c>
      <c r="N66" s="325" t="s">
        <v>1159</v>
      </c>
      <c r="O66" s="325" t="s">
        <v>115</v>
      </c>
      <c r="P66" s="325" t="s">
        <v>115</v>
      </c>
      <c r="Q66" s="325" t="s">
        <v>115</v>
      </c>
      <c r="R66" s="191"/>
      <c r="S66" s="205">
        <f t="shared" si="1"/>
        <v>5</v>
      </c>
      <c r="T66" s="308"/>
      <c r="U66" s="308"/>
      <c r="V66" s="308" t="str">
        <f ca="1">IFERROR(__xludf.DUMMYFUNCTION("""COMPUTED_VALUE"""),"")</f>
        <v/>
      </c>
      <c r="W66" s="308"/>
      <c r="X66" s="308"/>
      <c r="Y66" s="308"/>
      <c r="Z66" s="308"/>
      <c r="AA66" s="308"/>
      <c r="AB66" s="308"/>
      <c r="AC66" s="308"/>
      <c r="AD66" s="308"/>
      <c r="AE66" s="308"/>
      <c r="AF66" s="308"/>
      <c r="AG66" s="308"/>
      <c r="AH66" s="308"/>
      <c r="AI66" s="308"/>
      <c r="AJ66" s="308"/>
      <c r="AK66" s="308"/>
      <c r="AL66" s="308"/>
      <c r="AM66" s="308"/>
      <c r="AN66" s="308"/>
      <c r="AO66" s="308"/>
      <c r="AP66" s="308"/>
      <c r="AQ66" s="308"/>
      <c r="AR66" s="308"/>
      <c r="AS66" s="308"/>
      <c r="AT66" s="308"/>
      <c r="AU66" s="308"/>
      <c r="AV66" s="308"/>
      <c r="AW66" s="308"/>
      <c r="AX66" s="308"/>
      <c r="AY66" s="308"/>
      <c r="AZ66" s="308"/>
      <c r="BA66" s="308"/>
      <c r="BB66" s="308"/>
      <c r="BC66" s="308"/>
      <c r="BD66" s="308"/>
      <c r="BE66" s="308"/>
      <c r="BF66" s="308"/>
      <c r="BG66" s="308"/>
      <c r="BH66" s="308"/>
      <c r="BI66" s="308"/>
      <c r="BJ66" s="308"/>
      <c r="BK66" s="308"/>
      <c r="BL66" s="308"/>
      <c r="BM66" s="308"/>
      <c r="BN66" s="308"/>
      <c r="BO66" s="308"/>
      <c r="BP66" s="308"/>
      <c r="BQ66" s="308"/>
      <c r="BR66" s="308"/>
      <c r="BS66" s="308"/>
    </row>
    <row r="67" spans="1:71" ht="15.75" customHeight="1">
      <c r="A67" s="308"/>
      <c r="B67" s="334" t="s">
        <v>147</v>
      </c>
      <c r="C67" s="334" t="s">
        <v>122</v>
      </c>
      <c r="D67" s="320" t="str">
        <f t="shared" si="0"/>
        <v>圖_MSBN_Reminder*1</v>
      </c>
      <c r="E67" s="200" t="s">
        <v>1160</v>
      </c>
      <c r="F67" s="322"/>
      <c r="G67" s="200" t="s">
        <v>1153</v>
      </c>
      <c r="H67" s="200">
        <v>0.5</v>
      </c>
      <c r="I67" s="323"/>
      <c r="J67" s="324" t="s">
        <v>1046</v>
      </c>
      <c r="K67" s="324" t="s">
        <v>1046</v>
      </c>
      <c r="L67" s="324" t="s">
        <v>1047</v>
      </c>
      <c r="M67" s="325" t="s">
        <v>1056</v>
      </c>
      <c r="N67" s="325" t="s">
        <v>1161</v>
      </c>
      <c r="O67" s="325" t="s">
        <v>115</v>
      </c>
      <c r="P67" s="325" t="s">
        <v>115</v>
      </c>
      <c r="Q67" s="325" t="s">
        <v>115</v>
      </c>
      <c r="R67" s="191"/>
      <c r="S67" s="205">
        <f t="shared" si="1"/>
        <v>5</v>
      </c>
      <c r="T67" s="308"/>
      <c r="U67" s="308"/>
      <c r="V67" s="308" t="str">
        <f ca="1">IFERROR(__xludf.DUMMYFUNCTION("""COMPUTED_VALUE"""),"")</f>
        <v/>
      </c>
      <c r="W67" s="308"/>
      <c r="X67" s="308"/>
      <c r="Y67" s="308"/>
      <c r="Z67" s="308"/>
      <c r="AA67" s="308"/>
      <c r="AB67" s="308"/>
      <c r="AC67" s="308"/>
      <c r="AD67" s="308"/>
      <c r="AE67" s="308"/>
      <c r="AF67" s="308"/>
      <c r="AG67" s="308"/>
      <c r="AH67" s="308"/>
      <c r="AI67" s="308"/>
      <c r="AJ67" s="308"/>
      <c r="AK67" s="308"/>
      <c r="AL67" s="308"/>
      <c r="AM67" s="308"/>
      <c r="AN67" s="308"/>
      <c r="AO67" s="308"/>
      <c r="AP67" s="308"/>
      <c r="AQ67" s="308"/>
      <c r="AR67" s="308"/>
      <c r="AS67" s="308"/>
      <c r="AT67" s="308"/>
      <c r="AU67" s="308"/>
      <c r="AV67" s="308"/>
      <c r="AW67" s="308"/>
      <c r="AX67" s="308"/>
      <c r="AY67" s="308"/>
      <c r="AZ67" s="308"/>
      <c r="BA67" s="308"/>
      <c r="BB67" s="308"/>
      <c r="BC67" s="308"/>
      <c r="BD67" s="308"/>
      <c r="BE67" s="308"/>
      <c r="BF67" s="308"/>
      <c r="BG67" s="308"/>
      <c r="BH67" s="308"/>
      <c r="BI67" s="308"/>
      <c r="BJ67" s="308"/>
      <c r="BK67" s="308"/>
      <c r="BL67" s="308"/>
      <c r="BM67" s="308"/>
      <c r="BN67" s="308"/>
      <c r="BO67" s="308"/>
      <c r="BP67" s="308"/>
      <c r="BQ67" s="308"/>
      <c r="BR67" s="308"/>
      <c r="BS67" s="308"/>
    </row>
    <row r="68" spans="1:71" ht="15.75" customHeight="1">
      <c r="A68" s="308"/>
      <c r="B68" s="334" t="s">
        <v>147</v>
      </c>
      <c r="C68" s="334" t="s">
        <v>123</v>
      </c>
      <c r="D68" s="320" t="str">
        <f t="shared" si="0"/>
        <v>圖_MSBN_Reminder*2</v>
      </c>
      <c r="E68" s="200" t="s">
        <v>1162</v>
      </c>
      <c r="F68" s="322"/>
      <c r="G68" s="200" t="s">
        <v>1153</v>
      </c>
      <c r="H68" s="200">
        <v>0.5</v>
      </c>
      <c r="I68" s="323"/>
      <c r="J68" s="324" t="s">
        <v>1046</v>
      </c>
      <c r="K68" s="324" t="s">
        <v>1046</v>
      </c>
      <c r="L68" s="324" t="s">
        <v>1047</v>
      </c>
      <c r="M68" s="325" t="s">
        <v>1056</v>
      </c>
      <c r="N68" s="325" t="s">
        <v>1163</v>
      </c>
      <c r="O68" s="325" t="s">
        <v>1164</v>
      </c>
      <c r="P68" s="325" t="s">
        <v>115</v>
      </c>
      <c r="Q68" s="325" t="s">
        <v>115</v>
      </c>
      <c r="R68" s="191"/>
      <c r="S68" s="205">
        <f t="shared" si="1"/>
        <v>6</v>
      </c>
      <c r="T68" s="308"/>
      <c r="U68" s="308"/>
      <c r="V68" s="308" t="str">
        <f ca="1">IFERROR(__xludf.DUMMYFUNCTION("""COMPUTED_VALUE"""),"")</f>
        <v/>
      </c>
      <c r="W68" s="308"/>
      <c r="X68" s="308"/>
      <c r="Y68" s="308"/>
      <c r="Z68" s="308"/>
      <c r="AA68" s="308"/>
      <c r="AB68" s="308"/>
      <c r="AC68" s="308"/>
      <c r="AD68" s="308"/>
      <c r="AE68" s="308"/>
      <c r="AF68" s="308"/>
      <c r="AG68" s="308"/>
      <c r="AH68" s="308"/>
      <c r="AI68" s="308"/>
      <c r="AJ68" s="308"/>
      <c r="AK68" s="308"/>
      <c r="AL68" s="308"/>
      <c r="AM68" s="308"/>
      <c r="AN68" s="308"/>
      <c r="AO68" s="308"/>
      <c r="AP68" s="308"/>
      <c r="AQ68" s="308"/>
      <c r="AR68" s="308"/>
      <c r="AS68" s="308"/>
      <c r="AT68" s="308"/>
      <c r="AU68" s="308"/>
      <c r="AV68" s="308"/>
      <c r="AW68" s="308"/>
      <c r="AX68" s="308"/>
      <c r="AY68" s="308"/>
      <c r="AZ68" s="308"/>
      <c r="BA68" s="308"/>
      <c r="BB68" s="308"/>
      <c r="BC68" s="308"/>
      <c r="BD68" s="308"/>
      <c r="BE68" s="308"/>
      <c r="BF68" s="308"/>
      <c r="BG68" s="308"/>
      <c r="BH68" s="308"/>
      <c r="BI68" s="308"/>
      <c r="BJ68" s="308"/>
      <c r="BK68" s="308"/>
      <c r="BL68" s="308"/>
      <c r="BM68" s="308"/>
      <c r="BN68" s="308"/>
      <c r="BO68" s="308"/>
      <c r="BP68" s="308"/>
      <c r="BQ68" s="308"/>
      <c r="BR68" s="308"/>
      <c r="BS68" s="308"/>
    </row>
    <row r="69" spans="1:71" ht="15.75" customHeight="1">
      <c r="A69" s="308"/>
      <c r="B69" s="334" t="s">
        <v>147</v>
      </c>
      <c r="C69" s="334" t="s">
        <v>124</v>
      </c>
      <c r="D69" s="320" t="str">
        <f t="shared" si="0"/>
        <v>圖_MSBN_Reminder*3</v>
      </c>
      <c r="E69" s="200" t="s">
        <v>1165</v>
      </c>
      <c r="F69" s="322"/>
      <c r="G69" s="200" t="s">
        <v>1153</v>
      </c>
      <c r="H69" s="200">
        <v>0.8</v>
      </c>
      <c r="I69" s="323"/>
      <c r="J69" s="324" t="s">
        <v>1046</v>
      </c>
      <c r="K69" s="324" t="s">
        <v>1046</v>
      </c>
      <c r="L69" s="324" t="s">
        <v>1047</v>
      </c>
      <c r="M69" s="325" t="s">
        <v>1056</v>
      </c>
      <c r="N69" s="325" t="s">
        <v>1163</v>
      </c>
      <c r="O69" s="325" t="s">
        <v>1166</v>
      </c>
      <c r="P69" s="325" t="s">
        <v>1164</v>
      </c>
      <c r="Q69" s="325" t="s">
        <v>115</v>
      </c>
      <c r="R69" s="191"/>
      <c r="S69" s="205">
        <f t="shared" si="1"/>
        <v>7</v>
      </c>
      <c r="T69" s="308"/>
      <c r="U69" s="308"/>
      <c r="V69" s="308" t="str">
        <f ca="1">IFERROR(__xludf.DUMMYFUNCTION("""COMPUTED_VALUE"""),"")</f>
        <v/>
      </c>
      <c r="W69" s="308"/>
      <c r="X69" s="308"/>
      <c r="Y69" s="308"/>
      <c r="Z69" s="308"/>
      <c r="AA69" s="308"/>
      <c r="AB69" s="308"/>
      <c r="AC69" s="308"/>
      <c r="AD69" s="308"/>
      <c r="AE69" s="308"/>
      <c r="AF69" s="308"/>
      <c r="AG69" s="308"/>
      <c r="AH69" s="308"/>
      <c r="AI69" s="308"/>
      <c r="AJ69" s="308"/>
      <c r="AK69" s="308"/>
      <c r="AL69" s="308"/>
      <c r="AM69" s="308"/>
      <c r="AN69" s="308"/>
      <c r="AO69" s="308"/>
      <c r="AP69" s="308"/>
      <c r="AQ69" s="308"/>
      <c r="AR69" s="308"/>
      <c r="AS69" s="308"/>
      <c r="AT69" s="308"/>
      <c r="AU69" s="308"/>
      <c r="AV69" s="308"/>
      <c r="AW69" s="308"/>
      <c r="AX69" s="308"/>
      <c r="AY69" s="308"/>
      <c r="AZ69" s="308"/>
      <c r="BA69" s="308"/>
      <c r="BB69" s="308"/>
      <c r="BC69" s="308"/>
      <c r="BD69" s="308"/>
      <c r="BE69" s="308"/>
      <c r="BF69" s="308"/>
      <c r="BG69" s="308"/>
      <c r="BH69" s="308"/>
      <c r="BI69" s="308"/>
      <c r="BJ69" s="308"/>
      <c r="BK69" s="308"/>
      <c r="BL69" s="308"/>
      <c r="BM69" s="308"/>
      <c r="BN69" s="308"/>
      <c r="BO69" s="308"/>
      <c r="BP69" s="308"/>
      <c r="BQ69" s="308"/>
      <c r="BR69" s="308"/>
      <c r="BS69" s="308"/>
    </row>
    <row r="70" spans="1:71" ht="15.75" customHeight="1">
      <c r="A70" s="308"/>
      <c r="B70" s="334" t="s">
        <v>147</v>
      </c>
      <c r="C70" s="334" t="s">
        <v>125</v>
      </c>
      <c r="D70" s="320" t="str">
        <f t="shared" si="0"/>
        <v>圖_MSBN_Reminder*4</v>
      </c>
      <c r="E70" s="200" t="s">
        <v>1167</v>
      </c>
      <c r="F70" s="322"/>
      <c r="G70" s="200" t="s">
        <v>1153</v>
      </c>
      <c r="H70" s="200">
        <v>0.8</v>
      </c>
      <c r="I70" s="323"/>
      <c r="J70" s="324" t="s">
        <v>1046</v>
      </c>
      <c r="K70" s="324" t="s">
        <v>1046</v>
      </c>
      <c r="L70" s="324" t="s">
        <v>1047</v>
      </c>
      <c r="M70" s="325" t="s">
        <v>1056</v>
      </c>
      <c r="N70" s="325" t="s">
        <v>1168</v>
      </c>
      <c r="O70" s="325" t="s">
        <v>1169</v>
      </c>
      <c r="P70" s="325" t="s">
        <v>1170</v>
      </c>
      <c r="Q70" s="325" t="s">
        <v>1171</v>
      </c>
      <c r="R70" s="191"/>
      <c r="S70" s="205">
        <f t="shared" si="1"/>
        <v>8</v>
      </c>
      <c r="T70" s="308"/>
      <c r="U70" s="308"/>
      <c r="V70" s="308" t="str">
        <f ca="1">IFERROR(__xludf.DUMMYFUNCTION("""COMPUTED_VALUE"""),"")</f>
        <v/>
      </c>
      <c r="W70" s="308"/>
      <c r="X70" s="308"/>
      <c r="Y70" s="308"/>
      <c r="Z70" s="308"/>
      <c r="AA70" s="308"/>
      <c r="AB70" s="308"/>
      <c r="AC70" s="308"/>
      <c r="AD70" s="308"/>
      <c r="AE70" s="308"/>
      <c r="AF70" s="308"/>
      <c r="AG70" s="308"/>
      <c r="AH70" s="308"/>
      <c r="AI70" s="308"/>
      <c r="AJ70" s="308"/>
      <c r="AK70" s="308"/>
      <c r="AL70" s="308"/>
      <c r="AM70" s="308"/>
      <c r="AN70" s="308"/>
      <c r="AO70" s="308"/>
      <c r="AP70" s="308"/>
      <c r="AQ70" s="308"/>
      <c r="AR70" s="308"/>
      <c r="AS70" s="308"/>
      <c r="AT70" s="308"/>
      <c r="AU70" s="308"/>
      <c r="AV70" s="308"/>
      <c r="AW70" s="308"/>
      <c r="AX70" s="308"/>
      <c r="AY70" s="308"/>
      <c r="AZ70" s="308"/>
      <c r="BA70" s="308"/>
      <c r="BB70" s="308"/>
      <c r="BC70" s="308"/>
      <c r="BD70" s="308"/>
      <c r="BE70" s="308"/>
      <c r="BF70" s="308"/>
      <c r="BG70" s="308"/>
      <c r="BH70" s="308"/>
      <c r="BI70" s="308"/>
      <c r="BJ70" s="308"/>
      <c r="BK70" s="308"/>
      <c r="BL70" s="308"/>
      <c r="BM70" s="308"/>
      <c r="BN70" s="308"/>
      <c r="BO70" s="308"/>
      <c r="BP70" s="308"/>
      <c r="BQ70" s="308"/>
      <c r="BR70" s="308"/>
      <c r="BS70" s="308"/>
    </row>
    <row r="71" spans="1:71" ht="15.75" customHeight="1">
      <c r="A71" s="308"/>
      <c r="B71" s="334" t="s">
        <v>147</v>
      </c>
      <c r="C71" s="334" t="s">
        <v>126</v>
      </c>
      <c r="D71" s="320" t="str">
        <f t="shared" si="0"/>
        <v>圖_MSBN_Reminder*5</v>
      </c>
      <c r="E71" s="200" t="s">
        <v>1172</v>
      </c>
      <c r="F71" s="322"/>
      <c r="G71" s="200" t="s">
        <v>1153</v>
      </c>
      <c r="H71" s="200">
        <v>1</v>
      </c>
      <c r="I71" s="323"/>
      <c r="J71" s="324" t="s">
        <v>1046</v>
      </c>
      <c r="K71" s="324" t="s">
        <v>1046</v>
      </c>
      <c r="L71" s="324" t="s">
        <v>1047</v>
      </c>
      <c r="M71" s="325" t="s">
        <v>1056</v>
      </c>
      <c r="N71" s="325" t="s">
        <v>1168</v>
      </c>
      <c r="O71" s="325" t="s">
        <v>1169</v>
      </c>
      <c r="P71" s="325" t="s">
        <v>1170</v>
      </c>
      <c r="Q71" s="325" t="s">
        <v>1171</v>
      </c>
      <c r="R71" s="191" t="s">
        <v>1173</v>
      </c>
      <c r="S71" s="205">
        <f t="shared" si="1"/>
        <v>8</v>
      </c>
      <c r="T71" s="308"/>
      <c r="U71" s="308"/>
      <c r="V71" s="308" t="str">
        <f ca="1">IFERROR(__xludf.DUMMYFUNCTION("""COMPUTED_VALUE"""),"")</f>
        <v/>
      </c>
      <c r="W71" s="308"/>
      <c r="X71" s="308"/>
      <c r="Y71" s="308"/>
      <c r="Z71" s="308"/>
      <c r="AA71" s="308"/>
      <c r="AB71" s="308"/>
      <c r="AC71" s="308"/>
      <c r="AD71" s="308"/>
      <c r="AE71" s="308"/>
      <c r="AF71" s="308"/>
      <c r="AG71" s="308"/>
      <c r="AH71" s="308"/>
      <c r="AI71" s="308"/>
      <c r="AJ71" s="308"/>
      <c r="AK71" s="308"/>
      <c r="AL71" s="308"/>
      <c r="AM71" s="308"/>
      <c r="AN71" s="308"/>
      <c r="AO71" s="308"/>
      <c r="AP71" s="308"/>
      <c r="AQ71" s="308"/>
      <c r="AR71" s="308"/>
      <c r="AS71" s="308"/>
      <c r="AT71" s="308"/>
      <c r="AU71" s="308"/>
      <c r="AV71" s="308"/>
      <c r="AW71" s="308"/>
      <c r="AX71" s="308"/>
      <c r="AY71" s="308"/>
      <c r="AZ71" s="308"/>
      <c r="BA71" s="308"/>
      <c r="BB71" s="308"/>
      <c r="BC71" s="308"/>
      <c r="BD71" s="308"/>
      <c r="BE71" s="308"/>
      <c r="BF71" s="308"/>
      <c r="BG71" s="308"/>
      <c r="BH71" s="308"/>
      <c r="BI71" s="308"/>
      <c r="BJ71" s="308"/>
      <c r="BK71" s="308"/>
      <c r="BL71" s="308"/>
      <c r="BM71" s="308"/>
      <c r="BN71" s="308"/>
      <c r="BO71" s="308"/>
      <c r="BP71" s="308"/>
      <c r="BQ71" s="308"/>
      <c r="BR71" s="308"/>
      <c r="BS71" s="308"/>
    </row>
    <row r="72" spans="1:71" ht="15.75" customHeight="1">
      <c r="A72" s="308"/>
      <c r="B72" s="320" t="s">
        <v>147</v>
      </c>
      <c r="C72" s="320" t="s">
        <v>127</v>
      </c>
      <c r="D72" s="320" t="str">
        <f t="shared" si="0"/>
        <v>圖_MSBN_Reminder&gt;5</v>
      </c>
      <c r="E72" s="200" t="s">
        <v>1174</v>
      </c>
      <c r="F72" s="322"/>
      <c r="G72" s="200" t="s">
        <v>1153</v>
      </c>
      <c r="H72" s="200">
        <v>1</v>
      </c>
      <c r="I72" s="323"/>
      <c r="J72" s="324" t="s">
        <v>1046</v>
      </c>
      <c r="K72" s="324" t="s">
        <v>1046</v>
      </c>
      <c r="L72" s="324" t="s">
        <v>1047</v>
      </c>
      <c r="M72" s="325" t="s">
        <v>1056</v>
      </c>
      <c r="N72" s="325" t="s">
        <v>1175</v>
      </c>
      <c r="O72" s="325" t="s">
        <v>115</v>
      </c>
      <c r="P72" s="325" t="s">
        <v>115</v>
      </c>
      <c r="Q72" s="325" t="s">
        <v>115</v>
      </c>
      <c r="R72" s="191"/>
      <c r="S72" s="205">
        <f t="shared" si="1"/>
        <v>5</v>
      </c>
      <c r="T72" s="308"/>
      <c r="U72" s="308"/>
      <c r="V72" s="308" t="str">
        <f ca="1">IFERROR(__xludf.DUMMYFUNCTION("""COMPUTED_VALUE"""),"")</f>
        <v/>
      </c>
      <c r="W72" s="308"/>
      <c r="X72" s="308"/>
      <c r="Y72" s="308"/>
      <c r="Z72" s="308"/>
      <c r="AA72" s="308"/>
      <c r="AB72" s="308"/>
      <c r="AC72" s="308"/>
      <c r="AD72" s="308"/>
      <c r="AE72" s="308"/>
      <c r="AF72" s="308"/>
      <c r="AG72" s="308"/>
      <c r="AH72" s="308"/>
      <c r="AI72" s="308"/>
      <c r="AJ72" s="308"/>
      <c r="AK72" s="308"/>
      <c r="AL72" s="308"/>
      <c r="AM72" s="308"/>
      <c r="AN72" s="308"/>
      <c r="AO72" s="308"/>
      <c r="AP72" s="308"/>
      <c r="AQ72" s="308"/>
      <c r="AR72" s="308"/>
      <c r="AS72" s="308"/>
      <c r="AT72" s="308"/>
      <c r="AU72" s="308"/>
      <c r="AV72" s="308"/>
      <c r="AW72" s="308"/>
      <c r="AX72" s="308"/>
      <c r="AY72" s="308"/>
      <c r="AZ72" s="308"/>
      <c r="BA72" s="308"/>
      <c r="BB72" s="308"/>
      <c r="BC72" s="308"/>
      <c r="BD72" s="308"/>
      <c r="BE72" s="308"/>
      <c r="BF72" s="308"/>
      <c r="BG72" s="308"/>
      <c r="BH72" s="308"/>
      <c r="BI72" s="308"/>
      <c r="BJ72" s="308"/>
      <c r="BK72" s="308"/>
      <c r="BL72" s="308"/>
      <c r="BM72" s="308"/>
      <c r="BN72" s="308"/>
      <c r="BO72" s="308"/>
      <c r="BP72" s="308"/>
      <c r="BQ72" s="308"/>
      <c r="BR72" s="308"/>
      <c r="BS72" s="308"/>
    </row>
    <row r="73" spans="1:71" ht="15.75" customHeight="1">
      <c r="A73" s="308"/>
      <c r="B73" s="334" t="s">
        <v>147</v>
      </c>
      <c r="C73" s="334" t="s">
        <v>128</v>
      </c>
      <c r="D73" s="320" t="str">
        <f t="shared" si="0"/>
        <v>圖_MSBN_LINK*1 + Reminder*1</v>
      </c>
      <c r="E73" s="200" t="s">
        <v>1176</v>
      </c>
      <c r="F73" s="322"/>
      <c r="G73" s="200" t="s">
        <v>1153</v>
      </c>
      <c r="H73" s="200">
        <v>0.5</v>
      </c>
      <c r="I73" s="323"/>
      <c r="J73" s="324" t="s">
        <v>1046</v>
      </c>
      <c r="K73" s="324" t="s">
        <v>1046</v>
      </c>
      <c r="L73" s="324" t="s">
        <v>1047</v>
      </c>
      <c r="M73" s="325" t="s">
        <v>1056</v>
      </c>
      <c r="N73" s="325" t="s">
        <v>1105</v>
      </c>
      <c r="O73" s="325" t="s">
        <v>1108</v>
      </c>
      <c r="P73" s="325" t="s">
        <v>115</v>
      </c>
      <c r="Q73" s="325" t="s">
        <v>115</v>
      </c>
      <c r="R73" s="191"/>
      <c r="S73" s="205">
        <f t="shared" si="1"/>
        <v>6</v>
      </c>
      <c r="T73" s="308"/>
      <c r="U73" s="308"/>
      <c r="V73" s="308" t="str">
        <f ca="1">IFERROR(__xludf.DUMMYFUNCTION("""COMPUTED_VALUE"""),"")</f>
        <v/>
      </c>
      <c r="W73" s="308"/>
      <c r="X73" s="308"/>
      <c r="Y73" s="308"/>
      <c r="Z73" s="308"/>
      <c r="AA73" s="308"/>
      <c r="AB73" s="308"/>
      <c r="AC73" s="308"/>
      <c r="AD73" s="308"/>
      <c r="AE73" s="308"/>
      <c r="AF73" s="308"/>
      <c r="AG73" s="308"/>
      <c r="AH73" s="308"/>
      <c r="AI73" s="308"/>
      <c r="AJ73" s="308"/>
      <c r="AK73" s="308"/>
      <c r="AL73" s="308"/>
      <c r="AM73" s="308"/>
      <c r="AN73" s="308"/>
      <c r="AO73" s="308"/>
      <c r="AP73" s="308"/>
      <c r="AQ73" s="308"/>
      <c r="AR73" s="308"/>
      <c r="AS73" s="308"/>
      <c r="AT73" s="308"/>
      <c r="AU73" s="308"/>
      <c r="AV73" s="308"/>
      <c r="AW73" s="308"/>
      <c r="AX73" s="308"/>
      <c r="AY73" s="308"/>
      <c r="AZ73" s="308"/>
      <c r="BA73" s="308"/>
      <c r="BB73" s="308"/>
      <c r="BC73" s="308"/>
      <c r="BD73" s="308"/>
      <c r="BE73" s="308"/>
      <c r="BF73" s="308"/>
      <c r="BG73" s="308"/>
      <c r="BH73" s="308"/>
      <c r="BI73" s="308"/>
      <c r="BJ73" s="308"/>
      <c r="BK73" s="308"/>
      <c r="BL73" s="308"/>
      <c r="BM73" s="308"/>
      <c r="BN73" s="308"/>
      <c r="BO73" s="308"/>
      <c r="BP73" s="308"/>
      <c r="BQ73" s="308"/>
      <c r="BR73" s="308"/>
      <c r="BS73" s="308"/>
    </row>
    <row r="74" spans="1:71" ht="15.75" customHeight="1">
      <c r="A74" s="308"/>
      <c r="B74" s="334" t="s">
        <v>147</v>
      </c>
      <c r="C74" s="334" t="s">
        <v>129</v>
      </c>
      <c r="D74" s="320" t="str">
        <f t="shared" si="0"/>
        <v>圖_MSBN_LINK*1 + Reminder*2</v>
      </c>
      <c r="E74" s="200" t="s">
        <v>1177</v>
      </c>
      <c r="F74" s="322"/>
      <c r="G74" s="200" t="s">
        <v>1153</v>
      </c>
      <c r="H74" s="200">
        <v>0.8</v>
      </c>
      <c r="I74" s="323"/>
      <c r="J74" s="324" t="s">
        <v>1046</v>
      </c>
      <c r="K74" s="324" t="s">
        <v>1046</v>
      </c>
      <c r="L74" s="324" t="s">
        <v>1047</v>
      </c>
      <c r="M74" s="325" t="s">
        <v>1056</v>
      </c>
      <c r="N74" s="325" t="s">
        <v>1105</v>
      </c>
      <c r="O74" s="325" t="s">
        <v>1178</v>
      </c>
      <c r="P74" s="325" t="s">
        <v>1179</v>
      </c>
      <c r="Q74" s="325" t="s">
        <v>115</v>
      </c>
      <c r="R74" s="191"/>
      <c r="S74" s="205">
        <f t="shared" si="1"/>
        <v>7</v>
      </c>
      <c r="T74" s="308"/>
      <c r="U74" s="308"/>
      <c r="V74" s="308" t="str">
        <f ca="1">IFERROR(__xludf.DUMMYFUNCTION("""COMPUTED_VALUE"""),"")</f>
        <v/>
      </c>
      <c r="W74" s="308"/>
      <c r="X74" s="308"/>
      <c r="Y74" s="308"/>
      <c r="Z74" s="308"/>
      <c r="AA74" s="308"/>
      <c r="AB74" s="308"/>
      <c r="AC74" s="308"/>
      <c r="AD74" s="308"/>
      <c r="AE74" s="308"/>
      <c r="AF74" s="308"/>
      <c r="AG74" s="308"/>
      <c r="AH74" s="308"/>
      <c r="AI74" s="308"/>
      <c r="AJ74" s="308"/>
      <c r="AK74" s="308"/>
      <c r="AL74" s="308"/>
      <c r="AM74" s="308"/>
      <c r="AN74" s="308"/>
      <c r="AO74" s="308"/>
      <c r="AP74" s="308"/>
      <c r="AQ74" s="308"/>
      <c r="AR74" s="308"/>
      <c r="AS74" s="308"/>
      <c r="AT74" s="308"/>
      <c r="AU74" s="308"/>
      <c r="AV74" s="308"/>
      <c r="AW74" s="308"/>
      <c r="AX74" s="308"/>
      <c r="AY74" s="308"/>
      <c r="AZ74" s="308"/>
      <c r="BA74" s="308"/>
      <c r="BB74" s="308"/>
      <c r="BC74" s="308"/>
      <c r="BD74" s="308"/>
      <c r="BE74" s="308"/>
      <c r="BF74" s="308"/>
      <c r="BG74" s="308"/>
      <c r="BH74" s="308"/>
      <c r="BI74" s="308"/>
      <c r="BJ74" s="308"/>
      <c r="BK74" s="308"/>
      <c r="BL74" s="308"/>
      <c r="BM74" s="308"/>
      <c r="BN74" s="308"/>
      <c r="BO74" s="308"/>
      <c r="BP74" s="308"/>
      <c r="BQ74" s="308"/>
      <c r="BR74" s="308"/>
      <c r="BS74" s="308"/>
    </row>
    <row r="75" spans="1:71" ht="15.75" customHeight="1">
      <c r="A75" s="308"/>
      <c r="B75" s="334" t="s">
        <v>147</v>
      </c>
      <c r="C75" s="334" t="s">
        <v>130</v>
      </c>
      <c r="D75" s="320" t="str">
        <f t="shared" si="0"/>
        <v>圖_MSBN_LINK*2 + Reminder*1</v>
      </c>
      <c r="E75" s="200" t="s">
        <v>1180</v>
      </c>
      <c r="F75" s="322"/>
      <c r="G75" s="200" t="s">
        <v>1153</v>
      </c>
      <c r="H75" s="200">
        <v>0.8</v>
      </c>
      <c r="I75" s="323"/>
      <c r="J75" s="324" t="s">
        <v>1046</v>
      </c>
      <c r="K75" s="324" t="s">
        <v>1046</v>
      </c>
      <c r="L75" s="324" t="s">
        <v>1047</v>
      </c>
      <c r="M75" s="325" t="s">
        <v>1056</v>
      </c>
      <c r="N75" s="325" t="s">
        <v>1181</v>
      </c>
      <c r="O75" s="325" t="s">
        <v>1182</v>
      </c>
      <c r="P75" s="325" t="s">
        <v>1108</v>
      </c>
      <c r="Q75" s="325" t="s">
        <v>115</v>
      </c>
      <c r="R75" s="191"/>
      <c r="S75" s="205">
        <f t="shared" si="1"/>
        <v>7</v>
      </c>
      <c r="T75" s="308"/>
      <c r="U75" s="308"/>
      <c r="V75" s="308" t="str">
        <f ca="1">IFERROR(__xludf.DUMMYFUNCTION("""COMPUTED_VALUE"""),"")</f>
        <v/>
      </c>
      <c r="W75" s="308"/>
      <c r="X75" s="308"/>
      <c r="Y75" s="308"/>
      <c r="Z75" s="308"/>
      <c r="AA75" s="308"/>
      <c r="AB75" s="308"/>
      <c r="AC75" s="308"/>
      <c r="AD75" s="308"/>
      <c r="AE75" s="308"/>
      <c r="AF75" s="308"/>
      <c r="AG75" s="308"/>
      <c r="AH75" s="308"/>
      <c r="AI75" s="308"/>
      <c r="AJ75" s="308"/>
      <c r="AK75" s="308"/>
      <c r="AL75" s="308"/>
      <c r="AM75" s="308"/>
      <c r="AN75" s="308"/>
      <c r="AO75" s="308"/>
      <c r="AP75" s="308"/>
      <c r="AQ75" s="308"/>
      <c r="AR75" s="308"/>
      <c r="AS75" s="308"/>
      <c r="AT75" s="308"/>
      <c r="AU75" s="308"/>
      <c r="AV75" s="308"/>
      <c r="AW75" s="308"/>
      <c r="AX75" s="308"/>
      <c r="AY75" s="308"/>
      <c r="AZ75" s="308"/>
      <c r="BA75" s="308"/>
      <c r="BB75" s="308"/>
      <c r="BC75" s="308"/>
      <c r="BD75" s="308"/>
      <c r="BE75" s="308"/>
      <c r="BF75" s="308"/>
      <c r="BG75" s="308"/>
      <c r="BH75" s="308"/>
      <c r="BI75" s="308"/>
      <c r="BJ75" s="308"/>
      <c r="BK75" s="308"/>
      <c r="BL75" s="308"/>
      <c r="BM75" s="308"/>
      <c r="BN75" s="308"/>
      <c r="BO75" s="308"/>
      <c r="BP75" s="308"/>
      <c r="BQ75" s="308"/>
      <c r="BR75" s="308"/>
      <c r="BS75" s="308"/>
    </row>
    <row r="76" spans="1:71" ht="15.75" customHeight="1">
      <c r="A76" s="308"/>
      <c r="B76" s="334" t="s">
        <v>147</v>
      </c>
      <c r="C76" s="334" t="s">
        <v>131</v>
      </c>
      <c r="D76" s="320" t="str">
        <f t="shared" si="0"/>
        <v>圖_MSBN_Add to Cart*1</v>
      </c>
      <c r="E76" s="200" t="s">
        <v>1183</v>
      </c>
      <c r="F76" s="322"/>
      <c r="G76" s="200" t="s">
        <v>1153</v>
      </c>
      <c r="H76" s="200">
        <v>0.8</v>
      </c>
      <c r="I76" s="323"/>
      <c r="J76" s="324" t="s">
        <v>1046</v>
      </c>
      <c r="K76" s="324" t="s">
        <v>1046</v>
      </c>
      <c r="L76" s="324" t="s">
        <v>1047</v>
      </c>
      <c r="M76" s="325" t="s">
        <v>1056</v>
      </c>
      <c r="N76" s="325" t="s">
        <v>1184</v>
      </c>
      <c r="O76" s="325" t="s">
        <v>115</v>
      </c>
      <c r="P76" s="325" t="s">
        <v>115</v>
      </c>
      <c r="Q76" s="325" t="s">
        <v>115</v>
      </c>
      <c r="R76" s="191"/>
      <c r="S76" s="205">
        <f t="shared" si="1"/>
        <v>5</v>
      </c>
      <c r="T76" s="308"/>
      <c r="U76" s="308"/>
      <c r="V76" s="308" t="str">
        <f ca="1">IFERROR(__xludf.DUMMYFUNCTION("""COMPUTED_VALUE"""),"")</f>
        <v/>
      </c>
      <c r="W76" s="308"/>
      <c r="X76" s="308"/>
      <c r="Y76" s="308"/>
      <c r="Z76" s="308"/>
      <c r="AA76" s="308"/>
      <c r="AB76" s="308"/>
      <c r="AC76" s="308"/>
      <c r="AD76" s="308"/>
      <c r="AE76" s="308"/>
      <c r="AF76" s="308"/>
      <c r="AG76" s="308"/>
      <c r="AH76" s="308"/>
      <c r="AI76" s="308"/>
      <c r="AJ76" s="308"/>
      <c r="AK76" s="308"/>
      <c r="AL76" s="308"/>
      <c r="AM76" s="308"/>
      <c r="AN76" s="308"/>
      <c r="AO76" s="308"/>
      <c r="AP76" s="308"/>
      <c r="AQ76" s="308"/>
      <c r="AR76" s="308"/>
      <c r="AS76" s="308"/>
      <c r="AT76" s="308"/>
      <c r="AU76" s="308"/>
      <c r="AV76" s="308"/>
      <c r="AW76" s="308"/>
      <c r="AX76" s="308"/>
      <c r="AY76" s="308"/>
      <c r="AZ76" s="308"/>
      <c r="BA76" s="308"/>
      <c r="BB76" s="308"/>
      <c r="BC76" s="308"/>
      <c r="BD76" s="308"/>
      <c r="BE76" s="308"/>
      <c r="BF76" s="308"/>
      <c r="BG76" s="308"/>
      <c r="BH76" s="308"/>
      <c r="BI76" s="308"/>
      <c r="BJ76" s="308"/>
      <c r="BK76" s="308"/>
      <c r="BL76" s="308"/>
      <c r="BM76" s="308"/>
      <c r="BN76" s="308"/>
      <c r="BO76" s="308"/>
      <c r="BP76" s="308"/>
      <c r="BQ76" s="308"/>
      <c r="BR76" s="308"/>
      <c r="BS76" s="308"/>
    </row>
    <row r="77" spans="1:71" ht="15.75" customHeight="1">
      <c r="A77" s="308"/>
      <c r="B77" s="334" t="s">
        <v>147</v>
      </c>
      <c r="C77" s="334" t="s">
        <v>132</v>
      </c>
      <c r="D77" s="320" t="str">
        <f t="shared" si="0"/>
        <v>圖_MSBN_Add to Cart*2</v>
      </c>
      <c r="E77" s="200" t="s">
        <v>1185</v>
      </c>
      <c r="F77" s="322"/>
      <c r="G77" s="200" t="s">
        <v>1153</v>
      </c>
      <c r="H77" s="200">
        <v>0.8</v>
      </c>
      <c r="I77" s="323"/>
      <c r="J77" s="324" t="s">
        <v>1046</v>
      </c>
      <c r="K77" s="324" t="s">
        <v>1046</v>
      </c>
      <c r="L77" s="324" t="s">
        <v>1047</v>
      </c>
      <c r="M77" s="325" t="s">
        <v>1056</v>
      </c>
      <c r="N77" s="325" t="s">
        <v>1186</v>
      </c>
      <c r="O77" s="325" t="s">
        <v>1187</v>
      </c>
      <c r="P77" s="325" t="s">
        <v>115</v>
      </c>
      <c r="Q77" s="325" t="s">
        <v>115</v>
      </c>
      <c r="R77" s="191"/>
      <c r="S77" s="205">
        <f t="shared" si="1"/>
        <v>6</v>
      </c>
      <c r="T77" s="308"/>
      <c r="U77" s="308"/>
      <c r="V77" s="308" t="str">
        <f ca="1">IFERROR(__xludf.DUMMYFUNCTION("""COMPUTED_VALUE"""),"")</f>
        <v/>
      </c>
      <c r="W77" s="308"/>
      <c r="X77" s="308"/>
      <c r="Y77" s="308"/>
      <c r="Z77" s="308"/>
      <c r="AA77" s="308"/>
      <c r="AB77" s="308"/>
      <c r="AC77" s="308"/>
      <c r="AD77" s="308"/>
      <c r="AE77" s="308"/>
      <c r="AF77" s="308"/>
      <c r="AG77" s="308"/>
      <c r="AH77" s="308"/>
      <c r="AI77" s="308"/>
      <c r="AJ77" s="308"/>
      <c r="AK77" s="308"/>
      <c r="AL77" s="308"/>
      <c r="AM77" s="308"/>
      <c r="AN77" s="308"/>
      <c r="AO77" s="308"/>
      <c r="AP77" s="308"/>
      <c r="AQ77" s="308"/>
      <c r="AR77" s="308"/>
      <c r="AS77" s="308"/>
      <c r="AT77" s="308"/>
      <c r="AU77" s="308"/>
      <c r="AV77" s="308"/>
      <c r="AW77" s="308"/>
      <c r="AX77" s="308"/>
      <c r="AY77" s="308"/>
      <c r="AZ77" s="308"/>
      <c r="BA77" s="308"/>
      <c r="BB77" s="308"/>
      <c r="BC77" s="308"/>
      <c r="BD77" s="308"/>
      <c r="BE77" s="308"/>
      <c r="BF77" s="308"/>
      <c r="BG77" s="308"/>
      <c r="BH77" s="308"/>
      <c r="BI77" s="308"/>
      <c r="BJ77" s="308"/>
      <c r="BK77" s="308"/>
      <c r="BL77" s="308"/>
      <c r="BM77" s="308"/>
      <c r="BN77" s="308"/>
      <c r="BO77" s="308"/>
      <c r="BP77" s="308"/>
      <c r="BQ77" s="308"/>
      <c r="BR77" s="308"/>
      <c r="BS77" s="308"/>
    </row>
    <row r="78" spans="1:71" ht="15.75" customHeight="1">
      <c r="A78" s="308"/>
      <c r="B78" s="334" t="s">
        <v>147</v>
      </c>
      <c r="C78" s="334" t="s">
        <v>133</v>
      </c>
      <c r="D78" s="320" t="str">
        <f t="shared" si="0"/>
        <v>圖_MSBN_Add to Cart*3</v>
      </c>
      <c r="E78" s="200" t="s">
        <v>1188</v>
      </c>
      <c r="F78" s="322"/>
      <c r="G78" s="200" t="s">
        <v>1153</v>
      </c>
      <c r="H78" s="200">
        <v>1</v>
      </c>
      <c r="I78" s="323"/>
      <c r="J78" s="324" t="s">
        <v>1046</v>
      </c>
      <c r="K78" s="324" t="s">
        <v>1046</v>
      </c>
      <c r="L78" s="324" t="s">
        <v>1047</v>
      </c>
      <c r="M78" s="325" t="s">
        <v>1056</v>
      </c>
      <c r="N78" s="325" t="s">
        <v>1186</v>
      </c>
      <c r="O78" s="325" t="s">
        <v>1189</v>
      </c>
      <c r="P78" s="325" t="s">
        <v>1187</v>
      </c>
      <c r="Q78" s="325" t="s">
        <v>115</v>
      </c>
      <c r="R78" s="191"/>
      <c r="S78" s="205">
        <f t="shared" si="1"/>
        <v>7</v>
      </c>
      <c r="T78" s="308"/>
      <c r="U78" s="308"/>
      <c r="V78" s="308" t="str">
        <f ca="1">IFERROR(__xludf.DUMMYFUNCTION("""COMPUTED_VALUE"""),"")</f>
        <v/>
      </c>
      <c r="W78" s="308"/>
      <c r="X78" s="308"/>
      <c r="Y78" s="308"/>
      <c r="Z78" s="308"/>
      <c r="AA78" s="308"/>
      <c r="AB78" s="308"/>
      <c r="AC78" s="308"/>
      <c r="AD78" s="308"/>
      <c r="AE78" s="308"/>
      <c r="AF78" s="308"/>
      <c r="AG78" s="308"/>
      <c r="AH78" s="308"/>
      <c r="AI78" s="308"/>
      <c r="AJ78" s="308"/>
      <c r="AK78" s="308"/>
      <c r="AL78" s="308"/>
      <c r="AM78" s="308"/>
      <c r="AN78" s="308"/>
      <c r="AO78" s="308"/>
      <c r="AP78" s="308"/>
      <c r="AQ78" s="308"/>
      <c r="AR78" s="308"/>
      <c r="AS78" s="308"/>
      <c r="AT78" s="308"/>
      <c r="AU78" s="308"/>
      <c r="AV78" s="308"/>
      <c r="AW78" s="308"/>
      <c r="AX78" s="308"/>
      <c r="AY78" s="308"/>
      <c r="AZ78" s="308"/>
      <c r="BA78" s="308"/>
      <c r="BB78" s="308"/>
      <c r="BC78" s="308"/>
      <c r="BD78" s="308"/>
      <c r="BE78" s="308"/>
      <c r="BF78" s="308"/>
      <c r="BG78" s="308"/>
      <c r="BH78" s="308"/>
      <c r="BI78" s="308"/>
      <c r="BJ78" s="308"/>
      <c r="BK78" s="308"/>
      <c r="BL78" s="308"/>
      <c r="BM78" s="308"/>
      <c r="BN78" s="308"/>
      <c r="BO78" s="308"/>
      <c r="BP78" s="308"/>
      <c r="BQ78" s="308"/>
      <c r="BR78" s="308"/>
      <c r="BS78" s="308"/>
    </row>
    <row r="79" spans="1:71" ht="15.75" customHeight="1">
      <c r="A79" s="308"/>
      <c r="B79" s="334" t="s">
        <v>147</v>
      </c>
      <c r="C79" s="334" t="s">
        <v>134</v>
      </c>
      <c r="D79" s="320" t="str">
        <f t="shared" si="0"/>
        <v>圖_MSBN_(Reminder+ATC) *1</v>
      </c>
      <c r="E79" s="200" t="s">
        <v>1190</v>
      </c>
      <c r="F79" s="322"/>
      <c r="G79" s="200" t="s">
        <v>1153</v>
      </c>
      <c r="H79" s="200">
        <v>1</v>
      </c>
      <c r="I79" s="323"/>
      <c r="J79" s="324" t="s">
        <v>1046</v>
      </c>
      <c r="K79" s="324" t="s">
        <v>1046</v>
      </c>
      <c r="L79" s="324" t="s">
        <v>1047</v>
      </c>
      <c r="M79" s="325" t="s">
        <v>1056</v>
      </c>
      <c r="N79" s="325" t="s">
        <v>1108</v>
      </c>
      <c r="O79" s="325" t="s">
        <v>1184</v>
      </c>
      <c r="P79" s="325" t="s">
        <v>115</v>
      </c>
      <c r="Q79" s="325" t="s">
        <v>115</v>
      </c>
      <c r="R79" s="191"/>
      <c r="S79" s="205">
        <f t="shared" si="1"/>
        <v>6</v>
      </c>
      <c r="T79" s="308"/>
      <c r="U79" s="308"/>
      <c r="V79" s="308" t="str">
        <f ca="1">IFERROR(__xludf.DUMMYFUNCTION("""COMPUTED_VALUE"""),"")</f>
        <v/>
      </c>
      <c r="W79" s="308"/>
      <c r="X79" s="308"/>
      <c r="Y79" s="308"/>
      <c r="Z79" s="308"/>
      <c r="AA79" s="308"/>
      <c r="AB79" s="308"/>
      <c r="AC79" s="308"/>
      <c r="AD79" s="308"/>
      <c r="AE79" s="308"/>
      <c r="AF79" s="308"/>
      <c r="AG79" s="308"/>
      <c r="AH79" s="308"/>
      <c r="AI79" s="308"/>
      <c r="AJ79" s="308"/>
      <c r="AK79" s="308"/>
      <c r="AL79" s="308"/>
      <c r="AM79" s="308"/>
      <c r="AN79" s="308"/>
      <c r="AO79" s="308"/>
      <c r="AP79" s="308"/>
      <c r="AQ79" s="308"/>
      <c r="AR79" s="308"/>
      <c r="AS79" s="308"/>
      <c r="AT79" s="308"/>
      <c r="AU79" s="308"/>
      <c r="AV79" s="308"/>
      <c r="AW79" s="308"/>
      <c r="AX79" s="308"/>
      <c r="AY79" s="308"/>
      <c r="AZ79" s="308"/>
      <c r="BA79" s="308"/>
      <c r="BB79" s="308"/>
      <c r="BC79" s="308"/>
      <c r="BD79" s="308"/>
      <c r="BE79" s="308"/>
      <c r="BF79" s="308"/>
      <c r="BG79" s="308"/>
      <c r="BH79" s="308"/>
      <c r="BI79" s="308"/>
      <c r="BJ79" s="308"/>
      <c r="BK79" s="308"/>
      <c r="BL79" s="308"/>
      <c r="BM79" s="308"/>
      <c r="BN79" s="308"/>
      <c r="BO79" s="308"/>
      <c r="BP79" s="308"/>
      <c r="BQ79" s="308"/>
      <c r="BR79" s="308"/>
      <c r="BS79" s="308"/>
    </row>
    <row r="80" spans="1:71" ht="15.75" customHeight="1">
      <c r="A80" s="308"/>
      <c r="B80" s="334" t="s">
        <v>147</v>
      </c>
      <c r="C80" s="334" t="s">
        <v>135</v>
      </c>
      <c r="D80" s="320" t="str">
        <f t="shared" si="0"/>
        <v>圖_MSBN_(Reminder+ATC) *2</v>
      </c>
      <c r="E80" s="200" t="s">
        <v>1191</v>
      </c>
      <c r="F80" s="322"/>
      <c r="G80" s="200" t="s">
        <v>1153</v>
      </c>
      <c r="H80" s="200">
        <v>1</v>
      </c>
      <c r="I80" s="323"/>
      <c r="J80" s="324" t="s">
        <v>1046</v>
      </c>
      <c r="K80" s="324" t="s">
        <v>1046</v>
      </c>
      <c r="L80" s="324" t="s">
        <v>1047</v>
      </c>
      <c r="M80" s="325" t="s">
        <v>1056</v>
      </c>
      <c r="N80" s="325" t="s">
        <v>1192</v>
      </c>
      <c r="O80" s="325" t="s">
        <v>1186</v>
      </c>
      <c r="P80" s="325" t="s">
        <v>1193</v>
      </c>
      <c r="Q80" s="325" t="s">
        <v>1187</v>
      </c>
      <c r="R80" s="191"/>
      <c r="S80" s="205">
        <f t="shared" si="1"/>
        <v>8</v>
      </c>
      <c r="T80" s="308"/>
      <c r="U80" s="308"/>
      <c r="V80" s="308" t="str">
        <f ca="1">IFERROR(__xludf.DUMMYFUNCTION("""COMPUTED_VALUE"""),"")</f>
        <v/>
      </c>
      <c r="W80" s="308"/>
      <c r="X80" s="308"/>
      <c r="Y80" s="308"/>
      <c r="Z80" s="308"/>
      <c r="AA80" s="308"/>
      <c r="AB80" s="308"/>
      <c r="AC80" s="308"/>
      <c r="AD80" s="308"/>
      <c r="AE80" s="308"/>
      <c r="AF80" s="308"/>
      <c r="AG80" s="308"/>
      <c r="AH80" s="308"/>
      <c r="AI80" s="308"/>
      <c r="AJ80" s="308"/>
      <c r="AK80" s="308"/>
      <c r="AL80" s="308"/>
      <c r="AM80" s="308"/>
      <c r="AN80" s="308"/>
      <c r="AO80" s="308"/>
      <c r="AP80" s="308"/>
      <c r="AQ80" s="308"/>
      <c r="AR80" s="308"/>
      <c r="AS80" s="308"/>
      <c r="AT80" s="308"/>
      <c r="AU80" s="308"/>
      <c r="AV80" s="308"/>
      <c r="AW80" s="308"/>
      <c r="AX80" s="308"/>
      <c r="AY80" s="308"/>
      <c r="AZ80" s="308"/>
      <c r="BA80" s="308"/>
      <c r="BB80" s="308"/>
      <c r="BC80" s="308"/>
      <c r="BD80" s="308"/>
      <c r="BE80" s="308"/>
      <c r="BF80" s="308"/>
      <c r="BG80" s="308"/>
      <c r="BH80" s="308"/>
      <c r="BI80" s="308"/>
      <c r="BJ80" s="308"/>
      <c r="BK80" s="308"/>
      <c r="BL80" s="308"/>
      <c r="BM80" s="308"/>
      <c r="BN80" s="308"/>
      <c r="BO80" s="308"/>
      <c r="BP80" s="308"/>
      <c r="BQ80" s="308"/>
      <c r="BR80" s="308"/>
      <c r="BS80" s="308"/>
    </row>
    <row r="81" spans="1:71" ht="15.75" customHeight="1">
      <c r="A81" s="308"/>
      <c r="B81" s="334" t="s">
        <v>147</v>
      </c>
      <c r="C81" s="334" t="s">
        <v>136</v>
      </c>
      <c r="D81" s="320" t="str">
        <f t="shared" si="0"/>
        <v>圖_MSBN_(Reminder+ATC) *3</v>
      </c>
      <c r="E81" s="200" t="s">
        <v>1194</v>
      </c>
      <c r="F81" s="322"/>
      <c r="G81" s="200" t="s">
        <v>1153</v>
      </c>
      <c r="H81" s="200">
        <v>1.5</v>
      </c>
      <c r="I81" s="323"/>
      <c r="J81" s="324" t="s">
        <v>1046</v>
      </c>
      <c r="K81" s="324" t="s">
        <v>1046</v>
      </c>
      <c r="L81" s="324" t="s">
        <v>1047</v>
      </c>
      <c r="M81" s="325" t="s">
        <v>1056</v>
      </c>
      <c r="N81" s="191" t="s">
        <v>1195</v>
      </c>
      <c r="O81" s="191" t="s">
        <v>1196</v>
      </c>
      <c r="P81" s="191" t="s">
        <v>1197</v>
      </c>
      <c r="Q81" s="325" t="s">
        <v>115</v>
      </c>
      <c r="R81" s="191"/>
      <c r="S81" s="205">
        <f t="shared" si="1"/>
        <v>7</v>
      </c>
      <c r="T81" s="308"/>
      <c r="U81" s="308"/>
      <c r="V81" s="308" t="str">
        <f ca="1">IFERROR(__xludf.DUMMYFUNCTION("""COMPUTED_VALUE"""),"")</f>
        <v/>
      </c>
      <c r="W81" s="308"/>
      <c r="X81" s="308"/>
      <c r="Y81" s="308"/>
      <c r="Z81" s="308"/>
      <c r="AA81" s="308"/>
      <c r="AB81" s="308"/>
      <c r="AC81" s="308"/>
      <c r="AD81" s="308"/>
      <c r="AE81" s="308"/>
      <c r="AF81" s="308"/>
      <c r="AG81" s="308"/>
      <c r="AH81" s="308"/>
      <c r="AI81" s="308"/>
      <c r="AJ81" s="308"/>
      <c r="AK81" s="308"/>
      <c r="AL81" s="308"/>
      <c r="AM81" s="308"/>
      <c r="AN81" s="308"/>
      <c r="AO81" s="308"/>
      <c r="AP81" s="308"/>
      <c r="AQ81" s="308"/>
      <c r="AR81" s="308"/>
      <c r="AS81" s="308"/>
      <c r="AT81" s="308"/>
      <c r="AU81" s="308"/>
      <c r="AV81" s="308"/>
      <c r="AW81" s="308"/>
      <c r="AX81" s="308"/>
      <c r="AY81" s="308"/>
      <c r="AZ81" s="308"/>
      <c r="BA81" s="308"/>
      <c r="BB81" s="308"/>
      <c r="BC81" s="308"/>
      <c r="BD81" s="308"/>
      <c r="BE81" s="308"/>
      <c r="BF81" s="308"/>
      <c r="BG81" s="308"/>
      <c r="BH81" s="308"/>
      <c r="BI81" s="308"/>
      <c r="BJ81" s="308"/>
      <c r="BK81" s="308"/>
      <c r="BL81" s="308"/>
      <c r="BM81" s="308"/>
      <c r="BN81" s="308"/>
      <c r="BO81" s="308"/>
      <c r="BP81" s="308"/>
      <c r="BQ81" s="308"/>
      <c r="BR81" s="308"/>
      <c r="BS81" s="308"/>
    </row>
    <row r="82" spans="1:71" ht="15.75" customHeight="1">
      <c r="A82" s="308"/>
      <c r="B82" s="334" t="s">
        <v>147</v>
      </c>
      <c r="C82" s="334" t="s">
        <v>137</v>
      </c>
      <c r="D82" s="320" t="str">
        <f t="shared" si="0"/>
        <v>圖_MSBN_Popup*1</v>
      </c>
      <c r="E82" s="200" t="s">
        <v>1198</v>
      </c>
      <c r="F82" s="322"/>
      <c r="G82" s="200" t="s">
        <v>1153</v>
      </c>
      <c r="H82" s="200">
        <v>0.8</v>
      </c>
      <c r="I82" s="323"/>
      <c r="J82" s="324" t="s">
        <v>1046</v>
      </c>
      <c r="K82" s="324" t="s">
        <v>1046</v>
      </c>
      <c r="L82" s="324" t="s">
        <v>1047</v>
      </c>
      <c r="M82" s="325" t="s">
        <v>1056</v>
      </c>
      <c r="N82" s="325" t="s">
        <v>1199</v>
      </c>
      <c r="O82" s="325" t="s">
        <v>115</v>
      </c>
      <c r="P82" s="325" t="s">
        <v>115</v>
      </c>
      <c r="Q82" s="325" t="s">
        <v>115</v>
      </c>
      <c r="R82" s="191"/>
      <c r="S82" s="205">
        <f t="shared" si="1"/>
        <v>5</v>
      </c>
      <c r="T82" s="308"/>
      <c r="U82" s="308"/>
      <c r="V82" s="308" t="str">
        <f ca="1">IFERROR(__xludf.DUMMYFUNCTION("""COMPUTED_VALUE"""),"")</f>
        <v/>
      </c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  <c r="AS82" s="308"/>
      <c r="AT82" s="308"/>
      <c r="AU82" s="308"/>
      <c r="AV82" s="308"/>
      <c r="AW82" s="308"/>
      <c r="AX82" s="308"/>
      <c r="AY82" s="308"/>
      <c r="AZ82" s="308"/>
      <c r="BA82" s="308"/>
      <c r="BB82" s="308"/>
      <c r="BC82" s="308"/>
      <c r="BD82" s="308"/>
      <c r="BE82" s="308"/>
      <c r="BF82" s="308"/>
      <c r="BG82" s="308"/>
      <c r="BH82" s="308"/>
      <c r="BI82" s="308"/>
      <c r="BJ82" s="308"/>
      <c r="BK82" s="308"/>
      <c r="BL82" s="308"/>
      <c r="BM82" s="308"/>
      <c r="BN82" s="308"/>
      <c r="BO82" s="308"/>
      <c r="BP82" s="308"/>
      <c r="BQ82" s="308"/>
      <c r="BR82" s="308"/>
      <c r="BS82" s="308"/>
    </row>
    <row r="83" spans="1:71" ht="15.75" customHeight="1">
      <c r="A83" s="308"/>
      <c r="B83" s="334" t="s">
        <v>147</v>
      </c>
      <c r="C83" s="334" t="s">
        <v>138</v>
      </c>
      <c r="D83" s="320" t="str">
        <f t="shared" si="0"/>
        <v>圖_MSBN_Popup*2</v>
      </c>
      <c r="E83" s="200" t="s">
        <v>1200</v>
      </c>
      <c r="F83" s="322"/>
      <c r="G83" s="200" t="s">
        <v>1153</v>
      </c>
      <c r="H83" s="200">
        <v>0.8</v>
      </c>
      <c r="I83" s="323"/>
      <c r="J83" s="324" t="s">
        <v>1046</v>
      </c>
      <c r="K83" s="324" t="s">
        <v>1046</v>
      </c>
      <c r="L83" s="324" t="s">
        <v>1047</v>
      </c>
      <c r="M83" s="325" t="s">
        <v>1056</v>
      </c>
      <c r="N83" s="325" t="s">
        <v>1201</v>
      </c>
      <c r="O83" s="325" t="s">
        <v>1202</v>
      </c>
      <c r="P83" s="325" t="s">
        <v>115</v>
      </c>
      <c r="Q83" s="325" t="s">
        <v>115</v>
      </c>
      <c r="R83" s="191"/>
      <c r="S83" s="205">
        <f t="shared" si="1"/>
        <v>6</v>
      </c>
      <c r="T83" s="308"/>
      <c r="U83" s="308"/>
      <c r="V83" s="308" t="str">
        <f ca="1">IFERROR(__xludf.DUMMYFUNCTION("""COMPUTED_VALUE"""),"")</f>
        <v/>
      </c>
      <c r="W83" s="308"/>
      <c r="X83" s="308"/>
      <c r="Y83" s="308"/>
      <c r="Z83" s="308"/>
      <c r="AA83" s="308"/>
      <c r="AB83" s="308"/>
      <c r="AC83" s="308"/>
      <c r="AD83" s="308"/>
      <c r="AE83" s="308"/>
      <c r="AF83" s="308"/>
      <c r="AG83" s="308"/>
      <c r="AH83" s="308"/>
      <c r="AI83" s="308"/>
      <c r="AJ83" s="308"/>
      <c r="AK83" s="308"/>
      <c r="AL83" s="308"/>
      <c r="AM83" s="308"/>
      <c r="AN83" s="308"/>
      <c r="AO83" s="308"/>
      <c r="AP83" s="308"/>
      <c r="AQ83" s="308"/>
      <c r="AR83" s="308"/>
      <c r="AS83" s="308"/>
      <c r="AT83" s="308"/>
      <c r="AU83" s="308"/>
      <c r="AV83" s="308"/>
      <c r="AW83" s="308"/>
      <c r="AX83" s="308"/>
      <c r="AY83" s="308"/>
      <c r="AZ83" s="308"/>
      <c r="BA83" s="308"/>
      <c r="BB83" s="308"/>
      <c r="BC83" s="308"/>
      <c r="BD83" s="308"/>
      <c r="BE83" s="308"/>
      <c r="BF83" s="308"/>
      <c r="BG83" s="308"/>
      <c r="BH83" s="308"/>
      <c r="BI83" s="308"/>
      <c r="BJ83" s="308"/>
      <c r="BK83" s="308"/>
      <c r="BL83" s="308"/>
      <c r="BM83" s="308"/>
      <c r="BN83" s="308"/>
      <c r="BO83" s="308"/>
      <c r="BP83" s="308"/>
      <c r="BQ83" s="308"/>
      <c r="BR83" s="308"/>
      <c r="BS83" s="308"/>
    </row>
    <row r="84" spans="1:71" ht="15.75" customHeight="1">
      <c r="A84" s="308"/>
      <c r="B84" s="334" t="s">
        <v>147</v>
      </c>
      <c r="C84" s="334" t="s">
        <v>139</v>
      </c>
      <c r="D84" s="320" t="str">
        <f t="shared" si="0"/>
        <v>圖_MSBN_Popup*3</v>
      </c>
      <c r="E84" s="200" t="s">
        <v>1203</v>
      </c>
      <c r="F84" s="322"/>
      <c r="G84" s="200" t="s">
        <v>1153</v>
      </c>
      <c r="H84" s="200">
        <v>1</v>
      </c>
      <c r="I84" s="323"/>
      <c r="J84" s="324" t="s">
        <v>1046</v>
      </c>
      <c r="K84" s="324" t="s">
        <v>1046</v>
      </c>
      <c r="L84" s="324" t="s">
        <v>1047</v>
      </c>
      <c r="M84" s="325" t="s">
        <v>1056</v>
      </c>
      <c r="N84" s="325" t="s">
        <v>1201</v>
      </c>
      <c r="O84" s="325" t="s">
        <v>1204</v>
      </c>
      <c r="P84" s="325" t="s">
        <v>1202</v>
      </c>
      <c r="Q84" s="325" t="s">
        <v>115</v>
      </c>
      <c r="R84" s="191"/>
      <c r="S84" s="205">
        <f t="shared" si="1"/>
        <v>7</v>
      </c>
      <c r="T84" s="308"/>
      <c r="U84" s="308"/>
      <c r="V84" s="308" t="str">
        <f ca="1">IFERROR(__xludf.DUMMYFUNCTION("""COMPUTED_VALUE"""),"")</f>
        <v/>
      </c>
      <c r="W84" s="308"/>
      <c r="X84" s="308"/>
      <c r="Y84" s="308"/>
      <c r="Z84" s="308"/>
      <c r="AA84" s="308"/>
      <c r="AB84" s="308"/>
      <c r="AC84" s="308"/>
      <c r="AD84" s="308"/>
      <c r="AE84" s="308"/>
      <c r="AF84" s="308"/>
      <c r="AG84" s="308"/>
      <c r="AH84" s="308"/>
      <c r="AI84" s="308"/>
      <c r="AJ84" s="308"/>
      <c r="AK84" s="308"/>
      <c r="AL84" s="308"/>
      <c r="AM84" s="308"/>
      <c r="AN84" s="308"/>
      <c r="AO84" s="308"/>
      <c r="AP84" s="308"/>
      <c r="AQ84" s="308"/>
      <c r="AR84" s="308"/>
      <c r="AS84" s="308"/>
      <c r="AT84" s="308"/>
      <c r="AU84" s="308"/>
      <c r="AV84" s="308"/>
      <c r="AW84" s="308"/>
      <c r="AX84" s="308"/>
      <c r="AY84" s="308"/>
      <c r="AZ84" s="308"/>
      <c r="BA84" s="308"/>
      <c r="BB84" s="308"/>
      <c r="BC84" s="308"/>
      <c r="BD84" s="308"/>
      <c r="BE84" s="308"/>
      <c r="BF84" s="308"/>
      <c r="BG84" s="308"/>
      <c r="BH84" s="308"/>
      <c r="BI84" s="308"/>
      <c r="BJ84" s="308"/>
      <c r="BK84" s="308"/>
      <c r="BL84" s="308"/>
      <c r="BM84" s="308"/>
      <c r="BN84" s="308"/>
      <c r="BO84" s="308"/>
      <c r="BP84" s="308"/>
      <c r="BQ84" s="308"/>
      <c r="BR84" s="308"/>
      <c r="BS84" s="308"/>
    </row>
    <row r="85" spans="1:71" ht="15.75" customHeight="1">
      <c r="A85" s="308"/>
      <c r="B85" s="334" t="s">
        <v>147</v>
      </c>
      <c r="C85" s="334" t="s">
        <v>140</v>
      </c>
      <c r="D85" s="320" t="str">
        <f t="shared" si="0"/>
        <v>圖_MSBN_Copy*1</v>
      </c>
      <c r="E85" s="200" t="s">
        <v>1205</v>
      </c>
      <c r="F85" s="322"/>
      <c r="G85" s="200" t="s">
        <v>1153</v>
      </c>
      <c r="H85" s="200">
        <v>0.8</v>
      </c>
      <c r="I85" s="323"/>
      <c r="J85" s="324" t="s">
        <v>1046</v>
      </c>
      <c r="K85" s="324" t="s">
        <v>1046</v>
      </c>
      <c r="L85" s="324" t="s">
        <v>1047</v>
      </c>
      <c r="M85" s="325" t="s">
        <v>1056</v>
      </c>
      <c r="N85" s="325" t="s">
        <v>1206</v>
      </c>
      <c r="O85" s="325" t="s">
        <v>115</v>
      </c>
      <c r="P85" s="325" t="s">
        <v>115</v>
      </c>
      <c r="Q85" s="325" t="s">
        <v>115</v>
      </c>
      <c r="R85" s="191"/>
      <c r="S85" s="205">
        <f t="shared" si="1"/>
        <v>5</v>
      </c>
      <c r="T85" s="308"/>
      <c r="U85" s="308"/>
      <c r="V85" s="308" t="str">
        <f ca="1">IFERROR(__xludf.DUMMYFUNCTION("""COMPUTED_VALUE"""),"")</f>
        <v/>
      </c>
      <c r="W85" s="308"/>
      <c r="X85" s="308"/>
      <c r="Y85" s="308"/>
      <c r="Z85" s="308"/>
      <c r="AA85" s="308"/>
      <c r="AB85" s="308"/>
      <c r="AC85" s="308"/>
      <c r="AD85" s="308"/>
      <c r="AE85" s="308"/>
      <c r="AF85" s="308"/>
      <c r="AG85" s="308"/>
      <c r="AH85" s="308"/>
      <c r="AI85" s="308"/>
      <c r="AJ85" s="308"/>
      <c r="AK85" s="308"/>
      <c r="AL85" s="308"/>
      <c r="AM85" s="308"/>
      <c r="AN85" s="308"/>
      <c r="AO85" s="308"/>
      <c r="AP85" s="308"/>
      <c r="AQ85" s="308"/>
      <c r="AR85" s="308"/>
      <c r="AS85" s="308"/>
      <c r="AT85" s="308"/>
      <c r="AU85" s="308"/>
      <c r="AV85" s="308"/>
      <c r="AW85" s="308"/>
      <c r="AX85" s="308"/>
      <c r="AY85" s="308"/>
      <c r="AZ85" s="308"/>
      <c r="BA85" s="308"/>
      <c r="BB85" s="308"/>
      <c r="BC85" s="308"/>
      <c r="BD85" s="308"/>
      <c r="BE85" s="308"/>
      <c r="BF85" s="308"/>
      <c r="BG85" s="308"/>
      <c r="BH85" s="308"/>
      <c r="BI85" s="308"/>
      <c r="BJ85" s="308"/>
      <c r="BK85" s="308"/>
      <c r="BL85" s="308"/>
      <c r="BM85" s="308"/>
      <c r="BN85" s="308"/>
      <c r="BO85" s="308"/>
      <c r="BP85" s="308"/>
      <c r="BQ85" s="308"/>
      <c r="BR85" s="308"/>
      <c r="BS85" s="308"/>
    </row>
    <row r="86" spans="1:71" ht="15.75" customHeight="1">
      <c r="A86" s="308"/>
      <c r="B86" s="334" t="s">
        <v>147</v>
      </c>
      <c r="C86" s="334" t="s">
        <v>141</v>
      </c>
      <c r="D86" s="320" t="str">
        <f t="shared" si="0"/>
        <v>圖_MSBN_Copy*2</v>
      </c>
      <c r="E86" s="200" t="s">
        <v>1207</v>
      </c>
      <c r="F86" s="322"/>
      <c r="G86" s="200" t="s">
        <v>1153</v>
      </c>
      <c r="H86" s="200">
        <v>0.8</v>
      </c>
      <c r="I86" s="323"/>
      <c r="J86" s="324" t="s">
        <v>1046</v>
      </c>
      <c r="K86" s="324" t="s">
        <v>1046</v>
      </c>
      <c r="L86" s="324" t="s">
        <v>1047</v>
      </c>
      <c r="M86" s="325" t="s">
        <v>1056</v>
      </c>
      <c r="N86" s="325" t="s">
        <v>1208</v>
      </c>
      <c r="O86" s="325" t="s">
        <v>1209</v>
      </c>
      <c r="P86" s="325" t="s">
        <v>115</v>
      </c>
      <c r="Q86" s="325" t="s">
        <v>115</v>
      </c>
      <c r="R86" s="191"/>
      <c r="S86" s="205">
        <f t="shared" si="1"/>
        <v>6</v>
      </c>
      <c r="T86" s="308"/>
      <c r="U86" s="308"/>
      <c r="V86" s="308" t="str">
        <f ca="1">IFERROR(__xludf.DUMMYFUNCTION("""COMPUTED_VALUE"""),"")</f>
        <v/>
      </c>
      <c r="W86" s="308"/>
      <c r="X86" s="308"/>
      <c r="Y86" s="308"/>
      <c r="Z86" s="308"/>
      <c r="AA86" s="308"/>
      <c r="AB86" s="308"/>
      <c r="AC86" s="308"/>
      <c r="AD86" s="308"/>
      <c r="AE86" s="308"/>
      <c r="AF86" s="308"/>
      <c r="AG86" s="308"/>
      <c r="AH86" s="308"/>
      <c r="AI86" s="308"/>
      <c r="AJ86" s="308"/>
      <c r="AK86" s="308"/>
      <c r="AL86" s="308"/>
      <c r="AM86" s="308"/>
      <c r="AN86" s="308"/>
      <c r="AO86" s="308"/>
      <c r="AP86" s="308"/>
      <c r="AQ86" s="308"/>
      <c r="AR86" s="308"/>
      <c r="AS86" s="308"/>
      <c r="AT86" s="308"/>
      <c r="AU86" s="308"/>
      <c r="AV86" s="308"/>
      <c r="AW86" s="308"/>
      <c r="AX86" s="308"/>
      <c r="AY86" s="308"/>
      <c r="AZ86" s="308"/>
      <c r="BA86" s="308"/>
      <c r="BB86" s="308"/>
      <c r="BC86" s="308"/>
      <c r="BD86" s="308"/>
      <c r="BE86" s="308"/>
      <c r="BF86" s="308"/>
      <c r="BG86" s="308"/>
      <c r="BH86" s="308"/>
      <c r="BI86" s="308"/>
      <c r="BJ86" s="308"/>
      <c r="BK86" s="308"/>
      <c r="BL86" s="308"/>
      <c r="BM86" s="308"/>
      <c r="BN86" s="308"/>
      <c r="BO86" s="308"/>
      <c r="BP86" s="308"/>
      <c r="BQ86" s="308"/>
      <c r="BR86" s="308"/>
      <c r="BS86" s="308"/>
    </row>
    <row r="87" spans="1:71" ht="15.75" customHeight="1">
      <c r="A87" s="308"/>
      <c r="B87" s="334" t="s">
        <v>147</v>
      </c>
      <c r="C87" s="334" t="s">
        <v>142</v>
      </c>
      <c r="D87" s="320" t="str">
        <f t="shared" si="0"/>
        <v>圖_MSBN_Copy*3</v>
      </c>
      <c r="E87" s="200" t="s">
        <v>1210</v>
      </c>
      <c r="F87" s="322"/>
      <c r="G87" s="200" t="s">
        <v>1153</v>
      </c>
      <c r="H87" s="200">
        <v>1</v>
      </c>
      <c r="I87" s="323"/>
      <c r="J87" s="324" t="s">
        <v>1046</v>
      </c>
      <c r="K87" s="324" t="s">
        <v>1046</v>
      </c>
      <c r="L87" s="324" t="s">
        <v>1047</v>
      </c>
      <c r="M87" s="325" t="s">
        <v>1056</v>
      </c>
      <c r="N87" s="325" t="s">
        <v>1208</v>
      </c>
      <c r="O87" s="325" t="s">
        <v>1211</v>
      </c>
      <c r="P87" s="325" t="s">
        <v>1209</v>
      </c>
      <c r="Q87" s="325" t="s">
        <v>115</v>
      </c>
      <c r="R87" s="191"/>
      <c r="S87" s="205">
        <f t="shared" si="1"/>
        <v>7</v>
      </c>
      <c r="T87" s="308"/>
      <c r="U87" s="308"/>
      <c r="V87" s="308" t="str">
        <f ca="1">IFERROR(__xludf.DUMMYFUNCTION("""COMPUTED_VALUE"""),"")</f>
        <v/>
      </c>
      <c r="W87" s="308"/>
      <c r="X87" s="308"/>
      <c r="Y87" s="308"/>
      <c r="Z87" s="308"/>
      <c r="AA87" s="308"/>
      <c r="AB87" s="308"/>
      <c r="AC87" s="308"/>
      <c r="AD87" s="308"/>
      <c r="AE87" s="308"/>
      <c r="AF87" s="308"/>
      <c r="AG87" s="308"/>
      <c r="AH87" s="308"/>
      <c r="AI87" s="308"/>
      <c r="AJ87" s="308"/>
      <c r="AK87" s="308"/>
      <c r="AL87" s="308"/>
      <c r="AM87" s="308"/>
      <c r="AN87" s="308"/>
      <c r="AO87" s="308"/>
      <c r="AP87" s="308"/>
      <c r="AQ87" s="308"/>
      <c r="AR87" s="308"/>
      <c r="AS87" s="308"/>
      <c r="AT87" s="308"/>
      <c r="AU87" s="308"/>
      <c r="AV87" s="308"/>
      <c r="AW87" s="308"/>
      <c r="AX87" s="308"/>
      <c r="AY87" s="308"/>
      <c r="AZ87" s="308"/>
      <c r="BA87" s="308"/>
      <c r="BB87" s="308"/>
      <c r="BC87" s="308"/>
      <c r="BD87" s="308"/>
      <c r="BE87" s="308"/>
      <c r="BF87" s="308"/>
      <c r="BG87" s="308"/>
      <c r="BH87" s="308"/>
      <c r="BI87" s="308"/>
      <c r="BJ87" s="308"/>
      <c r="BK87" s="308"/>
      <c r="BL87" s="308"/>
      <c r="BM87" s="308"/>
      <c r="BN87" s="308"/>
      <c r="BO87" s="308"/>
      <c r="BP87" s="308"/>
      <c r="BQ87" s="308"/>
      <c r="BR87" s="308"/>
      <c r="BS87" s="308"/>
    </row>
    <row r="88" spans="1:71" ht="15.75" customHeight="1">
      <c r="A88" s="308"/>
      <c r="B88" s="334" t="s">
        <v>147</v>
      </c>
      <c r="C88" s="334" t="s">
        <v>143</v>
      </c>
      <c r="D88" s="320" t="str">
        <f t="shared" si="0"/>
        <v>圖_MSBN_Share*1</v>
      </c>
      <c r="E88" s="200" t="s">
        <v>1212</v>
      </c>
      <c r="F88" s="322"/>
      <c r="G88" s="200" t="s">
        <v>1153</v>
      </c>
      <c r="H88" s="200">
        <v>0.8</v>
      </c>
      <c r="I88" s="323"/>
      <c r="J88" s="324" t="s">
        <v>1046</v>
      </c>
      <c r="K88" s="324" t="s">
        <v>1046</v>
      </c>
      <c r="L88" s="324" t="s">
        <v>1047</v>
      </c>
      <c r="M88" s="325" t="s">
        <v>1056</v>
      </c>
      <c r="N88" s="325" t="s">
        <v>115</v>
      </c>
      <c r="O88" s="325" t="s">
        <v>115</v>
      </c>
      <c r="P88" s="325" t="s">
        <v>115</v>
      </c>
      <c r="Q88" s="325" t="s">
        <v>115</v>
      </c>
      <c r="R88" s="191"/>
      <c r="S88" s="205">
        <f t="shared" si="1"/>
        <v>4</v>
      </c>
      <c r="T88" s="308"/>
      <c r="U88" s="308"/>
      <c r="V88" s="308" t="str">
        <f ca="1">IFERROR(__xludf.DUMMYFUNCTION("""COMPUTED_VALUE"""),"")</f>
        <v/>
      </c>
      <c r="W88" s="308"/>
      <c r="X88" s="308"/>
      <c r="Y88" s="308"/>
      <c r="Z88" s="308"/>
      <c r="AA88" s="308"/>
      <c r="AB88" s="308"/>
      <c r="AC88" s="308"/>
      <c r="AD88" s="308"/>
      <c r="AE88" s="308"/>
      <c r="AF88" s="308"/>
      <c r="AG88" s="308"/>
      <c r="AH88" s="308"/>
      <c r="AI88" s="308"/>
      <c r="AJ88" s="308"/>
      <c r="AK88" s="308"/>
      <c r="AL88" s="308"/>
      <c r="AM88" s="308"/>
      <c r="AN88" s="308"/>
      <c r="AO88" s="308"/>
      <c r="AP88" s="308"/>
      <c r="AQ88" s="308"/>
      <c r="AR88" s="308"/>
      <c r="AS88" s="308"/>
      <c r="AT88" s="308"/>
      <c r="AU88" s="308"/>
      <c r="AV88" s="308"/>
      <c r="AW88" s="308"/>
      <c r="AX88" s="308"/>
      <c r="AY88" s="308"/>
      <c r="AZ88" s="308"/>
      <c r="BA88" s="308"/>
      <c r="BB88" s="308"/>
      <c r="BC88" s="308"/>
      <c r="BD88" s="308"/>
      <c r="BE88" s="308"/>
      <c r="BF88" s="308"/>
      <c r="BG88" s="308"/>
      <c r="BH88" s="308"/>
      <c r="BI88" s="308"/>
      <c r="BJ88" s="308"/>
      <c r="BK88" s="308"/>
      <c r="BL88" s="308"/>
      <c r="BM88" s="308"/>
      <c r="BN88" s="308"/>
      <c r="BO88" s="308"/>
      <c r="BP88" s="308"/>
      <c r="BQ88" s="308"/>
      <c r="BR88" s="308"/>
      <c r="BS88" s="308"/>
    </row>
    <row r="89" spans="1:71" ht="15.75" customHeight="1">
      <c r="A89" s="308"/>
      <c r="B89" s="334" t="s">
        <v>147</v>
      </c>
      <c r="C89" s="334" t="s">
        <v>144</v>
      </c>
      <c r="D89" s="320" t="str">
        <f t="shared" si="0"/>
        <v>圖_MSBN_Share*2</v>
      </c>
      <c r="E89" s="200" t="s">
        <v>1213</v>
      </c>
      <c r="F89" s="322"/>
      <c r="G89" s="200" t="s">
        <v>1153</v>
      </c>
      <c r="H89" s="200">
        <v>0.8</v>
      </c>
      <c r="I89" s="323"/>
      <c r="J89" s="324" t="s">
        <v>1046</v>
      </c>
      <c r="K89" s="324" t="s">
        <v>1046</v>
      </c>
      <c r="L89" s="324" t="s">
        <v>1047</v>
      </c>
      <c r="M89" s="325" t="s">
        <v>1056</v>
      </c>
      <c r="N89" s="325" t="s">
        <v>115</v>
      </c>
      <c r="O89" s="325" t="s">
        <v>115</v>
      </c>
      <c r="P89" s="325" t="s">
        <v>115</v>
      </c>
      <c r="Q89" s="325" t="s">
        <v>115</v>
      </c>
      <c r="R89" s="191"/>
      <c r="S89" s="205">
        <f t="shared" si="1"/>
        <v>4</v>
      </c>
      <c r="T89" s="308"/>
      <c r="U89" s="308"/>
      <c r="V89" s="308" t="str">
        <f ca="1">IFERROR(__xludf.DUMMYFUNCTION("""COMPUTED_VALUE"""),"")</f>
        <v/>
      </c>
      <c r="W89" s="308"/>
      <c r="X89" s="308"/>
      <c r="Y89" s="308"/>
      <c r="Z89" s="308"/>
      <c r="AA89" s="308"/>
      <c r="AB89" s="308"/>
      <c r="AC89" s="308"/>
      <c r="AD89" s="308"/>
      <c r="AE89" s="308"/>
      <c r="AF89" s="308"/>
      <c r="AG89" s="308"/>
      <c r="AH89" s="308"/>
      <c r="AI89" s="308"/>
      <c r="AJ89" s="308"/>
      <c r="AK89" s="308"/>
      <c r="AL89" s="308"/>
      <c r="AM89" s="308"/>
      <c r="AN89" s="308"/>
      <c r="AO89" s="308"/>
      <c r="AP89" s="308"/>
      <c r="AQ89" s="308"/>
      <c r="AR89" s="308"/>
      <c r="AS89" s="308"/>
      <c r="AT89" s="308"/>
      <c r="AU89" s="308"/>
      <c r="AV89" s="308"/>
      <c r="AW89" s="308"/>
      <c r="AX89" s="308"/>
      <c r="AY89" s="308"/>
      <c r="AZ89" s="308"/>
      <c r="BA89" s="308"/>
      <c r="BB89" s="308"/>
      <c r="BC89" s="308"/>
      <c r="BD89" s="308"/>
      <c r="BE89" s="308"/>
      <c r="BF89" s="308"/>
      <c r="BG89" s="308"/>
      <c r="BH89" s="308"/>
      <c r="BI89" s="308"/>
      <c r="BJ89" s="308"/>
      <c r="BK89" s="308"/>
      <c r="BL89" s="308"/>
      <c r="BM89" s="308"/>
      <c r="BN89" s="308"/>
      <c r="BO89" s="308"/>
      <c r="BP89" s="308"/>
      <c r="BQ89" s="308"/>
      <c r="BR89" s="308"/>
      <c r="BS89" s="308"/>
    </row>
    <row r="90" spans="1:71" ht="15.75" customHeight="1">
      <c r="A90" s="308"/>
      <c r="B90" s="334" t="s">
        <v>147</v>
      </c>
      <c r="C90" s="334" t="s">
        <v>145</v>
      </c>
      <c r="D90" s="320" t="str">
        <f t="shared" si="0"/>
        <v>圖_MSBN_Share*3</v>
      </c>
      <c r="E90" s="200" t="s">
        <v>1214</v>
      </c>
      <c r="F90" s="322"/>
      <c r="G90" s="200" t="s">
        <v>1153</v>
      </c>
      <c r="H90" s="200">
        <v>1</v>
      </c>
      <c r="I90" s="323"/>
      <c r="J90" s="324" t="s">
        <v>1046</v>
      </c>
      <c r="K90" s="324" t="s">
        <v>1046</v>
      </c>
      <c r="L90" s="324" t="s">
        <v>1047</v>
      </c>
      <c r="M90" s="325" t="s">
        <v>1056</v>
      </c>
      <c r="N90" s="325" t="s">
        <v>115</v>
      </c>
      <c r="O90" s="325" t="s">
        <v>115</v>
      </c>
      <c r="P90" s="325" t="s">
        <v>115</v>
      </c>
      <c r="Q90" s="325" t="s">
        <v>115</v>
      </c>
      <c r="R90" s="191"/>
      <c r="S90" s="205">
        <f t="shared" si="1"/>
        <v>4</v>
      </c>
      <c r="T90" s="308"/>
      <c r="U90" s="308"/>
      <c r="V90" s="308" t="str">
        <f ca="1">IFERROR(__xludf.DUMMYFUNCTION("""COMPUTED_VALUE"""),"")</f>
        <v/>
      </c>
      <c r="W90" s="308"/>
      <c r="X90" s="308"/>
      <c r="Y90" s="308"/>
      <c r="Z90" s="308"/>
      <c r="AA90" s="308"/>
      <c r="AB90" s="308"/>
      <c r="AC90" s="308"/>
      <c r="AD90" s="308"/>
      <c r="AE90" s="308"/>
      <c r="AF90" s="308"/>
      <c r="AG90" s="308"/>
      <c r="AH90" s="308"/>
      <c r="AI90" s="308"/>
      <c r="AJ90" s="308"/>
      <c r="AK90" s="308"/>
      <c r="AL90" s="308"/>
      <c r="AM90" s="308"/>
      <c r="AN90" s="308"/>
      <c r="AO90" s="308"/>
      <c r="AP90" s="308"/>
      <c r="AQ90" s="308"/>
      <c r="AR90" s="308"/>
      <c r="AS90" s="308"/>
      <c r="AT90" s="308"/>
      <c r="AU90" s="308"/>
      <c r="AV90" s="308"/>
      <c r="AW90" s="308"/>
      <c r="AX90" s="308"/>
      <c r="AY90" s="308"/>
      <c r="AZ90" s="308"/>
      <c r="BA90" s="308"/>
      <c r="BB90" s="308"/>
      <c r="BC90" s="308"/>
      <c r="BD90" s="308"/>
      <c r="BE90" s="308"/>
      <c r="BF90" s="308"/>
      <c r="BG90" s="308"/>
      <c r="BH90" s="308"/>
      <c r="BI90" s="308"/>
      <c r="BJ90" s="308"/>
      <c r="BK90" s="308"/>
      <c r="BL90" s="308"/>
      <c r="BM90" s="308"/>
      <c r="BN90" s="308"/>
      <c r="BO90" s="308"/>
      <c r="BP90" s="308"/>
      <c r="BQ90" s="308"/>
      <c r="BR90" s="308"/>
      <c r="BS90" s="308"/>
    </row>
    <row r="91" spans="1:71" ht="15.75" customHeight="1">
      <c r="A91" s="308"/>
      <c r="B91" s="334" t="s">
        <v>147</v>
      </c>
      <c r="C91" s="334" t="s">
        <v>146</v>
      </c>
      <c r="D91" s="320" t="str">
        <f t="shared" si="0"/>
        <v>圖_MSBN_Placeholders</v>
      </c>
      <c r="E91" s="200" t="s">
        <v>1215</v>
      </c>
      <c r="F91" s="322"/>
      <c r="G91" s="200" t="s">
        <v>1153</v>
      </c>
      <c r="H91" s="200">
        <v>2</v>
      </c>
      <c r="I91" s="323" t="s">
        <v>1216</v>
      </c>
      <c r="J91" s="324" t="s">
        <v>1046</v>
      </c>
      <c r="K91" s="324" t="s">
        <v>1046</v>
      </c>
      <c r="L91" s="324" t="s">
        <v>1047</v>
      </c>
      <c r="M91" s="325" t="s">
        <v>1217</v>
      </c>
      <c r="N91" s="325" t="s">
        <v>1218</v>
      </c>
      <c r="O91" s="325" t="s">
        <v>1219</v>
      </c>
      <c r="P91" s="325" t="s">
        <v>1220</v>
      </c>
      <c r="Q91" s="325" t="s">
        <v>1221</v>
      </c>
      <c r="R91" s="191"/>
      <c r="S91" s="205">
        <f t="shared" si="1"/>
        <v>8</v>
      </c>
      <c r="T91" s="308"/>
      <c r="U91" s="308"/>
      <c r="V91" s="308" t="str">
        <f ca="1">IFERROR(__xludf.DUMMYFUNCTION("""COMPUTED_VALUE"""),"")</f>
        <v/>
      </c>
      <c r="W91" s="308"/>
      <c r="X91" s="308"/>
      <c r="Y91" s="308"/>
      <c r="Z91" s="308"/>
      <c r="AA91" s="308"/>
      <c r="AB91" s="308"/>
      <c r="AC91" s="308"/>
      <c r="AD91" s="308"/>
      <c r="AE91" s="308"/>
      <c r="AF91" s="308"/>
      <c r="AG91" s="308"/>
      <c r="AH91" s="308"/>
      <c r="AI91" s="308"/>
      <c r="AJ91" s="308"/>
      <c r="AK91" s="308"/>
      <c r="AL91" s="308"/>
      <c r="AM91" s="308"/>
      <c r="AN91" s="308"/>
      <c r="AO91" s="308"/>
      <c r="AP91" s="308"/>
      <c r="AQ91" s="308"/>
      <c r="AR91" s="308"/>
      <c r="AS91" s="308"/>
      <c r="AT91" s="308"/>
      <c r="AU91" s="308"/>
      <c r="AV91" s="308"/>
      <c r="AW91" s="308"/>
      <c r="AX91" s="308"/>
      <c r="AY91" s="308"/>
      <c r="AZ91" s="308"/>
      <c r="BA91" s="308"/>
      <c r="BB91" s="308"/>
      <c r="BC91" s="308"/>
      <c r="BD91" s="308"/>
      <c r="BE91" s="308"/>
      <c r="BF91" s="308"/>
      <c r="BG91" s="308"/>
      <c r="BH91" s="308"/>
      <c r="BI91" s="308"/>
      <c r="BJ91" s="308"/>
      <c r="BK91" s="308"/>
      <c r="BL91" s="308"/>
      <c r="BM91" s="308"/>
      <c r="BN91" s="308"/>
      <c r="BO91" s="308"/>
      <c r="BP91" s="308"/>
      <c r="BQ91" s="308"/>
      <c r="BR91" s="308"/>
      <c r="BS91" s="308"/>
    </row>
    <row r="92" spans="1:71" ht="15.75" customHeight="1">
      <c r="A92" s="308"/>
      <c r="B92" s="320" t="s">
        <v>466</v>
      </c>
      <c r="C92" s="320" t="s">
        <v>467</v>
      </c>
      <c r="D92" s="320" t="str">
        <f t="shared" si="0"/>
        <v>圖_ImageCollection_輪播 水平滑動(display number per row: 1)</v>
      </c>
      <c r="E92" s="200" t="s">
        <v>1222</v>
      </c>
      <c r="F92" s="322"/>
      <c r="G92" s="200" t="s">
        <v>152</v>
      </c>
      <c r="H92" s="200">
        <v>0.5</v>
      </c>
      <c r="I92" s="323" t="s">
        <v>1223</v>
      </c>
      <c r="J92" s="324" t="s">
        <v>1046</v>
      </c>
      <c r="K92" s="324" t="s">
        <v>1046</v>
      </c>
      <c r="L92" s="324" t="s">
        <v>1047</v>
      </c>
      <c r="M92" s="325" t="s">
        <v>1058</v>
      </c>
      <c r="N92" s="325" t="s">
        <v>1059</v>
      </c>
      <c r="O92" s="325" t="s">
        <v>1060</v>
      </c>
      <c r="P92" s="325" t="s">
        <v>1061</v>
      </c>
      <c r="Q92" s="325" t="s">
        <v>115</v>
      </c>
      <c r="R92" s="191"/>
      <c r="S92" s="205">
        <f t="shared" si="1"/>
        <v>7</v>
      </c>
      <c r="T92" s="308"/>
      <c r="U92" s="308"/>
      <c r="V92" s="308" t="str">
        <f ca="1">IFERROR(__xludf.DUMMYFUNCTION("""COMPUTED_VALUE"""),"")</f>
        <v/>
      </c>
      <c r="W92" s="308"/>
      <c r="X92" s="308"/>
      <c r="Y92" s="308"/>
      <c r="Z92" s="308"/>
      <c r="AA92" s="308"/>
      <c r="AB92" s="308"/>
      <c r="AC92" s="308"/>
      <c r="AD92" s="308"/>
      <c r="AE92" s="308"/>
      <c r="AF92" s="308"/>
      <c r="AG92" s="308"/>
      <c r="AH92" s="308"/>
      <c r="AI92" s="308"/>
      <c r="AJ92" s="308"/>
      <c r="AK92" s="308"/>
      <c r="AL92" s="308"/>
      <c r="AM92" s="308"/>
      <c r="AN92" s="308"/>
      <c r="AO92" s="308"/>
      <c r="AP92" s="308"/>
      <c r="AQ92" s="308"/>
      <c r="AR92" s="308"/>
      <c r="AS92" s="308"/>
      <c r="AT92" s="308"/>
      <c r="AU92" s="308"/>
      <c r="AV92" s="308"/>
      <c r="AW92" s="308"/>
      <c r="AX92" s="308"/>
      <c r="AY92" s="308"/>
      <c r="AZ92" s="308"/>
      <c r="BA92" s="308"/>
      <c r="BB92" s="308"/>
      <c r="BC92" s="308"/>
      <c r="BD92" s="308"/>
      <c r="BE92" s="308"/>
      <c r="BF92" s="308"/>
      <c r="BG92" s="308"/>
      <c r="BH92" s="308"/>
      <c r="BI92" s="308"/>
      <c r="BJ92" s="308"/>
      <c r="BK92" s="308"/>
      <c r="BL92" s="308"/>
      <c r="BM92" s="308"/>
      <c r="BN92" s="308"/>
      <c r="BO92" s="308"/>
      <c r="BP92" s="308"/>
      <c r="BQ92" s="308"/>
      <c r="BR92" s="308"/>
      <c r="BS92" s="308"/>
    </row>
    <row r="93" spans="1:71" ht="15.75" customHeight="1">
      <c r="A93" s="308"/>
      <c r="B93" s="334" t="s">
        <v>1032</v>
      </c>
      <c r="C93" s="334" t="s">
        <v>1224</v>
      </c>
      <c r="D93" s="320" t="str">
        <f t="shared" si="0"/>
        <v>圖_GD模版_MKT_Camp公版_時間軸(一排1個)</v>
      </c>
      <c r="E93" s="200" t="s">
        <v>1225</v>
      </c>
      <c r="F93" s="322"/>
      <c r="G93" s="200"/>
      <c r="H93" s="200">
        <v>0.5</v>
      </c>
      <c r="I93" s="323"/>
      <c r="J93" s="324" t="s">
        <v>1046</v>
      </c>
      <c r="K93" s="324" t="s">
        <v>1046</v>
      </c>
      <c r="L93" s="331" t="s">
        <v>1047</v>
      </c>
      <c r="M93" s="325" t="s">
        <v>1226</v>
      </c>
      <c r="N93" s="325" t="s">
        <v>115</v>
      </c>
      <c r="O93" s="325" t="s">
        <v>115</v>
      </c>
      <c r="P93" s="325" t="s">
        <v>115</v>
      </c>
      <c r="Q93" s="325" t="s">
        <v>115</v>
      </c>
      <c r="R93" s="191"/>
      <c r="S93" s="205">
        <f t="shared" si="1"/>
        <v>4</v>
      </c>
      <c r="T93" s="308"/>
      <c r="U93" s="308"/>
      <c r="V93" s="308" t="str">
        <f ca="1">IFERROR(__xludf.DUMMYFUNCTION("""COMPUTED_VALUE"""),"")</f>
        <v/>
      </c>
      <c r="W93" s="308"/>
      <c r="X93" s="308"/>
      <c r="Y93" s="308"/>
      <c r="Z93" s="308"/>
      <c r="AA93" s="308"/>
      <c r="AB93" s="308"/>
      <c r="AC93" s="308"/>
      <c r="AD93" s="308"/>
      <c r="AE93" s="308"/>
      <c r="AF93" s="308"/>
      <c r="AG93" s="308"/>
      <c r="AH93" s="308"/>
      <c r="AI93" s="308"/>
      <c r="AJ93" s="308"/>
      <c r="AK93" s="308"/>
      <c r="AL93" s="308"/>
      <c r="AM93" s="308"/>
      <c r="AN93" s="308"/>
      <c r="AO93" s="308"/>
      <c r="AP93" s="308"/>
      <c r="AQ93" s="308"/>
      <c r="AR93" s="308"/>
      <c r="AS93" s="308"/>
      <c r="AT93" s="308"/>
      <c r="AU93" s="308"/>
      <c r="AV93" s="308"/>
      <c r="AW93" s="308"/>
      <c r="AX93" s="308"/>
      <c r="AY93" s="308"/>
      <c r="AZ93" s="308"/>
      <c r="BA93" s="308"/>
      <c r="BB93" s="308"/>
      <c r="BC93" s="308"/>
      <c r="BD93" s="308"/>
      <c r="BE93" s="308"/>
      <c r="BF93" s="308"/>
      <c r="BG93" s="308"/>
      <c r="BH93" s="308"/>
      <c r="BI93" s="308"/>
      <c r="BJ93" s="308"/>
      <c r="BK93" s="308"/>
      <c r="BL93" s="308"/>
      <c r="BM93" s="308"/>
      <c r="BN93" s="308"/>
      <c r="BO93" s="308"/>
      <c r="BP93" s="308"/>
      <c r="BQ93" s="308"/>
      <c r="BR93" s="308"/>
      <c r="BS93" s="308"/>
    </row>
    <row r="94" spans="1:71" ht="15.75" customHeight="1">
      <c r="A94" s="308"/>
      <c r="B94" s="326" t="s">
        <v>1032</v>
      </c>
      <c r="C94" s="326" t="s">
        <v>1227</v>
      </c>
      <c r="D94" s="320" t="str">
        <f t="shared" si="0"/>
        <v>圖_GD模版_MKT_Camp公版_時間軸(一排2個)</v>
      </c>
      <c r="E94" s="200" t="s">
        <v>1228</v>
      </c>
      <c r="F94" s="322"/>
      <c r="G94" s="200"/>
      <c r="H94" s="200">
        <v>0.5</v>
      </c>
      <c r="I94" s="323"/>
      <c r="J94" s="324" t="s">
        <v>1046</v>
      </c>
      <c r="K94" s="324" t="s">
        <v>1046</v>
      </c>
      <c r="L94" s="324" t="s">
        <v>1047</v>
      </c>
      <c r="M94" s="325" t="s">
        <v>1229</v>
      </c>
      <c r="N94" s="325" t="s">
        <v>115</v>
      </c>
      <c r="O94" s="325" t="s">
        <v>115</v>
      </c>
      <c r="P94" s="325" t="s">
        <v>115</v>
      </c>
      <c r="Q94" s="325" t="s">
        <v>115</v>
      </c>
      <c r="R94" s="191"/>
      <c r="S94" s="205">
        <f t="shared" si="1"/>
        <v>4</v>
      </c>
      <c r="T94" s="308"/>
      <c r="U94" s="308"/>
      <c r="V94" s="308" t="str">
        <f ca="1">IFERROR(__xludf.DUMMYFUNCTION("""COMPUTED_VALUE"""),"")</f>
        <v/>
      </c>
      <c r="W94" s="308"/>
      <c r="X94" s="308"/>
      <c r="Y94" s="308"/>
      <c r="Z94" s="308"/>
      <c r="AA94" s="308"/>
      <c r="AB94" s="308"/>
      <c r="AC94" s="308"/>
      <c r="AD94" s="308"/>
      <c r="AE94" s="308"/>
      <c r="AF94" s="308"/>
      <c r="AG94" s="308"/>
      <c r="AH94" s="308"/>
      <c r="AI94" s="308"/>
      <c r="AJ94" s="308"/>
      <c r="AK94" s="308"/>
      <c r="AL94" s="308"/>
      <c r="AM94" s="308"/>
      <c r="AN94" s="308"/>
      <c r="AO94" s="308"/>
      <c r="AP94" s="308"/>
      <c r="AQ94" s="308"/>
      <c r="AR94" s="308"/>
      <c r="AS94" s="308"/>
      <c r="AT94" s="308"/>
      <c r="AU94" s="308"/>
      <c r="AV94" s="308"/>
      <c r="AW94" s="308"/>
      <c r="AX94" s="308"/>
      <c r="AY94" s="308"/>
      <c r="AZ94" s="308"/>
      <c r="BA94" s="308"/>
      <c r="BB94" s="308"/>
      <c r="BC94" s="308"/>
      <c r="BD94" s="308"/>
      <c r="BE94" s="308"/>
      <c r="BF94" s="308"/>
      <c r="BG94" s="308"/>
      <c r="BH94" s="308"/>
      <c r="BI94" s="308"/>
      <c r="BJ94" s="308"/>
      <c r="BK94" s="308"/>
      <c r="BL94" s="308"/>
      <c r="BM94" s="308"/>
      <c r="BN94" s="308"/>
      <c r="BO94" s="308"/>
      <c r="BP94" s="308"/>
      <c r="BQ94" s="308"/>
      <c r="BR94" s="308"/>
      <c r="BS94" s="308"/>
    </row>
    <row r="95" spans="1:71" ht="15.75" customHeight="1">
      <c r="A95" s="308"/>
      <c r="B95" s="336" t="s">
        <v>1032</v>
      </c>
      <c r="C95" s="336" t="s">
        <v>1230</v>
      </c>
      <c r="D95" s="320" t="str">
        <f t="shared" si="0"/>
        <v>圖_GD模版_MKT_Camp公版_時間軸(一排3個)</v>
      </c>
      <c r="E95" s="200" t="s">
        <v>1231</v>
      </c>
      <c r="F95" s="322"/>
      <c r="G95" s="200"/>
      <c r="H95" s="200">
        <v>0.8</v>
      </c>
      <c r="I95" s="323"/>
      <c r="J95" s="324" t="s">
        <v>1046</v>
      </c>
      <c r="K95" s="324" t="s">
        <v>1046</v>
      </c>
      <c r="L95" s="324" t="s">
        <v>1047</v>
      </c>
      <c r="M95" s="325" t="s">
        <v>1232</v>
      </c>
      <c r="N95" s="325" t="s">
        <v>115</v>
      </c>
      <c r="O95" s="325" t="s">
        <v>115</v>
      </c>
      <c r="P95" s="325" t="s">
        <v>115</v>
      </c>
      <c r="Q95" s="325" t="s">
        <v>115</v>
      </c>
      <c r="R95" s="191"/>
      <c r="S95" s="205">
        <f t="shared" si="1"/>
        <v>4</v>
      </c>
      <c r="T95" s="308"/>
      <c r="U95" s="308"/>
      <c r="V95" s="308" t="str">
        <f ca="1">IFERROR(__xludf.DUMMYFUNCTION("""COMPUTED_VALUE"""),"")</f>
        <v/>
      </c>
      <c r="W95" s="308"/>
      <c r="X95" s="308"/>
      <c r="Y95" s="308"/>
      <c r="Z95" s="308"/>
      <c r="AA95" s="308"/>
      <c r="AB95" s="308"/>
      <c r="AC95" s="308"/>
      <c r="AD95" s="308"/>
      <c r="AE95" s="308"/>
      <c r="AF95" s="308"/>
      <c r="AG95" s="308"/>
      <c r="AH95" s="308"/>
      <c r="AI95" s="308"/>
      <c r="AJ95" s="308"/>
      <c r="AK95" s="308"/>
      <c r="AL95" s="308"/>
      <c r="AM95" s="308"/>
      <c r="AN95" s="308"/>
      <c r="AO95" s="308"/>
      <c r="AP95" s="308"/>
      <c r="AQ95" s="308"/>
      <c r="AR95" s="308"/>
      <c r="AS95" s="308"/>
      <c r="AT95" s="308"/>
      <c r="AU95" s="308"/>
      <c r="AV95" s="308"/>
      <c r="AW95" s="308"/>
      <c r="AX95" s="308"/>
      <c r="AY95" s="308"/>
      <c r="AZ95" s="308"/>
      <c r="BA95" s="308"/>
      <c r="BB95" s="308"/>
      <c r="BC95" s="308"/>
      <c r="BD95" s="308"/>
      <c r="BE95" s="308"/>
      <c r="BF95" s="308"/>
      <c r="BG95" s="308"/>
      <c r="BH95" s="308"/>
      <c r="BI95" s="308"/>
      <c r="BJ95" s="308"/>
      <c r="BK95" s="308"/>
      <c r="BL95" s="308"/>
      <c r="BM95" s="308"/>
      <c r="BN95" s="308"/>
      <c r="BO95" s="308"/>
      <c r="BP95" s="308"/>
      <c r="BQ95" s="308"/>
      <c r="BR95" s="308"/>
      <c r="BS95" s="308"/>
    </row>
    <row r="96" spans="1:71" ht="15.75" customHeight="1">
      <c r="A96" s="308"/>
      <c r="B96" s="326" t="s">
        <v>1032</v>
      </c>
      <c r="C96" s="326" t="s">
        <v>1233</v>
      </c>
      <c r="D96" s="320" t="str">
        <f t="shared" si="0"/>
        <v>圖_GD模版_MKT_Camp公版_LOGO(一排3品)</v>
      </c>
      <c r="E96" s="200" t="s">
        <v>1234</v>
      </c>
      <c r="F96" s="322"/>
      <c r="G96" s="200" t="s">
        <v>1153</v>
      </c>
      <c r="H96" s="200">
        <v>1</v>
      </c>
      <c r="I96" s="323"/>
      <c r="J96" s="324" t="s">
        <v>1046</v>
      </c>
      <c r="K96" s="324" t="s">
        <v>1046</v>
      </c>
      <c r="L96" s="324" t="s">
        <v>1047</v>
      </c>
      <c r="M96" s="325" t="s">
        <v>1056</v>
      </c>
      <c r="N96" s="325" t="s">
        <v>1235</v>
      </c>
      <c r="O96" s="325" t="s">
        <v>115</v>
      </c>
      <c r="P96" s="325" t="s">
        <v>115</v>
      </c>
      <c r="Q96" s="325" t="s">
        <v>115</v>
      </c>
      <c r="R96" s="191"/>
      <c r="S96" s="205">
        <f t="shared" si="1"/>
        <v>5</v>
      </c>
      <c r="T96" s="308"/>
      <c r="U96" s="308"/>
      <c r="V96" s="308" t="str">
        <f ca="1">IFERROR(__xludf.DUMMYFUNCTION("""COMPUTED_VALUE"""),"")</f>
        <v/>
      </c>
      <c r="W96" s="308"/>
      <c r="X96" s="308"/>
      <c r="Y96" s="308"/>
      <c r="Z96" s="308"/>
      <c r="AA96" s="308"/>
      <c r="AB96" s="308"/>
      <c r="AC96" s="308"/>
      <c r="AD96" s="308"/>
      <c r="AE96" s="308"/>
      <c r="AF96" s="308"/>
      <c r="AG96" s="308"/>
      <c r="AH96" s="308"/>
      <c r="AI96" s="308"/>
      <c r="AJ96" s="308"/>
      <c r="AK96" s="308"/>
      <c r="AL96" s="308"/>
      <c r="AM96" s="308"/>
      <c r="AN96" s="308"/>
      <c r="AO96" s="308"/>
      <c r="AP96" s="308"/>
      <c r="AQ96" s="308"/>
      <c r="AR96" s="308"/>
      <c r="AS96" s="308"/>
      <c r="AT96" s="308"/>
      <c r="AU96" s="308"/>
      <c r="AV96" s="308"/>
      <c r="AW96" s="308"/>
      <c r="AX96" s="308"/>
      <c r="AY96" s="308"/>
      <c r="AZ96" s="308"/>
      <c r="BA96" s="308"/>
      <c r="BB96" s="308"/>
      <c r="BC96" s="308"/>
      <c r="BD96" s="308"/>
      <c r="BE96" s="308"/>
      <c r="BF96" s="308"/>
      <c r="BG96" s="308"/>
      <c r="BH96" s="308"/>
      <c r="BI96" s="308"/>
      <c r="BJ96" s="308"/>
      <c r="BK96" s="308"/>
      <c r="BL96" s="308"/>
      <c r="BM96" s="308"/>
      <c r="BN96" s="308"/>
      <c r="BO96" s="308"/>
      <c r="BP96" s="308"/>
      <c r="BQ96" s="308"/>
      <c r="BR96" s="308"/>
      <c r="BS96" s="308"/>
    </row>
    <row r="97" spans="1:71" ht="15.75" customHeight="1">
      <c r="A97" s="308"/>
      <c r="B97" s="326" t="s">
        <v>1032</v>
      </c>
      <c r="C97" s="326" t="s">
        <v>1236</v>
      </c>
      <c r="D97" s="320" t="str">
        <f t="shared" si="0"/>
        <v>圖_GD模版_MKT_Camp公版_品名+$(一排3品)</v>
      </c>
      <c r="E97" s="200" t="s">
        <v>1237</v>
      </c>
      <c r="F97" s="322"/>
      <c r="G97" s="200" t="s">
        <v>1153</v>
      </c>
      <c r="H97" s="200">
        <v>1.5</v>
      </c>
      <c r="I97" s="323"/>
      <c r="J97" s="324" t="s">
        <v>1046</v>
      </c>
      <c r="K97" s="324" t="s">
        <v>1046</v>
      </c>
      <c r="L97" s="324" t="s">
        <v>1047</v>
      </c>
      <c r="M97" s="325" t="s">
        <v>1238</v>
      </c>
      <c r="N97" s="325" t="s">
        <v>1239</v>
      </c>
      <c r="O97" s="325" t="s">
        <v>1240</v>
      </c>
      <c r="P97" s="325" t="s">
        <v>115</v>
      </c>
      <c r="Q97" s="325" t="s">
        <v>115</v>
      </c>
      <c r="R97" s="191"/>
      <c r="S97" s="205">
        <f t="shared" si="1"/>
        <v>6</v>
      </c>
      <c r="T97" s="308"/>
      <c r="U97" s="308"/>
      <c r="V97" s="308" t="str">
        <f ca="1">IFERROR(__xludf.DUMMYFUNCTION("""COMPUTED_VALUE"""),"")</f>
        <v/>
      </c>
      <c r="W97" s="308"/>
      <c r="X97" s="308"/>
      <c r="Y97" s="308"/>
      <c r="Z97" s="308"/>
      <c r="AA97" s="308"/>
      <c r="AB97" s="308"/>
      <c r="AC97" s="308"/>
      <c r="AD97" s="308"/>
      <c r="AE97" s="308"/>
      <c r="AF97" s="308"/>
      <c r="AG97" s="308"/>
      <c r="AH97" s="308"/>
      <c r="AI97" s="308"/>
      <c r="AJ97" s="308"/>
      <c r="AK97" s="308"/>
      <c r="AL97" s="308"/>
      <c r="AM97" s="308"/>
      <c r="AN97" s="308"/>
      <c r="AO97" s="308"/>
      <c r="AP97" s="308"/>
      <c r="AQ97" s="308"/>
      <c r="AR97" s="308"/>
      <c r="AS97" s="308"/>
      <c r="AT97" s="308"/>
      <c r="AU97" s="308"/>
      <c r="AV97" s="308"/>
      <c r="AW97" s="308"/>
      <c r="AX97" s="308"/>
      <c r="AY97" s="308"/>
      <c r="AZ97" s="308"/>
      <c r="BA97" s="308"/>
      <c r="BB97" s="308"/>
      <c r="BC97" s="308"/>
      <c r="BD97" s="308"/>
      <c r="BE97" s="308"/>
      <c r="BF97" s="308"/>
      <c r="BG97" s="308"/>
      <c r="BH97" s="308"/>
      <c r="BI97" s="308"/>
      <c r="BJ97" s="308"/>
      <c r="BK97" s="308"/>
      <c r="BL97" s="308"/>
      <c r="BM97" s="308"/>
      <c r="BN97" s="308"/>
      <c r="BO97" s="308"/>
      <c r="BP97" s="308"/>
      <c r="BQ97" s="308"/>
      <c r="BR97" s="308"/>
      <c r="BS97" s="308"/>
    </row>
    <row r="98" spans="1:71" ht="15.75" customHeight="1">
      <c r="A98" s="308"/>
      <c r="B98" s="334" t="s">
        <v>1032</v>
      </c>
      <c r="C98" s="334" t="s">
        <v>1241</v>
      </c>
      <c r="D98" s="320" t="str">
        <f t="shared" si="0"/>
        <v>圖_GD模版_MKT_Camp公版_LOGO(一排2品)</v>
      </c>
      <c r="E98" s="200" t="s">
        <v>1242</v>
      </c>
      <c r="F98" s="322"/>
      <c r="G98" s="200" t="s">
        <v>1153</v>
      </c>
      <c r="H98" s="200">
        <v>0.8</v>
      </c>
      <c r="I98" s="323"/>
      <c r="J98" s="324" t="s">
        <v>1046</v>
      </c>
      <c r="K98" s="324" t="s">
        <v>1046</v>
      </c>
      <c r="L98" s="331" t="s">
        <v>1047</v>
      </c>
      <c r="M98" s="325" t="s">
        <v>1056</v>
      </c>
      <c r="N98" s="325" t="s">
        <v>1243</v>
      </c>
      <c r="O98" s="325" t="s">
        <v>115</v>
      </c>
      <c r="P98" s="325" t="s">
        <v>115</v>
      </c>
      <c r="Q98" s="325" t="s">
        <v>115</v>
      </c>
      <c r="R98" s="191"/>
      <c r="S98" s="205">
        <f t="shared" si="1"/>
        <v>5</v>
      </c>
      <c r="T98" s="308"/>
      <c r="U98" s="308"/>
      <c r="V98" s="308" t="str">
        <f ca="1">IFERROR(__xludf.DUMMYFUNCTION("""COMPUTED_VALUE"""),"")</f>
        <v/>
      </c>
      <c r="W98" s="308"/>
      <c r="X98" s="308"/>
      <c r="Y98" s="308"/>
      <c r="Z98" s="308"/>
      <c r="AA98" s="308"/>
      <c r="AB98" s="308"/>
      <c r="AC98" s="308"/>
      <c r="AD98" s="308"/>
      <c r="AE98" s="308"/>
      <c r="AF98" s="308"/>
      <c r="AG98" s="308"/>
      <c r="AH98" s="308"/>
      <c r="AI98" s="308"/>
      <c r="AJ98" s="308"/>
      <c r="AK98" s="308"/>
      <c r="AL98" s="308"/>
      <c r="AM98" s="308"/>
      <c r="AN98" s="308"/>
      <c r="AO98" s="308"/>
      <c r="AP98" s="308"/>
      <c r="AQ98" s="308"/>
      <c r="AR98" s="308"/>
      <c r="AS98" s="308"/>
      <c r="AT98" s="308"/>
      <c r="AU98" s="308"/>
      <c r="AV98" s="308"/>
      <c r="AW98" s="308"/>
      <c r="AX98" s="308"/>
      <c r="AY98" s="308"/>
      <c r="AZ98" s="308"/>
      <c r="BA98" s="308"/>
      <c r="BB98" s="308"/>
      <c r="BC98" s="308"/>
      <c r="BD98" s="308"/>
      <c r="BE98" s="308"/>
      <c r="BF98" s="308"/>
      <c r="BG98" s="308"/>
      <c r="BH98" s="308"/>
      <c r="BI98" s="308"/>
      <c r="BJ98" s="308"/>
      <c r="BK98" s="308"/>
      <c r="BL98" s="308"/>
      <c r="BM98" s="308"/>
      <c r="BN98" s="308"/>
      <c r="BO98" s="308"/>
      <c r="BP98" s="308"/>
      <c r="BQ98" s="308"/>
      <c r="BR98" s="308"/>
      <c r="BS98" s="308"/>
    </row>
    <row r="99" spans="1:71" ht="15.75" customHeight="1">
      <c r="A99" s="308"/>
      <c r="B99" s="334" t="s">
        <v>1032</v>
      </c>
      <c r="C99" s="334" t="s">
        <v>1244</v>
      </c>
      <c r="D99" s="320" t="str">
        <f t="shared" si="0"/>
        <v>圖_GD模版_MKT_Camp公版_品名+$(一排2品)</v>
      </c>
      <c r="E99" s="200" t="s">
        <v>1245</v>
      </c>
      <c r="F99" s="322"/>
      <c r="G99" s="200" t="s">
        <v>1153</v>
      </c>
      <c r="H99" s="200">
        <v>1</v>
      </c>
      <c r="I99" s="323" t="s">
        <v>1246</v>
      </c>
      <c r="J99" s="324" t="s">
        <v>1046</v>
      </c>
      <c r="K99" s="324" t="s">
        <v>1046</v>
      </c>
      <c r="L99" s="331" t="s">
        <v>1047</v>
      </c>
      <c r="M99" s="325" t="s">
        <v>1238</v>
      </c>
      <c r="N99" s="325" t="s">
        <v>1240</v>
      </c>
      <c r="O99" s="325" t="s">
        <v>115</v>
      </c>
      <c r="P99" s="325" t="s">
        <v>115</v>
      </c>
      <c r="Q99" s="325" t="s">
        <v>115</v>
      </c>
      <c r="R99" s="191"/>
      <c r="S99" s="205">
        <f t="shared" si="1"/>
        <v>5</v>
      </c>
      <c r="T99" s="308"/>
      <c r="U99" s="308"/>
      <c r="V99" s="308" t="str">
        <f ca="1">IFERROR(__xludf.DUMMYFUNCTION("""COMPUTED_VALUE"""),"")</f>
        <v/>
      </c>
      <c r="W99" s="308"/>
      <c r="X99" s="308"/>
      <c r="Y99" s="308"/>
      <c r="Z99" s="308"/>
      <c r="AA99" s="308"/>
      <c r="AB99" s="308"/>
      <c r="AC99" s="308"/>
      <c r="AD99" s="308"/>
      <c r="AE99" s="308"/>
      <c r="AF99" s="308"/>
      <c r="AG99" s="308"/>
      <c r="AH99" s="308"/>
      <c r="AI99" s="308"/>
      <c r="AJ99" s="308"/>
      <c r="AK99" s="308"/>
      <c r="AL99" s="308"/>
      <c r="AM99" s="308"/>
      <c r="AN99" s="308"/>
      <c r="AO99" s="308"/>
      <c r="AP99" s="308"/>
      <c r="AQ99" s="308"/>
      <c r="AR99" s="308"/>
      <c r="AS99" s="308"/>
      <c r="AT99" s="308"/>
      <c r="AU99" s="308"/>
      <c r="AV99" s="308"/>
      <c r="AW99" s="308"/>
      <c r="AX99" s="308"/>
      <c r="AY99" s="308"/>
      <c r="AZ99" s="308"/>
      <c r="BA99" s="308"/>
      <c r="BB99" s="308"/>
      <c r="BC99" s="308"/>
      <c r="BD99" s="308"/>
      <c r="BE99" s="308"/>
      <c r="BF99" s="308"/>
      <c r="BG99" s="308"/>
      <c r="BH99" s="308"/>
      <c r="BI99" s="308"/>
      <c r="BJ99" s="308"/>
      <c r="BK99" s="308"/>
      <c r="BL99" s="308"/>
      <c r="BM99" s="308"/>
      <c r="BN99" s="308"/>
      <c r="BO99" s="308"/>
      <c r="BP99" s="308"/>
      <c r="BQ99" s="308"/>
      <c r="BR99" s="308"/>
      <c r="BS99" s="308"/>
    </row>
    <row r="100" spans="1:71" ht="15.75" customHeight="1">
      <c r="A100" s="308"/>
      <c r="B100" s="326" t="s">
        <v>1032</v>
      </c>
      <c r="C100" s="326" t="s">
        <v>1247</v>
      </c>
      <c r="D100" s="320" t="str">
        <f t="shared" si="0"/>
        <v>圖_GD模版_MKT_Camp公版_CTA(提醒我/提醒我/提醒我)</v>
      </c>
      <c r="E100" s="200" t="s">
        <v>1248</v>
      </c>
      <c r="F100" s="322"/>
      <c r="G100" s="200"/>
      <c r="H100" s="200">
        <v>0.5</v>
      </c>
      <c r="I100" s="323"/>
      <c r="J100" s="324" t="s">
        <v>1046</v>
      </c>
      <c r="K100" s="324" t="s">
        <v>1046</v>
      </c>
      <c r="L100" s="324" t="s">
        <v>1047</v>
      </c>
      <c r="M100" s="325" t="s">
        <v>1116</v>
      </c>
      <c r="N100" s="325" t="s">
        <v>1249</v>
      </c>
      <c r="O100" s="325" t="s">
        <v>1118</v>
      </c>
      <c r="P100" s="325" t="s">
        <v>115</v>
      </c>
      <c r="Q100" s="325" t="s">
        <v>115</v>
      </c>
      <c r="R100" s="191"/>
      <c r="S100" s="205">
        <f t="shared" si="1"/>
        <v>6</v>
      </c>
      <c r="T100" s="308"/>
      <c r="U100" s="308"/>
      <c r="V100" s="308" t="str">
        <f ca="1">IFERROR(__xludf.DUMMYFUNCTION("""COMPUTED_VALUE"""),"")</f>
        <v/>
      </c>
      <c r="W100" s="308"/>
      <c r="X100" s="308"/>
      <c r="Y100" s="308"/>
      <c r="Z100" s="308"/>
      <c r="AA100" s="308"/>
      <c r="AB100" s="308"/>
      <c r="AC100" s="308"/>
      <c r="AD100" s="308"/>
      <c r="AE100" s="308"/>
      <c r="AF100" s="308"/>
      <c r="AG100" s="308"/>
      <c r="AH100" s="308"/>
      <c r="AI100" s="308"/>
      <c r="AJ100" s="308"/>
      <c r="AK100" s="308"/>
      <c r="AL100" s="308"/>
      <c r="AM100" s="308"/>
      <c r="AN100" s="308"/>
      <c r="AO100" s="308"/>
      <c r="AP100" s="308"/>
      <c r="AQ100" s="308"/>
      <c r="AR100" s="308"/>
      <c r="AS100" s="308"/>
      <c r="AT100" s="308"/>
      <c r="AU100" s="308"/>
      <c r="AV100" s="308"/>
      <c r="AW100" s="308"/>
      <c r="AX100" s="308"/>
      <c r="AY100" s="308"/>
      <c r="AZ100" s="308"/>
      <c r="BA100" s="308"/>
      <c r="BB100" s="308"/>
      <c r="BC100" s="308"/>
      <c r="BD100" s="308"/>
      <c r="BE100" s="308"/>
      <c r="BF100" s="308"/>
      <c r="BG100" s="308"/>
      <c r="BH100" s="308"/>
      <c r="BI100" s="308"/>
      <c r="BJ100" s="308"/>
      <c r="BK100" s="308"/>
      <c r="BL100" s="308"/>
      <c r="BM100" s="308"/>
      <c r="BN100" s="308"/>
      <c r="BO100" s="308"/>
      <c r="BP100" s="308"/>
      <c r="BQ100" s="308"/>
      <c r="BR100" s="308"/>
      <c r="BS100" s="308"/>
    </row>
    <row r="101" spans="1:71" ht="15.75" customHeight="1">
      <c r="A101" s="308"/>
      <c r="B101" s="334" t="s">
        <v>1032</v>
      </c>
      <c r="C101" s="334" t="s">
        <v>1250</v>
      </c>
      <c r="D101" s="320" t="str">
        <f t="shared" si="0"/>
        <v>圖_GD模版_MKT_Camp公版_CTA(下單去/下單去/下單去)</v>
      </c>
      <c r="E101" s="200" t="s">
        <v>1251</v>
      </c>
      <c r="F101" s="322"/>
      <c r="G101" s="200"/>
      <c r="H101" s="200">
        <v>0.8</v>
      </c>
      <c r="I101" s="323"/>
      <c r="J101" s="324" t="s">
        <v>1046</v>
      </c>
      <c r="K101" s="324" t="s">
        <v>1046</v>
      </c>
      <c r="L101" s="331" t="s">
        <v>1047</v>
      </c>
      <c r="M101" s="325" t="s">
        <v>1157</v>
      </c>
      <c r="N101" s="325" t="s">
        <v>115</v>
      </c>
      <c r="O101" s="325" t="s">
        <v>115</v>
      </c>
      <c r="P101" s="325" t="s">
        <v>115</v>
      </c>
      <c r="Q101" s="325" t="s">
        <v>115</v>
      </c>
      <c r="R101" s="191"/>
      <c r="S101" s="205">
        <f t="shared" si="1"/>
        <v>4</v>
      </c>
      <c r="T101" s="308"/>
      <c r="U101" s="308"/>
      <c r="V101" s="308" t="str">
        <f ca="1">IFERROR(__xludf.DUMMYFUNCTION("""COMPUTED_VALUE"""),"")</f>
        <v/>
      </c>
      <c r="W101" s="308"/>
      <c r="X101" s="308"/>
      <c r="Y101" s="308"/>
      <c r="Z101" s="308"/>
      <c r="AA101" s="308"/>
      <c r="AB101" s="308"/>
      <c r="AC101" s="308"/>
      <c r="AD101" s="308"/>
      <c r="AE101" s="308"/>
      <c r="AF101" s="308"/>
      <c r="AG101" s="308"/>
      <c r="AH101" s="308"/>
      <c r="AI101" s="308"/>
      <c r="AJ101" s="308"/>
      <c r="AK101" s="308"/>
      <c r="AL101" s="308"/>
      <c r="AM101" s="308"/>
      <c r="AN101" s="308"/>
      <c r="AO101" s="308"/>
      <c r="AP101" s="308"/>
      <c r="AQ101" s="308"/>
      <c r="AR101" s="308"/>
      <c r="AS101" s="308"/>
      <c r="AT101" s="308"/>
      <c r="AU101" s="308"/>
      <c r="AV101" s="308"/>
      <c r="AW101" s="308"/>
      <c r="AX101" s="308"/>
      <c r="AY101" s="308"/>
      <c r="AZ101" s="308"/>
      <c r="BA101" s="308"/>
      <c r="BB101" s="308"/>
      <c r="BC101" s="308"/>
      <c r="BD101" s="308"/>
      <c r="BE101" s="308"/>
      <c r="BF101" s="308"/>
      <c r="BG101" s="308"/>
      <c r="BH101" s="308"/>
      <c r="BI101" s="308"/>
      <c r="BJ101" s="308"/>
      <c r="BK101" s="308"/>
      <c r="BL101" s="308"/>
      <c r="BM101" s="308"/>
      <c r="BN101" s="308"/>
      <c r="BO101" s="308"/>
      <c r="BP101" s="308"/>
      <c r="BQ101" s="308"/>
      <c r="BR101" s="308"/>
      <c r="BS101" s="308"/>
    </row>
    <row r="102" spans="1:71" ht="15.75" customHeight="1">
      <c r="A102" s="308"/>
      <c r="B102" s="334" t="s">
        <v>1032</v>
      </c>
      <c r="C102" s="334" t="s">
        <v>1252</v>
      </c>
      <c r="D102" s="320" t="str">
        <f t="shared" si="0"/>
        <v>圖_GD模版_MKT_Camp公版_Mega大促 上蓋</v>
      </c>
      <c r="E102" s="200" t="s">
        <v>1253</v>
      </c>
      <c r="F102" s="322"/>
      <c r="G102" s="200" t="s">
        <v>1254</v>
      </c>
      <c r="H102" s="200">
        <v>0.5</v>
      </c>
      <c r="I102" s="323"/>
      <c r="J102" s="324" t="s">
        <v>1046</v>
      </c>
      <c r="K102" s="324" t="s">
        <v>1046</v>
      </c>
      <c r="L102" s="331" t="s">
        <v>1047</v>
      </c>
      <c r="M102" s="325" t="s">
        <v>1055</v>
      </c>
      <c r="N102" s="325" t="s">
        <v>115</v>
      </c>
      <c r="O102" s="325" t="s">
        <v>115</v>
      </c>
      <c r="P102" s="325" t="s">
        <v>115</v>
      </c>
      <c r="Q102" s="325" t="s">
        <v>115</v>
      </c>
      <c r="R102" s="191"/>
      <c r="S102" s="205">
        <f t="shared" si="1"/>
        <v>4</v>
      </c>
      <c r="T102" s="308"/>
      <c r="U102" s="308"/>
      <c r="V102" s="308" t="str">
        <f ca="1">IFERROR(__xludf.DUMMYFUNCTION("""COMPUTED_VALUE"""),"")</f>
        <v/>
      </c>
      <c r="W102" s="308"/>
      <c r="X102" s="308"/>
      <c r="Y102" s="308"/>
      <c r="Z102" s="308"/>
      <c r="AA102" s="308"/>
      <c r="AB102" s="308"/>
      <c r="AC102" s="308"/>
      <c r="AD102" s="308"/>
      <c r="AE102" s="308"/>
      <c r="AF102" s="308"/>
      <c r="AG102" s="308"/>
      <c r="AH102" s="308"/>
      <c r="AI102" s="308"/>
      <c r="AJ102" s="308"/>
      <c r="AK102" s="308"/>
      <c r="AL102" s="308"/>
      <c r="AM102" s="308"/>
      <c r="AN102" s="308"/>
      <c r="AO102" s="308"/>
      <c r="AP102" s="308"/>
      <c r="AQ102" s="308"/>
      <c r="AR102" s="308"/>
      <c r="AS102" s="308"/>
      <c r="AT102" s="308"/>
      <c r="AU102" s="308"/>
      <c r="AV102" s="308"/>
      <c r="AW102" s="308"/>
      <c r="AX102" s="308"/>
      <c r="AY102" s="308"/>
      <c r="AZ102" s="308"/>
      <c r="BA102" s="308"/>
      <c r="BB102" s="308"/>
      <c r="BC102" s="308"/>
      <c r="BD102" s="308"/>
      <c r="BE102" s="308"/>
      <c r="BF102" s="308"/>
      <c r="BG102" s="308"/>
      <c r="BH102" s="308"/>
      <c r="BI102" s="308"/>
      <c r="BJ102" s="308"/>
      <c r="BK102" s="308"/>
      <c r="BL102" s="308"/>
      <c r="BM102" s="308"/>
      <c r="BN102" s="308"/>
      <c r="BO102" s="308"/>
      <c r="BP102" s="308"/>
      <c r="BQ102" s="308"/>
      <c r="BR102" s="308"/>
      <c r="BS102" s="308"/>
    </row>
    <row r="103" spans="1:71" ht="15.75" customHeight="1">
      <c r="A103" s="308"/>
      <c r="B103" s="334" t="s">
        <v>1032</v>
      </c>
      <c r="C103" s="334" t="s">
        <v>1255</v>
      </c>
      <c r="D103" s="320" t="str">
        <f t="shared" si="0"/>
        <v>圖_GD模版_MKT_Camp公版_Mega大促 LOGO+品名+$(一排3品)</v>
      </c>
      <c r="E103" s="200" t="s">
        <v>1256</v>
      </c>
      <c r="F103" s="322"/>
      <c r="G103" s="200" t="s">
        <v>1153</v>
      </c>
      <c r="H103" s="200">
        <v>1</v>
      </c>
      <c r="I103" s="323" t="s">
        <v>1246</v>
      </c>
      <c r="J103" s="324" t="s">
        <v>1046</v>
      </c>
      <c r="K103" s="324" t="s">
        <v>1046</v>
      </c>
      <c r="L103" s="331" t="s">
        <v>1047</v>
      </c>
      <c r="M103" s="325" t="s">
        <v>1257</v>
      </c>
      <c r="N103" s="325" t="s">
        <v>1258</v>
      </c>
      <c r="O103" s="325" t="s">
        <v>1259</v>
      </c>
      <c r="P103" s="325" t="s">
        <v>1235</v>
      </c>
      <c r="Q103" s="325" t="s">
        <v>115</v>
      </c>
      <c r="R103" s="191"/>
      <c r="S103" s="205">
        <f t="shared" si="1"/>
        <v>7</v>
      </c>
      <c r="T103" s="308"/>
      <c r="U103" s="308"/>
      <c r="V103" s="308" t="str">
        <f ca="1">IFERROR(__xludf.DUMMYFUNCTION("""COMPUTED_VALUE"""),"")</f>
        <v/>
      </c>
      <c r="W103" s="308"/>
      <c r="X103" s="308"/>
      <c r="Y103" s="308"/>
      <c r="Z103" s="308"/>
      <c r="AA103" s="308"/>
      <c r="AB103" s="308"/>
      <c r="AC103" s="308"/>
      <c r="AD103" s="308"/>
      <c r="AE103" s="308"/>
      <c r="AF103" s="308"/>
      <c r="AG103" s="308"/>
      <c r="AH103" s="308"/>
      <c r="AI103" s="308"/>
      <c r="AJ103" s="308"/>
      <c r="AK103" s="308"/>
      <c r="AL103" s="308"/>
      <c r="AM103" s="308"/>
      <c r="AN103" s="308"/>
      <c r="AO103" s="308"/>
      <c r="AP103" s="308"/>
      <c r="AQ103" s="308"/>
      <c r="AR103" s="308"/>
      <c r="AS103" s="308"/>
      <c r="AT103" s="308"/>
      <c r="AU103" s="308"/>
      <c r="AV103" s="308"/>
      <c r="AW103" s="308"/>
      <c r="AX103" s="308"/>
      <c r="AY103" s="308"/>
      <c r="AZ103" s="308"/>
      <c r="BA103" s="308"/>
      <c r="BB103" s="308"/>
      <c r="BC103" s="308"/>
      <c r="BD103" s="308"/>
      <c r="BE103" s="308"/>
      <c r="BF103" s="308"/>
      <c r="BG103" s="308"/>
      <c r="BH103" s="308"/>
      <c r="BI103" s="308"/>
      <c r="BJ103" s="308"/>
      <c r="BK103" s="308"/>
      <c r="BL103" s="308"/>
      <c r="BM103" s="308"/>
      <c r="BN103" s="308"/>
      <c r="BO103" s="308"/>
      <c r="BP103" s="308"/>
      <c r="BQ103" s="308"/>
      <c r="BR103" s="308"/>
      <c r="BS103" s="308"/>
    </row>
    <row r="104" spans="1:71" ht="15.75" customHeight="1">
      <c r="A104" s="308"/>
      <c r="B104" s="334" t="s">
        <v>1032</v>
      </c>
      <c r="C104" s="334" t="s">
        <v>1260</v>
      </c>
      <c r="D104" s="320" t="str">
        <f t="shared" si="0"/>
        <v>圖_GD模版_MKT_Camp公版_Mega大促 CTA(提醒我/提醒我/提醒我)</v>
      </c>
      <c r="E104" s="200" t="s">
        <v>1261</v>
      </c>
      <c r="F104" s="322"/>
      <c r="G104" s="200"/>
      <c r="H104" s="200">
        <v>0.8</v>
      </c>
      <c r="I104" s="323"/>
      <c r="J104" s="324" t="s">
        <v>1046</v>
      </c>
      <c r="K104" s="324" t="s">
        <v>1046</v>
      </c>
      <c r="L104" s="331" t="s">
        <v>1047</v>
      </c>
      <c r="M104" s="325" t="s">
        <v>1116</v>
      </c>
      <c r="N104" s="325" t="s">
        <v>1249</v>
      </c>
      <c r="O104" s="325" t="s">
        <v>1118</v>
      </c>
      <c r="P104" s="325" t="s">
        <v>115</v>
      </c>
      <c r="Q104" s="325" t="s">
        <v>115</v>
      </c>
      <c r="R104" s="191"/>
      <c r="S104" s="205">
        <f t="shared" si="1"/>
        <v>6</v>
      </c>
      <c r="T104" s="308"/>
      <c r="U104" s="308"/>
      <c r="V104" s="308" t="str">
        <f ca="1">IFERROR(__xludf.DUMMYFUNCTION("""COMPUTED_VALUE"""),"")</f>
        <v/>
      </c>
      <c r="W104" s="308"/>
      <c r="X104" s="308"/>
      <c r="Y104" s="308"/>
      <c r="Z104" s="308"/>
      <c r="AA104" s="308"/>
      <c r="AB104" s="308"/>
      <c r="AC104" s="308"/>
      <c r="AD104" s="308"/>
      <c r="AE104" s="308"/>
      <c r="AF104" s="308"/>
      <c r="AG104" s="308"/>
      <c r="AH104" s="308"/>
      <c r="AI104" s="308"/>
      <c r="AJ104" s="308"/>
      <c r="AK104" s="308"/>
      <c r="AL104" s="308"/>
      <c r="AM104" s="308"/>
      <c r="AN104" s="308"/>
      <c r="AO104" s="308"/>
      <c r="AP104" s="308"/>
      <c r="AQ104" s="308"/>
      <c r="AR104" s="308"/>
      <c r="AS104" s="308"/>
      <c r="AT104" s="308"/>
      <c r="AU104" s="308"/>
      <c r="AV104" s="308"/>
      <c r="AW104" s="308"/>
      <c r="AX104" s="308"/>
      <c r="AY104" s="308"/>
      <c r="AZ104" s="308"/>
      <c r="BA104" s="308"/>
      <c r="BB104" s="308"/>
      <c r="BC104" s="308"/>
      <c r="BD104" s="308"/>
      <c r="BE104" s="308"/>
      <c r="BF104" s="308"/>
      <c r="BG104" s="308"/>
      <c r="BH104" s="308"/>
      <c r="BI104" s="308"/>
      <c r="BJ104" s="308"/>
      <c r="BK104" s="308"/>
      <c r="BL104" s="308"/>
      <c r="BM104" s="308"/>
      <c r="BN104" s="308"/>
      <c r="BO104" s="308"/>
      <c r="BP104" s="308"/>
      <c r="BQ104" s="308"/>
      <c r="BR104" s="308"/>
      <c r="BS104" s="308"/>
    </row>
    <row r="105" spans="1:71" ht="15.75" customHeight="1">
      <c r="A105" s="308"/>
      <c r="B105" s="334" t="s">
        <v>1032</v>
      </c>
      <c r="C105" s="334" t="s">
        <v>1262</v>
      </c>
      <c r="D105" s="320" t="str">
        <f t="shared" si="0"/>
        <v>圖_GD模版_MKT_Camp公版_Mega大促 CTA(下單去/下單去/下單去)</v>
      </c>
      <c r="E105" s="200" t="s">
        <v>1263</v>
      </c>
      <c r="F105" s="322"/>
      <c r="G105" s="200"/>
      <c r="H105" s="200">
        <v>0.8</v>
      </c>
      <c r="I105" s="323"/>
      <c r="J105" s="324" t="s">
        <v>1046</v>
      </c>
      <c r="K105" s="324" t="s">
        <v>1046</v>
      </c>
      <c r="L105" s="331" t="s">
        <v>1047</v>
      </c>
      <c r="M105" s="325" t="s">
        <v>1157</v>
      </c>
      <c r="N105" s="325" t="s">
        <v>115</v>
      </c>
      <c r="O105" s="325" t="s">
        <v>115</v>
      </c>
      <c r="P105" s="325" t="s">
        <v>115</v>
      </c>
      <c r="Q105" s="325" t="s">
        <v>115</v>
      </c>
      <c r="R105" s="191"/>
      <c r="S105" s="205">
        <f t="shared" si="1"/>
        <v>4</v>
      </c>
      <c r="T105" s="308"/>
      <c r="U105" s="308"/>
      <c r="V105" s="308" t="str">
        <f ca="1">IFERROR(__xludf.DUMMYFUNCTION("""COMPUTED_VALUE"""),"")</f>
        <v/>
      </c>
      <c r="W105" s="308"/>
      <c r="X105" s="308"/>
      <c r="Y105" s="308"/>
      <c r="Z105" s="308"/>
      <c r="AA105" s="308"/>
      <c r="AB105" s="308"/>
      <c r="AC105" s="308"/>
      <c r="AD105" s="308"/>
      <c r="AE105" s="308"/>
      <c r="AF105" s="308"/>
      <c r="AG105" s="308"/>
      <c r="AH105" s="308"/>
      <c r="AI105" s="308"/>
      <c r="AJ105" s="308"/>
      <c r="AK105" s="308"/>
      <c r="AL105" s="308"/>
      <c r="AM105" s="308"/>
      <c r="AN105" s="308"/>
      <c r="AO105" s="308"/>
      <c r="AP105" s="308"/>
      <c r="AQ105" s="308"/>
      <c r="AR105" s="308"/>
      <c r="AS105" s="308"/>
      <c r="AT105" s="308"/>
      <c r="AU105" s="308"/>
      <c r="AV105" s="308"/>
      <c r="AW105" s="308"/>
      <c r="AX105" s="308"/>
      <c r="AY105" s="308"/>
      <c r="AZ105" s="308"/>
      <c r="BA105" s="308"/>
      <c r="BB105" s="308"/>
      <c r="BC105" s="308"/>
      <c r="BD105" s="308"/>
      <c r="BE105" s="308"/>
      <c r="BF105" s="308"/>
      <c r="BG105" s="308"/>
      <c r="BH105" s="308"/>
      <c r="BI105" s="308"/>
      <c r="BJ105" s="308"/>
      <c r="BK105" s="308"/>
      <c r="BL105" s="308"/>
      <c r="BM105" s="308"/>
      <c r="BN105" s="308"/>
      <c r="BO105" s="308"/>
      <c r="BP105" s="308"/>
      <c r="BQ105" s="308"/>
      <c r="BR105" s="308"/>
      <c r="BS105" s="308"/>
    </row>
    <row r="106" spans="1:71" ht="15.75" customHeight="1">
      <c r="A106" s="308"/>
      <c r="B106" s="334" t="s">
        <v>1032</v>
      </c>
      <c r="C106" s="334" t="s">
        <v>1264</v>
      </c>
      <c r="D106" s="320" t="str">
        <f t="shared" si="0"/>
        <v>圖_GD模版_MKT_Camp公版_Mega大促 下蓋</v>
      </c>
      <c r="E106" s="200" t="s">
        <v>1265</v>
      </c>
      <c r="F106" s="322"/>
      <c r="G106" s="200" t="s">
        <v>1266</v>
      </c>
      <c r="H106" s="200">
        <v>0.5</v>
      </c>
      <c r="I106" s="323"/>
      <c r="J106" s="324" t="s">
        <v>1046</v>
      </c>
      <c r="K106" s="324" t="s">
        <v>1046</v>
      </c>
      <c r="L106" s="331" t="s">
        <v>1047</v>
      </c>
      <c r="M106" s="325" t="s">
        <v>1055</v>
      </c>
      <c r="N106" s="325" t="s">
        <v>115</v>
      </c>
      <c r="O106" s="325" t="s">
        <v>115</v>
      </c>
      <c r="P106" s="325" t="s">
        <v>115</v>
      </c>
      <c r="Q106" s="325" t="s">
        <v>115</v>
      </c>
      <c r="R106" s="191"/>
      <c r="S106" s="205">
        <f t="shared" si="1"/>
        <v>4</v>
      </c>
      <c r="T106" s="308"/>
      <c r="U106" s="308"/>
      <c r="V106" s="308" t="str">
        <f ca="1">IFERROR(__xludf.DUMMYFUNCTION("""COMPUTED_VALUE"""),"")</f>
        <v/>
      </c>
      <c r="W106" s="308"/>
      <c r="X106" s="308"/>
      <c r="Y106" s="308"/>
      <c r="Z106" s="308"/>
      <c r="AA106" s="308"/>
      <c r="AB106" s="308"/>
      <c r="AC106" s="308"/>
      <c r="AD106" s="308"/>
      <c r="AE106" s="308"/>
      <c r="AF106" s="308"/>
      <c r="AG106" s="308"/>
      <c r="AH106" s="308"/>
      <c r="AI106" s="308"/>
      <c r="AJ106" s="308"/>
      <c r="AK106" s="308"/>
      <c r="AL106" s="308"/>
      <c r="AM106" s="308"/>
      <c r="AN106" s="308"/>
      <c r="AO106" s="308"/>
      <c r="AP106" s="308"/>
      <c r="AQ106" s="308"/>
      <c r="AR106" s="308"/>
      <c r="AS106" s="308"/>
      <c r="AT106" s="308"/>
      <c r="AU106" s="308"/>
      <c r="AV106" s="308"/>
      <c r="AW106" s="308"/>
      <c r="AX106" s="308"/>
      <c r="AY106" s="308"/>
      <c r="AZ106" s="308"/>
      <c r="BA106" s="308"/>
      <c r="BB106" s="308"/>
      <c r="BC106" s="308"/>
      <c r="BD106" s="308"/>
      <c r="BE106" s="308"/>
      <c r="BF106" s="308"/>
      <c r="BG106" s="308"/>
      <c r="BH106" s="308"/>
      <c r="BI106" s="308"/>
      <c r="BJ106" s="308"/>
      <c r="BK106" s="308"/>
      <c r="BL106" s="308"/>
      <c r="BM106" s="308"/>
      <c r="BN106" s="308"/>
      <c r="BO106" s="308"/>
      <c r="BP106" s="308"/>
      <c r="BQ106" s="308"/>
      <c r="BR106" s="308"/>
      <c r="BS106" s="308"/>
    </row>
    <row r="107" spans="1:71" ht="15.75" customHeight="1">
      <c r="A107" s="308"/>
      <c r="B107" s="337" t="s">
        <v>743</v>
      </c>
      <c r="C107" s="337" t="s">
        <v>744</v>
      </c>
      <c r="D107" s="329" t="str">
        <f t="shared" si="0"/>
        <v>圖_GD模版_通用公版_商品圖+$ 1品(文字在左側)</v>
      </c>
      <c r="E107" s="330" t="s">
        <v>1267</v>
      </c>
      <c r="F107" s="191"/>
      <c r="G107" s="200" t="s">
        <v>1153</v>
      </c>
      <c r="H107" s="330">
        <v>0.5</v>
      </c>
      <c r="I107" s="329"/>
      <c r="J107" s="324" t="s">
        <v>1046</v>
      </c>
      <c r="K107" s="324" t="s">
        <v>1046</v>
      </c>
      <c r="L107" s="331" t="s">
        <v>1047</v>
      </c>
      <c r="M107" s="332" t="s">
        <v>1056</v>
      </c>
      <c r="N107" s="332" t="s">
        <v>1268</v>
      </c>
      <c r="O107" s="19" t="s">
        <v>1269</v>
      </c>
      <c r="P107" s="332" t="s">
        <v>1105</v>
      </c>
      <c r="Q107" s="332" t="s">
        <v>115</v>
      </c>
      <c r="R107" s="329"/>
      <c r="S107" s="205">
        <f t="shared" si="1"/>
        <v>7</v>
      </c>
      <c r="T107" s="308"/>
      <c r="U107" s="308"/>
      <c r="V107" s="308" t="str">
        <f ca="1">IFERROR(__xludf.DUMMYFUNCTION("""COMPUTED_VALUE"""),"")</f>
        <v/>
      </c>
      <c r="W107" s="308"/>
      <c r="X107" s="308"/>
      <c r="Y107" s="308"/>
      <c r="Z107" s="308"/>
      <c r="AA107" s="308"/>
      <c r="AB107" s="308"/>
      <c r="AC107" s="308"/>
      <c r="AD107" s="308"/>
      <c r="AE107" s="308"/>
      <c r="AF107" s="308"/>
      <c r="AG107" s="308"/>
      <c r="AH107" s="308"/>
      <c r="AI107" s="308"/>
      <c r="AJ107" s="308"/>
      <c r="AK107" s="308"/>
      <c r="AL107" s="308"/>
      <c r="AM107" s="308"/>
      <c r="AN107" s="308"/>
      <c r="AO107" s="308"/>
      <c r="AP107" s="308"/>
      <c r="AQ107" s="308"/>
      <c r="AR107" s="308"/>
      <c r="AS107" s="308"/>
      <c r="AT107" s="308"/>
      <c r="AU107" s="308"/>
      <c r="AV107" s="308"/>
      <c r="AW107" s="308"/>
      <c r="AX107" s="308"/>
      <c r="AY107" s="308"/>
      <c r="AZ107" s="308"/>
      <c r="BA107" s="308"/>
      <c r="BB107" s="308"/>
      <c r="BC107" s="308"/>
      <c r="BD107" s="308"/>
      <c r="BE107" s="308"/>
      <c r="BF107" s="308"/>
      <c r="BG107" s="308"/>
      <c r="BH107" s="308"/>
      <c r="BI107" s="308"/>
      <c r="BJ107" s="308"/>
      <c r="BK107" s="308"/>
      <c r="BL107" s="308"/>
      <c r="BM107" s="308"/>
      <c r="BN107" s="308"/>
      <c r="BO107" s="308"/>
      <c r="BP107" s="308"/>
      <c r="BQ107" s="308"/>
      <c r="BR107" s="308"/>
      <c r="BS107" s="308"/>
    </row>
    <row r="108" spans="1:71" ht="15.75" customHeight="1">
      <c r="A108" s="308"/>
      <c r="B108" s="334" t="s">
        <v>743</v>
      </c>
      <c r="C108" s="334" t="s">
        <v>734</v>
      </c>
      <c r="D108" s="320" t="str">
        <f t="shared" si="0"/>
        <v>圖_GD模版_通用公版_商品圖+$ 2品(文字在左側)</v>
      </c>
      <c r="E108" s="200" t="s">
        <v>1270</v>
      </c>
      <c r="F108" s="322"/>
      <c r="G108" s="200" t="s">
        <v>1153</v>
      </c>
      <c r="H108" s="200">
        <v>0.8</v>
      </c>
      <c r="I108" s="323"/>
      <c r="J108" s="324" t="s">
        <v>1046</v>
      </c>
      <c r="K108" s="324" t="s">
        <v>1046</v>
      </c>
      <c r="L108" s="331" t="s">
        <v>1047</v>
      </c>
      <c r="M108" s="325" t="s">
        <v>1056</v>
      </c>
      <c r="N108" s="325" t="s">
        <v>1271</v>
      </c>
      <c r="O108" s="325" t="s">
        <v>1272</v>
      </c>
      <c r="P108" s="325" t="s">
        <v>1269</v>
      </c>
      <c r="Q108" s="325" t="s">
        <v>1273</v>
      </c>
      <c r="R108" s="191"/>
      <c r="S108" s="205">
        <f t="shared" si="1"/>
        <v>8</v>
      </c>
      <c r="T108" s="308"/>
      <c r="U108" s="308"/>
      <c r="V108" s="308" t="str">
        <f ca="1">IFERROR(__xludf.DUMMYFUNCTION("""COMPUTED_VALUE"""),"")</f>
        <v/>
      </c>
      <c r="W108" s="308"/>
      <c r="X108" s="308"/>
      <c r="Y108" s="308"/>
      <c r="Z108" s="308"/>
      <c r="AA108" s="308"/>
      <c r="AB108" s="308"/>
      <c r="AC108" s="308"/>
      <c r="AD108" s="308"/>
      <c r="AE108" s="308"/>
      <c r="AF108" s="308"/>
      <c r="AG108" s="308"/>
      <c r="AH108" s="308"/>
      <c r="AI108" s="308"/>
      <c r="AJ108" s="308"/>
      <c r="AK108" s="308"/>
      <c r="AL108" s="308"/>
      <c r="AM108" s="308"/>
      <c r="AN108" s="308"/>
      <c r="AO108" s="308"/>
      <c r="AP108" s="308"/>
      <c r="AQ108" s="308"/>
      <c r="AR108" s="308"/>
      <c r="AS108" s="308"/>
      <c r="AT108" s="308"/>
      <c r="AU108" s="308"/>
      <c r="AV108" s="308"/>
      <c r="AW108" s="308"/>
      <c r="AX108" s="308"/>
      <c r="AY108" s="308"/>
      <c r="AZ108" s="308"/>
      <c r="BA108" s="308"/>
      <c r="BB108" s="308"/>
      <c r="BC108" s="308"/>
      <c r="BD108" s="308"/>
      <c r="BE108" s="308"/>
      <c r="BF108" s="308"/>
      <c r="BG108" s="308"/>
      <c r="BH108" s="308"/>
      <c r="BI108" s="308"/>
      <c r="BJ108" s="308"/>
      <c r="BK108" s="308"/>
      <c r="BL108" s="308"/>
      <c r="BM108" s="308"/>
      <c r="BN108" s="308"/>
      <c r="BO108" s="308"/>
      <c r="BP108" s="308"/>
      <c r="BQ108" s="308"/>
      <c r="BR108" s="308"/>
      <c r="BS108" s="308"/>
    </row>
    <row r="109" spans="1:71" ht="15.75" customHeight="1">
      <c r="A109" s="308"/>
      <c r="B109" s="320" t="s">
        <v>743</v>
      </c>
      <c r="C109" s="320" t="s">
        <v>735</v>
      </c>
      <c r="D109" s="320" t="str">
        <f t="shared" si="0"/>
        <v>圖_GD模版_通用公版_CTA 自行輸入文案(一排1個) CTA</v>
      </c>
      <c r="E109" s="200" t="s">
        <v>1274</v>
      </c>
      <c r="F109" s="322"/>
      <c r="G109" s="200"/>
      <c r="H109" s="200">
        <v>0.5</v>
      </c>
      <c r="I109" s="323" t="s">
        <v>1275</v>
      </c>
      <c r="J109" s="324" t="s">
        <v>1046</v>
      </c>
      <c r="K109" s="324" t="s">
        <v>1046</v>
      </c>
      <c r="L109" s="324" t="s">
        <v>1047</v>
      </c>
      <c r="M109" s="325" t="s">
        <v>1082</v>
      </c>
      <c r="N109" s="325" t="s">
        <v>1105</v>
      </c>
      <c r="O109" s="325" t="s">
        <v>115</v>
      </c>
      <c r="P109" s="325" t="s">
        <v>115</v>
      </c>
      <c r="Q109" s="325" t="s">
        <v>115</v>
      </c>
      <c r="R109" s="191"/>
      <c r="S109" s="205">
        <f t="shared" si="1"/>
        <v>5</v>
      </c>
      <c r="T109" s="308"/>
      <c r="U109" s="308"/>
      <c r="V109" s="308" t="str">
        <f ca="1">IFERROR(__xludf.DUMMYFUNCTION("""COMPUTED_VALUE"""),"")</f>
        <v/>
      </c>
      <c r="W109" s="308"/>
      <c r="X109" s="308"/>
      <c r="Y109" s="308"/>
      <c r="Z109" s="308"/>
      <c r="AA109" s="308"/>
      <c r="AB109" s="308"/>
      <c r="AC109" s="308"/>
      <c r="AD109" s="308"/>
      <c r="AE109" s="308"/>
      <c r="AF109" s="308"/>
      <c r="AG109" s="308"/>
      <c r="AH109" s="308"/>
      <c r="AI109" s="308"/>
      <c r="AJ109" s="308"/>
      <c r="AK109" s="308"/>
      <c r="AL109" s="308"/>
      <c r="AM109" s="308"/>
      <c r="AN109" s="308"/>
      <c r="AO109" s="308"/>
      <c r="AP109" s="308"/>
      <c r="AQ109" s="308"/>
      <c r="AR109" s="308"/>
      <c r="AS109" s="308"/>
      <c r="AT109" s="308"/>
      <c r="AU109" s="308"/>
      <c r="AV109" s="308"/>
      <c r="AW109" s="308"/>
      <c r="AX109" s="308"/>
      <c r="AY109" s="308"/>
      <c r="AZ109" s="308"/>
      <c r="BA109" s="308"/>
      <c r="BB109" s="308"/>
      <c r="BC109" s="308"/>
      <c r="BD109" s="308"/>
      <c r="BE109" s="308"/>
      <c r="BF109" s="308"/>
      <c r="BG109" s="308"/>
      <c r="BH109" s="308"/>
      <c r="BI109" s="308"/>
      <c r="BJ109" s="308"/>
      <c r="BK109" s="308"/>
      <c r="BL109" s="308"/>
      <c r="BM109" s="308"/>
      <c r="BN109" s="308"/>
      <c r="BO109" s="308"/>
      <c r="BP109" s="308"/>
      <c r="BQ109" s="308"/>
      <c r="BR109" s="308"/>
      <c r="BS109" s="308"/>
    </row>
    <row r="110" spans="1:71" ht="15.75" customHeight="1">
      <c r="A110" s="19"/>
      <c r="B110" s="328" t="s">
        <v>743</v>
      </c>
      <c r="C110" s="328" t="s">
        <v>736</v>
      </c>
      <c r="D110" s="329" t="str">
        <f t="shared" si="0"/>
        <v>圖_GD模版_通用公版_CTA 自行輸入文案(一排1個) Reminder</v>
      </c>
      <c r="E110" s="330" t="s">
        <v>1276</v>
      </c>
      <c r="F110" s="191"/>
      <c r="G110" s="191"/>
      <c r="H110" s="330">
        <v>0.5</v>
      </c>
      <c r="I110" s="332" t="s">
        <v>1275</v>
      </c>
      <c r="J110" s="331" t="s">
        <v>1046</v>
      </c>
      <c r="K110" s="331" t="s">
        <v>1046</v>
      </c>
      <c r="L110" s="331" t="s">
        <v>1047</v>
      </c>
      <c r="M110" s="332" t="s">
        <v>1082</v>
      </c>
      <c r="N110" s="332" t="s">
        <v>1108</v>
      </c>
      <c r="O110" s="332" t="s">
        <v>115</v>
      </c>
      <c r="P110" s="332" t="s">
        <v>115</v>
      </c>
      <c r="Q110" s="332" t="s">
        <v>115</v>
      </c>
      <c r="R110" s="329"/>
      <c r="S110" s="205">
        <f t="shared" si="1"/>
        <v>5</v>
      </c>
      <c r="T110" s="19"/>
      <c r="U110" s="19"/>
      <c r="V110" s="19" t="str">
        <f ca="1">IFERROR(__xludf.DUMMYFUNCTION("""COMPUTED_VALUE"""),"")</f>
        <v/>
      </c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  <c r="BA110" s="19"/>
      <c r="BB110" s="19"/>
      <c r="BC110" s="19"/>
      <c r="BD110" s="19"/>
      <c r="BE110" s="19"/>
      <c r="BF110" s="19"/>
      <c r="BG110" s="19"/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/>
      <c r="BS110" s="19"/>
    </row>
    <row r="111" spans="1:71" ht="15.75" customHeight="1">
      <c r="A111" s="308"/>
      <c r="B111" s="320" t="s">
        <v>743</v>
      </c>
      <c r="C111" s="320" t="s">
        <v>737</v>
      </c>
      <c r="D111" s="320" t="str">
        <f t="shared" si="0"/>
        <v>圖_GD模版_通用公版_CTA 自行輸入文案(一排2個) Reminder+Reminder</v>
      </c>
      <c r="E111" s="200" t="s">
        <v>1277</v>
      </c>
      <c r="F111" s="322"/>
      <c r="G111" s="200"/>
      <c r="H111" s="200">
        <v>0.5</v>
      </c>
      <c r="I111" s="323" t="s">
        <v>1278</v>
      </c>
      <c r="J111" s="324" t="s">
        <v>1046</v>
      </c>
      <c r="K111" s="324" t="s">
        <v>1046</v>
      </c>
      <c r="L111" s="324" t="s">
        <v>1047</v>
      </c>
      <c r="M111" s="325" t="s">
        <v>1279</v>
      </c>
      <c r="N111" s="325" t="s">
        <v>1116</v>
      </c>
      <c r="O111" s="325" t="s">
        <v>1118</v>
      </c>
      <c r="P111" s="325" t="s">
        <v>115</v>
      </c>
      <c r="Q111" s="325" t="s">
        <v>115</v>
      </c>
      <c r="R111" s="191"/>
      <c r="S111" s="205">
        <f t="shared" si="1"/>
        <v>6</v>
      </c>
      <c r="T111" s="308"/>
      <c r="U111" s="308"/>
      <c r="V111" s="308" t="str">
        <f ca="1">IFERROR(__xludf.DUMMYFUNCTION("""COMPUTED_VALUE"""),"")</f>
        <v/>
      </c>
      <c r="W111" s="308"/>
      <c r="X111" s="308"/>
      <c r="Y111" s="308"/>
      <c r="Z111" s="308"/>
      <c r="AA111" s="308"/>
      <c r="AB111" s="308"/>
      <c r="AC111" s="308"/>
      <c r="AD111" s="308"/>
      <c r="AE111" s="308"/>
      <c r="AF111" s="308"/>
      <c r="AG111" s="308"/>
      <c r="AH111" s="308"/>
      <c r="AI111" s="308"/>
      <c r="AJ111" s="308"/>
      <c r="AK111" s="308"/>
      <c r="AL111" s="308"/>
      <c r="AM111" s="308"/>
      <c r="AN111" s="308"/>
      <c r="AO111" s="308"/>
      <c r="AP111" s="308"/>
      <c r="AQ111" s="308"/>
      <c r="AR111" s="308"/>
      <c r="AS111" s="308"/>
      <c r="AT111" s="308"/>
      <c r="AU111" s="308"/>
      <c r="AV111" s="308"/>
      <c r="AW111" s="308"/>
      <c r="AX111" s="308"/>
      <c r="AY111" s="308"/>
      <c r="AZ111" s="308"/>
      <c r="BA111" s="308"/>
      <c r="BB111" s="308"/>
      <c r="BC111" s="308"/>
      <c r="BD111" s="308"/>
      <c r="BE111" s="308"/>
      <c r="BF111" s="308"/>
      <c r="BG111" s="308"/>
      <c r="BH111" s="308"/>
      <c r="BI111" s="308"/>
      <c r="BJ111" s="308"/>
      <c r="BK111" s="308"/>
      <c r="BL111" s="308"/>
      <c r="BM111" s="308"/>
      <c r="BN111" s="308"/>
      <c r="BO111" s="308"/>
      <c r="BP111" s="308"/>
      <c r="BQ111" s="308"/>
      <c r="BR111" s="308"/>
      <c r="BS111" s="308"/>
    </row>
    <row r="112" spans="1:71" ht="15.75" customHeight="1">
      <c r="A112" s="308"/>
      <c r="B112" s="320" t="s">
        <v>743</v>
      </c>
      <c r="C112" s="320" t="s">
        <v>738</v>
      </c>
      <c r="D112" s="320" t="str">
        <f t="shared" si="0"/>
        <v>圖_GD模版_通用公版_CTA 自行輸入文案(一排2個) CTA+Reminder</v>
      </c>
      <c r="E112" s="200" t="s">
        <v>1280</v>
      </c>
      <c r="F112" s="322"/>
      <c r="G112" s="200"/>
      <c r="H112" s="200">
        <v>0.5</v>
      </c>
      <c r="I112" s="323" t="s">
        <v>1278</v>
      </c>
      <c r="J112" s="324" t="s">
        <v>1046</v>
      </c>
      <c r="K112" s="324" t="s">
        <v>1046</v>
      </c>
      <c r="L112" s="324" t="s">
        <v>1047</v>
      </c>
      <c r="M112" s="325" t="s">
        <v>1279</v>
      </c>
      <c r="N112" s="325" t="s">
        <v>1105</v>
      </c>
      <c r="O112" s="325" t="s">
        <v>1108</v>
      </c>
      <c r="P112" s="325" t="s">
        <v>115</v>
      </c>
      <c r="Q112" s="325" t="s">
        <v>115</v>
      </c>
      <c r="R112" s="191"/>
      <c r="S112" s="205">
        <f t="shared" si="1"/>
        <v>6</v>
      </c>
      <c r="T112" s="308"/>
      <c r="U112" s="308"/>
      <c r="V112" s="308" t="str">
        <f ca="1">IFERROR(__xludf.DUMMYFUNCTION("""COMPUTED_VALUE"""),"")</f>
        <v/>
      </c>
      <c r="W112" s="308"/>
      <c r="X112" s="308"/>
      <c r="Y112" s="308"/>
      <c r="Z112" s="308"/>
      <c r="AA112" s="308"/>
      <c r="AB112" s="308"/>
      <c r="AC112" s="308"/>
      <c r="AD112" s="308"/>
      <c r="AE112" s="308"/>
      <c r="AF112" s="308"/>
      <c r="AG112" s="308"/>
      <c r="AH112" s="308"/>
      <c r="AI112" s="308"/>
      <c r="AJ112" s="308"/>
      <c r="AK112" s="308"/>
      <c r="AL112" s="308"/>
      <c r="AM112" s="308"/>
      <c r="AN112" s="308"/>
      <c r="AO112" s="308"/>
      <c r="AP112" s="308"/>
      <c r="AQ112" s="308"/>
      <c r="AR112" s="308"/>
      <c r="AS112" s="308"/>
      <c r="AT112" s="308"/>
      <c r="AU112" s="308"/>
      <c r="AV112" s="308"/>
      <c r="AW112" s="308"/>
      <c r="AX112" s="308"/>
      <c r="AY112" s="308"/>
      <c r="AZ112" s="308"/>
      <c r="BA112" s="308"/>
      <c r="BB112" s="308"/>
      <c r="BC112" s="308"/>
      <c r="BD112" s="308"/>
      <c r="BE112" s="308"/>
      <c r="BF112" s="308"/>
      <c r="BG112" s="308"/>
      <c r="BH112" s="308"/>
      <c r="BI112" s="308"/>
      <c r="BJ112" s="308"/>
      <c r="BK112" s="308"/>
      <c r="BL112" s="308"/>
      <c r="BM112" s="308"/>
      <c r="BN112" s="308"/>
      <c r="BO112" s="308"/>
      <c r="BP112" s="308"/>
      <c r="BQ112" s="308"/>
      <c r="BR112" s="308"/>
      <c r="BS112" s="308"/>
    </row>
    <row r="113" spans="1:71" ht="15.75" customHeight="1">
      <c r="A113" s="308"/>
      <c r="B113" s="320" t="s">
        <v>743</v>
      </c>
      <c r="C113" s="320" t="s">
        <v>739</v>
      </c>
      <c r="D113" s="320" t="str">
        <f t="shared" si="0"/>
        <v>圖_GD模版_通用公版_CTA 自行輸入文案(一排2個) CTA+CTA</v>
      </c>
      <c r="E113" s="200" t="s">
        <v>1281</v>
      </c>
      <c r="F113" s="322"/>
      <c r="G113" s="200"/>
      <c r="H113" s="200">
        <v>0.5</v>
      </c>
      <c r="I113" s="323" t="s">
        <v>1278</v>
      </c>
      <c r="J113" s="324" t="s">
        <v>1046</v>
      </c>
      <c r="K113" s="324" t="s">
        <v>1046</v>
      </c>
      <c r="L113" s="324" t="s">
        <v>1047</v>
      </c>
      <c r="M113" s="325" t="s">
        <v>1279</v>
      </c>
      <c r="N113" s="325" t="s">
        <v>1155</v>
      </c>
      <c r="O113" s="325" t="s">
        <v>115</v>
      </c>
      <c r="P113" s="325" t="s">
        <v>115</v>
      </c>
      <c r="Q113" s="325" t="s">
        <v>115</v>
      </c>
      <c r="R113" s="191"/>
      <c r="S113" s="205">
        <f t="shared" si="1"/>
        <v>5</v>
      </c>
      <c r="T113" s="308"/>
      <c r="U113" s="308"/>
      <c r="V113" s="308" t="str">
        <f ca="1">IFERROR(__xludf.DUMMYFUNCTION("""COMPUTED_VALUE"""),"")</f>
        <v/>
      </c>
      <c r="W113" s="308"/>
      <c r="X113" s="308"/>
      <c r="Y113" s="308"/>
      <c r="Z113" s="308"/>
      <c r="AA113" s="308"/>
      <c r="AB113" s="308"/>
      <c r="AC113" s="308"/>
      <c r="AD113" s="308"/>
      <c r="AE113" s="308"/>
      <c r="AF113" s="308"/>
      <c r="AG113" s="308"/>
      <c r="AH113" s="308"/>
      <c r="AI113" s="308"/>
      <c r="AJ113" s="308"/>
      <c r="AK113" s="308"/>
      <c r="AL113" s="308"/>
      <c r="AM113" s="308"/>
      <c r="AN113" s="308"/>
      <c r="AO113" s="308"/>
      <c r="AP113" s="308"/>
      <c r="AQ113" s="308"/>
      <c r="AR113" s="308"/>
      <c r="AS113" s="308"/>
      <c r="AT113" s="308"/>
      <c r="AU113" s="308"/>
      <c r="AV113" s="308"/>
      <c r="AW113" s="308"/>
      <c r="AX113" s="308"/>
      <c r="AY113" s="308"/>
      <c r="AZ113" s="308"/>
      <c r="BA113" s="308"/>
      <c r="BB113" s="308"/>
      <c r="BC113" s="308"/>
      <c r="BD113" s="308"/>
      <c r="BE113" s="308"/>
      <c r="BF113" s="308"/>
      <c r="BG113" s="308"/>
      <c r="BH113" s="308"/>
      <c r="BI113" s="308"/>
      <c r="BJ113" s="308"/>
      <c r="BK113" s="308"/>
      <c r="BL113" s="308"/>
      <c r="BM113" s="308"/>
      <c r="BN113" s="308"/>
      <c r="BO113" s="308"/>
      <c r="BP113" s="308"/>
      <c r="BQ113" s="308"/>
      <c r="BR113" s="308"/>
      <c r="BS113" s="308"/>
    </row>
    <row r="114" spans="1:71" ht="15.75" customHeight="1">
      <c r="A114" s="308"/>
      <c r="B114" s="320" t="s">
        <v>1034</v>
      </c>
      <c r="C114" s="320" t="s">
        <v>1282</v>
      </c>
      <c r="D114" s="320" t="str">
        <f t="shared" si="0"/>
        <v>圖_GD模版_MKT_LS公版_品類週 上蓋</v>
      </c>
      <c r="E114" s="200" t="s">
        <v>1283</v>
      </c>
      <c r="F114" s="322"/>
      <c r="G114" s="200" t="s">
        <v>1284</v>
      </c>
      <c r="H114" s="200">
        <v>0.5</v>
      </c>
      <c r="I114" s="323" t="s">
        <v>1285</v>
      </c>
      <c r="J114" s="324" t="s">
        <v>1046</v>
      </c>
      <c r="K114" s="324" t="s">
        <v>1046</v>
      </c>
      <c r="L114" s="324" t="s">
        <v>1047</v>
      </c>
      <c r="M114" s="325" t="s">
        <v>1055</v>
      </c>
      <c r="N114" s="325" t="s">
        <v>115</v>
      </c>
      <c r="O114" s="325" t="s">
        <v>115</v>
      </c>
      <c r="P114" s="325" t="s">
        <v>115</v>
      </c>
      <c r="Q114" s="325" t="s">
        <v>115</v>
      </c>
      <c r="R114" s="191"/>
      <c r="S114" s="205">
        <f t="shared" si="1"/>
        <v>4</v>
      </c>
      <c r="T114" s="308"/>
      <c r="U114" s="308"/>
      <c r="V114" s="308" t="str">
        <f ca="1">IFERROR(__xludf.DUMMYFUNCTION("""COMPUTED_VALUE"""),"")</f>
        <v/>
      </c>
      <c r="W114" s="308"/>
      <c r="X114" s="308"/>
      <c r="Y114" s="308"/>
      <c r="Z114" s="308"/>
      <c r="AA114" s="308"/>
      <c r="AB114" s="308"/>
      <c r="AC114" s="308"/>
      <c r="AD114" s="308"/>
      <c r="AE114" s="308"/>
      <c r="AF114" s="308"/>
      <c r="AG114" s="308"/>
      <c r="AH114" s="308"/>
      <c r="AI114" s="308"/>
      <c r="AJ114" s="308"/>
      <c r="AK114" s="308"/>
      <c r="AL114" s="308"/>
      <c r="AM114" s="308"/>
      <c r="AN114" s="308"/>
      <c r="AO114" s="308"/>
      <c r="AP114" s="308"/>
      <c r="AQ114" s="308"/>
      <c r="AR114" s="308"/>
      <c r="AS114" s="308"/>
      <c r="AT114" s="308"/>
      <c r="AU114" s="308"/>
      <c r="AV114" s="308"/>
      <c r="AW114" s="308"/>
      <c r="AX114" s="308"/>
      <c r="AY114" s="308"/>
      <c r="AZ114" s="308"/>
      <c r="BA114" s="308"/>
      <c r="BB114" s="308"/>
      <c r="BC114" s="308"/>
      <c r="BD114" s="308"/>
      <c r="BE114" s="308"/>
      <c r="BF114" s="308"/>
      <c r="BG114" s="308"/>
      <c r="BH114" s="308"/>
      <c r="BI114" s="308"/>
      <c r="BJ114" s="308"/>
      <c r="BK114" s="308"/>
      <c r="BL114" s="308"/>
      <c r="BM114" s="308"/>
      <c r="BN114" s="308"/>
      <c r="BO114" s="308"/>
      <c r="BP114" s="308"/>
      <c r="BQ114" s="308"/>
      <c r="BR114" s="308"/>
      <c r="BS114" s="308"/>
    </row>
    <row r="115" spans="1:71" ht="15.75" customHeight="1">
      <c r="A115" s="308"/>
      <c r="B115" s="320" t="s">
        <v>1034</v>
      </c>
      <c r="C115" s="320" t="s">
        <v>1286</v>
      </c>
      <c r="D115" s="320" t="str">
        <f t="shared" si="0"/>
        <v>圖_GD模版_MKT_LS公版_日期(黃底)(一排3個)</v>
      </c>
      <c r="E115" s="200" t="s">
        <v>1287</v>
      </c>
      <c r="F115" s="322"/>
      <c r="G115" s="200"/>
      <c r="H115" s="200">
        <v>0.5</v>
      </c>
      <c r="I115" s="323" t="s">
        <v>1285</v>
      </c>
      <c r="J115" s="324" t="s">
        <v>1046</v>
      </c>
      <c r="K115" s="324" t="s">
        <v>1046</v>
      </c>
      <c r="L115" s="324" t="s">
        <v>1047</v>
      </c>
      <c r="M115" s="325" t="s">
        <v>1288</v>
      </c>
      <c r="N115" s="325" t="s">
        <v>115</v>
      </c>
      <c r="O115" s="325" t="s">
        <v>115</v>
      </c>
      <c r="P115" s="325" t="s">
        <v>115</v>
      </c>
      <c r="Q115" s="325" t="s">
        <v>115</v>
      </c>
      <c r="R115" s="191"/>
      <c r="S115" s="205">
        <f t="shared" si="1"/>
        <v>4</v>
      </c>
      <c r="T115" s="308"/>
      <c r="U115" s="308"/>
      <c r="V115" s="308" t="str">
        <f ca="1">IFERROR(__xludf.DUMMYFUNCTION("""COMPUTED_VALUE"""),"")</f>
        <v/>
      </c>
      <c r="W115" s="308"/>
      <c r="X115" s="308"/>
      <c r="Y115" s="308"/>
      <c r="Z115" s="308"/>
      <c r="AA115" s="308"/>
      <c r="AB115" s="308"/>
      <c r="AC115" s="308"/>
      <c r="AD115" s="308"/>
      <c r="AE115" s="308"/>
      <c r="AF115" s="308"/>
      <c r="AG115" s="308"/>
      <c r="AH115" s="308"/>
      <c r="AI115" s="308"/>
      <c r="AJ115" s="308"/>
      <c r="AK115" s="308"/>
      <c r="AL115" s="308"/>
      <c r="AM115" s="308"/>
      <c r="AN115" s="308"/>
      <c r="AO115" s="308"/>
      <c r="AP115" s="308"/>
      <c r="AQ115" s="308"/>
      <c r="AR115" s="308"/>
      <c r="AS115" s="308"/>
      <c r="AT115" s="308"/>
      <c r="AU115" s="308"/>
      <c r="AV115" s="308"/>
      <c r="AW115" s="308"/>
      <c r="AX115" s="308"/>
      <c r="AY115" s="308"/>
      <c r="AZ115" s="308"/>
      <c r="BA115" s="308"/>
      <c r="BB115" s="308"/>
      <c r="BC115" s="308"/>
      <c r="BD115" s="308"/>
      <c r="BE115" s="308"/>
      <c r="BF115" s="308"/>
      <c r="BG115" s="308"/>
      <c r="BH115" s="308"/>
      <c r="BI115" s="308"/>
      <c r="BJ115" s="308"/>
      <c r="BK115" s="308"/>
      <c r="BL115" s="308"/>
      <c r="BM115" s="308"/>
      <c r="BN115" s="308"/>
      <c r="BO115" s="308"/>
      <c r="BP115" s="308"/>
      <c r="BQ115" s="308"/>
      <c r="BR115" s="308"/>
      <c r="BS115" s="308"/>
    </row>
    <row r="116" spans="1:71" ht="15.75" customHeight="1">
      <c r="A116" s="308"/>
      <c r="B116" s="320" t="s">
        <v>1034</v>
      </c>
      <c r="C116" s="320" t="s">
        <v>1289</v>
      </c>
      <c r="D116" s="320" t="str">
        <f t="shared" si="0"/>
        <v>圖_GD模版_MKT_LS公版_LOGO(黃底)(一排3品)</v>
      </c>
      <c r="E116" s="200" t="s">
        <v>1290</v>
      </c>
      <c r="F116" s="322"/>
      <c r="G116" s="200" t="s">
        <v>1153</v>
      </c>
      <c r="H116" s="200">
        <v>1</v>
      </c>
      <c r="I116" s="323" t="s">
        <v>1285</v>
      </c>
      <c r="J116" s="324" t="s">
        <v>1046</v>
      </c>
      <c r="K116" s="324" t="s">
        <v>1046</v>
      </c>
      <c r="L116" s="324" t="s">
        <v>1047</v>
      </c>
      <c r="M116" s="325" t="s">
        <v>1056</v>
      </c>
      <c r="N116" s="325" t="s">
        <v>1235</v>
      </c>
      <c r="O116" s="325" t="s">
        <v>115</v>
      </c>
      <c r="P116" s="325" t="s">
        <v>115</v>
      </c>
      <c r="Q116" s="325" t="s">
        <v>115</v>
      </c>
      <c r="R116" s="191"/>
      <c r="S116" s="205">
        <f t="shared" si="1"/>
        <v>5</v>
      </c>
      <c r="T116" s="308"/>
      <c r="U116" s="308"/>
      <c r="V116" s="308" t="str">
        <f ca="1">IFERROR(__xludf.DUMMYFUNCTION("""COMPUTED_VALUE"""),"")</f>
        <v/>
      </c>
      <c r="W116" s="308"/>
      <c r="X116" s="308"/>
      <c r="Y116" s="308"/>
      <c r="Z116" s="308"/>
      <c r="AA116" s="308"/>
      <c r="AB116" s="308"/>
      <c r="AC116" s="308"/>
      <c r="AD116" s="308"/>
      <c r="AE116" s="308"/>
      <c r="AF116" s="308"/>
      <c r="AG116" s="308"/>
      <c r="AH116" s="308"/>
      <c r="AI116" s="308"/>
      <c r="AJ116" s="308"/>
      <c r="AK116" s="308"/>
      <c r="AL116" s="308"/>
      <c r="AM116" s="308"/>
      <c r="AN116" s="308"/>
      <c r="AO116" s="308"/>
      <c r="AP116" s="308"/>
      <c r="AQ116" s="308"/>
      <c r="AR116" s="308"/>
      <c r="AS116" s="308"/>
      <c r="AT116" s="308"/>
      <c r="AU116" s="308"/>
      <c r="AV116" s="308"/>
      <c r="AW116" s="308"/>
      <c r="AX116" s="308"/>
      <c r="AY116" s="308"/>
      <c r="AZ116" s="308"/>
      <c r="BA116" s="308"/>
      <c r="BB116" s="308"/>
      <c r="BC116" s="308"/>
      <c r="BD116" s="308"/>
      <c r="BE116" s="308"/>
      <c r="BF116" s="308"/>
      <c r="BG116" s="308"/>
      <c r="BH116" s="308"/>
      <c r="BI116" s="308"/>
      <c r="BJ116" s="308"/>
      <c r="BK116" s="308"/>
      <c r="BL116" s="308"/>
      <c r="BM116" s="308"/>
      <c r="BN116" s="308"/>
      <c r="BO116" s="308"/>
      <c r="BP116" s="308"/>
      <c r="BQ116" s="308"/>
      <c r="BR116" s="308"/>
      <c r="BS116" s="308"/>
    </row>
    <row r="117" spans="1:71" ht="15.75" customHeight="1">
      <c r="A117" s="308"/>
      <c r="B117" s="320" t="s">
        <v>1034</v>
      </c>
      <c r="C117" s="320" t="s">
        <v>1291</v>
      </c>
      <c r="D117" s="320" t="str">
        <f t="shared" si="0"/>
        <v>圖_GD模版_MKT_LS公版_品名+$(黃底)(一排3品)</v>
      </c>
      <c r="E117" s="200" t="s">
        <v>1292</v>
      </c>
      <c r="F117" s="322"/>
      <c r="G117" s="200" t="s">
        <v>1153</v>
      </c>
      <c r="H117" s="200">
        <v>1.5</v>
      </c>
      <c r="I117" s="323" t="s">
        <v>1293</v>
      </c>
      <c r="J117" s="324" t="s">
        <v>1046</v>
      </c>
      <c r="K117" s="324" t="s">
        <v>1046</v>
      </c>
      <c r="L117" s="324" t="s">
        <v>1047</v>
      </c>
      <c r="M117" s="325" t="s">
        <v>1238</v>
      </c>
      <c r="N117" s="325" t="s">
        <v>1239</v>
      </c>
      <c r="O117" s="325" t="s">
        <v>1240</v>
      </c>
      <c r="P117" s="325" t="s">
        <v>115</v>
      </c>
      <c r="Q117" s="325" t="s">
        <v>115</v>
      </c>
      <c r="R117" s="191"/>
      <c r="S117" s="205">
        <f t="shared" si="1"/>
        <v>6</v>
      </c>
      <c r="T117" s="308"/>
      <c r="U117" s="308"/>
      <c r="V117" s="308" t="str">
        <f ca="1">IFERROR(__xludf.DUMMYFUNCTION("""COMPUTED_VALUE"""),"")</f>
        <v/>
      </c>
      <c r="W117" s="308"/>
      <c r="X117" s="308"/>
      <c r="Y117" s="308"/>
      <c r="Z117" s="308"/>
      <c r="AA117" s="308"/>
      <c r="AB117" s="308"/>
      <c r="AC117" s="308"/>
      <c r="AD117" s="308"/>
      <c r="AE117" s="308"/>
      <c r="AF117" s="308"/>
      <c r="AG117" s="308"/>
      <c r="AH117" s="308"/>
      <c r="AI117" s="308"/>
      <c r="AJ117" s="308"/>
      <c r="AK117" s="308"/>
      <c r="AL117" s="308"/>
      <c r="AM117" s="308"/>
      <c r="AN117" s="308"/>
      <c r="AO117" s="308"/>
      <c r="AP117" s="308"/>
      <c r="AQ117" s="308"/>
      <c r="AR117" s="308"/>
      <c r="AS117" s="308"/>
      <c r="AT117" s="308"/>
      <c r="AU117" s="308"/>
      <c r="AV117" s="308"/>
      <c r="AW117" s="308"/>
      <c r="AX117" s="308"/>
      <c r="AY117" s="308"/>
      <c r="AZ117" s="308"/>
      <c r="BA117" s="308"/>
      <c r="BB117" s="308"/>
      <c r="BC117" s="308"/>
      <c r="BD117" s="308"/>
      <c r="BE117" s="308"/>
      <c r="BF117" s="308"/>
      <c r="BG117" s="308"/>
      <c r="BH117" s="308"/>
      <c r="BI117" s="308"/>
      <c r="BJ117" s="308"/>
      <c r="BK117" s="308"/>
      <c r="BL117" s="308"/>
      <c r="BM117" s="308"/>
      <c r="BN117" s="308"/>
      <c r="BO117" s="308"/>
      <c r="BP117" s="308"/>
      <c r="BQ117" s="308"/>
      <c r="BR117" s="308"/>
      <c r="BS117" s="308"/>
    </row>
    <row r="118" spans="1:71" ht="15.75" customHeight="1">
      <c r="A118" s="308"/>
      <c r="B118" s="334" t="s">
        <v>1034</v>
      </c>
      <c r="C118" s="334" t="s">
        <v>1294</v>
      </c>
      <c r="D118" s="320" t="str">
        <f t="shared" si="0"/>
        <v>圖_GD模版_MKT_LS公版_CTA(黃底)(提醒我/提醒我/提醒我)</v>
      </c>
      <c r="E118" s="200" t="s">
        <v>1295</v>
      </c>
      <c r="F118" s="322"/>
      <c r="G118" s="200"/>
      <c r="H118" s="200">
        <v>0.8</v>
      </c>
      <c r="I118" s="323"/>
      <c r="J118" s="324" t="s">
        <v>1046</v>
      </c>
      <c r="K118" s="324" t="s">
        <v>1046</v>
      </c>
      <c r="L118" s="331" t="s">
        <v>1047</v>
      </c>
      <c r="M118" s="325" t="s">
        <v>1116</v>
      </c>
      <c r="N118" s="325" t="s">
        <v>1249</v>
      </c>
      <c r="O118" s="325" t="s">
        <v>1118</v>
      </c>
      <c r="P118" s="325" t="s">
        <v>115</v>
      </c>
      <c r="Q118" s="325" t="s">
        <v>115</v>
      </c>
      <c r="R118" s="191"/>
      <c r="S118" s="205">
        <f t="shared" si="1"/>
        <v>6</v>
      </c>
      <c r="T118" s="308"/>
      <c r="U118" s="308"/>
      <c r="V118" s="308" t="str">
        <f ca="1">IFERROR(__xludf.DUMMYFUNCTION("""COMPUTED_VALUE"""),"")</f>
        <v/>
      </c>
      <c r="W118" s="308"/>
      <c r="X118" s="308"/>
      <c r="Y118" s="308"/>
      <c r="Z118" s="308"/>
      <c r="AA118" s="308"/>
      <c r="AB118" s="308"/>
      <c r="AC118" s="308"/>
      <c r="AD118" s="308"/>
      <c r="AE118" s="308"/>
      <c r="AF118" s="308"/>
      <c r="AG118" s="308"/>
      <c r="AH118" s="308"/>
      <c r="AI118" s="308"/>
      <c r="AJ118" s="308"/>
      <c r="AK118" s="308"/>
      <c r="AL118" s="308"/>
      <c r="AM118" s="308"/>
      <c r="AN118" s="308"/>
      <c r="AO118" s="308"/>
      <c r="AP118" s="308"/>
      <c r="AQ118" s="308"/>
      <c r="AR118" s="308"/>
      <c r="AS118" s="308"/>
      <c r="AT118" s="308"/>
      <c r="AU118" s="308"/>
      <c r="AV118" s="308"/>
      <c r="AW118" s="308"/>
      <c r="AX118" s="308"/>
      <c r="AY118" s="308"/>
      <c r="AZ118" s="308"/>
      <c r="BA118" s="308"/>
      <c r="BB118" s="308"/>
      <c r="BC118" s="308"/>
      <c r="BD118" s="308"/>
      <c r="BE118" s="308"/>
      <c r="BF118" s="308"/>
      <c r="BG118" s="308"/>
      <c r="BH118" s="308"/>
      <c r="BI118" s="308"/>
      <c r="BJ118" s="308"/>
      <c r="BK118" s="308"/>
      <c r="BL118" s="308"/>
      <c r="BM118" s="308"/>
      <c r="BN118" s="308"/>
      <c r="BO118" s="308"/>
      <c r="BP118" s="308"/>
      <c r="BQ118" s="308"/>
      <c r="BR118" s="308"/>
      <c r="BS118" s="308"/>
    </row>
    <row r="119" spans="1:71" ht="15.75" customHeight="1">
      <c r="A119" s="308"/>
      <c r="B119" s="320" t="s">
        <v>1034</v>
      </c>
      <c r="C119" s="320" t="s">
        <v>1296</v>
      </c>
      <c r="D119" s="320" t="str">
        <f t="shared" si="0"/>
        <v>圖_GD模版_MKT_LS公版_CTA(黃底)(看直播/看直播/看直播)</v>
      </c>
      <c r="E119" s="200" t="s">
        <v>1297</v>
      </c>
      <c r="F119" s="322"/>
      <c r="G119" s="200"/>
      <c r="H119" s="200">
        <v>0.8</v>
      </c>
      <c r="I119" s="323" t="s">
        <v>1285</v>
      </c>
      <c r="J119" s="324" t="s">
        <v>1046</v>
      </c>
      <c r="K119" s="324" t="s">
        <v>1046</v>
      </c>
      <c r="L119" s="324" t="s">
        <v>1047</v>
      </c>
      <c r="M119" s="325" t="s">
        <v>1157</v>
      </c>
      <c r="N119" s="325" t="s">
        <v>115</v>
      </c>
      <c r="O119" s="325" t="s">
        <v>115</v>
      </c>
      <c r="P119" s="325" t="s">
        <v>115</v>
      </c>
      <c r="Q119" s="325" t="s">
        <v>115</v>
      </c>
      <c r="R119" s="191"/>
      <c r="S119" s="205">
        <f t="shared" si="1"/>
        <v>4</v>
      </c>
      <c r="T119" s="308"/>
      <c r="U119" s="308"/>
      <c r="V119" s="308" t="str">
        <f ca="1">IFERROR(__xludf.DUMMYFUNCTION("""COMPUTED_VALUE"""),"")</f>
        <v/>
      </c>
      <c r="W119" s="308"/>
      <c r="X119" s="308"/>
      <c r="Y119" s="308"/>
      <c r="Z119" s="308"/>
      <c r="AA119" s="308"/>
      <c r="AB119" s="308"/>
      <c r="AC119" s="308"/>
      <c r="AD119" s="308"/>
      <c r="AE119" s="308"/>
      <c r="AF119" s="308"/>
      <c r="AG119" s="308"/>
      <c r="AH119" s="308"/>
      <c r="AI119" s="308"/>
      <c r="AJ119" s="308"/>
      <c r="AK119" s="308"/>
      <c r="AL119" s="308"/>
      <c r="AM119" s="308"/>
      <c r="AN119" s="308"/>
      <c r="AO119" s="308"/>
      <c r="AP119" s="308"/>
      <c r="AQ119" s="308"/>
      <c r="AR119" s="308"/>
      <c r="AS119" s="308"/>
      <c r="AT119" s="308"/>
      <c r="AU119" s="308"/>
      <c r="AV119" s="308"/>
      <c r="AW119" s="308"/>
      <c r="AX119" s="308"/>
      <c r="AY119" s="308"/>
      <c r="AZ119" s="308"/>
      <c r="BA119" s="308"/>
      <c r="BB119" s="308"/>
      <c r="BC119" s="308"/>
      <c r="BD119" s="308"/>
      <c r="BE119" s="308"/>
      <c r="BF119" s="308"/>
      <c r="BG119" s="308"/>
      <c r="BH119" s="308"/>
      <c r="BI119" s="308"/>
      <c r="BJ119" s="308"/>
      <c r="BK119" s="308"/>
      <c r="BL119" s="308"/>
      <c r="BM119" s="308"/>
      <c r="BN119" s="308"/>
      <c r="BO119" s="308"/>
      <c r="BP119" s="308"/>
      <c r="BQ119" s="308"/>
      <c r="BR119" s="308"/>
      <c r="BS119" s="308"/>
    </row>
    <row r="120" spans="1:71" ht="15.75" customHeight="1">
      <c r="A120" s="308"/>
      <c r="B120" s="320" t="s">
        <v>1034</v>
      </c>
      <c r="C120" s="320" t="s">
        <v>1298</v>
      </c>
      <c r="D120" s="320" t="str">
        <f t="shared" si="0"/>
        <v>圖_GD模版_MKT_LS公版_品類週 下蓋</v>
      </c>
      <c r="E120" s="200" t="s">
        <v>1299</v>
      </c>
      <c r="F120" s="322"/>
      <c r="G120" s="200" t="s">
        <v>1300</v>
      </c>
      <c r="H120" s="200">
        <v>0.5</v>
      </c>
      <c r="I120" s="323" t="s">
        <v>1285</v>
      </c>
      <c r="J120" s="324" t="s">
        <v>1046</v>
      </c>
      <c r="K120" s="324" t="s">
        <v>1046</v>
      </c>
      <c r="L120" s="324" t="s">
        <v>1047</v>
      </c>
      <c r="M120" s="325" t="s">
        <v>1055</v>
      </c>
      <c r="N120" s="325" t="s">
        <v>115</v>
      </c>
      <c r="O120" s="325" t="s">
        <v>115</v>
      </c>
      <c r="P120" s="325" t="s">
        <v>115</v>
      </c>
      <c r="Q120" s="325" t="s">
        <v>115</v>
      </c>
      <c r="R120" s="191"/>
      <c r="S120" s="205">
        <f t="shared" si="1"/>
        <v>4</v>
      </c>
      <c r="T120" s="308"/>
      <c r="U120" s="308"/>
      <c r="V120" s="308" t="str">
        <f ca="1">IFERROR(__xludf.DUMMYFUNCTION("""COMPUTED_VALUE"""),"")</f>
        <v/>
      </c>
      <c r="W120" s="308"/>
      <c r="X120" s="308"/>
      <c r="Y120" s="308"/>
      <c r="Z120" s="308"/>
      <c r="AA120" s="308"/>
      <c r="AB120" s="308"/>
      <c r="AC120" s="308"/>
      <c r="AD120" s="308"/>
      <c r="AE120" s="308"/>
      <c r="AF120" s="308"/>
      <c r="AG120" s="308"/>
      <c r="AH120" s="308"/>
      <c r="AI120" s="308"/>
      <c r="AJ120" s="308"/>
      <c r="AK120" s="308"/>
      <c r="AL120" s="308"/>
      <c r="AM120" s="308"/>
      <c r="AN120" s="308"/>
      <c r="AO120" s="308"/>
      <c r="AP120" s="308"/>
      <c r="AQ120" s="308"/>
      <c r="AR120" s="308"/>
      <c r="AS120" s="308"/>
      <c r="AT120" s="308"/>
      <c r="AU120" s="308"/>
      <c r="AV120" s="308"/>
      <c r="AW120" s="308"/>
      <c r="AX120" s="308"/>
      <c r="AY120" s="308"/>
      <c r="AZ120" s="308"/>
      <c r="BA120" s="308"/>
      <c r="BB120" s="308"/>
      <c r="BC120" s="308"/>
      <c r="BD120" s="308"/>
      <c r="BE120" s="308"/>
      <c r="BF120" s="308"/>
      <c r="BG120" s="308"/>
      <c r="BH120" s="308"/>
      <c r="BI120" s="308"/>
      <c r="BJ120" s="308"/>
      <c r="BK120" s="308"/>
      <c r="BL120" s="308"/>
      <c r="BM120" s="308"/>
      <c r="BN120" s="308"/>
      <c r="BO120" s="308"/>
      <c r="BP120" s="308"/>
      <c r="BQ120" s="308"/>
      <c r="BR120" s="308"/>
      <c r="BS120" s="308"/>
    </row>
    <row r="121" spans="1:71" ht="15.75" customHeight="1">
      <c r="A121" s="308"/>
      <c r="B121" s="191" t="s">
        <v>1301</v>
      </c>
      <c r="C121" s="320" t="s">
        <v>1302</v>
      </c>
      <c r="D121" s="320" t="str">
        <f t="shared" si="0"/>
        <v>CollectionGroup_一行一列</v>
      </c>
      <c r="E121" s="200" t="s">
        <v>1303</v>
      </c>
      <c r="F121" s="322"/>
      <c r="G121" s="205" t="s">
        <v>1304</v>
      </c>
      <c r="H121" s="200">
        <v>0.5</v>
      </c>
      <c r="I121" s="323" t="s">
        <v>1305</v>
      </c>
      <c r="J121" s="324" t="s">
        <v>1046</v>
      </c>
      <c r="K121" s="324" t="s">
        <v>1046</v>
      </c>
      <c r="L121" s="324" t="s">
        <v>1047</v>
      </c>
      <c r="M121" s="325" t="s">
        <v>1306</v>
      </c>
      <c r="N121" s="325" t="s">
        <v>1307</v>
      </c>
      <c r="O121" s="325" t="s">
        <v>115</v>
      </c>
      <c r="P121" s="325" t="s">
        <v>115</v>
      </c>
      <c r="Q121" s="325" t="s">
        <v>115</v>
      </c>
      <c r="R121" s="191"/>
      <c r="S121" s="205">
        <f t="shared" si="1"/>
        <v>5</v>
      </c>
      <c r="T121" s="308"/>
      <c r="U121" s="308"/>
      <c r="V121" s="308" t="str">
        <f ca="1">IFERROR(__xludf.DUMMYFUNCTION("""COMPUTED_VALUE"""),"")</f>
        <v/>
      </c>
      <c r="W121" s="308"/>
      <c r="X121" s="308"/>
      <c r="Y121" s="308"/>
      <c r="Z121" s="308"/>
      <c r="AA121" s="308"/>
      <c r="AB121" s="308"/>
      <c r="AC121" s="308"/>
      <c r="AD121" s="308"/>
      <c r="AE121" s="308"/>
      <c r="AF121" s="308"/>
      <c r="AG121" s="308"/>
      <c r="AH121" s="308"/>
      <c r="AI121" s="308"/>
      <c r="AJ121" s="308"/>
      <c r="AK121" s="308"/>
      <c r="AL121" s="308"/>
      <c r="AM121" s="308"/>
      <c r="AN121" s="308"/>
      <c r="AO121" s="308"/>
      <c r="AP121" s="308"/>
      <c r="AQ121" s="308"/>
      <c r="AR121" s="308"/>
      <c r="AS121" s="308"/>
      <c r="AT121" s="308"/>
      <c r="AU121" s="308"/>
      <c r="AV121" s="308"/>
      <c r="AW121" s="308"/>
      <c r="AX121" s="308"/>
      <c r="AY121" s="308"/>
      <c r="AZ121" s="308"/>
      <c r="BA121" s="308"/>
      <c r="BB121" s="308"/>
      <c r="BC121" s="308"/>
      <c r="BD121" s="308"/>
      <c r="BE121" s="308"/>
      <c r="BF121" s="308"/>
      <c r="BG121" s="308"/>
      <c r="BH121" s="308"/>
      <c r="BI121" s="308"/>
      <c r="BJ121" s="308"/>
      <c r="BK121" s="308"/>
      <c r="BL121" s="308"/>
      <c r="BM121" s="308"/>
      <c r="BN121" s="308"/>
      <c r="BO121" s="308"/>
      <c r="BP121" s="308"/>
      <c r="BQ121" s="308"/>
      <c r="BR121" s="308"/>
      <c r="BS121" s="308"/>
    </row>
    <row r="122" spans="1:71" ht="15.75" customHeight="1">
      <c r="A122" s="308"/>
      <c r="B122" s="320" t="s">
        <v>1028</v>
      </c>
      <c r="C122" s="320" t="s">
        <v>1308</v>
      </c>
      <c r="D122" s="320" t="str">
        <f t="shared" si="0"/>
        <v>VoucherGroup_隔日到貨</v>
      </c>
      <c r="E122" s="200" t="s">
        <v>1309</v>
      </c>
      <c r="F122" s="322"/>
      <c r="G122" s="205" t="s">
        <v>1310</v>
      </c>
      <c r="H122" s="200">
        <v>0.5</v>
      </c>
      <c r="I122" s="323"/>
      <c r="J122" s="324" t="s">
        <v>1046</v>
      </c>
      <c r="K122" s="324" t="s">
        <v>1046</v>
      </c>
      <c r="L122" s="324" t="s">
        <v>1047</v>
      </c>
      <c r="M122" s="325" t="s">
        <v>1311</v>
      </c>
      <c r="N122" s="325" t="s">
        <v>115</v>
      </c>
      <c r="O122" s="325" t="s">
        <v>115</v>
      </c>
      <c r="P122" s="325" t="s">
        <v>115</v>
      </c>
      <c r="Q122" s="325" t="s">
        <v>115</v>
      </c>
      <c r="R122" s="191"/>
      <c r="S122" s="205">
        <f t="shared" si="1"/>
        <v>4</v>
      </c>
      <c r="T122" s="308"/>
      <c r="U122" s="308"/>
      <c r="V122" s="308" t="str">
        <f ca="1">IFERROR(__xludf.DUMMYFUNCTION("""COMPUTED_VALUE"""),"")</f>
        <v/>
      </c>
      <c r="W122" s="308"/>
      <c r="X122" s="308"/>
      <c r="Y122" s="308"/>
      <c r="Z122" s="308"/>
      <c r="AA122" s="308"/>
      <c r="AB122" s="308"/>
      <c r="AC122" s="308"/>
      <c r="AD122" s="308"/>
      <c r="AE122" s="308"/>
      <c r="AF122" s="308"/>
      <c r="AG122" s="308"/>
      <c r="AH122" s="308"/>
      <c r="AI122" s="308"/>
      <c r="AJ122" s="308"/>
      <c r="AK122" s="308"/>
      <c r="AL122" s="308"/>
      <c r="AM122" s="308"/>
      <c r="AN122" s="308"/>
      <c r="AO122" s="308"/>
      <c r="AP122" s="308"/>
      <c r="AQ122" s="308"/>
      <c r="AR122" s="308"/>
      <c r="AS122" s="308"/>
      <c r="AT122" s="308"/>
      <c r="AU122" s="308"/>
      <c r="AV122" s="308"/>
      <c r="AW122" s="308"/>
      <c r="AX122" s="308"/>
      <c r="AY122" s="308"/>
      <c r="AZ122" s="308"/>
      <c r="BA122" s="308"/>
      <c r="BB122" s="308"/>
      <c r="BC122" s="308"/>
      <c r="BD122" s="308"/>
      <c r="BE122" s="308"/>
      <c r="BF122" s="308"/>
      <c r="BG122" s="308"/>
      <c r="BH122" s="308"/>
      <c r="BI122" s="308"/>
      <c r="BJ122" s="308"/>
      <c r="BK122" s="308"/>
      <c r="BL122" s="308"/>
      <c r="BM122" s="308"/>
      <c r="BN122" s="308"/>
      <c r="BO122" s="308"/>
      <c r="BP122" s="308"/>
      <c r="BQ122" s="308"/>
      <c r="BR122" s="308"/>
      <c r="BS122" s="308"/>
    </row>
    <row r="123" spans="1:71" ht="15.75" customHeight="1">
      <c r="A123" s="308"/>
      <c r="B123" s="320" t="s">
        <v>1028</v>
      </c>
      <c r="C123" s="320" t="s">
        <v>1312</v>
      </c>
      <c r="D123" s="320" t="str">
        <f t="shared" si="0"/>
        <v>VoucherGroup_FSS免運門檻</v>
      </c>
      <c r="E123" s="200" t="s">
        <v>1313</v>
      </c>
      <c r="F123" s="322"/>
      <c r="G123" s="205" t="s">
        <v>1314</v>
      </c>
      <c r="H123" s="200">
        <v>0.5</v>
      </c>
      <c r="I123" s="323"/>
      <c r="J123" s="324" t="s">
        <v>1046</v>
      </c>
      <c r="K123" s="324" t="s">
        <v>1046</v>
      </c>
      <c r="L123" s="324" t="s">
        <v>1047</v>
      </c>
      <c r="M123" s="325" t="s">
        <v>1315</v>
      </c>
      <c r="N123" s="325" t="s">
        <v>115</v>
      </c>
      <c r="O123" s="325" t="s">
        <v>115</v>
      </c>
      <c r="P123" s="325" t="s">
        <v>115</v>
      </c>
      <c r="Q123" s="325" t="s">
        <v>115</v>
      </c>
      <c r="R123" s="191"/>
      <c r="S123" s="205">
        <f t="shared" si="1"/>
        <v>4</v>
      </c>
      <c r="T123" s="308"/>
      <c r="U123" s="308"/>
      <c r="V123" s="308" t="str">
        <f ca="1">IFERROR(__xludf.DUMMYFUNCTION("""COMPUTED_VALUE"""),"")</f>
        <v/>
      </c>
      <c r="W123" s="308"/>
      <c r="X123" s="308"/>
      <c r="Y123" s="308"/>
      <c r="Z123" s="308"/>
      <c r="AA123" s="308"/>
      <c r="AB123" s="308"/>
      <c r="AC123" s="308"/>
      <c r="AD123" s="308"/>
      <c r="AE123" s="308"/>
      <c r="AF123" s="308"/>
      <c r="AG123" s="308"/>
      <c r="AH123" s="308"/>
      <c r="AI123" s="308"/>
      <c r="AJ123" s="308"/>
      <c r="AK123" s="308"/>
      <c r="AL123" s="308"/>
      <c r="AM123" s="308"/>
      <c r="AN123" s="308"/>
      <c r="AO123" s="308"/>
      <c r="AP123" s="308"/>
      <c r="AQ123" s="308"/>
      <c r="AR123" s="308"/>
      <c r="AS123" s="308"/>
      <c r="AT123" s="308"/>
      <c r="AU123" s="308"/>
      <c r="AV123" s="308"/>
      <c r="AW123" s="308"/>
      <c r="AX123" s="308"/>
      <c r="AY123" s="308"/>
      <c r="AZ123" s="308"/>
      <c r="BA123" s="308"/>
      <c r="BB123" s="308"/>
      <c r="BC123" s="308"/>
      <c r="BD123" s="308"/>
      <c r="BE123" s="308"/>
      <c r="BF123" s="308"/>
      <c r="BG123" s="308"/>
      <c r="BH123" s="308"/>
      <c r="BI123" s="308"/>
      <c r="BJ123" s="308"/>
      <c r="BK123" s="308"/>
      <c r="BL123" s="308"/>
      <c r="BM123" s="308"/>
      <c r="BN123" s="308"/>
      <c r="BO123" s="308"/>
      <c r="BP123" s="308"/>
      <c r="BQ123" s="308"/>
      <c r="BR123" s="308"/>
      <c r="BS123" s="308"/>
    </row>
    <row r="124" spans="1:71" ht="15.75" customHeight="1">
      <c r="A124" s="308"/>
      <c r="B124" s="336" t="s">
        <v>608</v>
      </c>
      <c r="C124" s="336" t="s">
        <v>609</v>
      </c>
      <c r="D124" s="320" t="str">
        <f t="shared" si="0"/>
        <v>限時特賣_全站</v>
      </c>
      <c r="E124" s="330" t="s">
        <v>1316</v>
      </c>
      <c r="F124" s="257"/>
      <c r="G124" s="205" t="s">
        <v>608</v>
      </c>
      <c r="H124" s="330">
        <v>1</v>
      </c>
      <c r="I124" s="332"/>
      <c r="J124" s="324" t="s">
        <v>1046</v>
      </c>
      <c r="K124" s="324" t="s">
        <v>1046</v>
      </c>
      <c r="L124" s="324" t="s">
        <v>1047</v>
      </c>
      <c r="M124" s="332" t="s">
        <v>1317</v>
      </c>
      <c r="N124" s="325" t="s">
        <v>115</v>
      </c>
      <c r="O124" s="325" t="s">
        <v>115</v>
      </c>
      <c r="P124" s="325" t="s">
        <v>115</v>
      </c>
      <c r="Q124" s="325" t="s">
        <v>115</v>
      </c>
      <c r="R124" s="329"/>
      <c r="S124" s="205">
        <f t="shared" si="1"/>
        <v>4</v>
      </c>
      <c r="T124" s="308"/>
      <c r="U124" s="308"/>
      <c r="V124" s="308" t="str">
        <f ca="1">IFERROR(__xludf.DUMMYFUNCTION("""COMPUTED_VALUE"""),"")</f>
        <v/>
      </c>
      <c r="W124" s="308"/>
      <c r="X124" s="308"/>
      <c r="Y124" s="308"/>
      <c r="Z124" s="308"/>
      <c r="AA124" s="308"/>
      <c r="AB124" s="308"/>
      <c r="AC124" s="308"/>
      <c r="AD124" s="308"/>
      <c r="AE124" s="308"/>
      <c r="AF124" s="308"/>
      <c r="AG124" s="308"/>
      <c r="AH124" s="308"/>
      <c r="AI124" s="308"/>
      <c r="AJ124" s="308"/>
      <c r="AK124" s="308"/>
      <c r="AL124" s="308"/>
      <c r="AM124" s="308"/>
      <c r="AN124" s="308"/>
      <c r="AO124" s="308"/>
      <c r="AP124" s="308"/>
      <c r="AQ124" s="308"/>
      <c r="AR124" s="308"/>
      <c r="AS124" s="308"/>
      <c r="AT124" s="308"/>
      <c r="AU124" s="308"/>
      <c r="AV124" s="308"/>
      <c r="AW124" s="308"/>
      <c r="AX124" s="308"/>
      <c r="AY124" s="308"/>
      <c r="AZ124" s="308"/>
      <c r="BA124" s="308"/>
      <c r="BB124" s="308"/>
      <c r="BC124" s="308"/>
      <c r="BD124" s="308"/>
      <c r="BE124" s="308"/>
      <c r="BF124" s="308"/>
      <c r="BG124" s="308"/>
      <c r="BH124" s="308"/>
      <c r="BI124" s="308"/>
      <c r="BJ124" s="308"/>
      <c r="BK124" s="308"/>
      <c r="BL124" s="308"/>
      <c r="BM124" s="308"/>
      <c r="BN124" s="308"/>
      <c r="BO124" s="308"/>
      <c r="BP124" s="308"/>
      <c r="BQ124" s="308"/>
      <c r="BR124" s="308"/>
      <c r="BS124" s="308"/>
    </row>
    <row r="125" spans="1:71" ht="15.75" customHeight="1">
      <c r="A125" s="308"/>
      <c r="B125" s="328" t="s">
        <v>608</v>
      </c>
      <c r="C125" s="328" t="s">
        <v>606</v>
      </c>
      <c r="D125" s="320" t="str">
        <f t="shared" si="0"/>
        <v>限時特賣_商城</v>
      </c>
      <c r="E125" s="330" t="s">
        <v>1318</v>
      </c>
      <c r="F125" s="257"/>
      <c r="G125" s="205" t="s">
        <v>608</v>
      </c>
      <c r="H125" s="330">
        <v>1</v>
      </c>
      <c r="I125" s="332"/>
      <c r="J125" s="324" t="s">
        <v>1046</v>
      </c>
      <c r="K125" s="324" t="s">
        <v>1046</v>
      </c>
      <c r="L125" s="324" t="s">
        <v>1047</v>
      </c>
      <c r="M125" s="332" t="s">
        <v>1319</v>
      </c>
      <c r="N125" s="325" t="s">
        <v>115</v>
      </c>
      <c r="O125" s="325" t="s">
        <v>115</v>
      </c>
      <c r="P125" s="325" t="s">
        <v>115</v>
      </c>
      <c r="Q125" s="325" t="s">
        <v>115</v>
      </c>
      <c r="R125" s="329"/>
      <c r="S125" s="205">
        <f t="shared" si="1"/>
        <v>4</v>
      </c>
      <c r="T125" s="308"/>
      <c r="U125" s="308"/>
      <c r="V125" s="308" t="str">
        <f ca="1">IFERROR(__xludf.DUMMYFUNCTION("""COMPUTED_VALUE"""),"")</f>
        <v/>
      </c>
      <c r="W125" s="308"/>
      <c r="X125" s="308"/>
      <c r="Y125" s="308"/>
      <c r="Z125" s="308"/>
      <c r="AA125" s="308"/>
      <c r="AB125" s="308"/>
      <c r="AC125" s="308"/>
      <c r="AD125" s="308"/>
      <c r="AE125" s="308"/>
      <c r="AF125" s="308"/>
      <c r="AG125" s="308"/>
      <c r="AH125" s="308"/>
      <c r="AI125" s="308"/>
      <c r="AJ125" s="308"/>
      <c r="AK125" s="308"/>
      <c r="AL125" s="308"/>
      <c r="AM125" s="308"/>
      <c r="AN125" s="308"/>
      <c r="AO125" s="308"/>
      <c r="AP125" s="308"/>
      <c r="AQ125" s="308"/>
      <c r="AR125" s="308"/>
      <c r="AS125" s="308"/>
      <c r="AT125" s="308"/>
      <c r="AU125" s="308"/>
      <c r="AV125" s="308"/>
      <c r="AW125" s="308"/>
      <c r="AX125" s="308"/>
      <c r="AY125" s="308"/>
      <c r="AZ125" s="308"/>
      <c r="BA125" s="308"/>
      <c r="BB125" s="308"/>
      <c r="BC125" s="308"/>
      <c r="BD125" s="308"/>
      <c r="BE125" s="308"/>
      <c r="BF125" s="308"/>
      <c r="BG125" s="308"/>
      <c r="BH125" s="308"/>
      <c r="BI125" s="308"/>
      <c r="BJ125" s="308"/>
      <c r="BK125" s="308"/>
      <c r="BL125" s="308"/>
      <c r="BM125" s="308"/>
      <c r="BN125" s="308"/>
      <c r="BO125" s="308"/>
      <c r="BP125" s="308"/>
      <c r="BQ125" s="308"/>
      <c r="BR125" s="308"/>
      <c r="BS125" s="308"/>
    </row>
    <row r="126" spans="1:71" ht="15.75" customHeight="1">
      <c r="A126" s="308"/>
      <c r="B126" s="337" t="s">
        <v>1320</v>
      </c>
      <c r="C126" s="337" t="s">
        <v>113</v>
      </c>
      <c r="D126" s="329" t="str">
        <f t="shared" si="0"/>
        <v>CTAbutton_固定</v>
      </c>
      <c r="E126" s="330" t="s">
        <v>1321</v>
      </c>
      <c r="F126" s="205"/>
      <c r="G126" s="205" t="s">
        <v>1322</v>
      </c>
      <c r="H126" s="330">
        <v>0.8</v>
      </c>
      <c r="I126" s="332" t="s">
        <v>1323</v>
      </c>
      <c r="J126" s="324" t="s">
        <v>1046</v>
      </c>
      <c r="K126" s="324" t="s">
        <v>1046</v>
      </c>
      <c r="L126" s="331" t="s">
        <v>1047</v>
      </c>
      <c r="M126" s="332" t="s">
        <v>1082</v>
      </c>
      <c r="N126" s="332" t="s">
        <v>1105</v>
      </c>
      <c r="O126" s="332" t="s">
        <v>115</v>
      </c>
      <c r="P126" s="332" t="s">
        <v>115</v>
      </c>
      <c r="Q126" s="332" t="s">
        <v>115</v>
      </c>
      <c r="R126" s="329"/>
      <c r="S126" s="205">
        <f t="shared" si="1"/>
        <v>5</v>
      </c>
      <c r="T126" s="308"/>
      <c r="U126" s="308"/>
      <c r="V126" s="308" t="str">
        <f ca="1">IFERROR(__xludf.DUMMYFUNCTION("""COMPUTED_VALUE"""),"")</f>
        <v/>
      </c>
      <c r="W126" s="308"/>
      <c r="X126" s="308"/>
      <c r="Y126" s="308"/>
      <c r="Z126" s="308"/>
      <c r="AA126" s="308"/>
      <c r="AB126" s="308"/>
      <c r="AC126" s="308"/>
      <c r="AD126" s="308"/>
      <c r="AE126" s="308"/>
      <c r="AF126" s="308"/>
      <c r="AG126" s="308"/>
      <c r="AH126" s="308"/>
      <c r="AI126" s="308"/>
      <c r="AJ126" s="308"/>
      <c r="AK126" s="308"/>
      <c r="AL126" s="308"/>
      <c r="AM126" s="308"/>
      <c r="AN126" s="308"/>
      <c r="AO126" s="308"/>
      <c r="AP126" s="308"/>
      <c r="AQ126" s="308"/>
      <c r="AR126" s="308"/>
      <c r="AS126" s="308"/>
      <c r="AT126" s="308"/>
      <c r="AU126" s="308"/>
      <c r="AV126" s="308"/>
      <c r="AW126" s="308"/>
      <c r="AX126" s="308"/>
      <c r="AY126" s="308"/>
      <c r="AZ126" s="308"/>
      <c r="BA126" s="308"/>
      <c r="BB126" s="308"/>
      <c r="BC126" s="308"/>
      <c r="BD126" s="308"/>
      <c r="BE126" s="308"/>
      <c r="BF126" s="308"/>
      <c r="BG126" s="308"/>
      <c r="BH126" s="308"/>
      <c r="BI126" s="308"/>
      <c r="BJ126" s="308"/>
      <c r="BK126" s="308"/>
      <c r="BL126" s="308"/>
      <c r="BM126" s="308"/>
      <c r="BN126" s="308"/>
      <c r="BO126" s="308"/>
      <c r="BP126" s="308"/>
      <c r="BQ126" s="308"/>
      <c r="BR126" s="308"/>
      <c r="BS126" s="308"/>
    </row>
    <row r="127" spans="1:71" ht="15.75" customHeight="1">
      <c r="A127" s="308"/>
      <c r="B127" s="320" t="s">
        <v>498</v>
      </c>
      <c r="C127" s="320" t="s">
        <v>113</v>
      </c>
      <c r="D127" s="320" t="str">
        <f t="shared" si="0"/>
        <v>iframe_固定</v>
      </c>
      <c r="E127" s="200" t="s">
        <v>1324</v>
      </c>
      <c r="F127" s="322"/>
      <c r="G127" s="200" t="s">
        <v>498</v>
      </c>
      <c r="H127" s="200">
        <v>0.5</v>
      </c>
      <c r="I127" s="323"/>
      <c r="J127" s="324" t="s">
        <v>1046</v>
      </c>
      <c r="K127" s="324" t="s">
        <v>1046</v>
      </c>
      <c r="L127" s="324" t="s">
        <v>1047</v>
      </c>
      <c r="M127" s="325" t="s">
        <v>1325</v>
      </c>
      <c r="N127" s="325" t="s">
        <v>115</v>
      </c>
      <c r="O127" s="325" t="s">
        <v>115</v>
      </c>
      <c r="P127" s="325" t="s">
        <v>115</v>
      </c>
      <c r="Q127" s="325" t="s">
        <v>115</v>
      </c>
      <c r="R127" s="191"/>
      <c r="S127" s="205">
        <f t="shared" si="1"/>
        <v>4</v>
      </c>
      <c r="T127" s="308"/>
      <c r="U127" s="308"/>
      <c r="V127" s="308" t="str">
        <f ca="1">IFERROR(__xludf.DUMMYFUNCTION("""COMPUTED_VALUE"""),"")</f>
        <v/>
      </c>
      <c r="W127" s="308"/>
      <c r="X127" s="308"/>
      <c r="Y127" s="308"/>
      <c r="Z127" s="308"/>
      <c r="AA127" s="308"/>
      <c r="AB127" s="308"/>
      <c r="AC127" s="308"/>
      <c r="AD127" s="308"/>
      <c r="AE127" s="308"/>
      <c r="AF127" s="308"/>
      <c r="AG127" s="308"/>
      <c r="AH127" s="308"/>
      <c r="AI127" s="308"/>
      <c r="AJ127" s="308"/>
      <c r="AK127" s="308"/>
      <c r="AL127" s="308"/>
      <c r="AM127" s="308"/>
      <c r="AN127" s="308"/>
      <c r="AO127" s="308"/>
      <c r="AP127" s="308"/>
      <c r="AQ127" s="308"/>
      <c r="AR127" s="308"/>
      <c r="AS127" s="308"/>
      <c r="AT127" s="308"/>
      <c r="AU127" s="308"/>
      <c r="AV127" s="308"/>
      <c r="AW127" s="308"/>
      <c r="AX127" s="308"/>
      <c r="AY127" s="308"/>
      <c r="AZ127" s="308"/>
      <c r="BA127" s="308"/>
      <c r="BB127" s="308"/>
      <c r="BC127" s="308"/>
      <c r="BD127" s="308"/>
      <c r="BE127" s="308"/>
      <c r="BF127" s="308"/>
      <c r="BG127" s="308"/>
      <c r="BH127" s="308"/>
      <c r="BI127" s="308"/>
      <c r="BJ127" s="308"/>
      <c r="BK127" s="308"/>
      <c r="BL127" s="308"/>
      <c r="BM127" s="308"/>
      <c r="BN127" s="308"/>
      <c r="BO127" s="308"/>
      <c r="BP127" s="308"/>
      <c r="BQ127" s="308"/>
      <c r="BR127" s="308"/>
      <c r="BS127" s="308"/>
    </row>
    <row r="128" spans="1:71" ht="15.75" customHeight="1">
      <c r="A128" s="308"/>
      <c r="B128" s="320" t="s">
        <v>564</v>
      </c>
      <c r="C128" s="320" t="s">
        <v>113</v>
      </c>
      <c r="D128" s="320" t="str">
        <f t="shared" si="0"/>
        <v>FavouriteGame_固定</v>
      </c>
      <c r="E128" s="200" t="s">
        <v>1326</v>
      </c>
      <c r="F128" s="322"/>
      <c r="G128" s="200" t="s">
        <v>20</v>
      </c>
      <c r="H128" s="200">
        <v>0.5</v>
      </c>
      <c r="I128" s="323"/>
      <c r="J128" s="324" t="s">
        <v>1046</v>
      </c>
      <c r="K128" s="324" t="s">
        <v>1046</v>
      </c>
      <c r="L128" s="324" t="s">
        <v>1047</v>
      </c>
      <c r="M128" s="325" t="s">
        <v>1055</v>
      </c>
      <c r="N128" s="325" t="s">
        <v>115</v>
      </c>
      <c r="O128" s="325" t="s">
        <v>115</v>
      </c>
      <c r="P128" s="325" t="s">
        <v>115</v>
      </c>
      <c r="Q128" s="325" t="s">
        <v>115</v>
      </c>
      <c r="R128" s="191"/>
      <c r="S128" s="205">
        <f t="shared" si="1"/>
        <v>4</v>
      </c>
      <c r="T128" s="308"/>
      <c r="U128" s="308"/>
      <c r="V128" s="308" t="str">
        <f ca="1">IFERROR(__xludf.DUMMYFUNCTION("""COMPUTED_VALUE"""),"")</f>
        <v/>
      </c>
      <c r="W128" s="308"/>
      <c r="X128" s="308"/>
      <c r="Y128" s="308"/>
      <c r="Z128" s="308"/>
      <c r="AA128" s="308"/>
      <c r="AB128" s="308"/>
      <c r="AC128" s="308"/>
      <c r="AD128" s="308"/>
      <c r="AE128" s="308"/>
      <c r="AF128" s="308"/>
      <c r="AG128" s="308"/>
      <c r="AH128" s="308"/>
      <c r="AI128" s="308"/>
      <c r="AJ128" s="308"/>
      <c r="AK128" s="308"/>
      <c r="AL128" s="308"/>
      <c r="AM128" s="308"/>
      <c r="AN128" s="308"/>
      <c r="AO128" s="308"/>
      <c r="AP128" s="308"/>
      <c r="AQ128" s="308"/>
      <c r="AR128" s="308"/>
      <c r="AS128" s="308"/>
      <c r="AT128" s="308"/>
      <c r="AU128" s="308"/>
      <c r="AV128" s="308"/>
      <c r="AW128" s="308"/>
      <c r="AX128" s="308"/>
      <c r="AY128" s="308"/>
      <c r="AZ128" s="308"/>
      <c r="BA128" s="308"/>
      <c r="BB128" s="308"/>
      <c r="BC128" s="308"/>
      <c r="BD128" s="308"/>
      <c r="BE128" s="308"/>
      <c r="BF128" s="308"/>
      <c r="BG128" s="308"/>
      <c r="BH128" s="308"/>
      <c r="BI128" s="308"/>
      <c r="BJ128" s="308"/>
      <c r="BK128" s="308"/>
      <c r="BL128" s="308"/>
      <c r="BM128" s="308"/>
      <c r="BN128" s="308"/>
      <c r="BO128" s="308"/>
      <c r="BP128" s="308"/>
      <c r="BQ128" s="308"/>
      <c r="BR128" s="308"/>
      <c r="BS128" s="308"/>
    </row>
    <row r="129" spans="1:71" ht="15.75" customHeight="1">
      <c r="A129" s="308"/>
      <c r="B129" s="320" t="s">
        <v>691</v>
      </c>
      <c r="C129" s="320" t="s">
        <v>692</v>
      </c>
      <c r="D129" s="320" t="str">
        <f t="shared" si="0"/>
        <v>直播間_水平滑動</v>
      </c>
      <c r="E129" s="200" t="s">
        <v>1327</v>
      </c>
      <c r="F129" s="322"/>
      <c r="G129" s="200" t="s">
        <v>691</v>
      </c>
      <c r="H129" s="200">
        <v>0.5</v>
      </c>
      <c r="I129" s="323" t="s">
        <v>1328</v>
      </c>
      <c r="J129" s="324" t="s">
        <v>1046</v>
      </c>
      <c r="K129" s="324" t="s">
        <v>1046</v>
      </c>
      <c r="L129" s="324" t="s">
        <v>1047</v>
      </c>
      <c r="M129" s="325" t="s">
        <v>1329</v>
      </c>
      <c r="N129" s="325" t="s">
        <v>1330</v>
      </c>
      <c r="O129" s="325" t="s">
        <v>115</v>
      </c>
      <c r="P129" s="325" t="s">
        <v>115</v>
      </c>
      <c r="Q129" s="325" t="s">
        <v>115</v>
      </c>
      <c r="R129" s="191"/>
      <c r="S129" s="205">
        <f t="shared" si="1"/>
        <v>5</v>
      </c>
      <c r="T129" s="308"/>
      <c r="U129" s="308"/>
      <c r="V129" s="308" t="str">
        <f ca="1">IFERROR(__xludf.DUMMYFUNCTION("""COMPUTED_VALUE"""),"")</f>
        <v/>
      </c>
      <c r="W129" s="308"/>
      <c r="X129" s="308"/>
      <c r="Y129" s="308"/>
      <c r="Z129" s="308"/>
      <c r="AA129" s="308"/>
      <c r="AB129" s="308"/>
      <c r="AC129" s="308"/>
      <c r="AD129" s="308"/>
      <c r="AE129" s="308"/>
      <c r="AF129" s="308"/>
      <c r="AG129" s="308"/>
      <c r="AH129" s="308"/>
      <c r="AI129" s="308"/>
      <c r="AJ129" s="308"/>
      <c r="AK129" s="308"/>
      <c r="AL129" s="308"/>
      <c r="AM129" s="308"/>
      <c r="AN129" s="308"/>
      <c r="AO129" s="308"/>
      <c r="AP129" s="308"/>
      <c r="AQ129" s="308"/>
      <c r="AR129" s="308"/>
      <c r="AS129" s="308"/>
      <c r="AT129" s="308"/>
      <c r="AU129" s="308"/>
      <c r="AV129" s="308"/>
      <c r="AW129" s="308"/>
      <c r="AX129" s="308"/>
      <c r="AY129" s="308"/>
      <c r="AZ129" s="308"/>
      <c r="BA129" s="308"/>
      <c r="BB129" s="308"/>
      <c r="BC129" s="308"/>
      <c r="BD129" s="308"/>
      <c r="BE129" s="308"/>
      <c r="BF129" s="308"/>
      <c r="BG129" s="308"/>
      <c r="BH129" s="308"/>
      <c r="BI129" s="308"/>
      <c r="BJ129" s="308"/>
      <c r="BK129" s="308"/>
      <c r="BL129" s="308"/>
      <c r="BM129" s="308"/>
      <c r="BN129" s="308"/>
      <c r="BO129" s="308"/>
      <c r="BP129" s="308"/>
      <c r="BQ129" s="308"/>
      <c r="BR129" s="308"/>
      <c r="BS129" s="308"/>
    </row>
    <row r="130" spans="1:71" ht="15.75" customHeight="1">
      <c r="A130" s="308"/>
      <c r="B130" s="320" t="s">
        <v>24</v>
      </c>
      <c r="C130" s="320" t="s">
        <v>227</v>
      </c>
      <c r="D130" s="320" t="str">
        <f t="shared" si="0"/>
        <v>Gap_固定灰bar</v>
      </c>
      <c r="E130" s="200" t="s">
        <v>1331</v>
      </c>
      <c r="F130" s="322"/>
      <c r="G130" s="200"/>
      <c r="H130" s="200">
        <v>0.2</v>
      </c>
      <c r="I130" s="323" t="s">
        <v>1332</v>
      </c>
      <c r="J130" s="324" t="s">
        <v>1046</v>
      </c>
      <c r="K130" s="324" t="s">
        <v>1046</v>
      </c>
      <c r="L130" s="324" t="s">
        <v>1047</v>
      </c>
      <c r="M130" s="325" t="s">
        <v>1055</v>
      </c>
      <c r="N130" s="325" t="s">
        <v>115</v>
      </c>
      <c r="O130" s="325" t="s">
        <v>115</v>
      </c>
      <c r="P130" s="325" t="s">
        <v>115</v>
      </c>
      <c r="Q130" s="325" t="s">
        <v>115</v>
      </c>
      <c r="R130" s="191"/>
      <c r="S130" s="205">
        <f t="shared" si="1"/>
        <v>4</v>
      </c>
      <c r="T130" s="308"/>
      <c r="U130" s="308"/>
      <c r="V130" s="308" t="str">
        <f ca="1">IFERROR(__xludf.DUMMYFUNCTION("""COMPUTED_VALUE"""),"")</f>
        <v/>
      </c>
      <c r="W130" s="308"/>
      <c r="X130" s="308"/>
      <c r="Y130" s="308"/>
      <c r="Z130" s="308"/>
      <c r="AA130" s="308"/>
      <c r="AB130" s="308"/>
      <c r="AC130" s="308"/>
      <c r="AD130" s="308"/>
      <c r="AE130" s="308"/>
      <c r="AF130" s="308"/>
      <c r="AG130" s="308"/>
      <c r="AH130" s="308"/>
      <c r="AI130" s="308"/>
      <c r="AJ130" s="308"/>
      <c r="AK130" s="308"/>
      <c r="AL130" s="308"/>
      <c r="AM130" s="308"/>
      <c r="AN130" s="308"/>
      <c r="AO130" s="308"/>
      <c r="AP130" s="308"/>
      <c r="AQ130" s="308"/>
      <c r="AR130" s="308"/>
      <c r="AS130" s="308"/>
      <c r="AT130" s="308"/>
      <c r="AU130" s="308"/>
      <c r="AV130" s="308"/>
      <c r="AW130" s="308"/>
      <c r="AX130" s="308"/>
      <c r="AY130" s="308"/>
      <c r="AZ130" s="308"/>
      <c r="BA130" s="308"/>
      <c r="BB130" s="308"/>
      <c r="BC130" s="308"/>
      <c r="BD130" s="308"/>
      <c r="BE130" s="308"/>
      <c r="BF130" s="308"/>
      <c r="BG130" s="308"/>
      <c r="BH130" s="308"/>
      <c r="BI130" s="308"/>
      <c r="BJ130" s="308"/>
      <c r="BK130" s="308"/>
      <c r="BL130" s="308"/>
      <c r="BM130" s="308"/>
      <c r="BN130" s="308"/>
      <c r="BO130" s="308"/>
      <c r="BP130" s="308"/>
      <c r="BQ130" s="308"/>
      <c r="BR130" s="308"/>
      <c r="BS130" s="308"/>
    </row>
    <row r="131" spans="1:71" ht="15.75" customHeight="1">
      <c r="A131" s="308"/>
      <c r="B131" s="320" t="s">
        <v>24</v>
      </c>
      <c r="C131" s="320" t="s">
        <v>226</v>
      </c>
      <c r="D131" s="320" t="str">
        <f t="shared" si="0"/>
        <v>Gap_空白格</v>
      </c>
      <c r="E131" s="200" t="s">
        <v>1333</v>
      </c>
      <c r="F131" s="322"/>
      <c r="G131" s="200" t="s">
        <v>1334</v>
      </c>
      <c r="H131" s="200">
        <v>0.2</v>
      </c>
      <c r="I131" s="323" t="s">
        <v>1335</v>
      </c>
      <c r="J131" s="324" t="s">
        <v>1046</v>
      </c>
      <c r="K131" s="324" t="s">
        <v>1046</v>
      </c>
      <c r="L131" s="324" t="s">
        <v>1047</v>
      </c>
      <c r="M131" s="325" t="s">
        <v>1055</v>
      </c>
      <c r="N131" s="325" t="s">
        <v>115</v>
      </c>
      <c r="O131" s="325" t="s">
        <v>115</v>
      </c>
      <c r="P131" s="325" t="s">
        <v>115</v>
      </c>
      <c r="Q131" s="325" t="s">
        <v>115</v>
      </c>
      <c r="R131" s="191"/>
      <c r="S131" s="205">
        <f t="shared" si="1"/>
        <v>4</v>
      </c>
      <c r="T131" s="308"/>
      <c r="U131" s="308"/>
      <c r="V131" s="308" t="str">
        <f ca="1">IFERROR(__xludf.DUMMYFUNCTION("""COMPUTED_VALUE"""),"")</f>
        <v/>
      </c>
      <c r="W131" s="308"/>
      <c r="X131" s="308"/>
      <c r="Y131" s="308"/>
      <c r="Z131" s="308"/>
      <c r="AA131" s="308"/>
      <c r="AB131" s="308"/>
      <c r="AC131" s="308"/>
      <c r="AD131" s="308"/>
      <c r="AE131" s="308"/>
      <c r="AF131" s="308"/>
      <c r="AG131" s="308"/>
      <c r="AH131" s="308"/>
      <c r="AI131" s="308"/>
      <c r="AJ131" s="308"/>
      <c r="AK131" s="308"/>
      <c r="AL131" s="308"/>
      <c r="AM131" s="308"/>
      <c r="AN131" s="308"/>
      <c r="AO131" s="308"/>
      <c r="AP131" s="308"/>
      <c r="AQ131" s="308"/>
      <c r="AR131" s="308"/>
      <c r="AS131" s="308"/>
      <c r="AT131" s="308"/>
      <c r="AU131" s="308"/>
      <c r="AV131" s="308"/>
      <c r="AW131" s="308"/>
      <c r="AX131" s="308"/>
      <c r="AY131" s="308"/>
      <c r="AZ131" s="308"/>
      <c r="BA131" s="308"/>
      <c r="BB131" s="308"/>
      <c r="BC131" s="308"/>
      <c r="BD131" s="308"/>
      <c r="BE131" s="308"/>
      <c r="BF131" s="308"/>
      <c r="BG131" s="308"/>
      <c r="BH131" s="308"/>
      <c r="BI131" s="308"/>
      <c r="BJ131" s="308"/>
      <c r="BK131" s="308"/>
      <c r="BL131" s="308"/>
      <c r="BM131" s="308"/>
      <c r="BN131" s="308"/>
      <c r="BO131" s="308"/>
      <c r="BP131" s="308"/>
      <c r="BQ131" s="308"/>
      <c r="BR131" s="308"/>
      <c r="BS131" s="308"/>
    </row>
    <row r="132" spans="1:71" ht="15.75" customHeight="1">
      <c r="A132" s="308"/>
      <c r="B132" s="320" t="s">
        <v>407</v>
      </c>
      <c r="C132" s="320" t="s">
        <v>869</v>
      </c>
      <c r="D132" s="320" t="str">
        <f t="shared" si="0"/>
        <v>版權商標_淺色背景(app&amp;pc)</v>
      </c>
      <c r="E132" s="200" t="s">
        <v>1336</v>
      </c>
      <c r="F132" s="322"/>
      <c r="G132" s="200"/>
      <c r="H132" s="200">
        <v>0.5</v>
      </c>
      <c r="I132" s="323" t="s">
        <v>1337</v>
      </c>
      <c r="J132" s="324" t="s">
        <v>1046</v>
      </c>
      <c r="K132" s="324" t="s">
        <v>1046</v>
      </c>
      <c r="L132" s="324" t="s">
        <v>1047</v>
      </c>
      <c r="M132" s="325" t="s">
        <v>1055</v>
      </c>
      <c r="N132" s="325" t="s">
        <v>115</v>
      </c>
      <c r="O132" s="325" t="s">
        <v>115</v>
      </c>
      <c r="P132" s="325" t="s">
        <v>115</v>
      </c>
      <c r="Q132" s="325" t="s">
        <v>115</v>
      </c>
      <c r="R132" s="191"/>
      <c r="S132" s="205">
        <f t="shared" si="1"/>
        <v>4</v>
      </c>
      <c r="T132" s="308"/>
      <c r="U132" s="308"/>
      <c r="V132" s="308" t="str">
        <f ca="1">IFERROR(__xludf.DUMMYFUNCTION("""COMPUTED_VALUE"""),"")</f>
        <v/>
      </c>
      <c r="W132" s="308"/>
      <c r="X132" s="308"/>
      <c r="Y132" s="308"/>
      <c r="Z132" s="308"/>
      <c r="AA132" s="308"/>
      <c r="AB132" s="308"/>
      <c r="AC132" s="308"/>
      <c r="AD132" s="308"/>
      <c r="AE132" s="308"/>
      <c r="AF132" s="308"/>
      <c r="AG132" s="308"/>
      <c r="AH132" s="308"/>
      <c r="AI132" s="308"/>
      <c r="AJ132" s="308"/>
      <c r="AK132" s="308"/>
      <c r="AL132" s="308"/>
      <c r="AM132" s="308"/>
      <c r="AN132" s="308"/>
      <c r="AO132" s="308"/>
      <c r="AP132" s="308"/>
      <c r="AQ132" s="308"/>
      <c r="AR132" s="308"/>
      <c r="AS132" s="308"/>
      <c r="AT132" s="308"/>
      <c r="AU132" s="308"/>
      <c r="AV132" s="308"/>
      <c r="AW132" s="308"/>
      <c r="AX132" s="308"/>
      <c r="AY132" s="308"/>
      <c r="AZ132" s="308"/>
      <c r="BA132" s="308"/>
      <c r="BB132" s="308"/>
      <c r="BC132" s="308"/>
      <c r="BD132" s="308"/>
      <c r="BE132" s="308"/>
      <c r="BF132" s="308"/>
      <c r="BG132" s="308"/>
      <c r="BH132" s="308"/>
      <c r="BI132" s="308"/>
      <c r="BJ132" s="308"/>
      <c r="BK132" s="308"/>
      <c r="BL132" s="308"/>
      <c r="BM132" s="308"/>
      <c r="BN132" s="308"/>
      <c r="BO132" s="308"/>
      <c r="BP132" s="308"/>
      <c r="BQ132" s="308"/>
      <c r="BR132" s="308"/>
      <c r="BS132" s="308"/>
    </row>
    <row r="133" spans="1:71" ht="15.75" customHeight="1">
      <c r="A133" s="308"/>
      <c r="B133" s="320" t="s">
        <v>407</v>
      </c>
      <c r="C133" s="320" t="s">
        <v>868</v>
      </c>
      <c r="D133" s="320" t="str">
        <f t="shared" si="0"/>
        <v>版權商標_深色背景(app&amp;pc)</v>
      </c>
      <c r="E133" s="200" t="s">
        <v>1338</v>
      </c>
      <c r="F133" s="322"/>
      <c r="G133" s="200"/>
      <c r="H133" s="200">
        <v>0.5</v>
      </c>
      <c r="I133" s="323" t="s">
        <v>1339</v>
      </c>
      <c r="J133" s="324" t="s">
        <v>1046</v>
      </c>
      <c r="K133" s="324" t="s">
        <v>1046</v>
      </c>
      <c r="L133" s="324" t="s">
        <v>1047</v>
      </c>
      <c r="M133" s="325" t="s">
        <v>1055</v>
      </c>
      <c r="N133" s="325" t="s">
        <v>115</v>
      </c>
      <c r="O133" s="325" t="s">
        <v>115</v>
      </c>
      <c r="P133" s="325" t="s">
        <v>115</v>
      </c>
      <c r="Q133" s="325" t="s">
        <v>115</v>
      </c>
      <c r="R133" s="191"/>
      <c r="S133" s="205">
        <f t="shared" si="1"/>
        <v>4</v>
      </c>
      <c r="T133" s="308"/>
      <c r="U133" s="308"/>
      <c r="V133" s="308" t="str">
        <f ca="1">IFERROR(__xludf.DUMMYFUNCTION("""COMPUTED_VALUE"""),"")</f>
        <v/>
      </c>
      <c r="W133" s="308"/>
      <c r="X133" s="308"/>
      <c r="Y133" s="308"/>
      <c r="Z133" s="308"/>
      <c r="AA133" s="308"/>
      <c r="AB133" s="308"/>
      <c r="AC133" s="308"/>
      <c r="AD133" s="308"/>
      <c r="AE133" s="308"/>
      <c r="AF133" s="308"/>
      <c r="AG133" s="308"/>
      <c r="AH133" s="308"/>
      <c r="AI133" s="308"/>
      <c r="AJ133" s="308"/>
      <c r="AK133" s="308"/>
      <c r="AL133" s="308"/>
      <c r="AM133" s="308"/>
      <c r="AN133" s="308"/>
      <c r="AO133" s="308"/>
      <c r="AP133" s="308"/>
      <c r="AQ133" s="308"/>
      <c r="AR133" s="308"/>
      <c r="AS133" s="308"/>
      <c r="AT133" s="308"/>
      <c r="AU133" s="308"/>
      <c r="AV133" s="308"/>
      <c r="AW133" s="308"/>
      <c r="AX133" s="308"/>
      <c r="AY133" s="308"/>
      <c r="AZ133" s="308"/>
      <c r="BA133" s="308"/>
      <c r="BB133" s="308"/>
      <c r="BC133" s="308"/>
      <c r="BD133" s="308"/>
      <c r="BE133" s="308"/>
      <c r="BF133" s="308"/>
      <c r="BG133" s="308"/>
      <c r="BH133" s="308"/>
      <c r="BI133" s="308"/>
      <c r="BJ133" s="308"/>
      <c r="BK133" s="308"/>
      <c r="BL133" s="308"/>
      <c r="BM133" s="308"/>
      <c r="BN133" s="308"/>
      <c r="BO133" s="308"/>
      <c r="BP133" s="308"/>
      <c r="BQ133" s="308"/>
      <c r="BR133" s="308"/>
      <c r="BS133" s="308"/>
    </row>
    <row r="134" spans="1:71" ht="15.75" customHeight="1">
      <c r="A134" s="308"/>
      <c r="B134" s="320" t="s">
        <v>1035</v>
      </c>
      <c r="C134" s="320" t="s">
        <v>1340</v>
      </c>
      <c r="D134" s="320" t="str">
        <f t="shared" si="0"/>
        <v>FloatingIcon_有mission計時器</v>
      </c>
      <c r="E134" s="200" t="s">
        <v>1341</v>
      </c>
      <c r="F134" s="322"/>
      <c r="G134" s="205" t="s">
        <v>1342</v>
      </c>
      <c r="H134" s="200">
        <v>0.5</v>
      </c>
      <c r="I134" s="338" t="s">
        <v>1343</v>
      </c>
      <c r="J134" s="324" t="s">
        <v>1046</v>
      </c>
      <c r="K134" s="324" t="s">
        <v>1046</v>
      </c>
      <c r="L134" s="324" t="s">
        <v>1047</v>
      </c>
      <c r="M134" s="325" t="s">
        <v>1056</v>
      </c>
      <c r="N134" s="325" t="s">
        <v>1344</v>
      </c>
      <c r="O134" s="325" t="s">
        <v>115</v>
      </c>
      <c r="P134" s="325" t="s">
        <v>115</v>
      </c>
      <c r="Q134" s="325" t="s">
        <v>115</v>
      </c>
      <c r="R134" s="191"/>
      <c r="S134" s="205">
        <f t="shared" si="1"/>
        <v>5</v>
      </c>
      <c r="T134" s="308"/>
      <c r="U134" s="308"/>
      <c r="V134" s="308" t="str">
        <f ca="1">IFERROR(__xludf.DUMMYFUNCTION("""COMPUTED_VALUE"""),"")</f>
        <v/>
      </c>
      <c r="W134" s="308"/>
      <c r="X134" s="308"/>
      <c r="Y134" s="308"/>
      <c r="Z134" s="308"/>
      <c r="AA134" s="308"/>
      <c r="AB134" s="308"/>
      <c r="AC134" s="308"/>
      <c r="AD134" s="308"/>
      <c r="AE134" s="308"/>
      <c r="AF134" s="308"/>
      <c r="AG134" s="308"/>
      <c r="AH134" s="308"/>
      <c r="AI134" s="308"/>
      <c r="AJ134" s="308"/>
      <c r="AK134" s="308"/>
      <c r="AL134" s="308"/>
      <c r="AM134" s="308"/>
      <c r="AN134" s="308"/>
      <c r="AO134" s="308"/>
      <c r="AP134" s="308"/>
      <c r="AQ134" s="308"/>
      <c r="AR134" s="308"/>
      <c r="AS134" s="308"/>
      <c r="AT134" s="308"/>
      <c r="AU134" s="308"/>
      <c r="AV134" s="308"/>
      <c r="AW134" s="308"/>
      <c r="AX134" s="308"/>
      <c r="AY134" s="308"/>
      <c r="AZ134" s="308"/>
      <c r="BA134" s="308"/>
      <c r="BB134" s="308"/>
      <c r="BC134" s="308"/>
      <c r="BD134" s="308"/>
      <c r="BE134" s="308"/>
      <c r="BF134" s="308"/>
      <c r="BG134" s="308"/>
      <c r="BH134" s="308"/>
      <c r="BI134" s="308"/>
      <c r="BJ134" s="308"/>
      <c r="BK134" s="308"/>
      <c r="BL134" s="308"/>
      <c r="BM134" s="308"/>
      <c r="BN134" s="308"/>
      <c r="BO134" s="308"/>
      <c r="BP134" s="308"/>
      <c r="BQ134" s="308"/>
      <c r="BR134" s="308"/>
      <c r="BS134" s="308"/>
    </row>
    <row r="135" spans="1:71" ht="15.75" customHeight="1">
      <c r="A135" s="308"/>
      <c r="B135" s="320" t="s">
        <v>1035</v>
      </c>
      <c r="C135" s="320" t="s">
        <v>918</v>
      </c>
      <c r="D135" s="320" t="str">
        <f t="shared" si="0"/>
        <v>FloatingIcon_無mission計時器</v>
      </c>
      <c r="E135" s="200" t="s">
        <v>1345</v>
      </c>
      <c r="F135" s="322"/>
      <c r="G135" s="205" t="s">
        <v>1342</v>
      </c>
      <c r="H135" s="200">
        <v>0.5</v>
      </c>
      <c r="I135" s="338" t="s">
        <v>1346</v>
      </c>
      <c r="J135" s="324" t="s">
        <v>1046</v>
      </c>
      <c r="K135" s="324" t="s">
        <v>1046</v>
      </c>
      <c r="L135" s="324" t="s">
        <v>1047</v>
      </c>
      <c r="M135" s="325" t="s">
        <v>1056</v>
      </c>
      <c r="N135" s="325" t="s">
        <v>1344</v>
      </c>
      <c r="O135" s="325" t="s">
        <v>115</v>
      </c>
      <c r="P135" s="325" t="s">
        <v>115</v>
      </c>
      <c r="Q135" s="325" t="s">
        <v>115</v>
      </c>
      <c r="R135" s="191"/>
      <c r="S135" s="205">
        <f t="shared" si="1"/>
        <v>5</v>
      </c>
      <c r="T135" s="308"/>
      <c r="U135" s="308"/>
      <c r="V135" s="308" t="str">
        <f ca="1">IFERROR(__xludf.DUMMYFUNCTION("""COMPUTED_VALUE"""),"")</f>
        <v/>
      </c>
      <c r="W135" s="308"/>
      <c r="X135" s="308"/>
      <c r="Y135" s="308"/>
      <c r="Z135" s="308"/>
      <c r="AA135" s="308"/>
      <c r="AB135" s="308"/>
      <c r="AC135" s="308"/>
      <c r="AD135" s="308"/>
      <c r="AE135" s="308"/>
      <c r="AF135" s="308"/>
      <c r="AG135" s="308"/>
      <c r="AH135" s="308"/>
      <c r="AI135" s="308"/>
      <c r="AJ135" s="308"/>
      <c r="AK135" s="308"/>
      <c r="AL135" s="308"/>
      <c r="AM135" s="308"/>
      <c r="AN135" s="308"/>
      <c r="AO135" s="308"/>
      <c r="AP135" s="308"/>
      <c r="AQ135" s="308"/>
      <c r="AR135" s="308"/>
      <c r="AS135" s="308"/>
      <c r="AT135" s="308"/>
      <c r="AU135" s="308"/>
      <c r="AV135" s="308"/>
      <c r="AW135" s="308"/>
      <c r="AX135" s="308"/>
      <c r="AY135" s="308"/>
      <c r="AZ135" s="308"/>
      <c r="BA135" s="308"/>
      <c r="BB135" s="308"/>
      <c r="BC135" s="308"/>
      <c r="BD135" s="308"/>
      <c r="BE135" s="308"/>
      <c r="BF135" s="308"/>
      <c r="BG135" s="308"/>
      <c r="BH135" s="308"/>
      <c r="BI135" s="308"/>
      <c r="BJ135" s="308"/>
      <c r="BK135" s="308"/>
      <c r="BL135" s="308"/>
      <c r="BM135" s="308"/>
      <c r="BN135" s="308"/>
      <c r="BO135" s="308"/>
      <c r="BP135" s="308"/>
      <c r="BQ135" s="308"/>
      <c r="BR135" s="308"/>
      <c r="BS135" s="308"/>
    </row>
    <row r="136" spans="1:71" ht="15.75" customHeight="1">
      <c r="A136" s="19"/>
      <c r="B136" s="327" t="s">
        <v>873</v>
      </c>
      <c r="C136" s="327" t="s">
        <v>1347</v>
      </c>
      <c r="D136" s="320" t="str">
        <f t="shared" si="0"/>
        <v>吸底圖_icon*2(app&amp;pc)</v>
      </c>
      <c r="E136" s="330" t="s">
        <v>1348</v>
      </c>
      <c r="F136" s="191"/>
      <c r="G136" s="200"/>
      <c r="H136" s="330">
        <v>0.5</v>
      </c>
      <c r="I136" s="332" t="s">
        <v>1349</v>
      </c>
      <c r="J136" s="324" t="s">
        <v>1046</v>
      </c>
      <c r="K136" s="324" t="s">
        <v>1046</v>
      </c>
      <c r="L136" s="324" t="s">
        <v>1047</v>
      </c>
      <c r="M136" s="332" t="s">
        <v>1350</v>
      </c>
      <c r="N136" s="332" t="s">
        <v>1351</v>
      </c>
      <c r="O136" s="332" t="s">
        <v>115</v>
      </c>
      <c r="P136" s="332" t="s">
        <v>115</v>
      </c>
      <c r="Q136" s="332" t="s">
        <v>115</v>
      </c>
      <c r="R136" s="332"/>
      <c r="S136" s="205">
        <f t="shared" si="1"/>
        <v>5</v>
      </c>
      <c r="T136" s="19"/>
      <c r="U136" s="19"/>
      <c r="V136" s="19" t="str">
        <f ca="1">IFERROR(__xludf.DUMMYFUNCTION("""COMPUTED_VALUE"""),"")</f>
        <v/>
      </c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19"/>
      <c r="BR136" s="19"/>
      <c r="BS136" s="19"/>
    </row>
    <row r="137" spans="1:71" ht="15.75" customHeight="1">
      <c r="A137" s="19"/>
      <c r="B137" s="337" t="s">
        <v>873</v>
      </c>
      <c r="C137" s="337" t="s">
        <v>870</v>
      </c>
      <c r="D137" s="329" t="str">
        <f t="shared" si="0"/>
        <v>吸底圖_icon*3(app&amp;pc)</v>
      </c>
      <c r="E137" s="330" t="s">
        <v>1352</v>
      </c>
      <c r="F137" s="191"/>
      <c r="G137" s="200"/>
      <c r="H137" s="330">
        <v>0.5</v>
      </c>
      <c r="I137" s="332" t="s">
        <v>1349</v>
      </c>
      <c r="J137" s="324" t="s">
        <v>1046</v>
      </c>
      <c r="K137" s="324" t="s">
        <v>1046</v>
      </c>
      <c r="L137" s="331" t="s">
        <v>1047</v>
      </c>
      <c r="M137" s="332" t="s">
        <v>1350</v>
      </c>
      <c r="N137" s="332" t="s">
        <v>1353</v>
      </c>
      <c r="O137" s="332" t="s">
        <v>115</v>
      </c>
      <c r="P137" s="332" t="s">
        <v>115</v>
      </c>
      <c r="Q137" s="332" t="s">
        <v>115</v>
      </c>
      <c r="R137" s="332" t="s">
        <v>115</v>
      </c>
      <c r="S137" s="330">
        <f t="shared" si="1"/>
        <v>5</v>
      </c>
      <c r="T137" s="19"/>
      <c r="U137" s="19"/>
      <c r="V137" s="19" t="str">
        <f ca="1">IFERROR(__xludf.DUMMYFUNCTION("""COMPUTED_VALUE"""),"")</f>
        <v/>
      </c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  <c r="BD137" s="19"/>
      <c r="BE137" s="19"/>
      <c r="BF137" s="19"/>
      <c r="BG137" s="19"/>
      <c r="BH137" s="19"/>
      <c r="BI137" s="19"/>
      <c r="BJ137" s="19"/>
      <c r="BK137" s="19"/>
      <c r="BL137" s="19"/>
      <c r="BM137" s="19"/>
      <c r="BN137" s="19"/>
      <c r="BO137" s="19"/>
      <c r="BP137" s="19"/>
      <c r="BQ137" s="19"/>
      <c r="BR137" s="19"/>
      <c r="BS137" s="19"/>
    </row>
    <row r="138" spans="1:71" ht="15.75" customHeight="1">
      <c r="A138" s="308"/>
      <c r="B138" s="320" t="s">
        <v>873</v>
      </c>
      <c r="C138" s="329" t="s">
        <v>871</v>
      </c>
      <c r="D138" s="320" t="str">
        <f t="shared" si="0"/>
        <v>吸底圖_icon*4(app&amp;pc)</v>
      </c>
      <c r="E138" s="200" t="s">
        <v>1354</v>
      </c>
      <c r="F138" s="322"/>
      <c r="G138" s="200"/>
      <c r="H138" s="200">
        <v>0.8</v>
      </c>
      <c r="I138" s="332" t="s">
        <v>1349</v>
      </c>
      <c r="J138" s="324" t="s">
        <v>1046</v>
      </c>
      <c r="K138" s="324" t="s">
        <v>1046</v>
      </c>
      <c r="L138" s="324" t="s">
        <v>1047</v>
      </c>
      <c r="M138" s="325" t="s">
        <v>1350</v>
      </c>
      <c r="N138" s="332" t="s">
        <v>1355</v>
      </c>
      <c r="O138" s="325" t="s">
        <v>115</v>
      </c>
      <c r="P138" s="325" t="s">
        <v>115</v>
      </c>
      <c r="Q138" s="325" t="s">
        <v>115</v>
      </c>
      <c r="R138" s="191"/>
      <c r="S138" s="205">
        <f t="shared" si="1"/>
        <v>5</v>
      </c>
      <c r="T138" s="308"/>
      <c r="U138" s="308"/>
      <c r="V138" s="308" t="str">
        <f ca="1">IFERROR(__xludf.DUMMYFUNCTION("""COMPUTED_VALUE"""),"")</f>
        <v/>
      </c>
      <c r="W138" s="308"/>
      <c r="X138" s="308"/>
      <c r="Y138" s="308"/>
      <c r="Z138" s="308"/>
      <c r="AA138" s="308"/>
      <c r="AB138" s="308"/>
      <c r="AC138" s="308"/>
      <c r="AD138" s="308"/>
      <c r="AE138" s="308"/>
      <c r="AF138" s="308"/>
      <c r="AG138" s="308"/>
      <c r="AH138" s="308"/>
      <c r="AI138" s="308"/>
      <c r="AJ138" s="308"/>
      <c r="AK138" s="308"/>
      <c r="AL138" s="308"/>
      <c r="AM138" s="308"/>
      <c r="AN138" s="308"/>
      <c r="AO138" s="308"/>
      <c r="AP138" s="308"/>
      <c r="AQ138" s="308"/>
      <c r="AR138" s="308"/>
      <c r="AS138" s="308"/>
      <c r="AT138" s="308"/>
      <c r="AU138" s="308"/>
      <c r="AV138" s="308"/>
      <c r="AW138" s="308"/>
      <c r="AX138" s="308"/>
      <c r="AY138" s="308"/>
      <c r="AZ138" s="308"/>
      <c r="BA138" s="308"/>
      <c r="BB138" s="308"/>
      <c r="BC138" s="308"/>
      <c r="BD138" s="308"/>
      <c r="BE138" s="308"/>
      <c r="BF138" s="308"/>
      <c r="BG138" s="308"/>
      <c r="BH138" s="308"/>
      <c r="BI138" s="308"/>
      <c r="BJ138" s="308"/>
      <c r="BK138" s="308"/>
      <c r="BL138" s="308"/>
      <c r="BM138" s="308"/>
      <c r="BN138" s="308"/>
      <c r="BO138" s="308"/>
      <c r="BP138" s="308"/>
      <c r="BQ138" s="308"/>
      <c r="BR138" s="308"/>
      <c r="BS138" s="308"/>
    </row>
    <row r="139" spans="1:71" ht="15.75" customHeight="1">
      <c r="A139" s="308"/>
      <c r="B139" s="320" t="s">
        <v>873</v>
      </c>
      <c r="C139" s="329" t="s">
        <v>872</v>
      </c>
      <c r="D139" s="320" t="str">
        <f t="shared" si="0"/>
        <v>吸底圖_icon*5(app&amp;pc)</v>
      </c>
      <c r="E139" s="200" t="s">
        <v>1356</v>
      </c>
      <c r="F139" s="322"/>
      <c r="G139" s="200"/>
      <c r="H139" s="200">
        <v>0.8</v>
      </c>
      <c r="I139" s="332" t="s">
        <v>1349</v>
      </c>
      <c r="J139" s="324" t="s">
        <v>1046</v>
      </c>
      <c r="K139" s="324" t="s">
        <v>1046</v>
      </c>
      <c r="L139" s="324" t="s">
        <v>1047</v>
      </c>
      <c r="M139" s="325" t="s">
        <v>1350</v>
      </c>
      <c r="N139" s="332" t="s">
        <v>1357</v>
      </c>
      <c r="O139" s="325" t="s">
        <v>115</v>
      </c>
      <c r="P139" s="325" t="s">
        <v>115</v>
      </c>
      <c r="Q139" s="325" t="s">
        <v>115</v>
      </c>
      <c r="R139" s="191"/>
      <c r="S139" s="205">
        <f t="shared" si="1"/>
        <v>5</v>
      </c>
      <c r="T139" s="308"/>
      <c r="U139" s="308"/>
      <c r="V139" s="308" t="str">
        <f ca="1">IFERROR(__xludf.DUMMYFUNCTION("""COMPUTED_VALUE"""),"")</f>
        <v/>
      </c>
      <c r="W139" s="308"/>
      <c r="X139" s="308"/>
      <c r="Y139" s="308"/>
      <c r="Z139" s="308"/>
      <c r="AA139" s="308"/>
      <c r="AB139" s="308"/>
      <c r="AC139" s="308"/>
      <c r="AD139" s="308"/>
      <c r="AE139" s="308"/>
      <c r="AF139" s="308"/>
      <c r="AG139" s="308"/>
      <c r="AH139" s="308"/>
      <c r="AI139" s="308"/>
      <c r="AJ139" s="308"/>
      <c r="AK139" s="308"/>
      <c r="AL139" s="308"/>
      <c r="AM139" s="308"/>
      <c r="AN139" s="308"/>
      <c r="AO139" s="308"/>
      <c r="AP139" s="308"/>
      <c r="AQ139" s="308"/>
      <c r="AR139" s="308"/>
      <c r="AS139" s="308"/>
      <c r="AT139" s="308"/>
      <c r="AU139" s="308"/>
      <c r="AV139" s="308"/>
      <c r="AW139" s="308"/>
      <c r="AX139" s="308"/>
      <c r="AY139" s="308"/>
      <c r="AZ139" s="308"/>
      <c r="BA139" s="308"/>
      <c r="BB139" s="308"/>
      <c r="BC139" s="308"/>
      <c r="BD139" s="308"/>
      <c r="BE139" s="308"/>
      <c r="BF139" s="308"/>
      <c r="BG139" s="308"/>
      <c r="BH139" s="308"/>
      <c r="BI139" s="308"/>
      <c r="BJ139" s="308"/>
      <c r="BK139" s="308"/>
      <c r="BL139" s="308"/>
      <c r="BM139" s="308"/>
      <c r="BN139" s="308"/>
      <c r="BO139" s="308"/>
      <c r="BP139" s="308"/>
      <c r="BQ139" s="308"/>
      <c r="BR139" s="308"/>
      <c r="BS139" s="308"/>
    </row>
    <row r="140" spans="1:71" ht="15.75" customHeight="1">
      <c r="A140" s="308"/>
      <c r="B140" s="320" t="s">
        <v>919</v>
      </c>
      <c r="C140" s="320" t="s">
        <v>1340</v>
      </c>
      <c r="D140" s="320" t="str">
        <f t="shared" si="0"/>
        <v>BackToTop_有mission計時器</v>
      </c>
      <c r="E140" s="200" t="s">
        <v>1358</v>
      </c>
      <c r="F140" s="322"/>
      <c r="G140" s="200" t="s">
        <v>31</v>
      </c>
      <c r="H140" s="200">
        <v>0.2</v>
      </c>
      <c r="I140" s="323" t="s">
        <v>1359</v>
      </c>
      <c r="J140" s="324" t="s">
        <v>1046</v>
      </c>
      <c r="K140" s="324" t="s">
        <v>1046</v>
      </c>
      <c r="L140" s="324" t="s">
        <v>1047</v>
      </c>
      <c r="M140" s="325" t="s">
        <v>1055</v>
      </c>
      <c r="N140" s="325" t="s">
        <v>115</v>
      </c>
      <c r="O140" s="325" t="s">
        <v>115</v>
      </c>
      <c r="P140" s="325" t="s">
        <v>115</v>
      </c>
      <c r="Q140" s="325" t="s">
        <v>115</v>
      </c>
      <c r="R140" s="325"/>
      <c r="S140" s="205">
        <f t="shared" si="1"/>
        <v>4</v>
      </c>
      <c r="T140" s="308"/>
      <c r="U140" s="308"/>
      <c r="V140" s="308" t="str">
        <f ca="1">IFERROR(__xludf.DUMMYFUNCTION("""COMPUTED_VALUE"""),"")</f>
        <v/>
      </c>
      <c r="W140" s="308"/>
      <c r="X140" s="308"/>
      <c r="Y140" s="308"/>
      <c r="Z140" s="308"/>
      <c r="AA140" s="308"/>
      <c r="AB140" s="308"/>
      <c r="AC140" s="308"/>
      <c r="AD140" s="308"/>
      <c r="AE140" s="308"/>
      <c r="AF140" s="308"/>
      <c r="AG140" s="308"/>
      <c r="AH140" s="308"/>
      <c r="AI140" s="308"/>
      <c r="AJ140" s="308"/>
      <c r="AK140" s="308"/>
      <c r="AL140" s="308"/>
      <c r="AM140" s="308"/>
      <c r="AN140" s="308"/>
      <c r="AO140" s="308"/>
      <c r="AP140" s="308"/>
      <c r="AQ140" s="308"/>
      <c r="AR140" s="308"/>
      <c r="AS140" s="308"/>
      <c r="AT140" s="308"/>
      <c r="AU140" s="308"/>
      <c r="AV140" s="308"/>
      <c r="AW140" s="308"/>
      <c r="AX140" s="308"/>
      <c r="AY140" s="308"/>
      <c r="AZ140" s="308"/>
      <c r="BA140" s="308"/>
      <c r="BB140" s="308"/>
      <c r="BC140" s="308"/>
      <c r="BD140" s="308"/>
      <c r="BE140" s="308"/>
      <c r="BF140" s="308"/>
      <c r="BG140" s="308"/>
      <c r="BH140" s="308"/>
      <c r="BI140" s="308"/>
      <c r="BJ140" s="308"/>
      <c r="BK140" s="308"/>
      <c r="BL140" s="308"/>
      <c r="BM140" s="308"/>
      <c r="BN140" s="308"/>
      <c r="BO140" s="308"/>
      <c r="BP140" s="308"/>
      <c r="BQ140" s="308"/>
      <c r="BR140" s="308"/>
      <c r="BS140" s="308"/>
    </row>
    <row r="141" spans="1:71" ht="15.75" customHeight="1">
      <c r="A141" s="308"/>
      <c r="B141" s="320" t="s">
        <v>919</v>
      </c>
      <c r="C141" s="320" t="s">
        <v>918</v>
      </c>
      <c r="D141" s="320" t="str">
        <f t="shared" si="0"/>
        <v>BackToTop_無mission計時器</v>
      </c>
      <c r="E141" s="200" t="s">
        <v>1360</v>
      </c>
      <c r="F141" s="322"/>
      <c r="G141" s="200" t="s">
        <v>31</v>
      </c>
      <c r="H141" s="200">
        <v>0.2</v>
      </c>
      <c r="I141" s="323" t="s">
        <v>1359</v>
      </c>
      <c r="J141" s="324" t="s">
        <v>1046</v>
      </c>
      <c r="K141" s="324" t="s">
        <v>1046</v>
      </c>
      <c r="L141" s="324" t="s">
        <v>1047</v>
      </c>
      <c r="M141" s="325" t="s">
        <v>1055</v>
      </c>
      <c r="N141" s="325" t="s">
        <v>115</v>
      </c>
      <c r="O141" s="325" t="s">
        <v>115</v>
      </c>
      <c r="P141" s="325" t="s">
        <v>115</v>
      </c>
      <c r="Q141" s="325" t="s">
        <v>115</v>
      </c>
      <c r="R141" s="325"/>
      <c r="S141" s="205">
        <f t="shared" si="1"/>
        <v>4</v>
      </c>
      <c r="T141" s="308"/>
      <c r="U141" s="308"/>
      <c r="V141" s="308" t="str">
        <f ca="1">IFERROR(__xludf.DUMMYFUNCTION("""COMPUTED_VALUE"""),"")</f>
        <v/>
      </c>
      <c r="W141" s="308"/>
      <c r="X141" s="308"/>
      <c r="Y141" s="308"/>
      <c r="Z141" s="308"/>
      <c r="AA141" s="308"/>
      <c r="AB141" s="308"/>
      <c r="AC141" s="308"/>
      <c r="AD141" s="308"/>
      <c r="AE141" s="308"/>
      <c r="AF141" s="308"/>
      <c r="AG141" s="308"/>
      <c r="AH141" s="308"/>
      <c r="AI141" s="308"/>
      <c r="AJ141" s="308"/>
      <c r="AK141" s="308"/>
      <c r="AL141" s="308"/>
      <c r="AM141" s="308"/>
      <c r="AN141" s="308"/>
      <c r="AO141" s="308"/>
      <c r="AP141" s="308"/>
      <c r="AQ141" s="308"/>
      <c r="AR141" s="308"/>
      <c r="AS141" s="308"/>
      <c r="AT141" s="308"/>
      <c r="AU141" s="308"/>
      <c r="AV141" s="308"/>
      <c r="AW141" s="308"/>
      <c r="AX141" s="308"/>
      <c r="AY141" s="308"/>
      <c r="AZ141" s="308"/>
      <c r="BA141" s="308"/>
      <c r="BB141" s="308"/>
      <c r="BC141" s="308"/>
      <c r="BD141" s="308"/>
      <c r="BE141" s="308"/>
      <c r="BF141" s="308"/>
      <c r="BG141" s="308"/>
      <c r="BH141" s="308"/>
      <c r="BI141" s="308"/>
      <c r="BJ141" s="308"/>
      <c r="BK141" s="308"/>
      <c r="BL141" s="308"/>
      <c r="BM141" s="308"/>
      <c r="BN141" s="308"/>
      <c r="BO141" s="308"/>
      <c r="BP141" s="308"/>
      <c r="BQ141" s="308"/>
      <c r="BR141" s="308"/>
      <c r="BS141" s="308"/>
    </row>
    <row r="142" spans="1:71" ht="15.75" customHeight="1">
      <c r="A142" s="308"/>
      <c r="B142" s="337" t="s">
        <v>116</v>
      </c>
      <c r="C142" s="337" t="s">
        <v>113</v>
      </c>
      <c r="D142" s="329" t="str">
        <f t="shared" si="0"/>
        <v>短影音_固定</v>
      </c>
      <c r="E142" s="330" t="s">
        <v>117</v>
      </c>
      <c r="F142" s="257"/>
      <c r="G142" s="205" t="s">
        <v>116</v>
      </c>
      <c r="H142" s="330">
        <v>0.2</v>
      </c>
      <c r="I142" s="329"/>
      <c r="J142" s="324" t="s">
        <v>1046</v>
      </c>
      <c r="K142" s="324" t="s">
        <v>1046</v>
      </c>
      <c r="L142" s="331" t="s">
        <v>1047</v>
      </c>
      <c r="M142" s="325" t="s">
        <v>1361</v>
      </c>
      <c r="N142" s="332" t="s">
        <v>1362</v>
      </c>
      <c r="O142" s="332" t="s">
        <v>1363</v>
      </c>
      <c r="P142" s="332" t="s">
        <v>115</v>
      </c>
      <c r="Q142" s="332" t="s">
        <v>115</v>
      </c>
      <c r="R142" s="329"/>
      <c r="S142" s="330">
        <f t="shared" si="1"/>
        <v>6</v>
      </c>
      <c r="T142" s="308"/>
      <c r="U142" s="308"/>
      <c r="V142" s="308" t="str">
        <f ca="1">IFERROR(__xludf.DUMMYFUNCTION("""COMPUTED_VALUE"""),"")</f>
        <v/>
      </c>
      <c r="W142" s="308"/>
      <c r="X142" s="308"/>
      <c r="Y142" s="308"/>
      <c r="Z142" s="308"/>
      <c r="AA142" s="308"/>
      <c r="AB142" s="308"/>
      <c r="AC142" s="308"/>
      <c r="AD142" s="308"/>
      <c r="AE142" s="308"/>
      <c r="AF142" s="308"/>
      <c r="AG142" s="308"/>
      <c r="AH142" s="308"/>
      <c r="AI142" s="308"/>
      <c r="AJ142" s="308"/>
      <c r="AK142" s="308"/>
      <c r="AL142" s="308"/>
      <c r="AM142" s="308"/>
      <c r="AN142" s="308"/>
      <c r="AO142" s="308"/>
      <c r="AP142" s="308"/>
      <c r="AQ142" s="308"/>
      <c r="AR142" s="308"/>
      <c r="AS142" s="308"/>
      <c r="AT142" s="308"/>
      <c r="AU142" s="308"/>
      <c r="AV142" s="308"/>
      <c r="AW142" s="308"/>
      <c r="AX142" s="308"/>
      <c r="AY142" s="308"/>
      <c r="AZ142" s="308"/>
      <c r="BA142" s="308"/>
      <c r="BB142" s="308"/>
      <c r="BC142" s="308"/>
      <c r="BD142" s="308"/>
      <c r="BE142" s="308"/>
      <c r="BF142" s="308"/>
      <c r="BG142" s="308"/>
      <c r="BH142" s="308"/>
      <c r="BI142" s="308"/>
      <c r="BJ142" s="308"/>
      <c r="BK142" s="308"/>
      <c r="BL142" s="308"/>
      <c r="BM142" s="308"/>
      <c r="BN142" s="308"/>
      <c r="BO142" s="308"/>
      <c r="BP142" s="308"/>
      <c r="BQ142" s="308"/>
      <c r="BR142" s="308"/>
      <c r="BS142" s="308"/>
    </row>
    <row r="143" spans="1:71" ht="15.75" customHeight="1">
      <c r="A143" s="308"/>
      <c r="B143" s="308"/>
      <c r="C143" s="308"/>
      <c r="D143" s="308"/>
      <c r="E143" s="308"/>
      <c r="F143" s="308"/>
      <c r="G143" s="339"/>
      <c r="H143" s="308"/>
      <c r="I143" s="308"/>
      <c r="J143" s="308"/>
      <c r="K143" s="308"/>
      <c r="L143" s="308"/>
      <c r="M143" s="308"/>
      <c r="N143" s="308"/>
      <c r="O143" s="308"/>
      <c r="P143" s="308"/>
      <c r="Q143" s="308"/>
      <c r="R143" s="308"/>
      <c r="S143" s="308"/>
      <c r="T143" s="308"/>
      <c r="U143" s="308"/>
      <c r="V143" s="308" t="str">
        <f ca="1">IFERROR(__xludf.DUMMYFUNCTION("""COMPUTED_VALUE"""),"")</f>
        <v/>
      </c>
      <c r="W143" s="308"/>
      <c r="X143" s="308"/>
      <c r="Y143" s="308"/>
      <c r="Z143" s="308"/>
      <c r="AA143" s="308"/>
      <c r="AB143" s="308"/>
      <c r="AC143" s="308"/>
      <c r="AD143" s="308"/>
      <c r="AE143" s="308"/>
      <c r="AF143" s="308"/>
      <c r="AG143" s="308"/>
      <c r="AH143" s="308"/>
      <c r="AI143" s="308"/>
      <c r="AJ143" s="308"/>
      <c r="AK143" s="308"/>
      <c r="AL143" s="308"/>
      <c r="AM143" s="308"/>
      <c r="AN143" s="308"/>
      <c r="AO143" s="308"/>
      <c r="AP143" s="308"/>
      <c r="AQ143" s="308"/>
      <c r="AR143" s="308"/>
      <c r="AS143" s="308"/>
      <c r="AT143" s="308"/>
      <c r="AU143" s="308"/>
      <c r="AV143" s="308"/>
      <c r="AW143" s="308"/>
      <c r="AX143" s="308"/>
      <c r="AY143" s="308"/>
      <c r="AZ143" s="308"/>
      <c r="BA143" s="308"/>
      <c r="BB143" s="308"/>
      <c r="BC143" s="308"/>
      <c r="BD143" s="308"/>
      <c r="BE143" s="308"/>
      <c r="BF143" s="308"/>
      <c r="BG143" s="308"/>
      <c r="BH143" s="308"/>
      <c r="BI143" s="308"/>
      <c r="BJ143" s="308"/>
      <c r="BK143" s="308"/>
      <c r="BL143" s="308"/>
      <c r="BM143" s="308"/>
      <c r="BN143" s="308"/>
      <c r="BO143" s="308"/>
      <c r="BP143" s="308"/>
      <c r="BQ143" s="308"/>
      <c r="BR143" s="308"/>
      <c r="BS143" s="308"/>
    </row>
    <row r="144" spans="1:71" ht="15.75" customHeight="1">
      <c r="A144" s="308"/>
      <c r="B144" s="308"/>
      <c r="C144" s="308"/>
      <c r="D144" s="308"/>
      <c r="E144" s="308"/>
      <c r="F144" s="308"/>
      <c r="G144" s="339"/>
      <c r="H144" s="308"/>
      <c r="I144" s="308"/>
      <c r="J144" s="308"/>
      <c r="K144" s="308"/>
      <c r="L144" s="308"/>
      <c r="M144" s="308"/>
      <c r="N144" s="308"/>
      <c r="O144" s="308"/>
      <c r="P144" s="308"/>
      <c r="Q144" s="308"/>
      <c r="R144" s="308"/>
      <c r="S144" s="308"/>
      <c r="T144" s="308"/>
      <c r="U144" s="308"/>
      <c r="V144" s="308" t="str">
        <f ca="1">IFERROR(__xludf.DUMMYFUNCTION("""COMPUTED_VALUE"""),"")</f>
        <v/>
      </c>
      <c r="W144" s="308"/>
      <c r="X144" s="308"/>
      <c r="Y144" s="308"/>
      <c r="Z144" s="308"/>
      <c r="AA144" s="308"/>
      <c r="AB144" s="308"/>
      <c r="AC144" s="308"/>
      <c r="AD144" s="308"/>
      <c r="AE144" s="308"/>
      <c r="AF144" s="308"/>
      <c r="AG144" s="308"/>
      <c r="AH144" s="308"/>
      <c r="AI144" s="308"/>
      <c r="AJ144" s="308"/>
      <c r="AK144" s="308"/>
      <c r="AL144" s="308"/>
      <c r="AM144" s="308"/>
      <c r="AN144" s="308"/>
      <c r="AO144" s="308"/>
      <c r="AP144" s="308"/>
      <c r="AQ144" s="308"/>
      <c r="AR144" s="308"/>
      <c r="AS144" s="308"/>
      <c r="AT144" s="308"/>
      <c r="AU144" s="308"/>
      <c r="AV144" s="308"/>
      <c r="AW144" s="308"/>
      <c r="AX144" s="308"/>
      <c r="AY144" s="308"/>
      <c r="AZ144" s="308"/>
      <c r="BA144" s="308"/>
      <c r="BB144" s="308"/>
      <c r="BC144" s="308"/>
      <c r="BD144" s="308"/>
      <c r="BE144" s="308"/>
      <c r="BF144" s="308"/>
      <c r="BG144" s="308"/>
      <c r="BH144" s="308"/>
      <c r="BI144" s="308"/>
      <c r="BJ144" s="308"/>
      <c r="BK144" s="308"/>
      <c r="BL144" s="308"/>
      <c r="BM144" s="308"/>
      <c r="BN144" s="308"/>
      <c r="BO144" s="308"/>
      <c r="BP144" s="308"/>
      <c r="BQ144" s="308"/>
      <c r="BR144" s="308"/>
      <c r="BS144" s="308"/>
    </row>
    <row r="145" spans="1:71" ht="15.75" customHeight="1">
      <c r="A145" s="308"/>
      <c r="B145" s="308"/>
      <c r="C145" s="308"/>
      <c r="D145" s="308"/>
      <c r="E145" s="308"/>
      <c r="F145" s="308"/>
      <c r="G145" s="339"/>
      <c r="H145" s="308"/>
      <c r="I145" s="308"/>
      <c r="J145" s="308"/>
      <c r="K145" s="308"/>
      <c r="L145" s="308"/>
      <c r="M145" s="308"/>
      <c r="N145" s="308"/>
      <c r="O145" s="308"/>
      <c r="P145" s="308"/>
      <c r="Q145" s="308"/>
      <c r="R145" s="308"/>
      <c r="S145" s="308"/>
      <c r="T145" s="308"/>
      <c r="U145" s="308"/>
      <c r="V145" s="308" t="str">
        <f ca="1">IFERROR(__xludf.DUMMYFUNCTION("""COMPUTED_VALUE"""),"")</f>
        <v/>
      </c>
      <c r="W145" s="308"/>
      <c r="X145" s="308"/>
      <c r="Y145" s="308"/>
      <c r="Z145" s="308"/>
      <c r="AA145" s="308"/>
      <c r="AB145" s="308"/>
      <c r="AC145" s="308"/>
      <c r="AD145" s="308"/>
      <c r="AE145" s="308"/>
      <c r="AF145" s="308"/>
      <c r="AG145" s="308"/>
      <c r="AH145" s="308"/>
      <c r="AI145" s="308"/>
      <c r="AJ145" s="308"/>
      <c r="AK145" s="308"/>
      <c r="AL145" s="308"/>
      <c r="AM145" s="308"/>
      <c r="AN145" s="308"/>
      <c r="AO145" s="308"/>
      <c r="AP145" s="308"/>
      <c r="AQ145" s="308"/>
      <c r="AR145" s="308"/>
      <c r="AS145" s="308"/>
      <c r="AT145" s="308"/>
      <c r="AU145" s="308"/>
      <c r="AV145" s="308"/>
      <c r="AW145" s="308"/>
      <c r="AX145" s="308"/>
      <c r="AY145" s="308"/>
      <c r="AZ145" s="308"/>
      <c r="BA145" s="308"/>
      <c r="BB145" s="308"/>
      <c r="BC145" s="308"/>
      <c r="BD145" s="308"/>
      <c r="BE145" s="308"/>
      <c r="BF145" s="308"/>
      <c r="BG145" s="308"/>
      <c r="BH145" s="308"/>
      <c r="BI145" s="308"/>
      <c r="BJ145" s="308"/>
      <c r="BK145" s="308"/>
      <c r="BL145" s="308"/>
      <c r="BM145" s="308"/>
      <c r="BN145" s="308"/>
      <c r="BO145" s="308"/>
      <c r="BP145" s="308"/>
      <c r="BQ145" s="308"/>
      <c r="BR145" s="308"/>
      <c r="BS145" s="308"/>
    </row>
    <row r="146" spans="1:71" ht="15.75" customHeight="1">
      <c r="A146" s="308"/>
      <c r="B146" s="308"/>
      <c r="C146" s="308"/>
      <c r="D146" s="308"/>
      <c r="E146" s="308"/>
      <c r="F146" s="308"/>
      <c r="G146" s="339"/>
      <c r="H146" s="308"/>
      <c r="I146" s="308"/>
      <c r="J146" s="308"/>
      <c r="K146" s="308"/>
      <c r="L146" s="308"/>
      <c r="M146" s="308"/>
      <c r="N146" s="308"/>
      <c r="O146" s="308"/>
      <c r="P146" s="308"/>
      <c r="Q146" s="308"/>
      <c r="R146" s="308"/>
      <c r="S146" s="308"/>
      <c r="T146" s="308"/>
      <c r="U146" s="308"/>
      <c r="V146" s="308" t="str">
        <f ca="1">IFERROR(__xludf.DUMMYFUNCTION("""COMPUTED_VALUE"""),"")</f>
        <v/>
      </c>
      <c r="W146" s="308"/>
      <c r="X146" s="308"/>
      <c r="Y146" s="308"/>
      <c r="Z146" s="308"/>
      <c r="AA146" s="308"/>
      <c r="AB146" s="308"/>
      <c r="AC146" s="308"/>
      <c r="AD146" s="308"/>
      <c r="AE146" s="308"/>
      <c r="AF146" s="308"/>
      <c r="AG146" s="308"/>
      <c r="AH146" s="308"/>
      <c r="AI146" s="308"/>
      <c r="AJ146" s="308"/>
      <c r="AK146" s="308"/>
      <c r="AL146" s="308"/>
      <c r="AM146" s="308"/>
      <c r="AN146" s="308"/>
      <c r="AO146" s="308"/>
      <c r="AP146" s="308"/>
      <c r="AQ146" s="308"/>
      <c r="AR146" s="308"/>
      <c r="AS146" s="308"/>
      <c r="AT146" s="308"/>
      <c r="AU146" s="308"/>
      <c r="AV146" s="308"/>
      <c r="AW146" s="308"/>
      <c r="AX146" s="308"/>
      <c r="AY146" s="308"/>
      <c r="AZ146" s="308"/>
      <c r="BA146" s="308"/>
      <c r="BB146" s="308"/>
      <c r="BC146" s="308"/>
      <c r="BD146" s="308"/>
      <c r="BE146" s="308"/>
      <c r="BF146" s="308"/>
      <c r="BG146" s="308"/>
      <c r="BH146" s="308"/>
      <c r="BI146" s="308"/>
      <c r="BJ146" s="308"/>
      <c r="BK146" s="308"/>
      <c r="BL146" s="308"/>
      <c r="BM146" s="308"/>
      <c r="BN146" s="308"/>
      <c r="BO146" s="308"/>
      <c r="BP146" s="308"/>
      <c r="BQ146" s="308"/>
      <c r="BR146" s="308"/>
      <c r="BS146" s="308"/>
    </row>
    <row r="147" spans="1:71" ht="15.75" customHeight="1">
      <c r="A147" s="308"/>
      <c r="B147" s="308"/>
      <c r="C147" s="308"/>
      <c r="D147" s="308"/>
      <c r="E147" s="308"/>
      <c r="F147" s="308"/>
      <c r="G147" s="340"/>
      <c r="H147" s="308"/>
      <c r="I147" s="308"/>
      <c r="J147" s="308"/>
      <c r="K147" s="308"/>
      <c r="L147" s="308"/>
      <c r="M147" s="308"/>
      <c r="N147" s="308"/>
      <c r="O147" s="308"/>
      <c r="P147" s="308"/>
      <c r="Q147" s="308"/>
      <c r="R147" s="308"/>
      <c r="S147" s="308"/>
      <c r="T147" s="308"/>
      <c r="U147" s="308"/>
      <c r="V147" s="308" t="str">
        <f ca="1">IFERROR(__xludf.DUMMYFUNCTION("""COMPUTED_VALUE"""),"")</f>
        <v/>
      </c>
      <c r="W147" s="308"/>
      <c r="X147" s="308"/>
      <c r="Y147" s="308"/>
      <c r="Z147" s="308"/>
      <c r="AA147" s="308"/>
      <c r="AB147" s="308"/>
      <c r="AC147" s="308"/>
      <c r="AD147" s="308"/>
      <c r="AE147" s="308"/>
      <c r="AF147" s="308"/>
      <c r="AG147" s="308"/>
      <c r="AH147" s="308"/>
      <c r="AI147" s="308"/>
      <c r="AJ147" s="308"/>
      <c r="AK147" s="308"/>
      <c r="AL147" s="308"/>
      <c r="AM147" s="308"/>
      <c r="AN147" s="308"/>
      <c r="AO147" s="308"/>
      <c r="AP147" s="308"/>
      <c r="AQ147" s="308"/>
      <c r="AR147" s="308"/>
      <c r="AS147" s="308"/>
      <c r="AT147" s="308"/>
      <c r="AU147" s="308"/>
      <c r="AV147" s="308"/>
      <c r="AW147" s="308"/>
      <c r="AX147" s="308"/>
      <c r="AY147" s="308"/>
      <c r="AZ147" s="308"/>
      <c r="BA147" s="308"/>
      <c r="BB147" s="308"/>
      <c r="BC147" s="308"/>
      <c r="BD147" s="308"/>
      <c r="BE147" s="308"/>
      <c r="BF147" s="308"/>
      <c r="BG147" s="308"/>
      <c r="BH147" s="308"/>
      <c r="BI147" s="308"/>
      <c r="BJ147" s="308"/>
      <c r="BK147" s="308"/>
      <c r="BL147" s="308"/>
      <c r="BM147" s="308"/>
      <c r="BN147" s="308"/>
      <c r="BO147" s="308"/>
      <c r="BP147" s="308"/>
      <c r="BQ147" s="308"/>
      <c r="BR147" s="308"/>
      <c r="BS147" s="308"/>
    </row>
    <row r="148" spans="1:71" ht="15.75" customHeight="1">
      <c r="A148" s="308"/>
      <c r="B148" s="308"/>
      <c r="C148" s="308"/>
      <c r="D148" s="308"/>
      <c r="E148" s="308"/>
      <c r="F148" s="341"/>
      <c r="G148" s="340"/>
      <c r="H148" s="308"/>
      <c r="I148" s="308"/>
      <c r="J148" s="308"/>
      <c r="K148" s="308"/>
      <c r="L148" s="308"/>
      <c r="M148" s="308"/>
      <c r="N148" s="308"/>
      <c r="O148" s="308"/>
      <c r="P148" s="308"/>
      <c r="Q148" s="308"/>
      <c r="R148" s="308"/>
      <c r="S148" s="308"/>
      <c r="T148" s="308"/>
      <c r="U148" s="308"/>
      <c r="V148" s="308" t="str">
        <f ca="1">IFERROR(__xludf.DUMMYFUNCTION("""COMPUTED_VALUE"""),"")</f>
        <v/>
      </c>
      <c r="W148" s="308"/>
      <c r="X148" s="308"/>
      <c r="Y148" s="308"/>
      <c r="Z148" s="308"/>
      <c r="AA148" s="308"/>
      <c r="AB148" s="308"/>
      <c r="AC148" s="308"/>
      <c r="AD148" s="308"/>
      <c r="AE148" s="308"/>
      <c r="AF148" s="308"/>
      <c r="AG148" s="308"/>
      <c r="AH148" s="308"/>
      <c r="AI148" s="308"/>
      <c r="AJ148" s="308"/>
      <c r="AK148" s="308"/>
      <c r="AL148" s="308"/>
      <c r="AM148" s="308"/>
      <c r="AN148" s="308"/>
      <c r="AO148" s="308"/>
      <c r="AP148" s="308"/>
      <c r="AQ148" s="308"/>
      <c r="AR148" s="308"/>
      <c r="AS148" s="308"/>
      <c r="AT148" s="308"/>
      <c r="AU148" s="308"/>
      <c r="AV148" s="308"/>
      <c r="AW148" s="308"/>
      <c r="AX148" s="308"/>
      <c r="AY148" s="308"/>
      <c r="AZ148" s="308"/>
      <c r="BA148" s="308"/>
      <c r="BB148" s="308"/>
      <c r="BC148" s="308"/>
      <c r="BD148" s="308"/>
      <c r="BE148" s="308"/>
      <c r="BF148" s="308"/>
      <c r="BG148" s="308"/>
      <c r="BH148" s="308"/>
      <c r="BI148" s="308"/>
      <c r="BJ148" s="308"/>
      <c r="BK148" s="308"/>
      <c r="BL148" s="308"/>
      <c r="BM148" s="308"/>
      <c r="BN148" s="308"/>
      <c r="BO148" s="308"/>
      <c r="BP148" s="308"/>
      <c r="BQ148" s="308"/>
      <c r="BR148" s="308"/>
      <c r="BS148" s="308"/>
    </row>
    <row r="149" spans="1:71" ht="15.75" customHeight="1">
      <c r="A149" s="308"/>
      <c r="B149" s="308"/>
      <c r="C149" s="308"/>
      <c r="D149" s="308"/>
      <c r="E149" s="308"/>
      <c r="F149" s="341"/>
      <c r="G149" s="340"/>
      <c r="H149" s="308"/>
      <c r="I149" s="308"/>
      <c r="J149" s="308"/>
      <c r="K149" s="308"/>
      <c r="L149" s="308"/>
      <c r="M149" s="308"/>
      <c r="N149" s="308"/>
      <c r="O149" s="308"/>
      <c r="P149" s="308"/>
      <c r="Q149" s="308"/>
      <c r="R149" s="308"/>
      <c r="S149" s="308"/>
      <c r="T149" s="308"/>
      <c r="U149" s="308"/>
      <c r="V149" s="308" t="str">
        <f ca="1">IFERROR(__xludf.DUMMYFUNCTION("""COMPUTED_VALUE"""),"")</f>
        <v/>
      </c>
      <c r="W149" s="308"/>
      <c r="X149" s="308"/>
      <c r="Y149" s="308"/>
      <c r="Z149" s="308"/>
      <c r="AA149" s="308"/>
      <c r="AB149" s="308"/>
      <c r="AC149" s="308"/>
      <c r="AD149" s="308"/>
      <c r="AE149" s="308"/>
      <c r="AF149" s="308"/>
      <c r="AG149" s="308"/>
      <c r="AH149" s="308"/>
      <c r="AI149" s="308"/>
      <c r="AJ149" s="308"/>
      <c r="AK149" s="308"/>
      <c r="AL149" s="308"/>
      <c r="AM149" s="308"/>
      <c r="AN149" s="308"/>
      <c r="AO149" s="308"/>
      <c r="AP149" s="308"/>
      <c r="AQ149" s="308"/>
      <c r="AR149" s="308"/>
      <c r="AS149" s="308"/>
      <c r="AT149" s="308"/>
      <c r="AU149" s="308"/>
      <c r="AV149" s="308"/>
      <c r="AW149" s="308"/>
      <c r="AX149" s="308"/>
      <c r="AY149" s="308"/>
      <c r="AZ149" s="308"/>
      <c r="BA149" s="308"/>
      <c r="BB149" s="308"/>
      <c r="BC149" s="308"/>
      <c r="BD149" s="308"/>
      <c r="BE149" s="308"/>
      <c r="BF149" s="308"/>
      <c r="BG149" s="308"/>
      <c r="BH149" s="308"/>
      <c r="BI149" s="308"/>
      <c r="BJ149" s="308"/>
      <c r="BK149" s="308"/>
      <c r="BL149" s="308"/>
      <c r="BM149" s="308"/>
      <c r="BN149" s="308"/>
      <c r="BO149" s="308"/>
      <c r="BP149" s="308"/>
      <c r="BQ149" s="308"/>
      <c r="BR149" s="308"/>
      <c r="BS149" s="308"/>
    </row>
    <row r="150" spans="1:71" ht="15.75" customHeight="1">
      <c r="A150" s="308"/>
      <c r="B150" s="308"/>
      <c r="C150" s="308"/>
      <c r="D150" s="308"/>
      <c r="E150" s="308"/>
      <c r="F150" s="341"/>
      <c r="G150" s="340"/>
      <c r="H150" s="308"/>
      <c r="I150" s="308"/>
      <c r="J150" s="308"/>
      <c r="K150" s="308"/>
      <c r="L150" s="308"/>
      <c r="M150" s="308"/>
      <c r="N150" s="308"/>
      <c r="O150" s="308"/>
      <c r="P150" s="308"/>
      <c r="Q150" s="308"/>
      <c r="R150" s="308"/>
      <c r="S150" s="308"/>
      <c r="T150" s="308"/>
      <c r="U150" s="308"/>
      <c r="V150" s="308" t="str">
        <f ca="1">IFERROR(__xludf.DUMMYFUNCTION("""COMPUTED_VALUE"""),"")</f>
        <v/>
      </c>
      <c r="W150" s="308"/>
      <c r="X150" s="308"/>
      <c r="Y150" s="308"/>
      <c r="Z150" s="308"/>
      <c r="AA150" s="308"/>
      <c r="AB150" s="308"/>
      <c r="AC150" s="308"/>
      <c r="AD150" s="308"/>
      <c r="AE150" s="308"/>
      <c r="AF150" s="308"/>
      <c r="AG150" s="308"/>
      <c r="AH150" s="308"/>
      <c r="AI150" s="308"/>
      <c r="AJ150" s="308"/>
      <c r="AK150" s="308"/>
      <c r="AL150" s="308"/>
      <c r="AM150" s="308"/>
      <c r="AN150" s="308"/>
      <c r="AO150" s="308"/>
      <c r="AP150" s="308"/>
      <c r="AQ150" s="308"/>
      <c r="AR150" s="308"/>
      <c r="AS150" s="308"/>
      <c r="AT150" s="308"/>
      <c r="AU150" s="308"/>
      <c r="AV150" s="308"/>
      <c r="AW150" s="308"/>
      <c r="AX150" s="308"/>
      <c r="AY150" s="308"/>
      <c r="AZ150" s="308"/>
      <c r="BA150" s="308"/>
      <c r="BB150" s="308"/>
      <c r="BC150" s="308"/>
      <c r="BD150" s="308"/>
      <c r="BE150" s="308"/>
      <c r="BF150" s="308"/>
      <c r="BG150" s="308"/>
      <c r="BH150" s="308"/>
      <c r="BI150" s="308"/>
      <c r="BJ150" s="308"/>
      <c r="BK150" s="308"/>
      <c r="BL150" s="308"/>
      <c r="BM150" s="308"/>
      <c r="BN150" s="308"/>
      <c r="BO150" s="308"/>
      <c r="BP150" s="308"/>
      <c r="BQ150" s="308"/>
      <c r="BR150" s="308"/>
      <c r="BS150" s="308"/>
    </row>
    <row r="151" spans="1:71" ht="15.75" customHeight="1">
      <c r="A151" s="308"/>
      <c r="B151" s="308"/>
      <c r="C151" s="308"/>
      <c r="D151" s="308"/>
      <c r="E151" s="308"/>
      <c r="F151" s="341"/>
      <c r="G151" s="340"/>
      <c r="H151" s="308"/>
      <c r="I151" s="308"/>
      <c r="J151" s="308"/>
      <c r="K151" s="308"/>
      <c r="L151" s="308"/>
      <c r="M151" s="308"/>
      <c r="N151" s="308"/>
      <c r="O151" s="308"/>
      <c r="P151" s="308"/>
      <c r="Q151" s="308"/>
      <c r="R151" s="308"/>
      <c r="S151" s="308"/>
      <c r="T151" s="308"/>
      <c r="U151" s="308"/>
      <c r="V151" s="308" t="str">
        <f ca="1">IFERROR(__xludf.DUMMYFUNCTION("""COMPUTED_VALUE"""),"")</f>
        <v/>
      </c>
      <c r="W151" s="308"/>
      <c r="X151" s="308"/>
      <c r="Y151" s="308"/>
      <c r="Z151" s="308"/>
      <c r="AA151" s="308"/>
      <c r="AB151" s="308"/>
      <c r="AC151" s="308"/>
      <c r="AD151" s="308"/>
      <c r="AE151" s="308"/>
      <c r="AF151" s="308"/>
      <c r="AG151" s="308"/>
      <c r="AH151" s="308"/>
      <c r="AI151" s="308"/>
      <c r="AJ151" s="308"/>
      <c r="AK151" s="308"/>
      <c r="AL151" s="308"/>
      <c r="AM151" s="308"/>
      <c r="AN151" s="308"/>
      <c r="AO151" s="308"/>
      <c r="AP151" s="308"/>
      <c r="AQ151" s="308"/>
      <c r="AR151" s="308"/>
      <c r="AS151" s="308"/>
      <c r="AT151" s="308"/>
      <c r="AU151" s="308"/>
      <c r="AV151" s="308"/>
      <c r="AW151" s="308"/>
      <c r="AX151" s="308"/>
      <c r="AY151" s="308"/>
      <c r="AZ151" s="308"/>
      <c r="BA151" s="308"/>
      <c r="BB151" s="308"/>
      <c r="BC151" s="308"/>
      <c r="BD151" s="308"/>
      <c r="BE151" s="308"/>
      <c r="BF151" s="308"/>
      <c r="BG151" s="308"/>
      <c r="BH151" s="308"/>
      <c r="BI151" s="308"/>
      <c r="BJ151" s="308"/>
      <c r="BK151" s="308"/>
      <c r="BL151" s="308"/>
      <c r="BM151" s="308"/>
      <c r="BN151" s="308"/>
      <c r="BO151" s="308"/>
      <c r="BP151" s="308"/>
      <c r="BQ151" s="308"/>
      <c r="BR151" s="308"/>
      <c r="BS151" s="308"/>
    </row>
    <row r="152" spans="1:71" ht="15.75" customHeight="1">
      <c r="A152" s="308"/>
      <c r="B152" s="308"/>
      <c r="C152" s="308"/>
      <c r="D152" s="308"/>
      <c r="E152" s="308"/>
      <c r="F152" s="341"/>
      <c r="G152" s="340"/>
      <c r="H152" s="308"/>
      <c r="I152" s="308"/>
      <c r="J152" s="308"/>
      <c r="K152" s="308"/>
      <c r="L152" s="308"/>
      <c r="M152" s="308"/>
      <c r="N152" s="308"/>
      <c r="O152" s="308"/>
      <c r="P152" s="308"/>
      <c r="Q152" s="308"/>
      <c r="R152" s="308"/>
      <c r="S152" s="308"/>
      <c r="T152" s="308"/>
      <c r="U152" s="308"/>
      <c r="V152" s="308" t="str">
        <f ca="1">IFERROR(__xludf.DUMMYFUNCTION("""COMPUTED_VALUE"""),"")</f>
        <v/>
      </c>
      <c r="W152" s="308"/>
      <c r="X152" s="308"/>
      <c r="Y152" s="308"/>
      <c r="Z152" s="308"/>
      <c r="AA152" s="308"/>
      <c r="AB152" s="308"/>
      <c r="AC152" s="308"/>
      <c r="AD152" s="308"/>
      <c r="AE152" s="308"/>
      <c r="AF152" s="308"/>
      <c r="AG152" s="308"/>
      <c r="AH152" s="308"/>
      <c r="AI152" s="308"/>
      <c r="AJ152" s="308"/>
      <c r="AK152" s="308"/>
      <c r="AL152" s="308"/>
      <c r="AM152" s="308"/>
      <c r="AN152" s="308"/>
      <c r="AO152" s="308"/>
      <c r="AP152" s="308"/>
      <c r="AQ152" s="308"/>
      <c r="AR152" s="308"/>
      <c r="AS152" s="308"/>
      <c r="AT152" s="308"/>
      <c r="AU152" s="308"/>
      <c r="AV152" s="308"/>
      <c r="AW152" s="308"/>
      <c r="AX152" s="308"/>
      <c r="AY152" s="308"/>
      <c r="AZ152" s="308"/>
      <c r="BA152" s="308"/>
      <c r="BB152" s="308"/>
      <c r="BC152" s="308"/>
      <c r="BD152" s="308"/>
      <c r="BE152" s="308"/>
      <c r="BF152" s="308"/>
      <c r="BG152" s="308"/>
      <c r="BH152" s="308"/>
      <c r="BI152" s="308"/>
      <c r="BJ152" s="308"/>
      <c r="BK152" s="308"/>
      <c r="BL152" s="308"/>
      <c r="BM152" s="308"/>
      <c r="BN152" s="308"/>
      <c r="BO152" s="308"/>
      <c r="BP152" s="308"/>
      <c r="BQ152" s="308"/>
      <c r="BR152" s="308"/>
      <c r="BS152" s="308"/>
    </row>
    <row r="153" spans="1:71" ht="15.75" customHeight="1">
      <c r="A153" s="308"/>
      <c r="B153" s="308"/>
      <c r="C153" s="308"/>
      <c r="D153" s="308"/>
      <c r="E153" s="308"/>
      <c r="F153" s="341"/>
      <c r="G153" s="340"/>
      <c r="H153" s="308"/>
      <c r="I153" s="308"/>
      <c r="J153" s="308"/>
      <c r="K153" s="308"/>
      <c r="L153" s="308"/>
      <c r="M153" s="308"/>
      <c r="N153" s="308"/>
      <c r="O153" s="308"/>
      <c r="P153" s="308"/>
      <c r="Q153" s="308"/>
      <c r="R153" s="308"/>
      <c r="S153" s="308"/>
      <c r="T153" s="308"/>
      <c r="U153" s="308"/>
      <c r="V153" s="308" t="str">
        <f ca="1">IFERROR(__xludf.DUMMYFUNCTION("""COMPUTED_VALUE"""),"")</f>
        <v/>
      </c>
      <c r="W153" s="308"/>
      <c r="X153" s="308"/>
      <c r="Y153" s="308"/>
      <c r="Z153" s="308"/>
      <c r="AA153" s="308"/>
      <c r="AB153" s="308"/>
      <c r="AC153" s="308"/>
      <c r="AD153" s="308"/>
      <c r="AE153" s="308"/>
      <c r="AF153" s="308"/>
      <c r="AG153" s="308"/>
      <c r="AH153" s="308"/>
      <c r="AI153" s="308"/>
      <c r="AJ153" s="308"/>
      <c r="AK153" s="308"/>
      <c r="AL153" s="308"/>
      <c r="AM153" s="308"/>
      <c r="AN153" s="308"/>
      <c r="AO153" s="308"/>
      <c r="AP153" s="308"/>
      <c r="AQ153" s="308"/>
      <c r="AR153" s="308"/>
      <c r="AS153" s="308"/>
      <c r="AT153" s="308"/>
      <c r="AU153" s="308"/>
      <c r="AV153" s="308"/>
      <c r="AW153" s="308"/>
      <c r="AX153" s="308"/>
      <c r="AY153" s="308"/>
      <c r="AZ153" s="308"/>
      <c r="BA153" s="308"/>
      <c r="BB153" s="308"/>
      <c r="BC153" s="308"/>
      <c r="BD153" s="308"/>
      <c r="BE153" s="308"/>
      <c r="BF153" s="308"/>
      <c r="BG153" s="308"/>
      <c r="BH153" s="308"/>
      <c r="BI153" s="308"/>
      <c r="BJ153" s="308"/>
      <c r="BK153" s="308"/>
      <c r="BL153" s="308"/>
      <c r="BM153" s="308"/>
      <c r="BN153" s="308"/>
      <c r="BO153" s="308"/>
      <c r="BP153" s="308"/>
      <c r="BQ153" s="308"/>
      <c r="BR153" s="308"/>
      <c r="BS153" s="308"/>
    </row>
    <row r="154" spans="1:71" ht="15.75" customHeight="1">
      <c r="A154" s="308"/>
      <c r="B154" s="308"/>
      <c r="C154" s="308"/>
      <c r="D154" s="308"/>
      <c r="E154" s="308"/>
      <c r="F154" s="341"/>
      <c r="G154" s="340"/>
      <c r="H154" s="308"/>
      <c r="I154" s="308"/>
      <c r="J154" s="308"/>
      <c r="K154" s="308"/>
      <c r="L154" s="308"/>
      <c r="M154" s="308"/>
      <c r="N154" s="308"/>
      <c r="O154" s="308"/>
      <c r="P154" s="308"/>
      <c r="Q154" s="308"/>
      <c r="R154" s="308"/>
      <c r="S154" s="308"/>
      <c r="T154" s="308"/>
      <c r="U154" s="308"/>
      <c r="V154" s="308" t="str">
        <f ca="1">IFERROR(__xludf.DUMMYFUNCTION("""COMPUTED_VALUE"""),"")</f>
        <v/>
      </c>
      <c r="W154" s="308"/>
      <c r="X154" s="308"/>
      <c r="Y154" s="308"/>
      <c r="Z154" s="308"/>
      <c r="AA154" s="308"/>
      <c r="AB154" s="308"/>
      <c r="AC154" s="308"/>
      <c r="AD154" s="308"/>
      <c r="AE154" s="308"/>
      <c r="AF154" s="308"/>
      <c r="AG154" s="308"/>
      <c r="AH154" s="308"/>
      <c r="AI154" s="308"/>
      <c r="AJ154" s="308"/>
      <c r="AK154" s="308"/>
      <c r="AL154" s="308"/>
      <c r="AM154" s="308"/>
      <c r="AN154" s="308"/>
      <c r="AO154" s="308"/>
      <c r="AP154" s="308"/>
      <c r="AQ154" s="308"/>
      <c r="AR154" s="308"/>
      <c r="AS154" s="308"/>
      <c r="AT154" s="308"/>
      <c r="AU154" s="308"/>
      <c r="AV154" s="308"/>
      <c r="AW154" s="308"/>
      <c r="AX154" s="308"/>
      <c r="AY154" s="308"/>
      <c r="AZ154" s="308"/>
      <c r="BA154" s="308"/>
      <c r="BB154" s="308"/>
      <c r="BC154" s="308"/>
      <c r="BD154" s="308"/>
      <c r="BE154" s="308"/>
      <c r="BF154" s="308"/>
      <c r="BG154" s="308"/>
      <c r="BH154" s="308"/>
      <c r="BI154" s="308"/>
      <c r="BJ154" s="308"/>
      <c r="BK154" s="308"/>
      <c r="BL154" s="308"/>
      <c r="BM154" s="308"/>
      <c r="BN154" s="308"/>
      <c r="BO154" s="308"/>
      <c r="BP154" s="308"/>
      <c r="BQ154" s="308"/>
      <c r="BR154" s="308"/>
      <c r="BS154" s="308"/>
    </row>
    <row r="155" spans="1:71" ht="15.75" customHeight="1">
      <c r="A155" s="308"/>
      <c r="B155" s="308"/>
      <c r="C155" s="308"/>
      <c r="D155" s="308"/>
      <c r="E155" s="308"/>
      <c r="F155" s="341"/>
      <c r="G155" s="340"/>
      <c r="H155" s="308"/>
      <c r="I155" s="308"/>
      <c r="J155" s="308"/>
      <c r="K155" s="308"/>
      <c r="L155" s="308"/>
      <c r="M155" s="308"/>
      <c r="N155" s="308"/>
      <c r="O155" s="308"/>
      <c r="P155" s="308"/>
      <c r="Q155" s="308"/>
      <c r="R155" s="308"/>
      <c r="S155" s="308"/>
      <c r="T155" s="308"/>
      <c r="U155" s="308"/>
      <c r="V155" s="308" t="str">
        <f ca="1">IFERROR(__xludf.DUMMYFUNCTION("""COMPUTED_VALUE"""),"")</f>
        <v/>
      </c>
      <c r="W155" s="308"/>
      <c r="X155" s="308"/>
      <c r="Y155" s="308"/>
      <c r="Z155" s="308"/>
      <c r="AA155" s="308"/>
      <c r="AB155" s="308"/>
      <c r="AC155" s="308"/>
      <c r="AD155" s="308"/>
      <c r="AE155" s="308"/>
      <c r="AF155" s="308"/>
      <c r="AG155" s="308"/>
      <c r="AH155" s="308"/>
      <c r="AI155" s="308"/>
      <c r="AJ155" s="308"/>
      <c r="AK155" s="308"/>
      <c r="AL155" s="308"/>
      <c r="AM155" s="308"/>
      <c r="AN155" s="308"/>
      <c r="AO155" s="308"/>
      <c r="AP155" s="308"/>
      <c r="AQ155" s="308"/>
      <c r="AR155" s="308"/>
      <c r="AS155" s="308"/>
      <c r="AT155" s="308"/>
      <c r="AU155" s="308"/>
      <c r="AV155" s="308"/>
      <c r="AW155" s="308"/>
      <c r="AX155" s="308"/>
      <c r="AY155" s="308"/>
      <c r="AZ155" s="308"/>
      <c r="BA155" s="308"/>
      <c r="BB155" s="308"/>
      <c r="BC155" s="308"/>
      <c r="BD155" s="308"/>
      <c r="BE155" s="308"/>
      <c r="BF155" s="308"/>
      <c r="BG155" s="308"/>
      <c r="BH155" s="308"/>
      <c r="BI155" s="308"/>
      <c r="BJ155" s="308"/>
      <c r="BK155" s="308"/>
      <c r="BL155" s="308"/>
      <c r="BM155" s="308"/>
      <c r="BN155" s="308"/>
      <c r="BO155" s="308"/>
      <c r="BP155" s="308"/>
      <c r="BQ155" s="308"/>
      <c r="BR155" s="308"/>
      <c r="BS155" s="308"/>
    </row>
    <row r="156" spans="1:71" ht="15.75" customHeight="1">
      <c r="A156" s="308"/>
      <c r="B156" s="308"/>
      <c r="C156" s="308"/>
      <c r="D156" s="308"/>
      <c r="E156" s="308"/>
      <c r="F156" s="341"/>
      <c r="G156" s="340"/>
      <c r="H156" s="308"/>
      <c r="I156" s="308"/>
      <c r="J156" s="308"/>
      <c r="K156" s="308"/>
      <c r="L156" s="308"/>
      <c r="M156" s="308"/>
      <c r="N156" s="308"/>
      <c r="O156" s="308"/>
      <c r="P156" s="308"/>
      <c r="Q156" s="308"/>
      <c r="R156" s="308"/>
      <c r="S156" s="308"/>
      <c r="T156" s="308"/>
      <c r="U156" s="308"/>
      <c r="V156" s="308" t="str">
        <f ca="1">IFERROR(__xludf.DUMMYFUNCTION("""COMPUTED_VALUE"""),"")</f>
        <v/>
      </c>
      <c r="W156" s="308"/>
      <c r="X156" s="308"/>
      <c r="Y156" s="308"/>
      <c r="Z156" s="308"/>
      <c r="AA156" s="308"/>
      <c r="AB156" s="308"/>
      <c r="AC156" s="308"/>
      <c r="AD156" s="308"/>
      <c r="AE156" s="308"/>
      <c r="AF156" s="308"/>
      <c r="AG156" s="308"/>
      <c r="AH156" s="308"/>
      <c r="AI156" s="308"/>
      <c r="AJ156" s="308"/>
      <c r="AK156" s="308"/>
      <c r="AL156" s="308"/>
      <c r="AM156" s="308"/>
      <c r="AN156" s="308"/>
      <c r="AO156" s="308"/>
      <c r="AP156" s="308"/>
      <c r="AQ156" s="308"/>
      <c r="AR156" s="308"/>
      <c r="AS156" s="308"/>
      <c r="AT156" s="308"/>
      <c r="AU156" s="308"/>
      <c r="AV156" s="308"/>
      <c r="AW156" s="308"/>
      <c r="AX156" s="308"/>
      <c r="AY156" s="308"/>
      <c r="AZ156" s="308"/>
      <c r="BA156" s="308"/>
      <c r="BB156" s="308"/>
      <c r="BC156" s="308"/>
      <c r="BD156" s="308"/>
      <c r="BE156" s="308"/>
      <c r="BF156" s="308"/>
      <c r="BG156" s="308"/>
      <c r="BH156" s="308"/>
      <c r="BI156" s="308"/>
      <c r="BJ156" s="308"/>
      <c r="BK156" s="308"/>
      <c r="BL156" s="308"/>
      <c r="BM156" s="308"/>
      <c r="BN156" s="308"/>
      <c r="BO156" s="308"/>
      <c r="BP156" s="308"/>
      <c r="BQ156" s="308"/>
      <c r="BR156" s="308"/>
      <c r="BS156" s="308"/>
    </row>
    <row r="157" spans="1:71" ht="15.75" customHeight="1">
      <c r="A157" s="308"/>
      <c r="B157" s="308"/>
      <c r="C157" s="308"/>
      <c r="D157" s="308"/>
      <c r="E157" s="308"/>
      <c r="F157" s="341"/>
      <c r="G157" s="340"/>
      <c r="H157" s="308"/>
      <c r="I157" s="308"/>
      <c r="J157" s="308"/>
      <c r="K157" s="308"/>
      <c r="L157" s="308"/>
      <c r="M157" s="308"/>
      <c r="N157" s="308"/>
      <c r="O157" s="308"/>
      <c r="P157" s="308"/>
      <c r="Q157" s="308"/>
      <c r="R157" s="308"/>
      <c r="S157" s="308"/>
      <c r="T157" s="308"/>
      <c r="U157" s="308"/>
      <c r="V157" s="308" t="str">
        <f ca="1">IFERROR(__xludf.DUMMYFUNCTION("""COMPUTED_VALUE"""),"")</f>
        <v/>
      </c>
      <c r="W157" s="308"/>
      <c r="X157" s="308"/>
      <c r="Y157" s="308"/>
      <c r="Z157" s="308"/>
      <c r="AA157" s="308"/>
      <c r="AB157" s="308"/>
      <c r="AC157" s="308"/>
      <c r="AD157" s="308"/>
      <c r="AE157" s="308"/>
      <c r="AF157" s="308"/>
      <c r="AG157" s="308"/>
      <c r="AH157" s="308"/>
      <c r="AI157" s="308"/>
      <c r="AJ157" s="308"/>
      <c r="AK157" s="308"/>
      <c r="AL157" s="308"/>
      <c r="AM157" s="308"/>
      <c r="AN157" s="308"/>
      <c r="AO157" s="308"/>
      <c r="AP157" s="308"/>
      <c r="AQ157" s="308"/>
      <c r="AR157" s="308"/>
      <c r="AS157" s="308"/>
      <c r="AT157" s="308"/>
      <c r="AU157" s="308"/>
      <c r="AV157" s="308"/>
      <c r="AW157" s="308"/>
      <c r="AX157" s="308"/>
      <c r="AY157" s="308"/>
      <c r="AZ157" s="308"/>
      <c r="BA157" s="308"/>
      <c r="BB157" s="308"/>
      <c r="BC157" s="308"/>
      <c r="BD157" s="308"/>
      <c r="BE157" s="308"/>
      <c r="BF157" s="308"/>
      <c r="BG157" s="308"/>
      <c r="BH157" s="308"/>
      <c r="BI157" s="308"/>
      <c r="BJ157" s="308"/>
      <c r="BK157" s="308"/>
      <c r="BL157" s="308"/>
      <c r="BM157" s="308"/>
      <c r="BN157" s="308"/>
      <c r="BO157" s="308"/>
      <c r="BP157" s="308"/>
      <c r="BQ157" s="308"/>
      <c r="BR157" s="308"/>
      <c r="BS157" s="308"/>
    </row>
    <row r="158" spans="1:71" ht="15.75" customHeight="1">
      <c r="A158" s="308"/>
      <c r="B158" s="308"/>
      <c r="C158" s="308"/>
      <c r="D158" s="308"/>
      <c r="E158" s="308"/>
      <c r="F158" s="341"/>
      <c r="G158" s="340"/>
      <c r="H158" s="308"/>
      <c r="I158" s="308"/>
      <c r="J158" s="308"/>
      <c r="K158" s="308"/>
      <c r="L158" s="308"/>
      <c r="M158" s="308"/>
      <c r="N158" s="308"/>
      <c r="O158" s="308"/>
      <c r="P158" s="308"/>
      <c r="Q158" s="308"/>
      <c r="R158" s="308"/>
      <c r="S158" s="308"/>
      <c r="T158" s="308"/>
      <c r="U158" s="308"/>
      <c r="V158" s="308" t="str">
        <f ca="1">IFERROR(__xludf.DUMMYFUNCTION("""COMPUTED_VALUE"""),"")</f>
        <v/>
      </c>
      <c r="W158" s="308"/>
      <c r="X158" s="308"/>
      <c r="Y158" s="308"/>
      <c r="Z158" s="308"/>
      <c r="AA158" s="308"/>
      <c r="AB158" s="308"/>
      <c r="AC158" s="308"/>
      <c r="AD158" s="308"/>
      <c r="AE158" s="308"/>
      <c r="AF158" s="308"/>
      <c r="AG158" s="308"/>
      <c r="AH158" s="308"/>
      <c r="AI158" s="308"/>
      <c r="AJ158" s="308"/>
      <c r="AK158" s="308"/>
      <c r="AL158" s="308"/>
      <c r="AM158" s="308"/>
      <c r="AN158" s="308"/>
      <c r="AO158" s="308"/>
      <c r="AP158" s="308"/>
      <c r="AQ158" s="308"/>
      <c r="AR158" s="308"/>
      <c r="AS158" s="308"/>
      <c r="AT158" s="308"/>
      <c r="AU158" s="308"/>
      <c r="AV158" s="308"/>
      <c r="AW158" s="308"/>
      <c r="AX158" s="308"/>
      <c r="AY158" s="308"/>
      <c r="AZ158" s="308"/>
      <c r="BA158" s="308"/>
      <c r="BB158" s="308"/>
      <c r="BC158" s="308"/>
      <c r="BD158" s="308"/>
      <c r="BE158" s="308"/>
      <c r="BF158" s="308"/>
      <c r="BG158" s="308"/>
      <c r="BH158" s="308"/>
      <c r="BI158" s="308"/>
      <c r="BJ158" s="308"/>
      <c r="BK158" s="308"/>
      <c r="BL158" s="308"/>
      <c r="BM158" s="308"/>
      <c r="BN158" s="308"/>
      <c r="BO158" s="308"/>
      <c r="BP158" s="308"/>
      <c r="BQ158" s="308"/>
      <c r="BR158" s="308"/>
      <c r="BS158" s="308"/>
    </row>
    <row r="159" spans="1:71" ht="15.75" customHeight="1">
      <c r="A159" s="308"/>
      <c r="B159" s="308"/>
      <c r="C159" s="308"/>
      <c r="D159" s="308"/>
      <c r="E159" s="308"/>
      <c r="F159" s="341"/>
      <c r="G159" s="340"/>
      <c r="H159" s="308"/>
      <c r="I159" s="308"/>
      <c r="J159" s="308"/>
      <c r="K159" s="308"/>
      <c r="L159" s="308"/>
      <c r="M159" s="308"/>
      <c r="N159" s="308"/>
      <c r="O159" s="308"/>
      <c r="P159" s="308"/>
      <c r="Q159" s="308"/>
      <c r="R159" s="308"/>
      <c r="S159" s="308"/>
      <c r="T159" s="308"/>
      <c r="U159" s="308"/>
      <c r="V159" s="308" t="str">
        <f ca="1">IFERROR(__xludf.DUMMYFUNCTION("""COMPUTED_VALUE"""),"")</f>
        <v/>
      </c>
      <c r="W159" s="308"/>
      <c r="X159" s="308"/>
      <c r="Y159" s="308"/>
      <c r="Z159" s="308"/>
      <c r="AA159" s="308"/>
      <c r="AB159" s="308"/>
      <c r="AC159" s="308"/>
      <c r="AD159" s="308"/>
      <c r="AE159" s="308"/>
      <c r="AF159" s="308"/>
      <c r="AG159" s="308"/>
      <c r="AH159" s="308"/>
      <c r="AI159" s="308"/>
      <c r="AJ159" s="308"/>
      <c r="AK159" s="308"/>
      <c r="AL159" s="308"/>
      <c r="AM159" s="308"/>
      <c r="AN159" s="308"/>
      <c r="AO159" s="308"/>
      <c r="AP159" s="308"/>
      <c r="AQ159" s="308"/>
      <c r="AR159" s="308"/>
      <c r="AS159" s="308"/>
      <c r="AT159" s="308"/>
      <c r="AU159" s="308"/>
      <c r="AV159" s="308"/>
      <c r="AW159" s="308"/>
      <c r="AX159" s="308"/>
      <c r="AY159" s="308"/>
      <c r="AZ159" s="308"/>
      <c r="BA159" s="308"/>
      <c r="BB159" s="308"/>
      <c r="BC159" s="308"/>
      <c r="BD159" s="308"/>
      <c r="BE159" s="308"/>
      <c r="BF159" s="308"/>
      <c r="BG159" s="308"/>
      <c r="BH159" s="308"/>
      <c r="BI159" s="308"/>
      <c r="BJ159" s="308"/>
      <c r="BK159" s="308"/>
      <c r="BL159" s="308"/>
      <c r="BM159" s="308"/>
      <c r="BN159" s="308"/>
      <c r="BO159" s="308"/>
      <c r="BP159" s="308"/>
      <c r="BQ159" s="308"/>
      <c r="BR159" s="308"/>
      <c r="BS159" s="308"/>
    </row>
    <row r="160" spans="1:71" ht="15.75" customHeight="1">
      <c r="A160" s="308"/>
      <c r="B160" s="308"/>
      <c r="C160" s="308"/>
      <c r="D160" s="308"/>
      <c r="E160" s="308"/>
      <c r="F160" s="341"/>
      <c r="G160" s="340"/>
      <c r="H160" s="308"/>
      <c r="I160" s="308"/>
      <c r="J160" s="308"/>
      <c r="K160" s="308"/>
      <c r="L160" s="308"/>
      <c r="M160" s="308"/>
      <c r="N160" s="308"/>
      <c r="O160" s="308"/>
      <c r="P160" s="308"/>
      <c r="Q160" s="308"/>
      <c r="R160" s="308"/>
      <c r="S160" s="308"/>
      <c r="T160" s="308"/>
      <c r="U160" s="308"/>
      <c r="V160" s="308" t="str">
        <f ca="1">IFERROR(__xludf.DUMMYFUNCTION("""COMPUTED_VALUE"""),"")</f>
        <v/>
      </c>
      <c r="W160" s="308"/>
      <c r="X160" s="308"/>
      <c r="Y160" s="308"/>
      <c r="Z160" s="308"/>
      <c r="AA160" s="308"/>
      <c r="AB160" s="308"/>
      <c r="AC160" s="308"/>
      <c r="AD160" s="308"/>
      <c r="AE160" s="308"/>
      <c r="AF160" s="308"/>
      <c r="AG160" s="308"/>
      <c r="AH160" s="308"/>
      <c r="AI160" s="308"/>
      <c r="AJ160" s="308"/>
      <c r="AK160" s="308"/>
      <c r="AL160" s="308"/>
      <c r="AM160" s="308"/>
      <c r="AN160" s="308"/>
      <c r="AO160" s="308"/>
      <c r="AP160" s="308"/>
      <c r="AQ160" s="308"/>
      <c r="AR160" s="308"/>
      <c r="AS160" s="308"/>
      <c r="AT160" s="308"/>
      <c r="AU160" s="308"/>
      <c r="AV160" s="308"/>
      <c r="AW160" s="308"/>
      <c r="AX160" s="308"/>
      <c r="AY160" s="308"/>
      <c r="AZ160" s="308"/>
      <c r="BA160" s="308"/>
      <c r="BB160" s="308"/>
      <c r="BC160" s="308"/>
      <c r="BD160" s="308"/>
      <c r="BE160" s="308"/>
      <c r="BF160" s="308"/>
      <c r="BG160" s="308"/>
      <c r="BH160" s="308"/>
      <c r="BI160" s="308"/>
      <c r="BJ160" s="308"/>
      <c r="BK160" s="308"/>
      <c r="BL160" s="308"/>
      <c r="BM160" s="308"/>
      <c r="BN160" s="308"/>
      <c r="BO160" s="308"/>
      <c r="BP160" s="308"/>
      <c r="BQ160" s="308"/>
      <c r="BR160" s="308"/>
      <c r="BS160" s="308"/>
    </row>
    <row r="161" spans="1:71" ht="15.75" customHeight="1">
      <c r="A161" s="308"/>
      <c r="B161" s="308"/>
      <c r="C161" s="308"/>
      <c r="D161" s="308"/>
      <c r="E161" s="308"/>
      <c r="F161" s="341"/>
      <c r="G161" s="340"/>
      <c r="H161" s="308"/>
      <c r="I161" s="308"/>
      <c r="J161" s="308"/>
      <c r="K161" s="308"/>
      <c r="L161" s="308"/>
      <c r="M161" s="308"/>
      <c r="N161" s="308"/>
      <c r="O161" s="308"/>
      <c r="P161" s="308"/>
      <c r="Q161" s="308"/>
      <c r="R161" s="308"/>
      <c r="S161" s="308"/>
      <c r="T161" s="308"/>
      <c r="U161" s="308"/>
      <c r="V161" s="308" t="str">
        <f ca="1">IFERROR(__xludf.DUMMYFUNCTION("""COMPUTED_VALUE"""),"")</f>
        <v/>
      </c>
      <c r="W161" s="308"/>
      <c r="X161" s="308"/>
      <c r="Y161" s="308"/>
      <c r="Z161" s="308"/>
      <c r="AA161" s="308"/>
      <c r="AB161" s="308"/>
      <c r="AC161" s="308"/>
      <c r="AD161" s="308"/>
      <c r="AE161" s="308"/>
      <c r="AF161" s="308"/>
      <c r="AG161" s="308"/>
      <c r="AH161" s="308"/>
      <c r="AI161" s="308"/>
      <c r="AJ161" s="308"/>
      <c r="AK161" s="308"/>
      <c r="AL161" s="308"/>
      <c r="AM161" s="308"/>
      <c r="AN161" s="308"/>
      <c r="AO161" s="308"/>
      <c r="AP161" s="308"/>
      <c r="AQ161" s="308"/>
      <c r="AR161" s="308"/>
      <c r="AS161" s="308"/>
      <c r="AT161" s="308"/>
      <c r="AU161" s="308"/>
      <c r="AV161" s="308"/>
      <c r="AW161" s="308"/>
      <c r="AX161" s="308"/>
      <c r="AY161" s="308"/>
      <c r="AZ161" s="308"/>
      <c r="BA161" s="308"/>
      <c r="BB161" s="308"/>
      <c r="BC161" s="308"/>
      <c r="BD161" s="308"/>
      <c r="BE161" s="308"/>
      <c r="BF161" s="308"/>
      <c r="BG161" s="308"/>
      <c r="BH161" s="308"/>
      <c r="BI161" s="308"/>
      <c r="BJ161" s="308"/>
      <c r="BK161" s="308"/>
      <c r="BL161" s="308"/>
      <c r="BM161" s="308"/>
      <c r="BN161" s="308"/>
      <c r="BO161" s="308"/>
      <c r="BP161" s="308"/>
      <c r="BQ161" s="308"/>
      <c r="BR161" s="308"/>
      <c r="BS161" s="308"/>
    </row>
    <row r="162" spans="1:71" ht="15.75" customHeight="1">
      <c r="A162" s="308"/>
      <c r="B162" s="308"/>
      <c r="C162" s="308"/>
      <c r="D162" s="308"/>
      <c r="E162" s="308"/>
      <c r="F162" s="341"/>
      <c r="G162" s="340"/>
      <c r="H162" s="308"/>
      <c r="I162" s="308"/>
      <c r="J162" s="308"/>
      <c r="K162" s="308"/>
      <c r="L162" s="308"/>
      <c r="M162" s="308"/>
      <c r="N162" s="308"/>
      <c r="O162" s="308"/>
      <c r="P162" s="308"/>
      <c r="Q162" s="308"/>
      <c r="R162" s="308"/>
      <c r="S162" s="308"/>
      <c r="T162" s="308"/>
      <c r="U162" s="308"/>
      <c r="V162" s="308" t="str">
        <f ca="1">IFERROR(__xludf.DUMMYFUNCTION("""COMPUTED_VALUE"""),"")</f>
        <v/>
      </c>
      <c r="W162" s="308"/>
      <c r="X162" s="308"/>
      <c r="Y162" s="308"/>
      <c r="Z162" s="308"/>
      <c r="AA162" s="308"/>
      <c r="AB162" s="308"/>
      <c r="AC162" s="308"/>
      <c r="AD162" s="308"/>
      <c r="AE162" s="308"/>
      <c r="AF162" s="308"/>
      <c r="AG162" s="308"/>
      <c r="AH162" s="308"/>
      <c r="AI162" s="308"/>
      <c r="AJ162" s="308"/>
      <c r="AK162" s="308"/>
      <c r="AL162" s="308"/>
      <c r="AM162" s="308"/>
      <c r="AN162" s="308"/>
      <c r="AO162" s="308"/>
      <c r="AP162" s="308"/>
      <c r="AQ162" s="308"/>
      <c r="AR162" s="308"/>
      <c r="AS162" s="308"/>
      <c r="AT162" s="308"/>
      <c r="AU162" s="308"/>
      <c r="AV162" s="308"/>
      <c r="AW162" s="308"/>
      <c r="AX162" s="308"/>
      <c r="AY162" s="308"/>
      <c r="AZ162" s="308"/>
      <c r="BA162" s="308"/>
      <c r="BB162" s="308"/>
      <c r="BC162" s="308"/>
      <c r="BD162" s="308"/>
      <c r="BE162" s="308"/>
      <c r="BF162" s="308"/>
      <c r="BG162" s="308"/>
      <c r="BH162" s="308"/>
      <c r="BI162" s="308"/>
      <c r="BJ162" s="308"/>
      <c r="BK162" s="308"/>
      <c r="BL162" s="308"/>
      <c r="BM162" s="308"/>
      <c r="BN162" s="308"/>
      <c r="BO162" s="308"/>
      <c r="BP162" s="308"/>
      <c r="BQ162" s="308"/>
      <c r="BR162" s="308"/>
      <c r="BS162" s="308"/>
    </row>
    <row r="163" spans="1:71" ht="15.75" customHeight="1">
      <c r="A163" s="308"/>
      <c r="B163" s="308"/>
      <c r="C163" s="308"/>
      <c r="D163" s="308"/>
      <c r="E163" s="308"/>
      <c r="F163" s="341"/>
      <c r="G163" s="340"/>
      <c r="H163" s="308"/>
      <c r="I163" s="308"/>
      <c r="J163" s="308"/>
      <c r="K163" s="308"/>
      <c r="L163" s="308"/>
      <c r="M163" s="308"/>
      <c r="N163" s="308"/>
      <c r="O163" s="308"/>
      <c r="P163" s="308"/>
      <c r="Q163" s="308"/>
      <c r="R163" s="308"/>
      <c r="S163" s="308"/>
      <c r="T163" s="308"/>
      <c r="U163" s="308"/>
      <c r="V163" s="308" t="str">
        <f ca="1">IFERROR(__xludf.DUMMYFUNCTION("""COMPUTED_VALUE"""),"")</f>
        <v/>
      </c>
      <c r="W163" s="308"/>
      <c r="X163" s="308"/>
      <c r="Y163" s="308"/>
      <c r="Z163" s="308"/>
      <c r="AA163" s="308"/>
      <c r="AB163" s="308"/>
      <c r="AC163" s="308"/>
      <c r="AD163" s="308"/>
      <c r="AE163" s="308"/>
      <c r="AF163" s="308"/>
      <c r="AG163" s="308"/>
      <c r="AH163" s="308"/>
      <c r="AI163" s="308"/>
      <c r="AJ163" s="308"/>
      <c r="AK163" s="308"/>
      <c r="AL163" s="308"/>
      <c r="AM163" s="308"/>
      <c r="AN163" s="308"/>
      <c r="AO163" s="308"/>
      <c r="AP163" s="308"/>
      <c r="AQ163" s="308"/>
      <c r="AR163" s="308"/>
      <c r="AS163" s="308"/>
      <c r="AT163" s="308"/>
      <c r="AU163" s="308"/>
      <c r="AV163" s="308"/>
      <c r="AW163" s="308"/>
      <c r="AX163" s="308"/>
      <c r="AY163" s="308"/>
      <c r="AZ163" s="308"/>
      <c r="BA163" s="308"/>
      <c r="BB163" s="308"/>
      <c r="BC163" s="308"/>
      <c r="BD163" s="308"/>
      <c r="BE163" s="308"/>
      <c r="BF163" s="308"/>
      <c r="BG163" s="308"/>
      <c r="BH163" s="308"/>
      <c r="BI163" s="308"/>
      <c r="BJ163" s="308"/>
      <c r="BK163" s="308"/>
      <c r="BL163" s="308"/>
      <c r="BM163" s="308"/>
      <c r="BN163" s="308"/>
      <c r="BO163" s="308"/>
      <c r="BP163" s="308"/>
      <c r="BQ163" s="308"/>
      <c r="BR163" s="308"/>
      <c r="BS163" s="308"/>
    </row>
    <row r="164" spans="1:71" ht="15.75" customHeight="1">
      <c r="A164" s="308"/>
      <c r="B164" s="308"/>
      <c r="C164" s="308"/>
      <c r="D164" s="308"/>
      <c r="E164" s="308"/>
      <c r="F164" s="341"/>
      <c r="G164" s="340"/>
      <c r="H164" s="308"/>
      <c r="I164" s="308"/>
      <c r="J164" s="308"/>
      <c r="K164" s="308"/>
      <c r="L164" s="308"/>
      <c r="M164" s="308"/>
      <c r="N164" s="308"/>
      <c r="O164" s="308"/>
      <c r="P164" s="308"/>
      <c r="Q164" s="308"/>
      <c r="R164" s="308"/>
      <c r="S164" s="308"/>
      <c r="T164" s="308"/>
      <c r="U164" s="308"/>
      <c r="V164" s="308" t="str">
        <f ca="1">IFERROR(__xludf.DUMMYFUNCTION("""COMPUTED_VALUE"""),"")</f>
        <v/>
      </c>
      <c r="W164" s="308"/>
      <c r="X164" s="308"/>
      <c r="Y164" s="308"/>
      <c r="Z164" s="308"/>
      <c r="AA164" s="308"/>
      <c r="AB164" s="308"/>
      <c r="AC164" s="308"/>
      <c r="AD164" s="308"/>
      <c r="AE164" s="308"/>
      <c r="AF164" s="308"/>
      <c r="AG164" s="308"/>
      <c r="AH164" s="308"/>
      <c r="AI164" s="308"/>
      <c r="AJ164" s="308"/>
      <c r="AK164" s="308"/>
      <c r="AL164" s="308"/>
      <c r="AM164" s="308"/>
      <c r="AN164" s="308"/>
      <c r="AO164" s="308"/>
      <c r="AP164" s="308"/>
      <c r="AQ164" s="308"/>
      <c r="AR164" s="308"/>
      <c r="AS164" s="308"/>
      <c r="AT164" s="308"/>
      <c r="AU164" s="308"/>
      <c r="AV164" s="308"/>
      <c r="AW164" s="308"/>
      <c r="AX164" s="308"/>
      <c r="AY164" s="308"/>
      <c r="AZ164" s="308"/>
      <c r="BA164" s="308"/>
      <c r="BB164" s="308"/>
      <c r="BC164" s="308"/>
      <c r="BD164" s="308"/>
      <c r="BE164" s="308"/>
      <c r="BF164" s="308"/>
      <c r="BG164" s="308"/>
      <c r="BH164" s="308"/>
      <c r="BI164" s="308"/>
      <c r="BJ164" s="308"/>
      <c r="BK164" s="308"/>
      <c r="BL164" s="308"/>
      <c r="BM164" s="308"/>
      <c r="BN164" s="308"/>
      <c r="BO164" s="308"/>
      <c r="BP164" s="308"/>
      <c r="BQ164" s="308"/>
      <c r="BR164" s="308"/>
      <c r="BS164" s="308"/>
    </row>
    <row r="165" spans="1:71" ht="15.75" customHeight="1">
      <c r="A165" s="308"/>
      <c r="B165" s="308"/>
      <c r="C165" s="308"/>
      <c r="D165" s="308"/>
      <c r="E165" s="308"/>
      <c r="F165" s="341"/>
      <c r="G165" s="340"/>
      <c r="H165" s="308"/>
      <c r="I165" s="308"/>
      <c r="J165" s="308"/>
      <c r="K165" s="308"/>
      <c r="L165" s="308"/>
      <c r="M165" s="308"/>
      <c r="N165" s="308"/>
      <c r="O165" s="308"/>
      <c r="P165" s="308"/>
      <c r="Q165" s="308"/>
      <c r="R165" s="308"/>
      <c r="S165" s="308"/>
      <c r="T165" s="308"/>
      <c r="U165" s="308"/>
      <c r="V165" s="308" t="str">
        <f ca="1">IFERROR(__xludf.DUMMYFUNCTION("""COMPUTED_VALUE"""),"")</f>
        <v/>
      </c>
      <c r="W165" s="308"/>
      <c r="X165" s="308"/>
      <c r="Y165" s="308"/>
      <c r="Z165" s="308"/>
      <c r="AA165" s="308"/>
      <c r="AB165" s="308"/>
      <c r="AC165" s="308"/>
      <c r="AD165" s="308"/>
      <c r="AE165" s="308"/>
      <c r="AF165" s="308"/>
      <c r="AG165" s="308"/>
      <c r="AH165" s="308"/>
      <c r="AI165" s="308"/>
      <c r="AJ165" s="308"/>
      <c r="AK165" s="308"/>
      <c r="AL165" s="308"/>
      <c r="AM165" s="308"/>
      <c r="AN165" s="308"/>
      <c r="AO165" s="308"/>
      <c r="AP165" s="308"/>
      <c r="AQ165" s="308"/>
      <c r="AR165" s="308"/>
      <c r="AS165" s="308"/>
      <c r="AT165" s="308"/>
      <c r="AU165" s="308"/>
      <c r="AV165" s="308"/>
      <c r="AW165" s="308"/>
      <c r="AX165" s="308"/>
      <c r="AY165" s="308"/>
      <c r="AZ165" s="308"/>
      <c r="BA165" s="308"/>
      <c r="BB165" s="308"/>
      <c r="BC165" s="308"/>
      <c r="BD165" s="308"/>
      <c r="BE165" s="308"/>
      <c r="BF165" s="308"/>
      <c r="BG165" s="308"/>
      <c r="BH165" s="308"/>
      <c r="BI165" s="308"/>
      <c r="BJ165" s="308"/>
      <c r="BK165" s="308"/>
      <c r="BL165" s="308"/>
      <c r="BM165" s="308"/>
      <c r="BN165" s="308"/>
      <c r="BO165" s="308"/>
      <c r="BP165" s="308"/>
      <c r="BQ165" s="308"/>
      <c r="BR165" s="308"/>
      <c r="BS165" s="308"/>
    </row>
    <row r="166" spans="1:71" ht="15.75" customHeight="1">
      <c r="A166" s="308"/>
      <c r="B166" s="308"/>
      <c r="C166" s="308"/>
      <c r="D166" s="308"/>
      <c r="E166" s="308"/>
      <c r="F166" s="341"/>
      <c r="G166" s="340"/>
      <c r="H166" s="308"/>
      <c r="I166" s="308"/>
      <c r="J166" s="308"/>
      <c r="K166" s="308"/>
      <c r="L166" s="308"/>
      <c r="M166" s="308"/>
      <c r="N166" s="308"/>
      <c r="O166" s="308"/>
      <c r="P166" s="308"/>
      <c r="Q166" s="308"/>
      <c r="R166" s="308"/>
      <c r="S166" s="308"/>
      <c r="T166" s="308"/>
      <c r="U166" s="308"/>
      <c r="V166" s="308" t="str">
        <f ca="1">IFERROR(__xludf.DUMMYFUNCTION("""COMPUTED_VALUE"""),"")</f>
        <v/>
      </c>
      <c r="W166" s="308"/>
      <c r="X166" s="308"/>
      <c r="Y166" s="308"/>
      <c r="Z166" s="308"/>
      <c r="AA166" s="308"/>
      <c r="AB166" s="308"/>
      <c r="AC166" s="308"/>
      <c r="AD166" s="308"/>
      <c r="AE166" s="308"/>
      <c r="AF166" s="308"/>
      <c r="AG166" s="308"/>
      <c r="AH166" s="308"/>
      <c r="AI166" s="308"/>
      <c r="AJ166" s="308"/>
      <c r="AK166" s="308"/>
      <c r="AL166" s="308"/>
      <c r="AM166" s="308"/>
      <c r="AN166" s="308"/>
      <c r="AO166" s="308"/>
      <c r="AP166" s="308"/>
      <c r="AQ166" s="308"/>
      <c r="AR166" s="308"/>
      <c r="AS166" s="308"/>
      <c r="AT166" s="308"/>
      <c r="AU166" s="308"/>
      <c r="AV166" s="308"/>
      <c r="AW166" s="308"/>
      <c r="AX166" s="308"/>
      <c r="AY166" s="308"/>
      <c r="AZ166" s="308"/>
      <c r="BA166" s="308"/>
      <c r="BB166" s="308"/>
      <c r="BC166" s="308"/>
      <c r="BD166" s="308"/>
      <c r="BE166" s="308"/>
      <c r="BF166" s="308"/>
      <c r="BG166" s="308"/>
      <c r="BH166" s="308"/>
      <c r="BI166" s="308"/>
      <c r="BJ166" s="308"/>
      <c r="BK166" s="308"/>
      <c r="BL166" s="308"/>
      <c r="BM166" s="308"/>
      <c r="BN166" s="308"/>
      <c r="BO166" s="308"/>
      <c r="BP166" s="308"/>
      <c r="BQ166" s="308"/>
      <c r="BR166" s="308"/>
      <c r="BS166" s="308"/>
    </row>
    <row r="167" spans="1:71" ht="15.75" customHeight="1">
      <c r="A167" s="308"/>
      <c r="B167" s="308"/>
      <c r="C167" s="308"/>
      <c r="D167" s="308"/>
      <c r="E167" s="308"/>
      <c r="F167" s="341"/>
      <c r="G167" s="340"/>
      <c r="H167" s="308"/>
      <c r="I167" s="308"/>
      <c r="J167" s="308"/>
      <c r="K167" s="308"/>
      <c r="L167" s="308"/>
      <c r="M167" s="308"/>
      <c r="N167" s="308"/>
      <c r="O167" s="308"/>
      <c r="P167" s="308"/>
      <c r="Q167" s="308"/>
      <c r="R167" s="308"/>
      <c r="S167" s="308"/>
      <c r="T167" s="308"/>
      <c r="U167" s="308"/>
      <c r="V167" s="308" t="str">
        <f ca="1">IFERROR(__xludf.DUMMYFUNCTION("""COMPUTED_VALUE"""),"")</f>
        <v/>
      </c>
      <c r="W167" s="308"/>
      <c r="X167" s="308"/>
      <c r="Y167" s="308"/>
      <c r="Z167" s="308"/>
      <c r="AA167" s="308"/>
      <c r="AB167" s="308"/>
      <c r="AC167" s="308"/>
      <c r="AD167" s="308"/>
      <c r="AE167" s="308"/>
      <c r="AF167" s="308"/>
      <c r="AG167" s="308"/>
      <c r="AH167" s="308"/>
      <c r="AI167" s="308"/>
      <c r="AJ167" s="308"/>
      <c r="AK167" s="308"/>
      <c r="AL167" s="308"/>
      <c r="AM167" s="308"/>
      <c r="AN167" s="308"/>
      <c r="AO167" s="308"/>
      <c r="AP167" s="308"/>
      <c r="AQ167" s="308"/>
      <c r="AR167" s="308"/>
      <c r="AS167" s="308"/>
      <c r="AT167" s="308"/>
      <c r="AU167" s="308"/>
      <c r="AV167" s="308"/>
      <c r="AW167" s="308"/>
      <c r="AX167" s="308"/>
      <c r="AY167" s="308"/>
      <c r="AZ167" s="308"/>
      <c r="BA167" s="308"/>
      <c r="BB167" s="308"/>
      <c r="BC167" s="308"/>
      <c r="BD167" s="308"/>
      <c r="BE167" s="308"/>
      <c r="BF167" s="308"/>
      <c r="BG167" s="308"/>
      <c r="BH167" s="308"/>
      <c r="BI167" s="308"/>
      <c r="BJ167" s="308"/>
      <c r="BK167" s="308"/>
      <c r="BL167" s="308"/>
      <c r="BM167" s="308"/>
      <c r="BN167" s="308"/>
      <c r="BO167" s="308"/>
      <c r="BP167" s="308"/>
      <c r="BQ167" s="308"/>
      <c r="BR167" s="308"/>
      <c r="BS167" s="308"/>
    </row>
    <row r="168" spans="1:71" ht="15.75" customHeight="1">
      <c r="A168" s="308"/>
      <c r="B168" s="308"/>
      <c r="C168" s="308"/>
      <c r="D168" s="308"/>
      <c r="E168" s="308"/>
      <c r="F168" s="341"/>
      <c r="G168" s="340"/>
      <c r="H168" s="308"/>
      <c r="I168" s="308"/>
      <c r="J168" s="308"/>
      <c r="K168" s="308"/>
      <c r="L168" s="308"/>
      <c r="M168" s="308"/>
      <c r="N168" s="308"/>
      <c r="O168" s="308"/>
      <c r="P168" s="308"/>
      <c r="Q168" s="308"/>
      <c r="R168" s="308"/>
      <c r="S168" s="308"/>
      <c r="T168" s="308"/>
      <c r="U168" s="308"/>
      <c r="V168" s="308" t="str">
        <f ca="1">IFERROR(__xludf.DUMMYFUNCTION("""COMPUTED_VALUE"""),"")</f>
        <v/>
      </c>
      <c r="W168" s="308"/>
      <c r="X168" s="308"/>
      <c r="Y168" s="308"/>
      <c r="Z168" s="308"/>
      <c r="AA168" s="308"/>
      <c r="AB168" s="308"/>
      <c r="AC168" s="308"/>
      <c r="AD168" s="308"/>
      <c r="AE168" s="308"/>
      <c r="AF168" s="308"/>
      <c r="AG168" s="308"/>
      <c r="AH168" s="308"/>
      <c r="AI168" s="308"/>
      <c r="AJ168" s="308"/>
      <c r="AK168" s="308"/>
      <c r="AL168" s="308"/>
      <c r="AM168" s="308"/>
      <c r="AN168" s="308"/>
      <c r="AO168" s="308"/>
      <c r="AP168" s="308"/>
      <c r="AQ168" s="308"/>
      <c r="AR168" s="308"/>
      <c r="AS168" s="308"/>
      <c r="AT168" s="308"/>
      <c r="AU168" s="308"/>
      <c r="AV168" s="308"/>
      <c r="AW168" s="308"/>
      <c r="AX168" s="308"/>
      <c r="AY168" s="308"/>
      <c r="AZ168" s="308"/>
      <c r="BA168" s="308"/>
      <c r="BB168" s="308"/>
      <c r="BC168" s="308"/>
      <c r="BD168" s="308"/>
      <c r="BE168" s="308"/>
      <c r="BF168" s="308"/>
      <c r="BG168" s="308"/>
      <c r="BH168" s="308"/>
      <c r="BI168" s="308"/>
      <c r="BJ168" s="308"/>
      <c r="BK168" s="308"/>
      <c r="BL168" s="308"/>
      <c r="BM168" s="308"/>
      <c r="BN168" s="308"/>
      <c r="BO168" s="308"/>
      <c r="BP168" s="308"/>
      <c r="BQ168" s="308"/>
      <c r="BR168" s="308"/>
      <c r="BS168" s="308"/>
    </row>
    <row r="169" spans="1:71" ht="15.75" customHeight="1">
      <c r="A169" s="308"/>
      <c r="B169" s="308"/>
      <c r="C169" s="308"/>
      <c r="D169" s="308"/>
      <c r="E169" s="308"/>
      <c r="F169" s="341"/>
      <c r="G169" s="340"/>
      <c r="H169" s="308"/>
      <c r="I169" s="308"/>
      <c r="J169" s="308"/>
      <c r="K169" s="308"/>
      <c r="L169" s="308"/>
      <c r="M169" s="308"/>
      <c r="N169" s="308"/>
      <c r="O169" s="308"/>
      <c r="P169" s="308"/>
      <c r="Q169" s="308"/>
      <c r="R169" s="308"/>
      <c r="S169" s="308"/>
      <c r="T169" s="308"/>
      <c r="U169" s="308"/>
      <c r="V169" s="308"/>
      <c r="W169" s="308"/>
      <c r="X169" s="308"/>
      <c r="Y169" s="308"/>
      <c r="Z169" s="308"/>
      <c r="AA169" s="308"/>
      <c r="AB169" s="308"/>
      <c r="AC169" s="308"/>
      <c r="AD169" s="308"/>
      <c r="AE169" s="308"/>
      <c r="AF169" s="308"/>
      <c r="AG169" s="308"/>
      <c r="AH169" s="308"/>
      <c r="AI169" s="308"/>
      <c r="AJ169" s="308"/>
      <c r="AK169" s="308"/>
      <c r="AL169" s="308"/>
      <c r="AM169" s="308"/>
      <c r="AN169" s="308"/>
      <c r="AO169" s="308"/>
      <c r="AP169" s="308"/>
      <c r="AQ169" s="308"/>
      <c r="AR169" s="308"/>
      <c r="AS169" s="308"/>
      <c r="AT169" s="308"/>
      <c r="AU169" s="308"/>
      <c r="AV169" s="308"/>
      <c r="AW169" s="308"/>
      <c r="AX169" s="308"/>
      <c r="AY169" s="308"/>
      <c r="AZ169" s="308"/>
      <c r="BA169" s="308"/>
      <c r="BB169" s="308"/>
      <c r="BC169" s="308"/>
      <c r="BD169" s="308"/>
      <c r="BE169" s="308"/>
      <c r="BF169" s="308"/>
      <c r="BG169" s="308"/>
      <c r="BH169" s="308"/>
      <c r="BI169" s="308"/>
      <c r="BJ169" s="308"/>
      <c r="BK169" s="308"/>
      <c r="BL169" s="308"/>
      <c r="BM169" s="308"/>
      <c r="BN169" s="308"/>
      <c r="BO169" s="308"/>
      <c r="BP169" s="308"/>
      <c r="BQ169" s="308"/>
      <c r="BR169" s="308"/>
      <c r="BS169" s="308"/>
    </row>
    <row r="170" spans="1:71" ht="15.75" customHeight="1">
      <c r="A170" s="308"/>
      <c r="B170" s="308"/>
      <c r="C170" s="308"/>
      <c r="D170" s="308"/>
      <c r="E170" s="308"/>
      <c r="F170" s="341"/>
      <c r="G170" s="340"/>
      <c r="H170" s="308"/>
      <c r="I170" s="308"/>
      <c r="J170" s="308"/>
      <c r="K170" s="308"/>
      <c r="L170" s="308"/>
      <c r="M170" s="308"/>
      <c r="N170" s="308"/>
      <c r="O170" s="308"/>
      <c r="P170" s="308"/>
      <c r="Q170" s="308"/>
      <c r="R170" s="308"/>
      <c r="S170" s="308"/>
      <c r="T170" s="308"/>
      <c r="U170" s="308"/>
      <c r="V170" s="308"/>
      <c r="W170" s="308"/>
      <c r="X170" s="308"/>
      <c r="Y170" s="308"/>
      <c r="Z170" s="308"/>
      <c r="AA170" s="308"/>
      <c r="AB170" s="308"/>
      <c r="AC170" s="308"/>
      <c r="AD170" s="308"/>
      <c r="AE170" s="308"/>
      <c r="AF170" s="308"/>
      <c r="AG170" s="308"/>
      <c r="AH170" s="308"/>
      <c r="AI170" s="308"/>
      <c r="AJ170" s="308"/>
      <c r="AK170" s="308"/>
      <c r="AL170" s="308"/>
      <c r="AM170" s="308"/>
      <c r="AN170" s="308"/>
      <c r="AO170" s="308"/>
      <c r="AP170" s="308"/>
      <c r="AQ170" s="308"/>
      <c r="AR170" s="308"/>
      <c r="AS170" s="308"/>
      <c r="AT170" s="308"/>
      <c r="AU170" s="308"/>
      <c r="AV170" s="308"/>
      <c r="AW170" s="308"/>
      <c r="AX170" s="308"/>
      <c r="AY170" s="308"/>
      <c r="AZ170" s="308"/>
      <c r="BA170" s="308"/>
      <c r="BB170" s="308"/>
      <c r="BC170" s="308"/>
      <c r="BD170" s="308"/>
      <c r="BE170" s="308"/>
      <c r="BF170" s="308"/>
      <c r="BG170" s="308"/>
      <c r="BH170" s="308"/>
      <c r="BI170" s="308"/>
      <c r="BJ170" s="308"/>
      <c r="BK170" s="308"/>
      <c r="BL170" s="308"/>
      <c r="BM170" s="308"/>
      <c r="BN170" s="308"/>
      <c r="BO170" s="308"/>
      <c r="BP170" s="308"/>
      <c r="BQ170" s="308"/>
      <c r="BR170" s="308"/>
      <c r="BS170" s="308"/>
    </row>
    <row r="171" spans="1:71" ht="15.75" customHeight="1">
      <c r="A171" s="308"/>
      <c r="B171" s="308"/>
      <c r="C171" s="308"/>
      <c r="D171" s="308"/>
      <c r="E171" s="308"/>
      <c r="F171" s="341"/>
      <c r="G171" s="340"/>
      <c r="H171" s="308"/>
      <c r="I171" s="308"/>
      <c r="J171" s="308"/>
      <c r="K171" s="308"/>
      <c r="L171" s="308"/>
      <c r="M171" s="308"/>
      <c r="N171" s="308"/>
      <c r="O171" s="308"/>
      <c r="P171" s="308"/>
      <c r="Q171" s="308"/>
      <c r="R171" s="308"/>
      <c r="S171" s="308"/>
      <c r="T171" s="308"/>
      <c r="U171" s="308"/>
      <c r="V171" s="308"/>
      <c r="W171" s="308"/>
      <c r="X171" s="308"/>
      <c r="Y171" s="308"/>
      <c r="Z171" s="308"/>
      <c r="AA171" s="308"/>
      <c r="AB171" s="308"/>
      <c r="AC171" s="308"/>
      <c r="AD171" s="308"/>
      <c r="AE171" s="308"/>
      <c r="AF171" s="308"/>
      <c r="AG171" s="308"/>
      <c r="AH171" s="308"/>
      <c r="AI171" s="308"/>
      <c r="AJ171" s="308"/>
      <c r="AK171" s="308"/>
      <c r="AL171" s="308"/>
      <c r="AM171" s="308"/>
      <c r="AN171" s="308"/>
      <c r="AO171" s="308"/>
      <c r="AP171" s="308"/>
      <c r="AQ171" s="308"/>
      <c r="AR171" s="308"/>
      <c r="AS171" s="308"/>
      <c r="AT171" s="308"/>
      <c r="AU171" s="308"/>
      <c r="AV171" s="308"/>
      <c r="AW171" s="308"/>
      <c r="AX171" s="308"/>
      <c r="AY171" s="308"/>
      <c r="AZ171" s="308"/>
      <c r="BA171" s="308"/>
      <c r="BB171" s="308"/>
      <c r="BC171" s="308"/>
      <c r="BD171" s="308"/>
      <c r="BE171" s="308"/>
      <c r="BF171" s="308"/>
      <c r="BG171" s="308"/>
      <c r="BH171" s="308"/>
      <c r="BI171" s="308"/>
      <c r="BJ171" s="308"/>
      <c r="BK171" s="308"/>
      <c r="BL171" s="308"/>
      <c r="BM171" s="308"/>
      <c r="BN171" s="308"/>
      <c r="BO171" s="308"/>
      <c r="BP171" s="308"/>
      <c r="BQ171" s="308"/>
      <c r="BR171" s="308"/>
      <c r="BS171" s="308"/>
    </row>
    <row r="172" spans="1:71" ht="15.75" customHeight="1">
      <c r="A172" s="308"/>
      <c r="B172" s="308"/>
      <c r="C172" s="308"/>
      <c r="D172" s="308"/>
      <c r="E172" s="308"/>
      <c r="F172" s="341"/>
      <c r="G172" s="340"/>
      <c r="H172" s="308"/>
      <c r="I172" s="308"/>
      <c r="J172" s="308"/>
      <c r="K172" s="308"/>
      <c r="L172" s="308"/>
      <c r="M172" s="308"/>
      <c r="N172" s="308"/>
      <c r="O172" s="308"/>
      <c r="P172" s="308"/>
      <c r="Q172" s="308"/>
      <c r="R172" s="308"/>
      <c r="S172" s="308"/>
      <c r="T172" s="308"/>
      <c r="U172" s="308"/>
      <c r="V172" s="308"/>
      <c r="W172" s="308"/>
      <c r="X172" s="308"/>
      <c r="Y172" s="308"/>
      <c r="Z172" s="308"/>
      <c r="AA172" s="308"/>
      <c r="AB172" s="308"/>
      <c r="AC172" s="308"/>
      <c r="AD172" s="308"/>
      <c r="AE172" s="308"/>
      <c r="AF172" s="308"/>
      <c r="AG172" s="308"/>
      <c r="AH172" s="308"/>
      <c r="AI172" s="308"/>
      <c r="AJ172" s="308"/>
      <c r="AK172" s="308"/>
      <c r="AL172" s="308"/>
      <c r="AM172" s="308"/>
      <c r="AN172" s="308"/>
      <c r="AO172" s="308"/>
      <c r="AP172" s="308"/>
      <c r="AQ172" s="308"/>
      <c r="AR172" s="308"/>
      <c r="AS172" s="308"/>
      <c r="AT172" s="308"/>
      <c r="AU172" s="308"/>
      <c r="AV172" s="308"/>
      <c r="AW172" s="308"/>
      <c r="AX172" s="308"/>
      <c r="AY172" s="308"/>
      <c r="AZ172" s="308"/>
      <c r="BA172" s="308"/>
      <c r="BB172" s="308"/>
      <c r="BC172" s="308"/>
      <c r="BD172" s="308"/>
      <c r="BE172" s="308"/>
      <c r="BF172" s="308"/>
      <c r="BG172" s="308"/>
      <c r="BH172" s="308"/>
      <c r="BI172" s="308"/>
      <c r="BJ172" s="308"/>
      <c r="BK172" s="308"/>
      <c r="BL172" s="308"/>
      <c r="BM172" s="308"/>
      <c r="BN172" s="308"/>
      <c r="BO172" s="308"/>
      <c r="BP172" s="308"/>
      <c r="BQ172" s="308"/>
      <c r="BR172" s="308"/>
      <c r="BS172" s="308"/>
    </row>
    <row r="173" spans="1:71" ht="15.75" customHeight="1">
      <c r="A173" s="308"/>
      <c r="B173" s="308"/>
      <c r="C173" s="308"/>
      <c r="D173" s="308"/>
      <c r="E173" s="308"/>
      <c r="F173" s="341"/>
      <c r="G173" s="340"/>
      <c r="H173" s="308"/>
      <c r="I173" s="308"/>
      <c r="J173" s="308"/>
      <c r="K173" s="308"/>
      <c r="L173" s="308"/>
      <c r="M173" s="308"/>
      <c r="N173" s="308"/>
      <c r="O173" s="308"/>
      <c r="P173" s="308"/>
      <c r="Q173" s="308"/>
      <c r="R173" s="308"/>
      <c r="S173" s="308"/>
      <c r="T173" s="308"/>
      <c r="U173" s="308"/>
      <c r="V173" s="308"/>
      <c r="W173" s="308"/>
      <c r="X173" s="308"/>
      <c r="Y173" s="308"/>
      <c r="Z173" s="308"/>
      <c r="AA173" s="308"/>
      <c r="AB173" s="308"/>
      <c r="AC173" s="308"/>
      <c r="AD173" s="308"/>
      <c r="AE173" s="308"/>
      <c r="AF173" s="308"/>
      <c r="AG173" s="308"/>
      <c r="AH173" s="308"/>
      <c r="AI173" s="308"/>
      <c r="AJ173" s="308"/>
      <c r="AK173" s="308"/>
      <c r="AL173" s="308"/>
      <c r="AM173" s="308"/>
      <c r="AN173" s="308"/>
      <c r="AO173" s="308"/>
      <c r="AP173" s="308"/>
      <c r="AQ173" s="308"/>
      <c r="AR173" s="308"/>
      <c r="AS173" s="308"/>
      <c r="AT173" s="308"/>
      <c r="AU173" s="308"/>
      <c r="AV173" s="308"/>
      <c r="AW173" s="308"/>
      <c r="AX173" s="308"/>
      <c r="AY173" s="308"/>
      <c r="AZ173" s="308"/>
      <c r="BA173" s="308"/>
      <c r="BB173" s="308"/>
      <c r="BC173" s="308"/>
      <c r="BD173" s="308"/>
      <c r="BE173" s="308"/>
      <c r="BF173" s="308"/>
      <c r="BG173" s="308"/>
      <c r="BH173" s="308"/>
      <c r="BI173" s="308"/>
      <c r="BJ173" s="308"/>
      <c r="BK173" s="308"/>
      <c r="BL173" s="308"/>
      <c r="BM173" s="308"/>
      <c r="BN173" s="308"/>
      <c r="BO173" s="308"/>
      <c r="BP173" s="308"/>
      <c r="BQ173" s="308"/>
      <c r="BR173" s="308"/>
      <c r="BS173" s="308"/>
    </row>
    <row r="174" spans="1:71" ht="15.75" customHeight="1">
      <c r="A174" s="308"/>
      <c r="B174" s="308"/>
      <c r="C174" s="308"/>
      <c r="D174" s="308"/>
      <c r="E174" s="308"/>
      <c r="F174" s="341"/>
      <c r="G174" s="340"/>
      <c r="H174" s="308"/>
      <c r="I174" s="308"/>
      <c r="J174" s="308"/>
      <c r="K174" s="308"/>
      <c r="L174" s="308"/>
      <c r="M174" s="308"/>
      <c r="N174" s="308"/>
      <c r="O174" s="308"/>
      <c r="P174" s="308"/>
      <c r="Q174" s="308"/>
      <c r="R174" s="308"/>
      <c r="S174" s="308"/>
      <c r="T174" s="308"/>
      <c r="U174" s="308"/>
      <c r="V174" s="308"/>
      <c r="W174" s="308"/>
      <c r="X174" s="308"/>
      <c r="Y174" s="308"/>
      <c r="Z174" s="308"/>
      <c r="AA174" s="308"/>
      <c r="AB174" s="308"/>
      <c r="AC174" s="308"/>
      <c r="AD174" s="308"/>
      <c r="AE174" s="308"/>
      <c r="AF174" s="308"/>
      <c r="AG174" s="308"/>
      <c r="AH174" s="308"/>
      <c r="AI174" s="308"/>
      <c r="AJ174" s="308"/>
      <c r="AK174" s="308"/>
      <c r="AL174" s="308"/>
      <c r="AM174" s="308"/>
      <c r="AN174" s="308"/>
      <c r="AO174" s="308"/>
      <c r="AP174" s="308"/>
      <c r="AQ174" s="308"/>
      <c r="AR174" s="308"/>
      <c r="AS174" s="308"/>
      <c r="AT174" s="308"/>
      <c r="AU174" s="308"/>
      <c r="AV174" s="308"/>
      <c r="AW174" s="308"/>
      <c r="AX174" s="308"/>
      <c r="AY174" s="308"/>
      <c r="AZ174" s="308"/>
      <c r="BA174" s="308"/>
      <c r="BB174" s="308"/>
      <c r="BC174" s="308"/>
      <c r="BD174" s="308"/>
      <c r="BE174" s="308"/>
      <c r="BF174" s="308"/>
      <c r="BG174" s="308"/>
      <c r="BH174" s="308"/>
      <c r="BI174" s="308"/>
      <c r="BJ174" s="308"/>
      <c r="BK174" s="308"/>
      <c r="BL174" s="308"/>
      <c r="BM174" s="308"/>
      <c r="BN174" s="308"/>
      <c r="BO174" s="308"/>
      <c r="BP174" s="308"/>
      <c r="BQ174" s="308"/>
      <c r="BR174" s="308"/>
      <c r="BS174" s="308"/>
    </row>
    <row r="175" spans="1:71" ht="15.75" customHeight="1">
      <c r="A175" s="308"/>
      <c r="B175" s="308"/>
      <c r="C175" s="308"/>
      <c r="D175" s="308"/>
      <c r="E175" s="308"/>
      <c r="F175" s="341"/>
      <c r="G175" s="340"/>
      <c r="H175" s="308"/>
      <c r="I175" s="308"/>
      <c r="J175" s="308"/>
      <c r="K175" s="308"/>
      <c r="L175" s="308"/>
      <c r="M175" s="308"/>
      <c r="N175" s="308"/>
      <c r="O175" s="308"/>
      <c r="P175" s="308"/>
      <c r="Q175" s="308"/>
      <c r="R175" s="308"/>
      <c r="S175" s="308"/>
      <c r="T175" s="308"/>
      <c r="U175" s="308"/>
      <c r="V175" s="308"/>
      <c r="W175" s="308"/>
      <c r="X175" s="308"/>
      <c r="Y175" s="308"/>
      <c r="Z175" s="308"/>
      <c r="AA175" s="308"/>
      <c r="AB175" s="308"/>
      <c r="AC175" s="308"/>
      <c r="AD175" s="308"/>
      <c r="AE175" s="308"/>
      <c r="AF175" s="308"/>
      <c r="AG175" s="308"/>
      <c r="AH175" s="308"/>
      <c r="AI175" s="308"/>
      <c r="AJ175" s="308"/>
      <c r="AK175" s="308"/>
      <c r="AL175" s="308"/>
      <c r="AM175" s="308"/>
      <c r="AN175" s="308"/>
      <c r="AO175" s="308"/>
      <c r="AP175" s="308"/>
      <c r="AQ175" s="308"/>
      <c r="AR175" s="308"/>
      <c r="AS175" s="308"/>
      <c r="AT175" s="308"/>
      <c r="AU175" s="308"/>
      <c r="AV175" s="308"/>
      <c r="AW175" s="308"/>
      <c r="AX175" s="308"/>
      <c r="AY175" s="308"/>
      <c r="AZ175" s="308"/>
      <c r="BA175" s="308"/>
      <c r="BB175" s="308"/>
      <c r="BC175" s="308"/>
      <c r="BD175" s="308"/>
      <c r="BE175" s="308"/>
      <c r="BF175" s="308"/>
      <c r="BG175" s="308"/>
      <c r="BH175" s="308"/>
      <c r="BI175" s="308"/>
      <c r="BJ175" s="308"/>
      <c r="BK175" s="308"/>
      <c r="BL175" s="308"/>
      <c r="BM175" s="308"/>
      <c r="BN175" s="308"/>
      <c r="BO175" s="308"/>
      <c r="BP175" s="308"/>
      <c r="BQ175" s="308"/>
      <c r="BR175" s="308"/>
      <c r="BS175" s="308"/>
    </row>
    <row r="176" spans="1:71" ht="15.75" customHeight="1">
      <c r="A176" s="308"/>
      <c r="B176" s="308"/>
      <c r="C176" s="308"/>
      <c r="D176" s="308"/>
      <c r="E176" s="308"/>
      <c r="F176" s="341"/>
      <c r="G176" s="340"/>
      <c r="H176" s="308"/>
      <c r="I176" s="308"/>
      <c r="J176" s="308"/>
      <c r="K176" s="308"/>
      <c r="L176" s="308"/>
      <c r="M176" s="308"/>
      <c r="N176" s="308"/>
      <c r="O176" s="308"/>
      <c r="P176" s="308"/>
      <c r="Q176" s="308"/>
      <c r="R176" s="308"/>
      <c r="S176" s="308"/>
      <c r="T176" s="308"/>
      <c r="U176" s="308"/>
      <c r="V176" s="308"/>
      <c r="W176" s="308"/>
      <c r="X176" s="308"/>
      <c r="Y176" s="308"/>
      <c r="Z176" s="308"/>
      <c r="AA176" s="308"/>
      <c r="AB176" s="308"/>
      <c r="AC176" s="308"/>
      <c r="AD176" s="308"/>
      <c r="AE176" s="308"/>
      <c r="AF176" s="308"/>
      <c r="AG176" s="308"/>
      <c r="AH176" s="308"/>
      <c r="AI176" s="308"/>
      <c r="AJ176" s="308"/>
      <c r="AK176" s="308"/>
      <c r="AL176" s="308"/>
      <c r="AM176" s="308"/>
      <c r="AN176" s="308"/>
      <c r="AO176" s="308"/>
      <c r="AP176" s="308"/>
      <c r="AQ176" s="308"/>
      <c r="AR176" s="308"/>
      <c r="AS176" s="308"/>
      <c r="AT176" s="308"/>
      <c r="AU176" s="308"/>
      <c r="AV176" s="308"/>
      <c r="AW176" s="308"/>
      <c r="AX176" s="308"/>
      <c r="AY176" s="308"/>
      <c r="AZ176" s="308"/>
      <c r="BA176" s="308"/>
      <c r="BB176" s="308"/>
      <c r="BC176" s="308"/>
      <c r="BD176" s="308"/>
      <c r="BE176" s="308"/>
      <c r="BF176" s="308"/>
      <c r="BG176" s="308"/>
      <c r="BH176" s="308"/>
      <c r="BI176" s="308"/>
      <c r="BJ176" s="308"/>
      <c r="BK176" s="308"/>
      <c r="BL176" s="308"/>
      <c r="BM176" s="308"/>
      <c r="BN176" s="308"/>
      <c r="BO176" s="308"/>
      <c r="BP176" s="308"/>
      <c r="BQ176" s="308"/>
      <c r="BR176" s="308"/>
      <c r="BS176" s="308"/>
    </row>
    <row r="177" spans="1:71" ht="15.75" customHeight="1">
      <c r="A177" s="308"/>
      <c r="B177" s="308"/>
      <c r="C177" s="308"/>
      <c r="D177" s="308"/>
      <c r="E177" s="308"/>
      <c r="F177" s="341"/>
      <c r="G177" s="340"/>
      <c r="H177" s="308"/>
      <c r="I177" s="308"/>
      <c r="J177" s="308"/>
      <c r="K177" s="308"/>
      <c r="L177" s="308"/>
      <c r="M177" s="308"/>
      <c r="N177" s="308"/>
      <c r="O177" s="308"/>
      <c r="P177" s="308"/>
      <c r="Q177" s="308"/>
      <c r="R177" s="308"/>
      <c r="S177" s="308"/>
      <c r="T177" s="308"/>
      <c r="U177" s="308"/>
      <c r="V177" s="308"/>
      <c r="W177" s="308"/>
      <c r="X177" s="308"/>
      <c r="Y177" s="308"/>
      <c r="Z177" s="308"/>
      <c r="AA177" s="308"/>
      <c r="AB177" s="308"/>
      <c r="AC177" s="308"/>
      <c r="AD177" s="308"/>
      <c r="AE177" s="308"/>
      <c r="AF177" s="308"/>
      <c r="AG177" s="308"/>
      <c r="AH177" s="308"/>
      <c r="AI177" s="308"/>
      <c r="AJ177" s="308"/>
      <c r="AK177" s="308"/>
      <c r="AL177" s="308"/>
      <c r="AM177" s="308"/>
      <c r="AN177" s="308"/>
      <c r="AO177" s="308"/>
      <c r="AP177" s="308"/>
      <c r="AQ177" s="308"/>
      <c r="AR177" s="308"/>
      <c r="AS177" s="308"/>
      <c r="AT177" s="308"/>
      <c r="AU177" s="308"/>
      <c r="AV177" s="308"/>
      <c r="AW177" s="308"/>
      <c r="AX177" s="308"/>
      <c r="AY177" s="308"/>
      <c r="AZ177" s="308"/>
      <c r="BA177" s="308"/>
      <c r="BB177" s="308"/>
      <c r="BC177" s="308"/>
      <c r="BD177" s="308"/>
      <c r="BE177" s="308"/>
      <c r="BF177" s="308"/>
      <c r="BG177" s="308"/>
      <c r="BH177" s="308"/>
      <c r="BI177" s="308"/>
      <c r="BJ177" s="308"/>
      <c r="BK177" s="308"/>
      <c r="BL177" s="308"/>
      <c r="BM177" s="308"/>
      <c r="BN177" s="308"/>
      <c r="BO177" s="308"/>
      <c r="BP177" s="308"/>
      <c r="BQ177" s="308"/>
      <c r="BR177" s="308"/>
      <c r="BS177" s="308"/>
    </row>
    <row r="178" spans="1:71" ht="15.75" customHeight="1">
      <c r="A178" s="308"/>
      <c r="B178" s="308"/>
      <c r="C178" s="308"/>
      <c r="D178" s="308"/>
      <c r="E178" s="308"/>
      <c r="F178" s="341"/>
      <c r="G178" s="340"/>
      <c r="H178" s="308"/>
      <c r="I178" s="308"/>
      <c r="J178" s="308"/>
      <c r="K178" s="308"/>
      <c r="L178" s="308"/>
      <c r="M178" s="308"/>
      <c r="N178" s="308"/>
      <c r="O178" s="308"/>
      <c r="P178" s="308"/>
      <c r="Q178" s="308"/>
      <c r="R178" s="308"/>
      <c r="S178" s="308"/>
      <c r="T178" s="308"/>
      <c r="U178" s="308"/>
      <c r="V178" s="308"/>
      <c r="W178" s="308"/>
      <c r="X178" s="308"/>
      <c r="Y178" s="308"/>
      <c r="Z178" s="308"/>
      <c r="AA178" s="308"/>
      <c r="AB178" s="308"/>
      <c r="AC178" s="308"/>
      <c r="AD178" s="308"/>
      <c r="AE178" s="308"/>
      <c r="AF178" s="308"/>
      <c r="AG178" s="308"/>
      <c r="AH178" s="308"/>
      <c r="AI178" s="308"/>
      <c r="AJ178" s="308"/>
      <c r="AK178" s="308"/>
      <c r="AL178" s="308"/>
      <c r="AM178" s="308"/>
      <c r="AN178" s="308"/>
      <c r="AO178" s="308"/>
      <c r="AP178" s="308"/>
      <c r="AQ178" s="308"/>
      <c r="AR178" s="308"/>
      <c r="AS178" s="308"/>
      <c r="AT178" s="308"/>
      <c r="AU178" s="308"/>
      <c r="AV178" s="308"/>
      <c r="AW178" s="308"/>
      <c r="AX178" s="308"/>
      <c r="AY178" s="308"/>
      <c r="AZ178" s="308"/>
      <c r="BA178" s="308"/>
      <c r="BB178" s="308"/>
      <c r="BC178" s="308"/>
      <c r="BD178" s="308"/>
      <c r="BE178" s="308"/>
      <c r="BF178" s="308"/>
      <c r="BG178" s="308"/>
      <c r="BH178" s="308"/>
      <c r="BI178" s="308"/>
      <c r="BJ178" s="308"/>
      <c r="BK178" s="308"/>
      <c r="BL178" s="308"/>
      <c r="BM178" s="308"/>
      <c r="BN178" s="308"/>
      <c r="BO178" s="308"/>
      <c r="BP178" s="308"/>
      <c r="BQ178" s="308"/>
      <c r="BR178" s="308"/>
      <c r="BS178" s="308"/>
    </row>
    <row r="179" spans="1:71" ht="15.75" customHeight="1">
      <c r="A179" s="308"/>
      <c r="B179" s="308"/>
      <c r="C179" s="308"/>
      <c r="D179" s="308"/>
      <c r="E179" s="308"/>
      <c r="F179" s="341"/>
      <c r="G179" s="340"/>
      <c r="H179" s="308"/>
      <c r="I179" s="308"/>
      <c r="J179" s="308"/>
      <c r="K179" s="308"/>
      <c r="L179" s="308"/>
      <c r="M179" s="308"/>
      <c r="N179" s="308"/>
      <c r="O179" s="308"/>
      <c r="P179" s="308"/>
      <c r="Q179" s="308"/>
      <c r="R179" s="308"/>
      <c r="S179" s="308"/>
      <c r="T179" s="308"/>
      <c r="U179" s="308"/>
      <c r="V179" s="308"/>
      <c r="W179" s="308"/>
      <c r="X179" s="308"/>
      <c r="Y179" s="308"/>
      <c r="Z179" s="308"/>
      <c r="AA179" s="308"/>
      <c r="AB179" s="308"/>
      <c r="AC179" s="308"/>
      <c r="AD179" s="308"/>
      <c r="AE179" s="308"/>
      <c r="AF179" s="308"/>
      <c r="AG179" s="308"/>
      <c r="AH179" s="308"/>
      <c r="AI179" s="308"/>
      <c r="AJ179" s="308"/>
      <c r="AK179" s="308"/>
      <c r="AL179" s="308"/>
      <c r="AM179" s="308"/>
      <c r="AN179" s="308"/>
      <c r="AO179" s="308"/>
      <c r="AP179" s="308"/>
      <c r="AQ179" s="308"/>
      <c r="AR179" s="308"/>
      <c r="AS179" s="308"/>
      <c r="AT179" s="308"/>
      <c r="AU179" s="308"/>
      <c r="AV179" s="308"/>
      <c r="AW179" s="308"/>
      <c r="AX179" s="308"/>
      <c r="AY179" s="308"/>
      <c r="AZ179" s="308"/>
      <c r="BA179" s="308"/>
      <c r="BB179" s="308"/>
      <c r="BC179" s="308"/>
      <c r="BD179" s="308"/>
      <c r="BE179" s="308"/>
      <c r="BF179" s="308"/>
      <c r="BG179" s="308"/>
      <c r="BH179" s="308"/>
      <c r="BI179" s="308"/>
      <c r="BJ179" s="308"/>
      <c r="BK179" s="308"/>
      <c r="BL179" s="308"/>
      <c r="BM179" s="308"/>
      <c r="BN179" s="308"/>
      <c r="BO179" s="308"/>
      <c r="BP179" s="308"/>
      <c r="BQ179" s="308"/>
      <c r="BR179" s="308"/>
      <c r="BS179" s="308"/>
    </row>
    <row r="180" spans="1:71" ht="15.75" customHeight="1">
      <c r="A180" s="308"/>
      <c r="B180" s="308"/>
      <c r="C180" s="308"/>
      <c r="D180" s="308"/>
      <c r="E180" s="308"/>
      <c r="F180" s="341"/>
      <c r="G180" s="340"/>
      <c r="H180" s="308"/>
      <c r="I180" s="308"/>
      <c r="J180" s="308"/>
      <c r="K180" s="308"/>
      <c r="L180" s="308"/>
      <c r="M180" s="308"/>
      <c r="N180" s="308"/>
      <c r="O180" s="308"/>
      <c r="P180" s="308"/>
      <c r="Q180" s="308"/>
      <c r="R180" s="308"/>
      <c r="S180" s="308"/>
      <c r="T180" s="308"/>
      <c r="U180" s="308"/>
      <c r="V180" s="308"/>
      <c r="W180" s="308"/>
      <c r="X180" s="308"/>
      <c r="Y180" s="308"/>
      <c r="Z180" s="308"/>
      <c r="AA180" s="308"/>
      <c r="AB180" s="308"/>
      <c r="AC180" s="308"/>
      <c r="AD180" s="308"/>
      <c r="AE180" s="308"/>
      <c r="AF180" s="308"/>
      <c r="AG180" s="308"/>
      <c r="AH180" s="308"/>
      <c r="AI180" s="308"/>
      <c r="AJ180" s="308"/>
      <c r="AK180" s="308"/>
      <c r="AL180" s="308"/>
      <c r="AM180" s="308"/>
      <c r="AN180" s="308"/>
      <c r="AO180" s="308"/>
      <c r="AP180" s="308"/>
      <c r="AQ180" s="308"/>
      <c r="AR180" s="308"/>
      <c r="AS180" s="308"/>
      <c r="AT180" s="308"/>
      <c r="AU180" s="308"/>
      <c r="AV180" s="308"/>
      <c r="AW180" s="308"/>
      <c r="AX180" s="308"/>
      <c r="AY180" s="308"/>
      <c r="AZ180" s="308"/>
      <c r="BA180" s="308"/>
      <c r="BB180" s="308"/>
      <c r="BC180" s="308"/>
      <c r="BD180" s="308"/>
      <c r="BE180" s="308"/>
      <c r="BF180" s="308"/>
      <c r="BG180" s="308"/>
      <c r="BH180" s="308"/>
      <c r="BI180" s="308"/>
      <c r="BJ180" s="308"/>
      <c r="BK180" s="308"/>
      <c r="BL180" s="308"/>
      <c r="BM180" s="308"/>
      <c r="BN180" s="308"/>
      <c r="BO180" s="308"/>
      <c r="BP180" s="308"/>
      <c r="BQ180" s="308"/>
      <c r="BR180" s="308"/>
      <c r="BS180" s="308"/>
    </row>
    <row r="181" spans="1:71" ht="15.75" customHeight="1">
      <c r="A181" s="308"/>
      <c r="B181" s="308"/>
      <c r="C181" s="308"/>
      <c r="D181" s="308"/>
      <c r="E181" s="308"/>
      <c r="F181" s="341"/>
      <c r="G181" s="340"/>
      <c r="H181" s="308"/>
      <c r="I181" s="308"/>
      <c r="J181" s="308"/>
      <c r="K181" s="308"/>
      <c r="L181" s="308"/>
      <c r="M181" s="308"/>
      <c r="N181" s="308"/>
      <c r="O181" s="308"/>
      <c r="P181" s="308"/>
      <c r="Q181" s="308"/>
      <c r="R181" s="308"/>
      <c r="S181" s="308"/>
      <c r="T181" s="308"/>
      <c r="U181" s="308"/>
      <c r="V181" s="308"/>
      <c r="W181" s="308"/>
      <c r="X181" s="308"/>
      <c r="Y181" s="308"/>
      <c r="Z181" s="308"/>
      <c r="AA181" s="308"/>
      <c r="AB181" s="308"/>
      <c r="AC181" s="308"/>
      <c r="AD181" s="308"/>
      <c r="AE181" s="308"/>
      <c r="AF181" s="308"/>
      <c r="AG181" s="308"/>
      <c r="AH181" s="308"/>
      <c r="AI181" s="308"/>
      <c r="AJ181" s="308"/>
      <c r="AK181" s="308"/>
      <c r="AL181" s="308"/>
      <c r="AM181" s="308"/>
      <c r="AN181" s="308"/>
      <c r="AO181" s="308"/>
      <c r="AP181" s="308"/>
      <c r="AQ181" s="308"/>
      <c r="AR181" s="308"/>
      <c r="AS181" s="308"/>
      <c r="AT181" s="308"/>
      <c r="AU181" s="308"/>
      <c r="AV181" s="308"/>
      <c r="AW181" s="308"/>
      <c r="AX181" s="308"/>
      <c r="AY181" s="308"/>
      <c r="AZ181" s="308"/>
      <c r="BA181" s="308"/>
      <c r="BB181" s="308"/>
      <c r="BC181" s="308"/>
      <c r="BD181" s="308"/>
      <c r="BE181" s="308"/>
      <c r="BF181" s="308"/>
      <c r="BG181" s="308"/>
      <c r="BH181" s="308"/>
      <c r="BI181" s="308"/>
      <c r="BJ181" s="308"/>
      <c r="BK181" s="308"/>
      <c r="BL181" s="308"/>
      <c r="BM181" s="308"/>
      <c r="BN181" s="308"/>
      <c r="BO181" s="308"/>
      <c r="BP181" s="308"/>
      <c r="BQ181" s="308"/>
      <c r="BR181" s="308"/>
      <c r="BS181" s="308"/>
    </row>
    <row r="182" spans="1:71" ht="15.75" customHeight="1">
      <c r="A182" s="308"/>
      <c r="B182" s="308"/>
      <c r="C182" s="308"/>
      <c r="D182" s="308"/>
      <c r="E182" s="308"/>
      <c r="F182" s="341"/>
      <c r="G182" s="340"/>
      <c r="H182" s="308"/>
      <c r="I182" s="308"/>
      <c r="J182" s="308"/>
      <c r="K182" s="308"/>
      <c r="L182" s="308"/>
      <c r="M182" s="308"/>
      <c r="N182" s="308"/>
      <c r="O182" s="308"/>
      <c r="P182" s="308"/>
      <c r="Q182" s="308"/>
      <c r="R182" s="308"/>
      <c r="S182" s="308"/>
      <c r="T182" s="308"/>
      <c r="U182" s="308"/>
      <c r="V182" s="308"/>
      <c r="W182" s="308"/>
      <c r="X182" s="308"/>
      <c r="Y182" s="308"/>
      <c r="Z182" s="308"/>
      <c r="AA182" s="308"/>
      <c r="AB182" s="308"/>
      <c r="AC182" s="308"/>
      <c r="AD182" s="308"/>
      <c r="AE182" s="308"/>
      <c r="AF182" s="308"/>
      <c r="AG182" s="308"/>
      <c r="AH182" s="308"/>
      <c r="AI182" s="308"/>
      <c r="AJ182" s="308"/>
      <c r="AK182" s="308"/>
      <c r="AL182" s="308"/>
      <c r="AM182" s="308"/>
      <c r="AN182" s="308"/>
      <c r="AO182" s="308"/>
      <c r="AP182" s="308"/>
      <c r="AQ182" s="308"/>
      <c r="AR182" s="308"/>
      <c r="AS182" s="308"/>
      <c r="AT182" s="308"/>
      <c r="AU182" s="308"/>
      <c r="AV182" s="308"/>
      <c r="AW182" s="308"/>
      <c r="AX182" s="308"/>
      <c r="AY182" s="308"/>
      <c r="AZ182" s="308"/>
      <c r="BA182" s="308"/>
      <c r="BB182" s="308"/>
      <c r="BC182" s="308"/>
      <c r="BD182" s="308"/>
      <c r="BE182" s="308"/>
      <c r="BF182" s="308"/>
      <c r="BG182" s="308"/>
      <c r="BH182" s="308"/>
      <c r="BI182" s="308"/>
      <c r="BJ182" s="308"/>
      <c r="BK182" s="308"/>
      <c r="BL182" s="308"/>
      <c r="BM182" s="308"/>
      <c r="BN182" s="308"/>
      <c r="BO182" s="308"/>
      <c r="BP182" s="308"/>
      <c r="BQ182" s="308"/>
      <c r="BR182" s="308"/>
      <c r="BS182" s="308"/>
    </row>
    <row r="183" spans="1:71" ht="15.75" customHeight="1">
      <c r="A183" s="308"/>
      <c r="B183" s="308"/>
      <c r="C183" s="308"/>
      <c r="D183" s="308"/>
      <c r="E183" s="308"/>
      <c r="F183" s="341"/>
      <c r="G183" s="340"/>
      <c r="H183" s="308"/>
      <c r="I183" s="308"/>
      <c r="J183" s="308"/>
      <c r="K183" s="308"/>
      <c r="L183" s="308"/>
      <c r="M183" s="308"/>
      <c r="N183" s="308"/>
      <c r="O183" s="308"/>
      <c r="P183" s="308"/>
      <c r="Q183" s="308"/>
      <c r="R183" s="308"/>
      <c r="S183" s="308"/>
      <c r="T183" s="308"/>
      <c r="U183" s="308"/>
      <c r="V183" s="308"/>
      <c r="W183" s="308"/>
      <c r="X183" s="308"/>
      <c r="Y183" s="308"/>
      <c r="Z183" s="308"/>
      <c r="AA183" s="308"/>
      <c r="AB183" s="308"/>
      <c r="AC183" s="308"/>
      <c r="AD183" s="308"/>
      <c r="AE183" s="308"/>
      <c r="AF183" s="308"/>
      <c r="AG183" s="308"/>
      <c r="AH183" s="308"/>
      <c r="AI183" s="308"/>
      <c r="AJ183" s="308"/>
      <c r="AK183" s="308"/>
      <c r="AL183" s="308"/>
      <c r="AM183" s="308"/>
      <c r="AN183" s="308"/>
      <c r="AO183" s="308"/>
      <c r="AP183" s="308"/>
      <c r="AQ183" s="308"/>
      <c r="AR183" s="308"/>
      <c r="AS183" s="308"/>
      <c r="AT183" s="308"/>
      <c r="AU183" s="308"/>
      <c r="AV183" s="308"/>
      <c r="AW183" s="308"/>
      <c r="AX183" s="308"/>
      <c r="AY183" s="308"/>
      <c r="AZ183" s="308"/>
      <c r="BA183" s="308"/>
      <c r="BB183" s="308"/>
      <c r="BC183" s="308"/>
      <c r="BD183" s="308"/>
      <c r="BE183" s="308"/>
      <c r="BF183" s="308"/>
      <c r="BG183" s="308"/>
      <c r="BH183" s="308"/>
      <c r="BI183" s="308"/>
      <c r="BJ183" s="308"/>
      <c r="BK183" s="308"/>
      <c r="BL183" s="308"/>
      <c r="BM183" s="308"/>
      <c r="BN183" s="308"/>
      <c r="BO183" s="308"/>
      <c r="BP183" s="308"/>
      <c r="BQ183" s="308"/>
      <c r="BR183" s="308"/>
      <c r="BS183" s="308"/>
    </row>
    <row r="184" spans="1:71" ht="15.75" customHeight="1">
      <c r="A184" s="308"/>
      <c r="B184" s="308"/>
      <c r="C184" s="308"/>
      <c r="D184" s="308"/>
      <c r="E184" s="308"/>
      <c r="F184" s="341"/>
      <c r="G184" s="340"/>
      <c r="H184" s="308"/>
      <c r="I184" s="308"/>
      <c r="J184" s="308"/>
      <c r="K184" s="308"/>
      <c r="L184" s="308"/>
      <c r="M184" s="308"/>
      <c r="N184" s="308"/>
      <c r="O184" s="308"/>
      <c r="P184" s="308"/>
      <c r="Q184" s="308"/>
      <c r="R184" s="308"/>
      <c r="S184" s="308"/>
      <c r="T184" s="308"/>
      <c r="U184" s="308"/>
      <c r="V184" s="308"/>
      <c r="W184" s="308"/>
      <c r="X184" s="308"/>
      <c r="Y184" s="308"/>
      <c r="Z184" s="308"/>
      <c r="AA184" s="308"/>
      <c r="AB184" s="308"/>
      <c r="AC184" s="308"/>
      <c r="AD184" s="308"/>
      <c r="AE184" s="308"/>
      <c r="AF184" s="308"/>
      <c r="AG184" s="308"/>
      <c r="AH184" s="308"/>
      <c r="AI184" s="308"/>
      <c r="AJ184" s="308"/>
      <c r="AK184" s="308"/>
      <c r="AL184" s="308"/>
      <c r="AM184" s="308"/>
      <c r="AN184" s="308"/>
      <c r="AO184" s="308"/>
      <c r="AP184" s="308"/>
      <c r="AQ184" s="308"/>
      <c r="AR184" s="308"/>
      <c r="AS184" s="308"/>
      <c r="AT184" s="308"/>
      <c r="AU184" s="308"/>
      <c r="AV184" s="308"/>
      <c r="AW184" s="308"/>
      <c r="AX184" s="308"/>
      <c r="AY184" s="308"/>
      <c r="AZ184" s="308"/>
      <c r="BA184" s="308"/>
      <c r="BB184" s="308"/>
      <c r="BC184" s="308"/>
      <c r="BD184" s="308"/>
      <c r="BE184" s="308"/>
      <c r="BF184" s="308"/>
      <c r="BG184" s="308"/>
      <c r="BH184" s="308"/>
      <c r="BI184" s="308"/>
      <c r="BJ184" s="308"/>
      <c r="BK184" s="308"/>
      <c r="BL184" s="308"/>
      <c r="BM184" s="308"/>
      <c r="BN184" s="308"/>
      <c r="BO184" s="308"/>
      <c r="BP184" s="308"/>
      <c r="BQ184" s="308"/>
      <c r="BR184" s="308"/>
      <c r="BS184" s="308"/>
    </row>
    <row r="185" spans="1:71" ht="15.75" customHeight="1">
      <c r="A185" s="308"/>
      <c r="B185" s="308"/>
      <c r="C185" s="308"/>
      <c r="D185" s="308"/>
      <c r="E185" s="308"/>
      <c r="F185" s="341"/>
      <c r="G185" s="340"/>
      <c r="H185" s="308"/>
      <c r="I185" s="308"/>
      <c r="J185" s="308"/>
      <c r="K185" s="308"/>
      <c r="L185" s="308"/>
      <c r="M185" s="308"/>
      <c r="N185" s="308"/>
      <c r="O185" s="308"/>
      <c r="P185" s="308"/>
      <c r="Q185" s="308"/>
      <c r="R185" s="308"/>
      <c r="S185" s="308"/>
      <c r="T185" s="308"/>
      <c r="U185" s="308"/>
      <c r="V185" s="308"/>
      <c r="W185" s="308"/>
      <c r="X185" s="308"/>
      <c r="Y185" s="308"/>
      <c r="Z185" s="308"/>
      <c r="AA185" s="308"/>
      <c r="AB185" s="308"/>
      <c r="AC185" s="308"/>
      <c r="AD185" s="308"/>
      <c r="AE185" s="308"/>
      <c r="AF185" s="308"/>
      <c r="AG185" s="308"/>
      <c r="AH185" s="308"/>
      <c r="AI185" s="308"/>
      <c r="AJ185" s="308"/>
      <c r="AK185" s="308"/>
      <c r="AL185" s="308"/>
      <c r="AM185" s="308"/>
      <c r="AN185" s="308"/>
      <c r="AO185" s="308"/>
      <c r="AP185" s="308"/>
      <c r="AQ185" s="308"/>
      <c r="AR185" s="308"/>
      <c r="AS185" s="308"/>
      <c r="AT185" s="308"/>
      <c r="AU185" s="308"/>
      <c r="AV185" s="308"/>
      <c r="AW185" s="308"/>
      <c r="AX185" s="308"/>
      <c r="AY185" s="308"/>
      <c r="AZ185" s="308"/>
      <c r="BA185" s="308"/>
      <c r="BB185" s="308"/>
      <c r="BC185" s="308"/>
      <c r="BD185" s="308"/>
      <c r="BE185" s="308"/>
      <c r="BF185" s="308"/>
      <c r="BG185" s="308"/>
      <c r="BH185" s="308"/>
      <c r="BI185" s="308"/>
      <c r="BJ185" s="308"/>
      <c r="BK185" s="308"/>
      <c r="BL185" s="308"/>
      <c r="BM185" s="308"/>
      <c r="BN185" s="308"/>
      <c r="BO185" s="308"/>
      <c r="BP185" s="308"/>
      <c r="BQ185" s="308"/>
      <c r="BR185" s="308"/>
      <c r="BS185" s="308"/>
    </row>
    <row r="186" spans="1:71" ht="15.75" customHeight="1">
      <c r="A186" s="308"/>
      <c r="B186" s="308"/>
      <c r="C186" s="308"/>
      <c r="D186" s="308"/>
      <c r="E186" s="308"/>
      <c r="F186" s="341"/>
      <c r="G186" s="340"/>
      <c r="H186" s="308"/>
      <c r="I186" s="308"/>
      <c r="J186" s="308"/>
      <c r="K186" s="308"/>
      <c r="L186" s="308"/>
      <c r="M186" s="308"/>
      <c r="N186" s="308"/>
      <c r="O186" s="308"/>
      <c r="P186" s="308"/>
      <c r="Q186" s="308"/>
      <c r="R186" s="308"/>
      <c r="S186" s="308"/>
      <c r="T186" s="308"/>
      <c r="U186" s="308"/>
      <c r="V186" s="308"/>
      <c r="W186" s="308"/>
      <c r="X186" s="308"/>
      <c r="Y186" s="308"/>
      <c r="Z186" s="308"/>
      <c r="AA186" s="308"/>
      <c r="AB186" s="308"/>
      <c r="AC186" s="308"/>
      <c r="AD186" s="308"/>
      <c r="AE186" s="308"/>
      <c r="AF186" s="308"/>
      <c r="AG186" s="308"/>
      <c r="AH186" s="308"/>
      <c r="AI186" s="308"/>
      <c r="AJ186" s="308"/>
      <c r="AK186" s="308"/>
      <c r="AL186" s="308"/>
      <c r="AM186" s="308"/>
      <c r="AN186" s="308"/>
      <c r="AO186" s="308"/>
      <c r="AP186" s="308"/>
      <c r="AQ186" s="308"/>
      <c r="AR186" s="308"/>
      <c r="AS186" s="308"/>
      <c r="AT186" s="308"/>
      <c r="AU186" s="308"/>
      <c r="AV186" s="308"/>
      <c r="AW186" s="308"/>
      <c r="AX186" s="308"/>
      <c r="AY186" s="308"/>
      <c r="AZ186" s="308"/>
      <c r="BA186" s="308"/>
      <c r="BB186" s="308"/>
      <c r="BC186" s="308"/>
      <c r="BD186" s="308"/>
      <c r="BE186" s="308"/>
      <c r="BF186" s="308"/>
      <c r="BG186" s="308"/>
      <c r="BH186" s="308"/>
      <c r="BI186" s="308"/>
      <c r="BJ186" s="308"/>
      <c r="BK186" s="308"/>
      <c r="BL186" s="308"/>
      <c r="BM186" s="308"/>
      <c r="BN186" s="308"/>
      <c r="BO186" s="308"/>
      <c r="BP186" s="308"/>
      <c r="BQ186" s="308"/>
      <c r="BR186" s="308"/>
      <c r="BS186" s="308"/>
    </row>
    <row r="187" spans="1:71" ht="15.75" customHeight="1">
      <c r="A187" s="308"/>
      <c r="B187" s="308"/>
      <c r="C187" s="308"/>
      <c r="D187" s="308"/>
      <c r="E187" s="308"/>
      <c r="F187" s="341"/>
      <c r="G187" s="340"/>
      <c r="H187" s="308"/>
      <c r="I187" s="308"/>
      <c r="J187" s="308"/>
      <c r="K187" s="308"/>
      <c r="L187" s="308"/>
      <c r="M187" s="308"/>
      <c r="N187" s="308"/>
      <c r="O187" s="308"/>
      <c r="P187" s="308"/>
      <c r="Q187" s="308"/>
      <c r="R187" s="308"/>
      <c r="S187" s="308"/>
      <c r="T187" s="308"/>
      <c r="U187" s="308"/>
      <c r="V187" s="308"/>
      <c r="W187" s="308"/>
      <c r="X187" s="308"/>
      <c r="Y187" s="308"/>
      <c r="Z187" s="308"/>
      <c r="AA187" s="308"/>
      <c r="AB187" s="308"/>
      <c r="AC187" s="308"/>
      <c r="AD187" s="308"/>
      <c r="AE187" s="308"/>
      <c r="AF187" s="308"/>
      <c r="AG187" s="308"/>
      <c r="AH187" s="308"/>
      <c r="AI187" s="308"/>
      <c r="AJ187" s="308"/>
      <c r="AK187" s="308"/>
      <c r="AL187" s="308"/>
      <c r="AM187" s="308"/>
      <c r="AN187" s="308"/>
      <c r="AO187" s="308"/>
      <c r="AP187" s="308"/>
      <c r="AQ187" s="308"/>
      <c r="AR187" s="308"/>
      <c r="AS187" s="308"/>
      <c r="AT187" s="308"/>
      <c r="AU187" s="308"/>
      <c r="AV187" s="308"/>
      <c r="AW187" s="308"/>
      <c r="AX187" s="308"/>
      <c r="AY187" s="308"/>
      <c r="AZ187" s="308"/>
      <c r="BA187" s="308"/>
      <c r="BB187" s="308"/>
      <c r="BC187" s="308"/>
      <c r="BD187" s="308"/>
      <c r="BE187" s="308"/>
      <c r="BF187" s="308"/>
      <c r="BG187" s="308"/>
      <c r="BH187" s="308"/>
      <c r="BI187" s="308"/>
      <c r="BJ187" s="308"/>
      <c r="BK187" s="308"/>
      <c r="BL187" s="308"/>
      <c r="BM187" s="308"/>
      <c r="BN187" s="308"/>
      <c r="BO187" s="308"/>
      <c r="BP187" s="308"/>
      <c r="BQ187" s="308"/>
      <c r="BR187" s="308"/>
      <c r="BS187" s="308"/>
    </row>
    <row r="188" spans="1:71" ht="15.75" customHeight="1">
      <c r="A188" s="308"/>
      <c r="B188" s="308"/>
      <c r="C188" s="308"/>
      <c r="D188" s="308"/>
      <c r="E188" s="308"/>
      <c r="F188" s="341"/>
      <c r="G188" s="340"/>
      <c r="H188" s="308"/>
      <c r="I188" s="308"/>
      <c r="J188" s="308"/>
      <c r="K188" s="308"/>
      <c r="L188" s="308"/>
      <c r="M188" s="308"/>
      <c r="N188" s="308"/>
      <c r="O188" s="308"/>
      <c r="P188" s="308"/>
      <c r="Q188" s="308"/>
      <c r="R188" s="308"/>
      <c r="S188" s="308"/>
      <c r="T188" s="308"/>
      <c r="U188" s="308"/>
      <c r="V188" s="308"/>
      <c r="W188" s="308"/>
      <c r="X188" s="308"/>
      <c r="Y188" s="308"/>
      <c r="Z188" s="308"/>
      <c r="AA188" s="308"/>
      <c r="AB188" s="308"/>
      <c r="AC188" s="308"/>
      <c r="AD188" s="308"/>
      <c r="AE188" s="308"/>
      <c r="AF188" s="308"/>
      <c r="AG188" s="308"/>
      <c r="AH188" s="308"/>
      <c r="AI188" s="308"/>
      <c r="AJ188" s="308"/>
      <c r="AK188" s="308"/>
      <c r="AL188" s="308"/>
      <c r="AM188" s="308"/>
      <c r="AN188" s="308"/>
      <c r="AO188" s="308"/>
      <c r="AP188" s="308"/>
      <c r="AQ188" s="308"/>
      <c r="AR188" s="308"/>
      <c r="AS188" s="308"/>
      <c r="AT188" s="308"/>
      <c r="AU188" s="308"/>
      <c r="AV188" s="308"/>
      <c r="AW188" s="308"/>
      <c r="AX188" s="308"/>
      <c r="AY188" s="308"/>
      <c r="AZ188" s="308"/>
      <c r="BA188" s="308"/>
      <c r="BB188" s="308"/>
      <c r="BC188" s="308"/>
      <c r="BD188" s="308"/>
      <c r="BE188" s="308"/>
      <c r="BF188" s="308"/>
      <c r="BG188" s="308"/>
      <c r="BH188" s="308"/>
      <c r="BI188" s="308"/>
      <c r="BJ188" s="308"/>
      <c r="BK188" s="308"/>
      <c r="BL188" s="308"/>
      <c r="BM188" s="308"/>
      <c r="BN188" s="308"/>
      <c r="BO188" s="308"/>
      <c r="BP188" s="308"/>
      <c r="BQ188" s="308"/>
      <c r="BR188" s="308"/>
      <c r="BS188" s="308"/>
    </row>
    <row r="189" spans="1:71" ht="15.75" customHeight="1">
      <c r="A189" s="308"/>
      <c r="B189" s="308"/>
      <c r="C189" s="308"/>
      <c r="D189" s="308"/>
      <c r="E189" s="308"/>
      <c r="F189" s="341"/>
      <c r="G189" s="340"/>
      <c r="H189" s="308"/>
      <c r="I189" s="308"/>
      <c r="J189" s="308"/>
      <c r="K189" s="308"/>
      <c r="L189" s="308"/>
      <c r="M189" s="308"/>
      <c r="N189" s="308"/>
      <c r="O189" s="308"/>
      <c r="P189" s="308"/>
      <c r="Q189" s="308"/>
      <c r="R189" s="308"/>
      <c r="S189" s="308"/>
      <c r="T189" s="308"/>
      <c r="U189" s="308"/>
      <c r="V189" s="308"/>
      <c r="W189" s="308"/>
      <c r="X189" s="308"/>
      <c r="Y189" s="308"/>
      <c r="Z189" s="308"/>
      <c r="AA189" s="308"/>
      <c r="AB189" s="308"/>
      <c r="AC189" s="308"/>
      <c r="AD189" s="308"/>
      <c r="AE189" s="308"/>
      <c r="AF189" s="308"/>
      <c r="AG189" s="308"/>
      <c r="AH189" s="308"/>
      <c r="AI189" s="308"/>
      <c r="AJ189" s="308"/>
      <c r="AK189" s="308"/>
      <c r="AL189" s="308"/>
      <c r="AM189" s="308"/>
      <c r="AN189" s="308"/>
      <c r="AO189" s="308"/>
      <c r="AP189" s="308"/>
      <c r="AQ189" s="308"/>
      <c r="AR189" s="308"/>
      <c r="AS189" s="308"/>
      <c r="AT189" s="308"/>
      <c r="AU189" s="308"/>
      <c r="AV189" s="308"/>
      <c r="AW189" s="308"/>
      <c r="AX189" s="308"/>
      <c r="AY189" s="308"/>
      <c r="AZ189" s="308"/>
      <c r="BA189" s="308"/>
      <c r="BB189" s="308"/>
      <c r="BC189" s="308"/>
      <c r="BD189" s="308"/>
      <c r="BE189" s="308"/>
      <c r="BF189" s="308"/>
      <c r="BG189" s="308"/>
      <c r="BH189" s="308"/>
      <c r="BI189" s="308"/>
      <c r="BJ189" s="308"/>
      <c r="BK189" s="308"/>
      <c r="BL189" s="308"/>
      <c r="BM189" s="308"/>
      <c r="BN189" s="308"/>
      <c r="BO189" s="308"/>
      <c r="BP189" s="308"/>
      <c r="BQ189" s="308"/>
      <c r="BR189" s="308"/>
      <c r="BS189" s="308"/>
    </row>
    <row r="190" spans="1:71" ht="15.75" customHeight="1">
      <c r="A190" s="308"/>
      <c r="B190" s="308"/>
      <c r="C190" s="308"/>
      <c r="D190" s="308"/>
      <c r="E190" s="308"/>
      <c r="F190" s="341"/>
      <c r="G190" s="340"/>
      <c r="H190" s="308"/>
      <c r="I190" s="308"/>
      <c r="J190" s="308"/>
      <c r="K190" s="308"/>
      <c r="L190" s="308"/>
      <c r="M190" s="308"/>
      <c r="N190" s="308"/>
      <c r="O190" s="308"/>
      <c r="P190" s="308"/>
      <c r="Q190" s="308"/>
      <c r="R190" s="308"/>
      <c r="S190" s="308"/>
      <c r="T190" s="308"/>
      <c r="U190" s="308"/>
      <c r="V190" s="308"/>
      <c r="W190" s="308"/>
      <c r="X190" s="308"/>
      <c r="Y190" s="308"/>
      <c r="Z190" s="308"/>
      <c r="AA190" s="308"/>
      <c r="AB190" s="308"/>
      <c r="AC190" s="308"/>
      <c r="AD190" s="308"/>
      <c r="AE190" s="308"/>
      <c r="AF190" s="308"/>
      <c r="AG190" s="308"/>
      <c r="AH190" s="308"/>
      <c r="AI190" s="308"/>
      <c r="AJ190" s="308"/>
      <c r="AK190" s="308"/>
      <c r="AL190" s="308"/>
      <c r="AM190" s="308"/>
      <c r="AN190" s="308"/>
      <c r="AO190" s="308"/>
      <c r="AP190" s="308"/>
      <c r="AQ190" s="308"/>
      <c r="AR190" s="308"/>
      <c r="AS190" s="308"/>
      <c r="AT190" s="308"/>
      <c r="AU190" s="308"/>
      <c r="AV190" s="308"/>
      <c r="AW190" s="308"/>
      <c r="AX190" s="308"/>
      <c r="AY190" s="308"/>
      <c r="AZ190" s="308"/>
      <c r="BA190" s="308"/>
      <c r="BB190" s="308"/>
      <c r="BC190" s="308"/>
      <c r="BD190" s="308"/>
      <c r="BE190" s="308"/>
      <c r="BF190" s="308"/>
      <c r="BG190" s="308"/>
      <c r="BH190" s="308"/>
      <c r="BI190" s="308"/>
      <c r="BJ190" s="308"/>
      <c r="BK190" s="308"/>
      <c r="BL190" s="308"/>
      <c r="BM190" s="308"/>
      <c r="BN190" s="308"/>
      <c r="BO190" s="308"/>
      <c r="BP190" s="308"/>
      <c r="BQ190" s="308"/>
      <c r="BR190" s="308"/>
      <c r="BS190" s="308"/>
    </row>
    <row r="191" spans="1:71" ht="15.75" customHeight="1">
      <c r="A191" s="308"/>
      <c r="B191" s="308"/>
      <c r="C191" s="308"/>
      <c r="D191" s="308"/>
      <c r="E191" s="308"/>
      <c r="F191" s="341"/>
      <c r="G191" s="340"/>
      <c r="H191" s="308"/>
      <c r="I191" s="308"/>
      <c r="J191" s="308"/>
      <c r="K191" s="308"/>
      <c r="L191" s="308"/>
      <c r="M191" s="308"/>
      <c r="N191" s="308"/>
      <c r="O191" s="308"/>
      <c r="P191" s="308"/>
      <c r="Q191" s="308"/>
      <c r="R191" s="308"/>
      <c r="S191" s="308"/>
      <c r="T191" s="308"/>
      <c r="U191" s="308"/>
      <c r="V191" s="308"/>
      <c r="W191" s="308"/>
      <c r="X191" s="308"/>
      <c r="Y191" s="308"/>
      <c r="Z191" s="308"/>
      <c r="AA191" s="308"/>
      <c r="AB191" s="308"/>
      <c r="AC191" s="308"/>
      <c r="AD191" s="308"/>
      <c r="AE191" s="308"/>
      <c r="AF191" s="308"/>
      <c r="AG191" s="308"/>
      <c r="AH191" s="308"/>
      <c r="AI191" s="308"/>
      <c r="AJ191" s="308"/>
      <c r="AK191" s="308"/>
      <c r="AL191" s="308"/>
      <c r="AM191" s="308"/>
      <c r="AN191" s="308"/>
      <c r="AO191" s="308"/>
      <c r="AP191" s="308"/>
      <c r="AQ191" s="308"/>
      <c r="AR191" s="308"/>
      <c r="AS191" s="308"/>
      <c r="AT191" s="308"/>
      <c r="AU191" s="308"/>
      <c r="AV191" s="308"/>
      <c r="AW191" s="308"/>
      <c r="AX191" s="308"/>
      <c r="AY191" s="308"/>
      <c r="AZ191" s="308"/>
      <c r="BA191" s="308"/>
      <c r="BB191" s="308"/>
      <c r="BC191" s="308"/>
      <c r="BD191" s="308"/>
      <c r="BE191" s="308"/>
      <c r="BF191" s="308"/>
      <c r="BG191" s="308"/>
      <c r="BH191" s="308"/>
      <c r="BI191" s="308"/>
      <c r="BJ191" s="308"/>
      <c r="BK191" s="308"/>
      <c r="BL191" s="308"/>
      <c r="BM191" s="308"/>
      <c r="BN191" s="308"/>
      <c r="BO191" s="308"/>
      <c r="BP191" s="308"/>
      <c r="BQ191" s="308"/>
      <c r="BR191" s="308"/>
      <c r="BS191" s="308"/>
    </row>
    <row r="192" spans="1:71" ht="15.75" customHeight="1">
      <c r="A192" s="308"/>
      <c r="B192" s="308"/>
      <c r="C192" s="308"/>
      <c r="D192" s="308"/>
      <c r="E192" s="308"/>
      <c r="F192" s="341"/>
      <c r="G192" s="340"/>
      <c r="H192" s="308"/>
      <c r="I192" s="308"/>
      <c r="J192" s="308"/>
      <c r="K192" s="308"/>
      <c r="L192" s="308"/>
      <c r="M192" s="308"/>
      <c r="N192" s="308"/>
      <c r="O192" s="308"/>
      <c r="P192" s="308"/>
      <c r="Q192" s="308"/>
      <c r="R192" s="308"/>
      <c r="S192" s="308"/>
      <c r="T192" s="308"/>
      <c r="U192" s="308"/>
      <c r="V192" s="308"/>
      <c r="W192" s="308"/>
      <c r="X192" s="308"/>
      <c r="Y192" s="308"/>
      <c r="Z192" s="308"/>
      <c r="AA192" s="308"/>
      <c r="AB192" s="308"/>
      <c r="AC192" s="308"/>
      <c r="AD192" s="308"/>
      <c r="AE192" s="308"/>
      <c r="AF192" s="308"/>
      <c r="AG192" s="308"/>
      <c r="AH192" s="308"/>
      <c r="AI192" s="308"/>
      <c r="AJ192" s="308"/>
      <c r="AK192" s="308"/>
      <c r="AL192" s="308"/>
      <c r="AM192" s="308"/>
      <c r="AN192" s="308"/>
      <c r="AO192" s="308"/>
      <c r="AP192" s="308"/>
      <c r="AQ192" s="308"/>
      <c r="AR192" s="308"/>
      <c r="AS192" s="308"/>
      <c r="AT192" s="308"/>
      <c r="AU192" s="308"/>
      <c r="AV192" s="308"/>
      <c r="AW192" s="308"/>
      <c r="AX192" s="308"/>
      <c r="AY192" s="308"/>
      <c r="AZ192" s="308"/>
      <c r="BA192" s="308"/>
      <c r="BB192" s="308"/>
      <c r="BC192" s="308"/>
      <c r="BD192" s="308"/>
      <c r="BE192" s="308"/>
      <c r="BF192" s="308"/>
      <c r="BG192" s="308"/>
      <c r="BH192" s="308"/>
      <c r="BI192" s="308"/>
      <c r="BJ192" s="308"/>
      <c r="BK192" s="308"/>
      <c r="BL192" s="308"/>
      <c r="BM192" s="308"/>
      <c r="BN192" s="308"/>
      <c r="BO192" s="308"/>
      <c r="BP192" s="308"/>
      <c r="BQ192" s="308"/>
      <c r="BR192" s="308"/>
      <c r="BS192" s="308"/>
    </row>
    <row r="193" spans="1:71" ht="15.75" customHeight="1">
      <c r="A193" s="308"/>
      <c r="B193" s="308"/>
      <c r="C193" s="308"/>
      <c r="D193" s="308"/>
      <c r="E193" s="308"/>
      <c r="F193" s="341"/>
      <c r="G193" s="340"/>
      <c r="H193" s="308"/>
      <c r="I193" s="308"/>
      <c r="J193" s="308"/>
      <c r="K193" s="308"/>
      <c r="L193" s="308"/>
      <c r="M193" s="308"/>
      <c r="N193" s="308"/>
      <c r="O193" s="308"/>
      <c r="P193" s="308"/>
      <c r="Q193" s="308"/>
      <c r="R193" s="308"/>
      <c r="S193" s="308"/>
      <c r="T193" s="308"/>
      <c r="U193" s="308"/>
      <c r="V193" s="308"/>
      <c r="W193" s="308"/>
      <c r="X193" s="308"/>
      <c r="Y193" s="308"/>
      <c r="Z193" s="308"/>
      <c r="AA193" s="308"/>
      <c r="AB193" s="308"/>
      <c r="AC193" s="308"/>
      <c r="AD193" s="308"/>
      <c r="AE193" s="308"/>
      <c r="AF193" s="308"/>
      <c r="AG193" s="308"/>
      <c r="AH193" s="308"/>
      <c r="AI193" s="308"/>
      <c r="AJ193" s="308"/>
      <c r="AK193" s="308"/>
      <c r="AL193" s="308"/>
      <c r="AM193" s="308"/>
      <c r="AN193" s="308"/>
      <c r="AO193" s="308"/>
      <c r="AP193" s="308"/>
      <c r="AQ193" s="308"/>
      <c r="AR193" s="308"/>
      <c r="AS193" s="308"/>
      <c r="AT193" s="308"/>
      <c r="AU193" s="308"/>
      <c r="AV193" s="308"/>
      <c r="AW193" s="308"/>
      <c r="AX193" s="308"/>
      <c r="AY193" s="308"/>
      <c r="AZ193" s="308"/>
      <c r="BA193" s="308"/>
      <c r="BB193" s="308"/>
      <c r="BC193" s="308"/>
      <c r="BD193" s="308"/>
      <c r="BE193" s="308"/>
      <c r="BF193" s="308"/>
      <c r="BG193" s="308"/>
      <c r="BH193" s="308"/>
      <c r="BI193" s="308"/>
      <c r="BJ193" s="308"/>
      <c r="BK193" s="308"/>
      <c r="BL193" s="308"/>
      <c r="BM193" s="308"/>
      <c r="BN193" s="308"/>
      <c r="BO193" s="308"/>
      <c r="BP193" s="308"/>
      <c r="BQ193" s="308"/>
      <c r="BR193" s="308"/>
      <c r="BS193" s="308"/>
    </row>
    <row r="194" spans="1:71" ht="15.75" customHeight="1">
      <c r="A194" s="308"/>
      <c r="B194" s="308"/>
      <c r="C194" s="308"/>
      <c r="D194" s="308"/>
      <c r="E194" s="308"/>
      <c r="F194" s="341"/>
      <c r="G194" s="340"/>
      <c r="H194" s="308"/>
      <c r="I194" s="308"/>
      <c r="J194" s="308"/>
      <c r="K194" s="308"/>
      <c r="L194" s="308"/>
      <c r="M194" s="308"/>
      <c r="N194" s="308"/>
      <c r="O194" s="308"/>
      <c r="P194" s="308"/>
      <c r="Q194" s="308"/>
      <c r="R194" s="308"/>
      <c r="S194" s="308"/>
      <c r="T194" s="308"/>
      <c r="U194" s="308"/>
      <c r="V194" s="308"/>
      <c r="W194" s="308"/>
      <c r="X194" s="308"/>
      <c r="Y194" s="308"/>
      <c r="Z194" s="308"/>
      <c r="AA194" s="308"/>
      <c r="AB194" s="308"/>
      <c r="AC194" s="308"/>
      <c r="AD194" s="308"/>
      <c r="AE194" s="308"/>
      <c r="AF194" s="308"/>
      <c r="AG194" s="308"/>
      <c r="AH194" s="308"/>
      <c r="AI194" s="308"/>
      <c r="AJ194" s="308"/>
      <c r="AK194" s="308"/>
      <c r="AL194" s="308"/>
      <c r="AM194" s="308"/>
      <c r="AN194" s="308"/>
      <c r="AO194" s="308"/>
      <c r="AP194" s="308"/>
      <c r="AQ194" s="308"/>
      <c r="AR194" s="308"/>
      <c r="AS194" s="308"/>
      <c r="AT194" s="308"/>
      <c r="AU194" s="308"/>
      <c r="AV194" s="308"/>
      <c r="AW194" s="308"/>
      <c r="AX194" s="308"/>
      <c r="AY194" s="308"/>
      <c r="AZ194" s="308"/>
      <c r="BA194" s="308"/>
      <c r="BB194" s="308"/>
      <c r="BC194" s="308"/>
      <c r="BD194" s="308"/>
      <c r="BE194" s="308"/>
      <c r="BF194" s="308"/>
      <c r="BG194" s="308"/>
      <c r="BH194" s="308"/>
      <c r="BI194" s="308"/>
      <c r="BJ194" s="308"/>
      <c r="BK194" s="308"/>
      <c r="BL194" s="308"/>
      <c r="BM194" s="308"/>
      <c r="BN194" s="308"/>
      <c r="BO194" s="308"/>
      <c r="BP194" s="308"/>
      <c r="BQ194" s="308"/>
      <c r="BR194" s="308"/>
      <c r="BS194" s="308"/>
    </row>
    <row r="195" spans="1:71" ht="15.75" customHeight="1">
      <c r="A195" s="308"/>
      <c r="B195" s="308"/>
      <c r="C195" s="308"/>
      <c r="D195" s="308"/>
      <c r="E195" s="308"/>
      <c r="F195" s="341"/>
      <c r="G195" s="340"/>
      <c r="H195" s="308"/>
      <c r="I195" s="308"/>
      <c r="J195" s="308"/>
      <c r="K195" s="308"/>
      <c r="L195" s="308"/>
      <c r="M195" s="308"/>
      <c r="N195" s="308"/>
      <c r="O195" s="308"/>
      <c r="P195" s="308"/>
      <c r="Q195" s="308"/>
      <c r="R195" s="308"/>
      <c r="S195" s="308"/>
      <c r="T195" s="308"/>
      <c r="U195" s="308"/>
      <c r="V195" s="308"/>
      <c r="W195" s="308"/>
      <c r="X195" s="308"/>
      <c r="Y195" s="308"/>
      <c r="Z195" s="308"/>
      <c r="AA195" s="308"/>
      <c r="AB195" s="308"/>
      <c r="AC195" s="308"/>
      <c r="AD195" s="308"/>
      <c r="AE195" s="308"/>
      <c r="AF195" s="308"/>
      <c r="AG195" s="308"/>
      <c r="AH195" s="308"/>
      <c r="AI195" s="308"/>
      <c r="AJ195" s="308"/>
      <c r="AK195" s="308"/>
      <c r="AL195" s="308"/>
      <c r="AM195" s="308"/>
      <c r="AN195" s="308"/>
      <c r="AO195" s="308"/>
      <c r="AP195" s="308"/>
      <c r="AQ195" s="308"/>
      <c r="AR195" s="308"/>
      <c r="AS195" s="308"/>
      <c r="AT195" s="308"/>
      <c r="AU195" s="308"/>
      <c r="AV195" s="308"/>
      <c r="AW195" s="308"/>
      <c r="AX195" s="308"/>
      <c r="AY195" s="308"/>
      <c r="AZ195" s="308"/>
      <c r="BA195" s="308"/>
      <c r="BB195" s="308"/>
      <c r="BC195" s="308"/>
      <c r="BD195" s="308"/>
      <c r="BE195" s="308"/>
      <c r="BF195" s="308"/>
      <c r="BG195" s="308"/>
      <c r="BH195" s="308"/>
      <c r="BI195" s="308"/>
      <c r="BJ195" s="308"/>
      <c r="BK195" s="308"/>
      <c r="BL195" s="308"/>
      <c r="BM195" s="308"/>
      <c r="BN195" s="308"/>
      <c r="BO195" s="308"/>
      <c r="BP195" s="308"/>
      <c r="BQ195" s="308"/>
      <c r="BR195" s="308"/>
      <c r="BS195" s="308"/>
    </row>
    <row r="196" spans="1:71" ht="15.75" customHeight="1">
      <c r="A196" s="308"/>
      <c r="B196" s="308"/>
      <c r="C196" s="308"/>
      <c r="D196" s="308"/>
      <c r="E196" s="308"/>
      <c r="F196" s="341"/>
      <c r="G196" s="340"/>
      <c r="H196" s="308"/>
      <c r="I196" s="308"/>
      <c r="J196" s="308"/>
      <c r="K196" s="308"/>
      <c r="L196" s="308"/>
      <c r="M196" s="308"/>
      <c r="N196" s="308"/>
      <c r="O196" s="308"/>
      <c r="P196" s="308"/>
      <c r="Q196" s="308"/>
      <c r="R196" s="308"/>
      <c r="S196" s="308"/>
      <c r="T196" s="308"/>
      <c r="U196" s="308"/>
      <c r="V196" s="308"/>
      <c r="W196" s="308"/>
      <c r="X196" s="308"/>
      <c r="Y196" s="308"/>
      <c r="Z196" s="308"/>
      <c r="AA196" s="308"/>
      <c r="AB196" s="308"/>
      <c r="AC196" s="308"/>
      <c r="AD196" s="308"/>
      <c r="AE196" s="308"/>
      <c r="AF196" s="308"/>
      <c r="AG196" s="308"/>
      <c r="AH196" s="308"/>
      <c r="AI196" s="308"/>
      <c r="AJ196" s="308"/>
      <c r="AK196" s="308"/>
      <c r="AL196" s="308"/>
      <c r="AM196" s="308"/>
      <c r="AN196" s="308"/>
      <c r="AO196" s="308"/>
      <c r="AP196" s="308"/>
      <c r="AQ196" s="308"/>
      <c r="AR196" s="308"/>
      <c r="AS196" s="308"/>
      <c r="AT196" s="308"/>
      <c r="AU196" s="308"/>
      <c r="AV196" s="308"/>
      <c r="AW196" s="308"/>
      <c r="AX196" s="308"/>
      <c r="AY196" s="308"/>
      <c r="AZ196" s="308"/>
      <c r="BA196" s="308"/>
      <c r="BB196" s="308"/>
      <c r="BC196" s="308"/>
      <c r="BD196" s="308"/>
      <c r="BE196" s="308"/>
      <c r="BF196" s="308"/>
      <c r="BG196" s="308"/>
      <c r="BH196" s="308"/>
      <c r="BI196" s="308"/>
      <c r="BJ196" s="308"/>
      <c r="BK196" s="308"/>
      <c r="BL196" s="308"/>
      <c r="BM196" s="308"/>
      <c r="BN196" s="308"/>
      <c r="BO196" s="308"/>
      <c r="BP196" s="308"/>
      <c r="BQ196" s="308"/>
      <c r="BR196" s="308"/>
      <c r="BS196" s="308"/>
    </row>
    <row r="197" spans="1:71" ht="15.75" customHeight="1">
      <c r="A197" s="308"/>
      <c r="B197" s="308"/>
      <c r="C197" s="308"/>
      <c r="D197" s="308"/>
      <c r="E197" s="308"/>
      <c r="F197" s="341"/>
      <c r="G197" s="340"/>
      <c r="H197" s="308"/>
      <c r="I197" s="308"/>
      <c r="J197" s="308"/>
      <c r="K197" s="308"/>
      <c r="L197" s="308"/>
      <c r="M197" s="308"/>
      <c r="N197" s="308"/>
      <c r="O197" s="308"/>
      <c r="P197" s="308"/>
      <c r="Q197" s="308"/>
      <c r="R197" s="308"/>
      <c r="S197" s="308"/>
      <c r="T197" s="308"/>
      <c r="U197" s="308"/>
      <c r="V197" s="308"/>
      <c r="W197" s="308"/>
      <c r="X197" s="308"/>
      <c r="Y197" s="308"/>
      <c r="Z197" s="308"/>
      <c r="AA197" s="308"/>
      <c r="AB197" s="308"/>
      <c r="AC197" s="308"/>
      <c r="AD197" s="308"/>
      <c r="AE197" s="308"/>
      <c r="AF197" s="308"/>
      <c r="AG197" s="308"/>
      <c r="AH197" s="308"/>
      <c r="AI197" s="308"/>
      <c r="AJ197" s="308"/>
      <c r="AK197" s="308"/>
      <c r="AL197" s="308"/>
      <c r="AM197" s="308"/>
      <c r="AN197" s="308"/>
      <c r="AO197" s="308"/>
      <c r="AP197" s="308"/>
      <c r="AQ197" s="308"/>
      <c r="AR197" s="308"/>
      <c r="AS197" s="308"/>
      <c r="AT197" s="308"/>
      <c r="AU197" s="308"/>
      <c r="AV197" s="308"/>
      <c r="AW197" s="308"/>
      <c r="AX197" s="308"/>
      <c r="AY197" s="308"/>
      <c r="AZ197" s="308"/>
      <c r="BA197" s="308"/>
      <c r="BB197" s="308"/>
      <c r="BC197" s="308"/>
      <c r="BD197" s="308"/>
      <c r="BE197" s="308"/>
      <c r="BF197" s="308"/>
      <c r="BG197" s="308"/>
      <c r="BH197" s="308"/>
      <c r="BI197" s="308"/>
      <c r="BJ197" s="308"/>
      <c r="BK197" s="308"/>
      <c r="BL197" s="308"/>
      <c r="BM197" s="308"/>
      <c r="BN197" s="308"/>
      <c r="BO197" s="308"/>
      <c r="BP197" s="308"/>
      <c r="BQ197" s="308"/>
      <c r="BR197" s="308"/>
      <c r="BS197" s="308"/>
    </row>
    <row r="198" spans="1:71" ht="15.75" customHeight="1">
      <c r="A198" s="308"/>
      <c r="B198" s="308"/>
      <c r="C198" s="308"/>
      <c r="D198" s="308"/>
      <c r="E198" s="308"/>
      <c r="F198" s="341"/>
      <c r="G198" s="340"/>
      <c r="H198" s="308"/>
      <c r="I198" s="308"/>
      <c r="J198" s="308"/>
      <c r="K198" s="308"/>
      <c r="L198" s="308"/>
      <c r="M198" s="308"/>
      <c r="N198" s="308"/>
      <c r="O198" s="308"/>
      <c r="P198" s="308"/>
      <c r="Q198" s="308"/>
      <c r="R198" s="308"/>
      <c r="S198" s="308"/>
      <c r="T198" s="308"/>
      <c r="U198" s="308"/>
      <c r="V198" s="308"/>
      <c r="W198" s="308"/>
      <c r="X198" s="308"/>
      <c r="Y198" s="308"/>
      <c r="Z198" s="308"/>
      <c r="AA198" s="308"/>
      <c r="AB198" s="308"/>
      <c r="AC198" s="308"/>
      <c r="AD198" s="308"/>
      <c r="AE198" s="308"/>
      <c r="AF198" s="308"/>
      <c r="AG198" s="308"/>
      <c r="AH198" s="308"/>
      <c r="AI198" s="308"/>
      <c r="AJ198" s="308"/>
      <c r="AK198" s="308"/>
      <c r="AL198" s="308"/>
      <c r="AM198" s="308"/>
      <c r="AN198" s="308"/>
      <c r="AO198" s="308"/>
      <c r="AP198" s="308"/>
      <c r="AQ198" s="308"/>
      <c r="AR198" s="308"/>
      <c r="AS198" s="308"/>
      <c r="AT198" s="308"/>
      <c r="AU198" s="308"/>
      <c r="AV198" s="308"/>
      <c r="AW198" s="308"/>
      <c r="AX198" s="308"/>
      <c r="AY198" s="308"/>
      <c r="AZ198" s="308"/>
      <c r="BA198" s="308"/>
      <c r="BB198" s="308"/>
      <c r="BC198" s="308"/>
      <c r="BD198" s="308"/>
      <c r="BE198" s="308"/>
      <c r="BF198" s="308"/>
      <c r="BG198" s="308"/>
      <c r="BH198" s="308"/>
      <c r="BI198" s="308"/>
      <c r="BJ198" s="308"/>
      <c r="BK198" s="308"/>
      <c r="BL198" s="308"/>
      <c r="BM198" s="308"/>
      <c r="BN198" s="308"/>
      <c r="BO198" s="308"/>
      <c r="BP198" s="308"/>
      <c r="BQ198" s="308"/>
      <c r="BR198" s="308"/>
      <c r="BS198" s="308"/>
    </row>
    <row r="199" spans="1:71" ht="15.75" customHeight="1">
      <c r="A199" s="308"/>
      <c r="B199" s="308"/>
      <c r="C199" s="308"/>
      <c r="D199" s="308"/>
      <c r="E199" s="308"/>
      <c r="F199" s="341"/>
      <c r="G199" s="340"/>
      <c r="H199" s="308"/>
      <c r="I199" s="308"/>
      <c r="J199" s="308"/>
      <c r="K199" s="308"/>
      <c r="L199" s="308"/>
      <c r="M199" s="308"/>
      <c r="N199" s="308"/>
      <c r="O199" s="308"/>
      <c r="P199" s="308"/>
      <c r="Q199" s="308"/>
      <c r="R199" s="308"/>
      <c r="S199" s="308"/>
      <c r="T199" s="308"/>
      <c r="U199" s="308"/>
      <c r="V199" s="308"/>
      <c r="W199" s="308"/>
      <c r="X199" s="308"/>
      <c r="Y199" s="308"/>
      <c r="Z199" s="308"/>
      <c r="AA199" s="308"/>
      <c r="AB199" s="308"/>
      <c r="AC199" s="308"/>
      <c r="AD199" s="308"/>
      <c r="AE199" s="308"/>
      <c r="AF199" s="308"/>
      <c r="AG199" s="308"/>
      <c r="AH199" s="308"/>
      <c r="AI199" s="308"/>
      <c r="AJ199" s="308"/>
      <c r="AK199" s="308"/>
      <c r="AL199" s="308"/>
      <c r="AM199" s="308"/>
      <c r="AN199" s="308"/>
      <c r="AO199" s="308"/>
      <c r="AP199" s="308"/>
      <c r="AQ199" s="308"/>
      <c r="AR199" s="308"/>
      <c r="AS199" s="308"/>
      <c r="AT199" s="308"/>
      <c r="AU199" s="308"/>
      <c r="AV199" s="308"/>
      <c r="AW199" s="308"/>
      <c r="AX199" s="308"/>
      <c r="AY199" s="308"/>
      <c r="AZ199" s="308"/>
      <c r="BA199" s="308"/>
      <c r="BB199" s="308"/>
      <c r="BC199" s="308"/>
      <c r="BD199" s="308"/>
      <c r="BE199" s="308"/>
      <c r="BF199" s="308"/>
      <c r="BG199" s="308"/>
      <c r="BH199" s="308"/>
      <c r="BI199" s="308"/>
      <c r="BJ199" s="308"/>
      <c r="BK199" s="308"/>
      <c r="BL199" s="308"/>
      <c r="BM199" s="308"/>
      <c r="BN199" s="308"/>
      <c r="BO199" s="308"/>
      <c r="BP199" s="308"/>
      <c r="BQ199" s="308"/>
      <c r="BR199" s="308"/>
      <c r="BS199" s="308"/>
    </row>
    <row r="200" spans="1:71" ht="15.75" customHeight="1">
      <c r="A200" s="308"/>
      <c r="B200" s="308"/>
      <c r="C200" s="308"/>
      <c r="D200" s="308"/>
      <c r="E200" s="308"/>
      <c r="F200" s="341"/>
      <c r="G200" s="340"/>
      <c r="H200" s="308"/>
      <c r="I200" s="308"/>
      <c r="J200" s="308"/>
      <c r="K200" s="308"/>
      <c r="L200" s="308"/>
      <c r="M200" s="308"/>
      <c r="N200" s="308"/>
      <c r="O200" s="308"/>
      <c r="P200" s="308"/>
      <c r="Q200" s="308"/>
      <c r="R200" s="308"/>
      <c r="S200" s="308"/>
      <c r="T200" s="308"/>
      <c r="U200" s="308"/>
      <c r="V200" s="308"/>
      <c r="W200" s="308"/>
      <c r="X200" s="308"/>
      <c r="Y200" s="308"/>
      <c r="Z200" s="308"/>
      <c r="AA200" s="308"/>
      <c r="AB200" s="308"/>
      <c r="AC200" s="308"/>
      <c r="AD200" s="308"/>
      <c r="AE200" s="308"/>
      <c r="AF200" s="308"/>
      <c r="AG200" s="308"/>
      <c r="AH200" s="308"/>
      <c r="AI200" s="308"/>
      <c r="AJ200" s="308"/>
      <c r="AK200" s="308"/>
      <c r="AL200" s="308"/>
      <c r="AM200" s="308"/>
      <c r="AN200" s="308"/>
      <c r="AO200" s="308"/>
      <c r="AP200" s="308"/>
      <c r="AQ200" s="308"/>
      <c r="AR200" s="308"/>
      <c r="AS200" s="308"/>
      <c r="AT200" s="308"/>
      <c r="AU200" s="308"/>
      <c r="AV200" s="308"/>
      <c r="AW200" s="308"/>
      <c r="AX200" s="308"/>
      <c r="AY200" s="308"/>
      <c r="AZ200" s="308"/>
      <c r="BA200" s="308"/>
      <c r="BB200" s="308"/>
      <c r="BC200" s="308"/>
      <c r="BD200" s="308"/>
      <c r="BE200" s="308"/>
      <c r="BF200" s="308"/>
      <c r="BG200" s="308"/>
      <c r="BH200" s="308"/>
      <c r="BI200" s="308"/>
      <c r="BJ200" s="308"/>
      <c r="BK200" s="308"/>
      <c r="BL200" s="308"/>
      <c r="BM200" s="308"/>
      <c r="BN200" s="308"/>
      <c r="BO200" s="308"/>
      <c r="BP200" s="308"/>
      <c r="BQ200" s="308"/>
      <c r="BR200" s="308"/>
      <c r="BS200" s="308"/>
    </row>
    <row r="201" spans="1:71" ht="15.75" customHeight="1">
      <c r="A201" s="308"/>
      <c r="B201" s="308"/>
      <c r="C201" s="308"/>
      <c r="D201" s="308"/>
      <c r="E201" s="308"/>
      <c r="F201" s="341"/>
      <c r="G201" s="340"/>
      <c r="H201" s="308"/>
      <c r="I201" s="308"/>
      <c r="J201" s="308"/>
      <c r="K201" s="308"/>
      <c r="L201" s="308"/>
      <c r="M201" s="308"/>
      <c r="N201" s="308"/>
      <c r="O201" s="308"/>
      <c r="P201" s="308"/>
      <c r="Q201" s="308"/>
      <c r="R201" s="308"/>
      <c r="S201" s="308"/>
      <c r="T201" s="308"/>
      <c r="U201" s="308"/>
      <c r="V201" s="308"/>
      <c r="W201" s="308"/>
      <c r="X201" s="308"/>
      <c r="Y201" s="308"/>
      <c r="Z201" s="308"/>
      <c r="AA201" s="308"/>
      <c r="AB201" s="308"/>
      <c r="AC201" s="308"/>
      <c r="AD201" s="308"/>
      <c r="AE201" s="308"/>
      <c r="AF201" s="308"/>
      <c r="AG201" s="308"/>
      <c r="AH201" s="308"/>
      <c r="AI201" s="308"/>
      <c r="AJ201" s="308"/>
      <c r="AK201" s="308"/>
      <c r="AL201" s="308"/>
      <c r="AM201" s="308"/>
      <c r="AN201" s="308"/>
      <c r="AO201" s="308"/>
      <c r="AP201" s="308"/>
      <c r="AQ201" s="308"/>
      <c r="AR201" s="308"/>
      <c r="AS201" s="308"/>
      <c r="AT201" s="308"/>
      <c r="AU201" s="308"/>
      <c r="AV201" s="308"/>
      <c r="AW201" s="308"/>
      <c r="AX201" s="308"/>
      <c r="AY201" s="308"/>
      <c r="AZ201" s="308"/>
      <c r="BA201" s="308"/>
      <c r="BB201" s="308"/>
      <c r="BC201" s="308"/>
      <c r="BD201" s="308"/>
      <c r="BE201" s="308"/>
      <c r="BF201" s="308"/>
      <c r="BG201" s="308"/>
      <c r="BH201" s="308"/>
      <c r="BI201" s="308"/>
      <c r="BJ201" s="308"/>
      <c r="BK201" s="308"/>
      <c r="BL201" s="308"/>
      <c r="BM201" s="308"/>
      <c r="BN201" s="308"/>
      <c r="BO201" s="308"/>
      <c r="BP201" s="308"/>
      <c r="BQ201" s="308"/>
      <c r="BR201" s="308"/>
      <c r="BS201" s="308"/>
    </row>
    <row r="202" spans="1:71" ht="15.75" customHeight="1">
      <c r="A202" s="308"/>
      <c r="B202" s="308"/>
      <c r="C202" s="308"/>
      <c r="D202" s="308"/>
      <c r="E202" s="308"/>
      <c r="F202" s="341"/>
      <c r="G202" s="340"/>
      <c r="H202" s="308"/>
      <c r="I202" s="308"/>
      <c r="J202" s="308"/>
      <c r="K202" s="308"/>
      <c r="L202" s="308"/>
      <c r="M202" s="308"/>
      <c r="N202" s="308"/>
      <c r="O202" s="308"/>
      <c r="P202" s="308"/>
      <c r="Q202" s="308"/>
      <c r="R202" s="308"/>
      <c r="S202" s="308"/>
      <c r="T202" s="308"/>
      <c r="U202" s="308"/>
      <c r="V202" s="308"/>
      <c r="W202" s="308"/>
      <c r="X202" s="308"/>
      <c r="Y202" s="308"/>
      <c r="Z202" s="308"/>
      <c r="AA202" s="308"/>
      <c r="AB202" s="308"/>
      <c r="AC202" s="308"/>
      <c r="AD202" s="308"/>
      <c r="AE202" s="308"/>
      <c r="AF202" s="308"/>
      <c r="AG202" s="308"/>
      <c r="AH202" s="308"/>
      <c r="AI202" s="308"/>
      <c r="AJ202" s="308"/>
      <c r="AK202" s="308"/>
      <c r="AL202" s="308"/>
      <c r="AM202" s="308"/>
      <c r="AN202" s="308"/>
      <c r="AO202" s="308"/>
      <c r="AP202" s="308"/>
      <c r="AQ202" s="308"/>
      <c r="AR202" s="308"/>
      <c r="AS202" s="308"/>
      <c r="AT202" s="308"/>
      <c r="AU202" s="308"/>
      <c r="AV202" s="308"/>
      <c r="AW202" s="308"/>
      <c r="AX202" s="308"/>
      <c r="AY202" s="308"/>
      <c r="AZ202" s="308"/>
      <c r="BA202" s="308"/>
      <c r="BB202" s="308"/>
      <c r="BC202" s="308"/>
      <c r="BD202" s="308"/>
      <c r="BE202" s="308"/>
      <c r="BF202" s="308"/>
      <c r="BG202" s="308"/>
      <c r="BH202" s="308"/>
      <c r="BI202" s="308"/>
      <c r="BJ202" s="308"/>
      <c r="BK202" s="308"/>
      <c r="BL202" s="308"/>
      <c r="BM202" s="308"/>
      <c r="BN202" s="308"/>
      <c r="BO202" s="308"/>
      <c r="BP202" s="308"/>
      <c r="BQ202" s="308"/>
      <c r="BR202" s="308"/>
      <c r="BS202" s="308"/>
    </row>
    <row r="203" spans="1:71" ht="15.75" customHeight="1">
      <c r="A203" s="308"/>
      <c r="B203" s="308"/>
      <c r="C203" s="308"/>
      <c r="D203" s="308"/>
      <c r="E203" s="308"/>
      <c r="F203" s="341"/>
      <c r="G203" s="340"/>
      <c r="H203" s="308"/>
      <c r="I203" s="308"/>
      <c r="J203" s="308"/>
      <c r="K203" s="308"/>
      <c r="L203" s="308"/>
      <c r="M203" s="308"/>
      <c r="N203" s="308"/>
      <c r="O203" s="308"/>
      <c r="P203" s="308"/>
      <c r="Q203" s="308"/>
      <c r="R203" s="308"/>
      <c r="S203" s="308"/>
      <c r="T203" s="308"/>
      <c r="U203" s="308"/>
      <c r="V203" s="308"/>
      <c r="W203" s="308"/>
      <c r="X203" s="308"/>
      <c r="Y203" s="308"/>
      <c r="Z203" s="308"/>
      <c r="AA203" s="308"/>
      <c r="AB203" s="308"/>
      <c r="AC203" s="308"/>
      <c r="AD203" s="308"/>
      <c r="AE203" s="308"/>
      <c r="AF203" s="308"/>
      <c r="AG203" s="308"/>
      <c r="AH203" s="308"/>
      <c r="AI203" s="308"/>
      <c r="AJ203" s="308"/>
      <c r="AK203" s="308"/>
      <c r="AL203" s="308"/>
      <c r="AM203" s="308"/>
      <c r="AN203" s="308"/>
      <c r="AO203" s="308"/>
      <c r="AP203" s="308"/>
      <c r="AQ203" s="308"/>
      <c r="AR203" s="308"/>
      <c r="AS203" s="308"/>
      <c r="AT203" s="308"/>
      <c r="AU203" s="308"/>
      <c r="AV203" s="308"/>
      <c r="AW203" s="308"/>
      <c r="AX203" s="308"/>
      <c r="AY203" s="308"/>
      <c r="AZ203" s="308"/>
      <c r="BA203" s="308"/>
      <c r="BB203" s="308"/>
      <c r="BC203" s="308"/>
      <c r="BD203" s="308"/>
      <c r="BE203" s="308"/>
      <c r="BF203" s="308"/>
      <c r="BG203" s="308"/>
      <c r="BH203" s="308"/>
      <c r="BI203" s="308"/>
      <c r="BJ203" s="308"/>
      <c r="BK203" s="308"/>
      <c r="BL203" s="308"/>
      <c r="BM203" s="308"/>
      <c r="BN203" s="308"/>
      <c r="BO203" s="308"/>
      <c r="BP203" s="308"/>
      <c r="BQ203" s="308"/>
      <c r="BR203" s="308"/>
      <c r="BS203" s="308"/>
    </row>
    <row r="204" spans="1:71" ht="15.75" customHeight="1">
      <c r="A204" s="308"/>
      <c r="B204" s="308"/>
      <c r="C204" s="308"/>
      <c r="D204" s="308"/>
      <c r="E204" s="308"/>
      <c r="F204" s="341"/>
      <c r="G204" s="340"/>
      <c r="H204" s="308"/>
      <c r="I204" s="308"/>
      <c r="J204" s="308"/>
      <c r="K204" s="308"/>
      <c r="L204" s="308"/>
      <c r="M204" s="308"/>
      <c r="N204" s="308"/>
      <c r="O204" s="308"/>
      <c r="P204" s="308"/>
      <c r="Q204" s="308"/>
      <c r="R204" s="308"/>
      <c r="S204" s="308"/>
      <c r="T204" s="308"/>
      <c r="U204" s="308"/>
      <c r="V204" s="308"/>
      <c r="W204" s="308"/>
      <c r="X204" s="308"/>
      <c r="Y204" s="308"/>
      <c r="Z204" s="308"/>
      <c r="AA204" s="308"/>
      <c r="AB204" s="308"/>
      <c r="AC204" s="308"/>
      <c r="AD204" s="308"/>
      <c r="AE204" s="308"/>
      <c r="AF204" s="308"/>
      <c r="AG204" s="308"/>
      <c r="AH204" s="308"/>
      <c r="AI204" s="308"/>
      <c r="AJ204" s="308"/>
      <c r="AK204" s="308"/>
      <c r="AL204" s="308"/>
      <c r="AM204" s="308"/>
      <c r="AN204" s="308"/>
      <c r="AO204" s="308"/>
      <c r="AP204" s="308"/>
      <c r="AQ204" s="308"/>
      <c r="AR204" s="308"/>
      <c r="AS204" s="308"/>
      <c r="AT204" s="308"/>
      <c r="AU204" s="308"/>
      <c r="AV204" s="308"/>
      <c r="AW204" s="308"/>
      <c r="AX204" s="308"/>
      <c r="AY204" s="308"/>
      <c r="AZ204" s="308"/>
      <c r="BA204" s="308"/>
      <c r="BB204" s="308"/>
      <c r="BC204" s="308"/>
      <c r="BD204" s="308"/>
      <c r="BE204" s="308"/>
      <c r="BF204" s="308"/>
      <c r="BG204" s="308"/>
      <c r="BH204" s="308"/>
      <c r="BI204" s="308"/>
      <c r="BJ204" s="308"/>
      <c r="BK204" s="308"/>
      <c r="BL204" s="308"/>
      <c r="BM204" s="308"/>
      <c r="BN204" s="308"/>
      <c r="BO204" s="308"/>
      <c r="BP204" s="308"/>
      <c r="BQ204" s="308"/>
      <c r="BR204" s="308"/>
      <c r="BS204" s="308"/>
    </row>
    <row r="205" spans="1:71" ht="15.75" customHeight="1">
      <c r="A205" s="308"/>
      <c r="B205" s="308"/>
      <c r="C205" s="308"/>
      <c r="D205" s="308"/>
      <c r="E205" s="308"/>
      <c r="F205" s="341"/>
      <c r="G205" s="340"/>
      <c r="H205" s="308"/>
      <c r="I205" s="308"/>
      <c r="J205" s="308"/>
      <c r="K205" s="308"/>
      <c r="L205" s="308"/>
      <c r="M205" s="308"/>
      <c r="N205" s="308"/>
      <c r="O205" s="308"/>
      <c r="P205" s="308"/>
      <c r="Q205" s="308"/>
      <c r="R205" s="308"/>
      <c r="S205" s="308"/>
      <c r="T205" s="308"/>
      <c r="U205" s="308"/>
      <c r="V205" s="308"/>
      <c r="W205" s="308"/>
      <c r="X205" s="308"/>
      <c r="Y205" s="308"/>
      <c r="Z205" s="308"/>
      <c r="AA205" s="308"/>
      <c r="AB205" s="308"/>
      <c r="AC205" s="308"/>
      <c r="AD205" s="308"/>
      <c r="AE205" s="308"/>
      <c r="AF205" s="308"/>
      <c r="AG205" s="308"/>
      <c r="AH205" s="308"/>
      <c r="AI205" s="308"/>
      <c r="AJ205" s="308"/>
      <c r="AK205" s="308"/>
      <c r="AL205" s="308"/>
      <c r="AM205" s="308"/>
      <c r="AN205" s="308"/>
      <c r="AO205" s="308"/>
      <c r="AP205" s="308"/>
      <c r="AQ205" s="308"/>
      <c r="AR205" s="308"/>
      <c r="AS205" s="308"/>
      <c r="AT205" s="308"/>
      <c r="AU205" s="308"/>
      <c r="AV205" s="308"/>
      <c r="AW205" s="308"/>
      <c r="AX205" s="308"/>
      <c r="AY205" s="308"/>
      <c r="AZ205" s="308"/>
      <c r="BA205" s="308"/>
      <c r="BB205" s="308"/>
      <c r="BC205" s="308"/>
      <c r="BD205" s="308"/>
      <c r="BE205" s="308"/>
      <c r="BF205" s="308"/>
      <c r="BG205" s="308"/>
      <c r="BH205" s="308"/>
      <c r="BI205" s="308"/>
      <c r="BJ205" s="308"/>
      <c r="BK205" s="308"/>
      <c r="BL205" s="308"/>
      <c r="BM205" s="308"/>
      <c r="BN205" s="308"/>
      <c r="BO205" s="308"/>
      <c r="BP205" s="308"/>
      <c r="BQ205" s="308"/>
      <c r="BR205" s="308"/>
      <c r="BS205" s="308"/>
    </row>
    <row r="206" spans="1:71" ht="15.75" customHeight="1">
      <c r="A206" s="308"/>
      <c r="B206" s="308"/>
      <c r="C206" s="308"/>
      <c r="D206" s="308"/>
      <c r="E206" s="308"/>
      <c r="F206" s="341"/>
      <c r="G206" s="340"/>
      <c r="H206" s="308"/>
      <c r="I206" s="308"/>
      <c r="J206" s="308"/>
      <c r="K206" s="308"/>
      <c r="L206" s="308"/>
      <c r="M206" s="308"/>
      <c r="N206" s="308"/>
      <c r="O206" s="308"/>
      <c r="P206" s="308"/>
      <c r="Q206" s="308"/>
      <c r="R206" s="308"/>
      <c r="S206" s="308"/>
      <c r="T206" s="308"/>
      <c r="U206" s="308"/>
      <c r="V206" s="308"/>
      <c r="W206" s="308"/>
      <c r="X206" s="308"/>
      <c r="Y206" s="308"/>
      <c r="Z206" s="308"/>
      <c r="AA206" s="308"/>
      <c r="AB206" s="308"/>
      <c r="AC206" s="308"/>
      <c r="AD206" s="308"/>
      <c r="AE206" s="308"/>
      <c r="AF206" s="308"/>
      <c r="AG206" s="308"/>
      <c r="AH206" s="308"/>
      <c r="AI206" s="308"/>
      <c r="AJ206" s="308"/>
      <c r="AK206" s="308"/>
      <c r="AL206" s="308"/>
      <c r="AM206" s="308"/>
      <c r="AN206" s="308"/>
      <c r="AO206" s="308"/>
      <c r="AP206" s="308"/>
      <c r="AQ206" s="308"/>
      <c r="AR206" s="308"/>
      <c r="AS206" s="308"/>
      <c r="AT206" s="308"/>
      <c r="AU206" s="308"/>
      <c r="AV206" s="308"/>
      <c r="AW206" s="308"/>
      <c r="AX206" s="308"/>
      <c r="AY206" s="308"/>
      <c r="AZ206" s="308"/>
      <c r="BA206" s="308"/>
      <c r="BB206" s="308"/>
      <c r="BC206" s="308"/>
      <c r="BD206" s="308"/>
      <c r="BE206" s="308"/>
      <c r="BF206" s="308"/>
      <c r="BG206" s="308"/>
      <c r="BH206" s="308"/>
      <c r="BI206" s="308"/>
      <c r="BJ206" s="308"/>
      <c r="BK206" s="308"/>
      <c r="BL206" s="308"/>
      <c r="BM206" s="308"/>
      <c r="BN206" s="308"/>
      <c r="BO206" s="308"/>
      <c r="BP206" s="308"/>
      <c r="BQ206" s="308"/>
      <c r="BR206" s="308"/>
      <c r="BS206" s="308"/>
    </row>
    <row r="207" spans="1:71" ht="15.75" customHeight="1">
      <c r="A207" s="308"/>
      <c r="B207" s="308"/>
      <c r="C207" s="308"/>
      <c r="D207" s="308"/>
      <c r="E207" s="308"/>
      <c r="F207" s="341"/>
      <c r="G207" s="340"/>
      <c r="H207" s="308"/>
      <c r="I207" s="308"/>
      <c r="J207" s="308"/>
      <c r="K207" s="308"/>
      <c r="L207" s="308"/>
      <c r="M207" s="308"/>
      <c r="N207" s="308"/>
      <c r="O207" s="308"/>
      <c r="P207" s="308"/>
      <c r="Q207" s="308"/>
      <c r="R207" s="308"/>
      <c r="S207" s="308"/>
      <c r="T207" s="308"/>
      <c r="U207" s="308"/>
      <c r="V207" s="308"/>
      <c r="W207" s="308"/>
      <c r="X207" s="308"/>
      <c r="Y207" s="308"/>
      <c r="Z207" s="308"/>
      <c r="AA207" s="308"/>
      <c r="AB207" s="308"/>
      <c r="AC207" s="308"/>
      <c r="AD207" s="308"/>
      <c r="AE207" s="308"/>
      <c r="AF207" s="308"/>
      <c r="AG207" s="308"/>
      <c r="AH207" s="308"/>
      <c r="AI207" s="308"/>
      <c r="AJ207" s="308"/>
      <c r="AK207" s="308"/>
      <c r="AL207" s="308"/>
      <c r="AM207" s="308"/>
      <c r="AN207" s="308"/>
      <c r="AO207" s="308"/>
      <c r="AP207" s="308"/>
      <c r="AQ207" s="308"/>
      <c r="AR207" s="308"/>
      <c r="AS207" s="308"/>
      <c r="AT207" s="308"/>
      <c r="AU207" s="308"/>
      <c r="AV207" s="308"/>
      <c r="AW207" s="308"/>
      <c r="AX207" s="308"/>
      <c r="AY207" s="308"/>
      <c r="AZ207" s="308"/>
      <c r="BA207" s="308"/>
      <c r="BB207" s="308"/>
      <c r="BC207" s="308"/>
      <c r="BD207" s="308"/>
      <c r="BE207" s="308"/>
      <c r="BF207" s="308"/>
      <c r="BG207" s="308"/>
      <c r="BH207" s="308"/>
      <c r="BI207" s="308"/>
      <c r="BJ207" s="308"/>
      <c r="BK207" s="308"/>
      <c r="BL207" s="308"/>
      <c r="BM207" s="308"/>
      <c r="BN207" s="308"/>
      <c r="BO207" s="308"/>
      <c r="BP207" s="308"/>
      <c r="BQ207" s="308"/>
      <c r="BR207" s="308"/>
      <c r="BS207" s="308"/>
    </row>
    <row r="208" spans="1:71" ht="15.75" customHeight="1">
      <c r="A208" s="308"/>
      <c r="B208" s="308"/>
      <c r="C208" s="308"/>
      <c r="D208" s="308"/>
      <c r="E208" s="308"/>
      <c r="F208" s="341"/>
      <c r="G208" s="340"/>
      <c r="H208" s="308"/>
      <c r="I208" s="308"/>
      <c r="J208" s="308"/>
      <c r="K208" s="308"/>
      <c r="L208" s="308"/>
      <c r="M208" s="308"/>
      <c r="N208" s="308"/>
      <c r="O208" s="308"/>
      <c r="P208" s="308"/>
      <c r="Q208" s="308"/>
      <c r="R208" s="308"/>
      <c r="S208" s="308"/>
      <c r="T208" s="308"/>
      <c r="U208" s="308"/>
      <c r="V208" s="308"/>
      <c r="W208" s="308"/>
      <c r="X208" s="308"/>
      <c r="Y208" s="308"/>
      <c r="Z208" s="308"/>
      <c r="AA208" s="308"/>
      <c r="AB208" s="308"/>
      <c r="AC208" s="308"/>
      <c r="AD208" s="308"/>
      <c r="AE208" s="308"/>
      <c r="AF208" s="308"/>
      <c r="AG208" s="308"/>
      <c r="AH208" s="308"/>
      <c r="AI208" s="308"/>
      <c r="AJ208" s="308"/>
      <c r="AK208" s="308"/>
      <c r="AL208" s="308"/>
      <c r="AM208" s="308"/>
      <c r="AN208" s="308"/>
      <c r="AO208" s="308"/>
      <c r="AP208" s="308"/>
      <c r="AQ208" s="308"/>
      <c r="AR208" s="308"/>
      <c r="AS208" s="308"/>
      <c r="AT208" s="308"/>
      <c r="AU208" s="308"/>
      <c r="AV208" s="308"/>
      <c r="AW208" s="308"/>
      <c r="AX208" s="308"/>
      <c r="AY208" s="308"/>
      <c r="AZ208" s="308"/>
      <c r="BA208" s="308"/>
      <c r="BB208" s="308"/>
      <c r="BC208" s="308"/>
      <c r="BD208" s="308"/>
      <c r="BE208" s="308"/>
      <c r="BF208" s="308"/>
      <c r="BG208" s="308"/>
      <c r="BH208" s="308"/>
      <c r="BI208" s="308"/>
      <c r="BJ208" s="308"/>
      <c r="BK208" s="308"/>
      <c r="BL208" s="308"/>
      <c r="BM208" s="308"/>
      <c r="BN208" s="308"/>
      <c r="BO208" s="308"/>
      <c r="BP208" s="308"/>
      <c r="BQ208" s="308"/>
      <c r="BR208" s="308"/>
      <c r="BS208" s="308"/>
    </row>
    <row r="209" spans="1:71" ht="15.75" customHeight="1">
      <c r="A209" s="308"/>
      <c r="B209" s="308"/>
      <c r="C209" s="308"/>
      <c r="D209" s="308"/>
      <c r="E209" s="308"/>
      <c r="F209" s="341"/>
      <c r="G209" s="340"/>
      <c r="H209" s="308"/>
      <c r="I209" s="308"/>
      <c r="J209" s="308"/>
      <c r="K209" s="308"/>
      <c r="L209" s="308"/>
      <c r="M209" s="308"/>
      <c r="N209" s="308"/>
      <c r="O209" s="308"/>
      <c r="P209" s="308"/>
      <c r="Q209" s="308"/>
      <c r="R209" s="308"/>
      <c r="S209" s="308"/>
      <c r="T209" s="308"/>
      <c r="U209" s="308"/>
      <c r="V209" s="308"/>
      <c r="W209" s="308"/>
      <c r="X209" s="308"/>
      <c r="Y209" s="308"/>
      <c r="Z209" s="308"/>
      <c r="AA209" s="308"/>
      <c r="AB209" s="308"/>
      <c r="AC209" s="308"/>
      <c r="AD209" s="308"/>
      <c r="AE209" s="308"/>
      <c r="AF209" s="308"/>
      <c r="AG209" s="308"/>
      <c r="AH209" s="308"/>
      <c r="AI209" s="308"/>
      <c r="AJ209" s="308"/>
      <c r="AK209" s="308"/>
      <c r="AL209" s="308"/>
      <c r="AM209" s="308"/>
      <c r="AN209" s="308"/>
      <c r="AO209" s="308"/>
      <c r="AP209" s="308"/>
      <c r="AQ209" s="308"/>
      <c r="AR209" s="308"/>
      <c r="AS209" s="308"/>
      <c r="AT209" s="308"/>
      <c r="AU209" s="308"/>
      <c r="AV209" s="308"/>
      <c r="AW209" s="308"/>
      <c r="AX209" s="308"/>
      <c r="AY209" s="308"/>
      <c r="AZ209" s="308"/>
      <c r="BA209" s="308"/>
      <c r="BB209" s="308"/>
      <c r="BC209" s="308"/>
      <c r="BD209" s="308"/>
      <c r="BE209" s="308"/>
      <c r="BF209" s="308"/>
      <c r="BG209" s="308"/>
      <c r="BH209" s="308"/>
      <c r="BI209" s="308"/>
      <c r="BJ209" s="308"/>
      <c r="BK209" s="308"/>
      <c r="BL209" s="308"/>
      <c r="BM209" s="308"/>
      <c r="BN209" s="308"/>
      <c r="BO209" s="308"/>
      <c r="BP209" s="308"/>
      <c r="BQ209" s="308"/>
      <c r="BR209" s="308"/>
      <c r="BS209" s="308"/>
    </row>
    <row r="210" spans="1:71" ht="15.75" customHeight="1">
      <c r="A210" s="308"/>
      <c r="B210" s="308"/>
      <c r="C210" s="308"/>
      <c r="D210" s="308"/>
      <c r="E210" s="308"/>
      <c r="F210" s="341"/>
      <c r="G210" s="340"/>
      <c r="H210" s="308"/>
      <c r="I210" s="308"/>
      <c r="J210" s="308"/>
      <c r="K210" s="308"/>
      <c r="L210" s="308"/>
      <c r="M210" s="308"/>
      <c r="N210" s="308"/>
      <c r="O210" s="308"/>
      <c r="P210" s="308"/>
      <c r="Q210" s="308"/>
      <c r="R210" s="308"/>
      <c r="S210" s="308"/>
      <c r="T210" s="308"/>
      <c r="U210" s="308"/>
      <c r="V210" s="308"/>
      <c r="W210" s="308"/>
      <c r="X210" s="308"/>
      <c r="Y210" s="308"/>
      <c r="Z210" s="308"/>
      <c r="AA210" s="308"/>
      <c r="AB210" s="308"/>
      <c r="AC210" s="308"/>
      <c r="AD210" s="308"/>
      <c r="AE210" s="308"/>
      <c r="AF210" s="308"/>
      <c r="AG210" s="308"/>
      <c r="AH210" s="308"/>
      <c r="AI210" s="308"/>
      <c r="AJ210" s="308"/>
      <c r="AK210" s="308"/>
      <c r="AL210" s="308"/>
      <c r="AM210" s="308"/>
      <c r="AN210" s="308"/>
      <c r="AO210" s="308"/>
      <c r="AP210" s="308"/>
      <c r="AQ210" s="308"/>
      <c r="AR210" s="308"/>
      <c r="AS210" s="308"/>
      <c r="AT210" s="308"/>
      <c r="AU210" s="308"/>
      <c r="AV210" s="308"/>
      <c r="AW210" s="308"/>
      <c r="AX210" s="308"/>
      <c r="AY210" s="308"/>
      <c r="AZ210" s="308"/>
      <c r="BA210" s="308"/>
      <c r="BB210" s="308"/>
      <c r="BC210" s="308"/>
      <c r="BD210" s="308"/>
      <c r="BE210" s="308"/>
      <c r="BF210" s="308"/>
      <c r="BG210" s="308"/>
      <c r="BH210" s="308"/>
      <c r="BI210" s="308"/>
      <c r="BJ210" s="308"/>
      <c r="BK210" s="308"/>
      <c r="BL210" s="308"/>
      <c r="BM210" s="308"/>
      <c r="BN210" s="308"/>
      <c r="BO210" s="308"/>
      <c r="BP210" s="308"/>
      <c r="BQ210" s="308"/>
      <c r="BR210" s="308"/>
      <c r="BS210" s="308"/>
    </row>
    <row r="211" spans="1:71" ht="15.75" customHeight="1">
      <c r="A211" s="308"/>
      <c r="B211" s="308"/>
      <c r="C211" s="308"/>
      <c r="D211" s="308"/>
      <c r="E211" s="308"/>
      <c r="F211" s="341"/>
      <c r="G211" s="340"/>
      <c r="H211" s="308"/>
      <c r="I211" s="308"/>
      <c r="J211" s="308"/>
      <c r="K211" s="308"/>
      <c r="L211" s="308"/>
      <c r="M211" s="308"/>
      <c r="N211" s="308"/>
      <c r="O211" s="308"/>
      <c r="P211" s="308"/>
      <c r="Q211" s="308"/>
      <c r="R211" s="308"/>
      <c r="S211" s="308"/>
      <c r="T211" s="308"/>
      <c r="U211" s="308"/>
      <c r="V211" s="308"/>
      <c r="W211" s="308"/>
      <c r="X211" s="308"/>
      <c r="Y211" s="308"/>
      <c r="Z211" s="308"/>
      <c r="AA211" s="308"/>
      <c r="AB211" s="308"/>
      <c r="AC211" s="308"/>
      <c r="AD211" s="308"/>
      <c r="AE211" s="308"/>
      <c r="AF211" s="308"/>
      <c r="AG211" s="308"/>
      <c r="AH211" s="308"/>
      <c r="AI211" s="308"/>
      <c r="AJ211" s="308"/>
      <c r="AK211" s="308"/>
      <c r="AL211" s="308"/>
      <c r="AM211" s="308"/>
      <c r="AN211" s="308"/>
      <c r="AO211" s="308"/>
      <c r="AP211" s="308"/>
      <c r="AQ211" s="308"/>
      <c r="AR211" s="308"/>
      <c r="AS211" s="308"/>
      <c r="AT211" s="308"/>
      <c r="AU211" s="308"/>
      <c r="AV211" s="308"/>
      <c r="AW211" s="308"/>
      <c r="AX211" s="308"/>
      <c r="AY211" s="308"/>
      <c r="AZ211" s="308"/>
      <c r="BA211" s="308"/>
      <c r="BB211" s="308"/>
      <c r="BC211" s="308"/>
      <c r="BD211" s="308"/>
      <c r="BE211" s="308"/>
      <c r="BF211" s="308"/>
      <c r="BG211" s="308"/>
      <c r="BH211" s="308"/>
      <c r="BI211" s="308"/>
      <c r="BJ211" s="308"/>
      <c r="BK211" s="308"/>
      <c r="BL211" s="308"/>
      <c r="BM211" s="308"/>
      <c r="BN211" s="308"/>
      <c r="BO211" s="308"/>
      <c r="BP211" s="308"/>
      <c r="BQ211" s="308"/>
      <c r="BR211" s="308"/>
      <c r="BS211" s="308"/>
    </row>
    <row r="212" spans="1:71" ht="15.75" customHeight="1">
      <c r="A212" s="308"/>
      <c r="B212" s="308"/>
      <c r="C212" s="308"/>
      <c r="D212" s="308"/>
      <c r="E212" s="308"/>
      <c r="F212" s="341"/>
      <c r="G212" s="340"/>
      <c r="H212" s="308"/>
      <c r="I212" s="308"/>
      <c r="J212" s="308"/>
      <c r="K212" s="308"/>
      <c r="L212" s="308"/>
      <c r="M212" s="308"/>
      <c r="N212" s="308"/>
      <c r="O212" s="308"/>
      <c r="P212" s="308"/>
      <c r="Q212" s="308"/>
      <c r="R212" s="308"/>
      <c r="S212" s="308"/>
      <c r="T212" s="308"/>
      <c r="U212" s="308"/>
      <c r="V212" s="308"/>
      <c r="W212" s="308"/>
      <c r="X212" s="308"/>
      <c r="Y212" s="308"/>
      <c r="Z212" s="308"/>
      <c r="AA212" s="308"/>
      <c r="AB212" s="308"/>
      <c r="AC212" s="308"/>
      <c r="AD212" s="308"/>
      <c r="AE212" s="308"/>
      <c r="AF212" s="308"/>
      <c r="AG212" s="308"/>
      <c r="AH212" s="308"/>
      <c r="AI212" s="308"/>
      <c r="AJ212" s="308"/>
      <c r="AK212" s="308"/>
      <c r="AL212" s="308"/>
      <c r="AM212" s="308"/>
      <c r="AN212" s="308"/>
      <c r="AO212" s="308"/>
      <c r="AP212" s="308"/>
      <c r="AQ212" s="308"/>
      <c r="AR212" s="308"/>
      <c r="AS212" s="308"/>
      <c r="AT212" s="308"/>
      <c r="AU212" s="308"/>
      <c r="AV212" s="308"/>
      <c r="AW212" s="308"/>
      <c r="AX212" s="308"/>
      <c r="AY212" s="308"/>
      <c r="AZ212" s="308"/>
      <c r="BA212" s="308"/>
      <c r="BB212" s="308"/>
      <c r="BC212" s="308"/>
      <c r="BD212" s="308"/>
      <c r="BE212" s="308"/>
      <c r="BF212" s="308"/>
      <c r="BG212" s="308"/>
      <c r="BH212" s="308"/>
      <c r="BI212" s="308"/>
      <c r="BJ212" s="308"/>
      <c r="BK212" s="308"/>
      <c r="BL212" s="308"/>
      <c r="BM212" s="308"/>
      <c r="BN212" s="308"/>
      <c r="BO212" s="308"/>
      <c r="BP212" s="308"/>
      <c r="BQ212" s="308"/>
      <c r="BR212" s="308"/>
      <c r="BS212" s="308"/>
    </row>
    <row r="213" spans="1:71" ht="15.75" customHeight="1">
      <c r="A213" s="308"/>
      <c r="B213" s="308"/>
      <c r="C213" s="308"/>
      <c r="D213" s="308"/>
      <c r="E213" s="308"/>
      <c r="F213" s="341"/>
      <c r="G213" s="340"/>
      <c r="H213" s="308"/>
      <c r="I213" s="308"/>
      <c r="J213" s="308"/>
      <c r="K213" s="308"/>
      <c r="L213" s="308"/>
      <c r="M213" s="308"/>
      <c r="N213" s="308"/>
      <c r="O213" s="308"/>
      <c r="P213" s="308"/>
      <c r="Q213" s="308"/>
      <c r="R213" s="308"/>
      <c r="S213" s="308"/>
      <c r="T213" s="308"/>
      <c r="U213" s="308"/>
      <c r="V213" s="308"/>
      <c r="W213" s="308"/>
      <c r="X213" s="308"/>
      <c r="Y213" s="308"/>
      <c r="Z213" s="308"/>
      <c r="AA213" s="308"/>
      <c r="AB213" s="308"/>
      <c r="AC213" s="308"/>
      <c r="AD213" s="308"/>
      <c r="AE213" s="308"/>
      <c r="AF213" s="308"/>
      <c r="AG213" s="308"/>
      <c r="AH213" s="308"/>
      <c r="AI213" s="308"/>
      <c r="AJ213" s="308"/>
      <c r="AK213" s="308"/>
      <c r="AL213" s="308"/>
      <c r="AM213" s="308"/>
      <c r="AN213" s="308"/>
      <c r="AO213" s="308"/>
      <c r="AP213" s="308"/>
      <c r="AQ213" s="308"/>
      <c r="AR213" s="308"/>
      <c r="AS213" s="308"/>
      <c r="AT213" s="308"/>
      <c r="AU213" s="308"/>
      <c r="AV213" s="308"/>
      <c r="AW213" s="308"/>
      <c r="AX213" s="308"/>
      <c r="AY213" s="308"/>
      <c r="AZ213" s="308"/>
      <c r="BA213" s="308"/>
      <c r="BB213" s="308"/>
      <c r="BC213" s="308"/>
      <c r="BD213" s="308"/>
      <c r="BE213" s="308"/>
      <c r="BF213" s="308"/>
      <c r="BG213" s="308"/>
      <c r="BH213" s="308"/>
      <c r="BI213" s="308"/>
      <c r="BJ213" s="308"/>
      <c r="BK213" s="308"/>
      <c r="BL213" s="308"/>
      <c r="BM213" s="308"/>
      <c r="BN213" s="308"/>
      <c r="BO213" s="308"/>
      <c r="BP213" s="308"/>
      <c r="BQ213" s="308"/>
      <c r="BR213" s="308"/>
      <c r="BS213" s="308"/>
    </row>
    <row r="214" spans="1:71" ht="15.75" customHeight="1">
      <c r="A214" s="308"/>
      <c r="B214" s="308"/>
      <c r="C214" s="308"/>
      <c r="D214" s="308"/>
      <c r="E214" s="308"/>
      <c r="F214" s="341"/>
      <c r="G214" s="340"/>
      <c r="H214" s="308"/>
      <c r="I214" s="308"/>
      <c r="J214" s="308"/>
      <c r="K214" s="308"/>
      <c r="L214" s="308"/>
      <c r="M214" s="308"/>
      <c r="N214" s="308"/>
      <c r="O214" s="308"/>
      <c r="P214" s="308"/>
      <c r="Q214" s="308"/>
      <c r="R214" s="308"/>
      <c r="S214" s="308"/>
      <c r="T214" s="308"/>
      <c r="U214" s="308"/>
      <c r="V214" s="308"/>
      <c r="W214" s="308"/>
      <c r="X214" s="308"/>
      <c r="Y214" s="308"/>
      <c r="Z214" s="308"/>
      <c r="AA214" s="308"/>
      <c r="AB214" s="308"/>
      <c r="AC214" s="308"/>
      <c r="AD214" s="308"/>
      <c r="AE214" s="308"/>
      <c r="AF214" s="308"/>
      <c r="AG214" s="308"/>
      <c r="AH214" s="308"/>
      <c r="AI214" s="308"/>
      <c r="AJ214" s="308"/>
      <c r="AK214" s="308"/>
      <c r="AL214" s="308"/>
      <c r="AM214" s="308"/>
      <c r="AN214" s="308"/>
      <c r="AO214" s="308"/>
      <c r="AP214" s="308"/>
      <c r="AQ214" s="308"/>
      <c r="AR214" s="308"/>
      <c r="AS214" s="308"/>
      <c r="AT214" s="308"/>
      <c r="AU214" s="308"/>
      <c r="AV214" s="308"/>
      <c r="AW214" s="308"/>
      <c r="AX214" s="308"/>
      <c r="AY214" s="308"/>
      <c r="AZ214" s="308"/>
      <c r="BA214" s="308"/>
      <c r="BB214" s="308"/>
      <c r="BC214" s="308"/>
      <c r="BD214" s="308"/>
      <c r="BE214" s="308"/>
      <c r="BF214" s="308"/>
      <c r="BG214" s="308"/>
      <c r="BH214" s="308"/>
      <c r="BI214" s="308"/>
      <c r="BJ214" s="308"/>
      <c r="BK214" s="308"/>
      <c r="BL214" s="308"/>
      <c r="BM214" s="308"/>
      <c r="BN214" s="308"/>
      <c r="BO214" s="308"/>
      <c r="BP214" s="308"/>
      <c r="BQ214" s="308"/>
      <c r="BR214" s="308"/>
      <c r="BS214" s="308"/>
    </row>
    <row r="215" spans="1:71" ht="15.75" customHeight="1">
      <c r="A215" s="308"/>
      <c r="B215" s="308"/>
      <c r="C215" s="308"/>
      <c r="D215" s="308"/>
      <c r="E215" s="308"/>
      <c r="F215" s="341"/>
      <c r="G215" s="340"/>
      <c r="H215" s="308"/>
      <c r="I215" s="308"/>
      <c r="J215" s="308"/>
      <c r="K215" s="308"/>
      <c r="L215" s="308"/>
      <c r="M215" s="308"/>
      <c r="N215" s="308"/>
      <c r="O215" s="308"/>
      <c r="P215" s="308"/>
      <c r="Q215" s="308"/>
      <c r="R215" s="308"/>
      <c r="S215" s="308"/>
      <c r="T215" s="308"/>
      <c r="U215" s="308"/>
      <c r="V215" s="308"/>
      <c r="W215" s="308"/>
      <c r="X215" s="308"/>
      <c r="Y215" s="308"/>
      <c r="Z215" s="308"/>
      <c r="AA215" s="308"/>
      <c r="AB215" s="308"/>
      <c r="AC215" s="308"/>
      <c r="AD215" s="308"/>
      <c r="AE215" s="308"/>
      <c r="AF215" s="308"/>
      <c r="AG215" s="308"/>
      <c r="AH215" s="308"/>
      <c r="AI215" s="308"/>
      <c r="AJ215" s="308"/>
      <c r="AK215" s="308"/>
      <c r="AL215" s="308"/>
      <c r="AM215" s="308"/>
      <c r="AN215" s="308"/>
      <c r="AO215" s="308"/>
      <c r="AP215" s="308"/>
      <c r="AQ215" s="308"/>
      <c r="AR215" s="308"/>
      <c r="AS215" s="308"/>
      <c r="AT215" s="308"/>
      <c r="AU215" s="308"/>
      <c r="AV215" s="308"/>
      <c r="AW215" s="308"/>
      <c r="AX215" s="308"/>
      <c r="AY215" s="308"/>
      <c r="AZ215" s="308"/>
      <c r="BA215" s="308"/>
      <c r="BB215" s="308"/>
      <c r="BC215" s="308"/>
      <c r="BD215" s="308"/>
      <c r="BE215" s="308"/>
      <c r="BF215" s="308"/>
      <c r="BG215" s="308"/>
      <c r="BH215" s="308"/>
      <c r="BI215" s="308"/>
      <c r="BJ215" s="308"/>
      <c r="BK215" s="308"/>
      <c r="BL215" s="308"/>
      <c r="BM215" s="308"/>
      <c r="BN215" s="308"/>
      <c r="BO215" s="308"/>
      <c r="BP215" s="308"/>
      <c r="BQ215" s="308"/>
      <c r="BR215" s="308"/>
      <c r="BS215" s="308"/>
    </row>
    <row r="216" spans="1:71" ht="15.75" customHeight="1">
      <c r="A216" s="308"/>
      <c r="B216" s="308"/>
      <c r="C216" s="308"/>
      <c r="D216" s="308"/>
      <c r="E216" s="308"/>
      <c r="F216" s="341"/>
      <c r="G216" s="340"/>
      <c r="H216" s="308"/>
      <c r="I216" s="308"/>
      <c r="J216" s="308"/>
      <c r="K216" s="308"/>
      <c r="L216" s="308"/>
      <c r="M216" s="308"/>
      <c r="N216" s="308"/>
      <c r="O216" s="308"/>
      <c r="P216" s="308"/>
      <c r="Q216" s="308"/>
      <c r="R216" s="308"/>
      <c r="S216" s="308"/>
      <c r="T216" s="308"/>
      <c r="U216" s="308"/>
      <c r="V216" s="308"/>
      <c r="W216" s="308"/>
      <c r="X216" s="308"/>
      <c r="Y216" s="308"/>
      <c r="Z216" s="308"/>
      <c r="AA216" s="308"/>
      <c r="AB216" s="308"/>
      <c r="AC216" s="308"/>
      <c r="AD216" s="308"/>
      <c r="AE216" s="308"/>
      <c r="AF216" s="308"/>
      <c r="AG216" s="308"/>
      <c r="AH216" s="308"/>
      <c r="AI216" s="308"/>
      <c r="AJ216" s="308"/>
      <c r="AK216" s="308"/>
      <c r="AL216" s="308"/>
      <c r="AM216" s="308"/>
      <c r="AN216" s="308"/>
      <c r="AO216" s="308"/>
      <c r="AP216" s="308"/>
      <c r="AQ216" s="308"/>
      <c r="AR216" s="308"/>
      <c r="AS216" s="308"/>
      <c r="AT216" s="308"/>
      <c r="AU216" s="308"/>
      <c r="AV216" s="308"/>
      <c r="AW216" s="308"/>
      <c r="AX216" s="308"/>
      <c r="AY216" s="308"/>
      <c r="AZ216" s="308"/>
      <c r="BA216" s="308"/>
      <c r="BB216" s="308"/>
      <c r="BC216" s="308"/>
      <c r="BD216" s="308"/>
      <c r="BE216" s="308"/>
      <c r="BF216" s="308"/>
      <c r="BG216" s="308"/>
      <c r="BH216" s="308"/>
      <c r="BI216" s="308"/>
      <c r="BJ216" s="308"/>
      <c r="BK216" s="308"/>
      <c r="BL216" s="308"/>
      <c r="BM216" s="308"/>
      <c r="BN216" s="308"/>
      <c r="BO216" s="308"/>
      <c r="BP216" s="308"/>
      <c r="BQ216" s="308"/>
      <c r="BR216" s="308"/>
      <c r="BS216" s="308"/>
    </row>
    <row r="217" spans="1:71" ht="15.75" customHeight="1">
      <c r="A217" s="308"/>
      <c r="B217" s="308"/>
      <c r="C217" s="308"/>
      <c r="D217" s="308"/>
      <c r="E217" s="308"/>
      <c r="F217" s="341"/>
      <c r="G217" s="340"/>
      <c r="H217" s="308"/>
      <c r="I217" s="308"/>
      <c r="J217" s="308"/>
      <c r="K217" s="308"/>
      <c r="L217" s="308"/>
      <c r="M217" s="308"/>
      <c r="N217" s="308"/>
      <c r="O217" s="308"/>
      <c r="P217" s="308"/>
      <c r="Q217" s="308"/>
      <c r="R217" s="308"/>
      <c r="S217" s="308"/>
      <c r="T217" s="308"/>
      <c r="U217" s="308"/>
      <c r="V217" s="308"/>
      <c r="W217" s="308"/>
      <c r="X217" s="308"/>
      <c r="Y217" s="308"/>
      <c r="Z217" s="308"/>
      <c r="AA217" s="308"/>
      <c r="AB217" s="308"/>
      <c r="AC217" s="308"/>
      <c r="AD217" s="308"/>
      <c r="AE217" s="308"/>
      <c r="AF217" s="308"/>
      <c r="AG217" s="308"/>
      <c r="AH217" s="308"/>
      <c r="AI217" s="308"/>
      <c r="AJ217" s="308"/>
      <c r="AK217" s="308"/>
      <c r="AL217" s="308"/>
      <c r="AM217" s="308"/>
      <c r="AN217" s="308"/>
      <c r="AO217" s="308"/>
      <c r="AP217" s="308"/>
      <c r="AQ217" s="308"/>
      <c r="AR217" s="308"/>
      <c r="AS217" s="308"/>
      <c r="AT217" s="308"/>
      <c r="AU217" s="308"/>
      <c r="AV217" s="308"/>
      <c r="AW217" s="308"/>
      <c r="AX217" s="308"/>
      <c r="AY217" s="308"/>
      <c r="AZ217" s="308"/>
      <c r="BA217" s="308"/>
      <c r="BB217" s="308"/>
      <c r="BC217" s="308"/>
      <c r="BD217" s="308"/>
      <c r="BE217" s="308"/>
      <c r="BF217" s="308"/>
      <c r="BG217" s="308"/>
      <c r="BH217" s="308"/>
      <c r="BI217" s="308"/>
      <c r="BJ217" s="308"/>
      <c r="BK217" s="308"/>
      <c r="BL217" s="308"/>
      <c r="BM217" s="308"/>
      <c r="BN217" s="308"/>
      <c r="BO217" s="308"/>
      <c r="BP217" s="308"/>
      <c r="BQ217" s="308"/>
      <c r="BR217" s="308"/>
      <c r="BS217" s="308"/>
    </row>
    <row r="218" spans="1:71" ht="15.75" customHeight="1">
      <c r="A218" s="308"/>
      <c r="B218" s="308"/>
      <c r="C218" s="308"/>
      <c r="D218" s="308"/>
      <c r="E218" s="308"/>
      <c r="F218" s="341"/>
      <c r="G218" s="340"/>
      <c r="H218" s="308"/>
      <c r="I218" s="308"/>
      <c r="J218" s="308"/>
      <c r="K218" s="308"/>
      <c r="L218" s="308"/>
      <c r="M218" s="308"/>
      <c r="N218" s="308"/>
      <c r="O218" s="308"/>
      <c r="P218" s="308"/>
      <c r="Q218" s="308"/>
      <c r="R218" s="308"/>
      <c r="S218" s="308"/>
      <c r="T218" s="308"/>
      <c r="U218" s="308"/>
      <c r="V218" s="308"/>
      <c r="W218" s="308"/>
      <c r="X218" s="308"/>
      <c r="Y218" s="308"/>
      <c r="Z218" s="308"/>
      <c r="AA218" s="308"/>
      <c r="AB218" s="308"/>
      <c r="AC218" s="308"/>
      <c r="AD218" s="308"/>
      <c r="AE218" s="308"/>
      <c r="AF218" s="308"/>
      <c r="AG218" s="308"/>
      <c r="AH218" s="308"/>
      <c r="AI218" s="308"/>
      <c r="AJ218" s="308"/>
      <c r="AK218" s="308"/>
      <c r="AL218" s="308"/>
      <c r="AM218" s="308"/>
      <c r="AN218" s="308"/>
      <c r="AO218" s="308"/>
      <c r="AP218" s="308"/>
      <c r="AQ218" s="308"/>
      <c r="AR218" s="308"/>
      <c r="AS218" s="308"/>
      <c r="AT218" s="308"/>
      <c r="AU218" s="308"/>
      <c r="AV218" s="308"/>
      <c r="AW218" s="308"/>
      <c r="AX218" s="308"/>
      <c r="AY218" s="308"/>
      <c r="AZ218" s="308"/>
      <c r="BA218" s="308"/>
      <c r="BB218" s="308"/>
      <c r="BC218" s="308"/>
      <c r="BD218" s="308"/>
      <c r="BE218" s="308"/>
      <c r="BF218" s="308"/>
      <c r="BG218" s="308"/>
      <c r="BH218" s="308"/>
      <c r="BI218" s="308"/>
      <c r="BJ218" s="308"/>
      <c r="BK218" s="308"/>
      <c r="BL218" s="308"/>
      <c r="BM218" s="308"/>
      <c r="BN218" s="308"/>
      <c r="BO218" s="308"/>
      <c r="BP218" s="308"/>
      <c r="BQ218" s="308"/>
      <c r="BR218" s="308"/>
      <c r="BS218" s="308"/>
    </row>
    <row r="219" spans="1:71" ht="15.75" customHeight="1">
      <c r="A219" s="308"/>
      <c r="B219" s="308"/>
      <c r="C219" s="308"/>
      <c r="D219" s="308"/>
      <c r="E219" s="308"/>
      <c r="F219" s="341"/>
      <c r="G219" s="340"/>
      <c r="H219" s="308"/>
      <c r="I219" s="308"/>
      <c r="J219" s="308"/>
      <c r="K219" s="308"/>
      <c r="L219" s="308"/>
      <c r="M219" s="308"/>
      <c r="N219" s="308"/>
      <c r="O219" s="308"/>
      <c r="P219" s="308"/>
      <c r="Q219" s="308"/>
      <c r="R219" s="308"/>
      <c r="S219" s="308"/>
      <c r="T219" s="308"/>
      <c r="U219" s="308"/>
      <c r="V219" s="308"/>
      <c r="W219" s="308"/>
      <c r="X219" s="308"/>
      <c r="Y219" s="308"/>
      <c r="Z219" s="308"/>
      <c r="AA219" s="308"/>
      <c r="AB219" s="308"/>
      <c r="AC219" s="308"/>
      <c r="AD219" s="308"/>
      <c r="AE219" s="308"/>
      <c r="AF219" s="308"/>
      <c r="AG219" s="308"/>
      <c r="AH219" s="308"/>
      <c r="AI219" s="308"/>
      <c r="AJ219" s="308"/>
      <c r="AK219" s="308"/>
      <c r="AL219" s="308"/>
      <c r="AM219" s="308"/>
      <c r="AN219" s="308"/>
      <c r="AO219" s="308"/>
      <c r="AP219" s="308"/>
      <c r="AQ219" s="308"/>
      <c r="AR219" s="308"/>
      <c r="AS219" s="308"/>
      <c r="AT219" s="308"/>
      <c r="AU219" s="308"/>
      <c r="AV219" s="308"/>
      <c r="AW219" s="308"/>
      <c r="AX219" s="308"/>
      <c r="AY219" s="308"/>
      <c r="AZ219" s="308"/>
      <c r="BA219" s="308"/>
      <c r="BB219" s="308"/>
      <c r="BC219" s="308"/>
      <c r="BD219" s="308"/>
      <c r="BE219" s="308"/>
      <c r="BF219" s="308"/>
      <c r="BG219" s="308"/>
      <c r="BH219" s="308"/>
      <c r="BI219" s="308"/>
      <c r="BJ219" s="308"/>
      <c r="BK219" s="308"/>
      <c r="BL219" s="308"/>
      <c r="BM219" s="308"/>
      <c r="BN219" s="308"/>
      <c r="BO219" s="308"/>
      <c r="BP219" s="308"/>
      <c r="BQ219" s="308"/>
      <c r="BR219" s="308"/>
      <c r="BS219" s="308"/>
    </row>
    <row r="220" spans="1:71" ht="15.75" customHeight="1">
      <c r="A220" s="308"/>
      <c r="B220" s="308"/>
      <c r="C220" s="308"/>
      <c r="D220" s="308"/>
      <c r="E220" s="308"/>
      <c r="F220" s="341"/>
      <c r="G220" s="340"/>
      <c r="H220" s="308"/>
      <c r="I220" s="308"/>
      <c r="J220" s="308"/>
      <c r="K220" s="308"/>
      <c r="L220" s="308"/>
      <c r="M220" s="308"/>
      <c r="N220" s="308"/>
      <c r="O220" s="308"/>
      <c r="P220" s="308"/>
      <c r="Q220" s="308"/>
      <c r="R220" s="308"/>
      <c r="S220" s="308"/>
      <c r="T220" s="308"/>
      <c r="U220" s="308"/>
      <c r="V220" s="308"/>
      <c r="W220" s="308"/>
      <c r="X220" s="308"/>
      <c r="Y220" s="308"/>
      <c r="Z220" s="308"/>
      <c r="AA220" s="308"/>
      <c r="AB220" s="308"/>
      <c r="AC220" s="308"/>
      <c r="AD220" s="308"/>
      <c r="AE220" s="308"/>
      <c r="AF220" s="308"/>
      <c r="AG220" s="308"/>
      <c r="AH220" s="308"/>
      <c r="AI220" s="308"/>
      <c r="AJ220" s="308"/>
      <c r="AK220" s="308"/>
      <c r="AL220" s="308"/>
      <c r="AM220" s="308"/>
      <c r="AN220" s="308"/>
      <c r="AO220" s="308"/>
      <c r="AP220" s="308"/>
      <c r="AQ220" s="308"/>
      <c r="AR220" s="308"/>
      <c r="AS220" s="308"/>
      <c r="AT220" s="308"/>
      <c r="AU220" s="308"/>
      <c r="AV220" s="308"/>
      <c r="AW220" s="308"/>
      <c r="AX220" s="308"/>
      <c r="AY220" s="308"/>
      <c r="AZ220" s="308"/>
      <c r="BA220" s="308"/>
      <c r="BB220" s="308"/>
      <c r="BC220" s="308"/>
      <c r="BD220" s="308"/>
      <c r="BE220" s="308"/>
      <c r="BF220" s="308"/>
      <c r="BG220" s="308"/>
      <c r="BH220" s="308"/>
      <c r="BI220" s="308"/>
      <c r="BJ220" s="308"/>
      <c r="BK220" s="308"/>
      <c r="BL220" s="308"/>
      <c r="BM220" s="308"/>
      <c r="BN220" s="308"/>
      <c r="BO220" s="308"/>
      <c r="BP220" s="308"/>
      <c r="BQ220" s="308"/>
      <c r="BR220" s="308"/>
      <c r="BS220" s="308"/>
    </row>
    <row r="221" spans="1:71" ht="15.75" customHeight="1">
      <c r="A221" s="308"/>
      <c r="B221" s="308"/>
      <c r="C221" s="308"/>
      <c r="D221" s="308"/>
      <c r="E221" s="308"/>
      <c r="F221" s="341"/>
      <c r="G221" s="340"/>
      <c r="H221" s="308"/>
      <c r="I221" s="308"/>
      <c r="J221" s="308"/>
      <c r="K221" s="308"/>
      <c r="L221" s="308"/>
      <c r="M221" s="308"/>
      <c r="N221" s="308"/>
      <c r="O221" s="308"/>
      <c r="P221" s="308"/>
      <c r="Q221" s="308"/>
      <c r="R221" s="308"/>
      <c r="S221" s="308"/>
      <c r="T221" s="308"/>
      <c r="U221" s="308"/>
      <c r="V221" s="308"/>
      <c r="W221" s="308"/>
      <c r="X221" s="308"/>
      <c r="Y221" s="308"/>
      <c r="Z221" s="308"/>
      <c r="AA221" s="308"/>
      <c r="AB221" s="308"/>
      <c r="AC221" s="308"/>
      <c r="AD221" s="308"/>
      <c r="AE221" s="308"/>
      <c r="AF221" s="308"/>
      <c r="AG221" s="308"/>
      <c r="AH221" s="308"/>
      <c r="AI221" s="308"/>
      <c r="AJ221" s="308"/>
      <c r="AK221" s="308"/>
      <c r="AL221" s="308"/>
      <c r="AM221" s="308"/>
      <c r="AN221" s="308"/>
      <c r="AO221" s="308"/>
      <c r="AP221" s="308"/>
      <c r="AQ221" s="308"/>
      <c r="AR221" s="308"/>
      <c r="AS221" s="308"/>
      <c r="AT221" s="308"/>
      <c r="AU221" s="308"/>
      <c r="AV221" s="308"/>
      <c r="AW221" s="308"/>
      <c r="AX221" s="308"/>
      <c r="AY221" s="308"/>
      <c r="AZ221" s="308"/>
      <c r="BA221" s="308"/>
      <c r="BB221" s="308"/>
      <c r="BC221" s="308"/>
      <c r="BD221" s="308"/>
      <c r="BE221" s="308"/>
      <c r="BF221" s="308"/>
      <c r="BG221" s="308"/>
      <c r="BH221" s="308"/>
      <c r="BI221" s="308"/>
      <c r="BJ221" s="308"/>
      <c r="BK221" s="308"/>
      <c r="BL221" s="308"/>
      <c r="BM221" s="308"/>
      <c r="BN221" s="308"/>
      <c r="BO221" s="308"/>
      <c r="BP221" s="308"/>
      <c r="BQ221" s="308"/>
      <c r="BR221" s="308"/>
      <c r="BS221" s="308"/>
    </row>
    <row r="222" spans="1:71" ht="15.75" customHeight="1">
      <c r="A222" s="308"/>
      <c r="B222" s="308"/>
      <c r="C222" s="308"/>
      <c r="D222" s="308"/>
      <c r="E222" s="308"/>
      <c r="F222" s="341"/>
      <c r="G222" s="340"/>
      <c r="H222" s="308"/>
      <c r="I222" s="308"/>
      <c r="J222" s="308"/>
      <c r="K222" s="308"/>
      <c r="L222" s="308"/>
      <c r="M222" s="308"/>
      <c r="N222" s="308"/>
      <c r="O222" s="308"/>
      <c r="P222" s="308"/>
      <c r="Q222" s="308"/>
      <c r="R222" s="308"/>
      <c r="S222" s="308"/>
      <c r="T222" s="308"/>
      <c r="U222" s="308"/>
      <c r="V222" s="308"/>
      <c r="W222" s="308"/>
      <c r="X222" s="308"/>
      <c r="Y222" s="308"/>
      <c r="Z222" s="308"/>
      <c r="AA222" s="308"/>
      <c r="AB222" s="308"/>
      <c r="AC222" s="308"/>
      <c r="AD222" s="308"/>
      <c r="AE222" s="308"/>
      <c r="AF222" s="308"/>
      <c r="AG222" s="308"/>
      <c r="AH222" s="308"/>
      <c r="AI222" s="308"/>
      <c r="AJ222" s="308"/>
      <c r="AK222" s="308"/>
      <c r="AL222" s="308"/>
      <c r="AM222" s="308"/>
      <c r="AN222" s="308"/>
      <c r="AO222" s="308"/>
      <c r="AP222" s="308"/>
      <c r="AQ222" s="308"/>
      <c r="AR222" s="308"/>
      <c r="AS222" s="308"/>
      <c r="AT222" s="308"/>
      <c r="AU222" s="308"/>
      <c r="AV222" s="308"/>
      <c r="AW222" s="308"/>
      <c r="AX222" s="308"/>
      <c r="AY222" s="308"/>
      <c r="AZ222" s="308"/>
      <c r="BA222" s="308"/>
      <c r="BB222" s="308"/>
      <c r="BC222" s="308"/>
      <c r="BD222" s="308"/>
      <c r="BE222" s="308"/>
      <c r="BF222" s="308"/>
      <c r="BG222" s="308"/>
      <c r="BH222" s="308"/>
      <c r="BI222" s="308"/>
      <c r="BJ222" s="308"/>
      <c r="BK222" s="308"/>
      <c r="BL222" s="308"/>
      <c r="BM222" s="308"/>
      <c r="BN222" s="308"/>
      <c r="BO222" s="308"/>
      <c r="BP222" s="308"/>
      <c r="BQ222" s="308"/>
      <c r="BR222" s="308"/>
      <c r="BS222" s="308"/>
    </row>
    <row r="223" spans="1:71" ht="15.75" customHeight="1">
      <c r="A223" s="308"/>
      <c r="B223" s="308"/>
      <c r="C223" s="308"/>
      <c r="D223" s="308"/>
      <c r="E223" s="308"/>
      <c r="F223" s="341"/>
      <c r="G223" s="340"/>
      <c r="H223" s="308"/>
      <c r="I223" s="308"/>
      <c r="J223" s="308"/>
      <c r="K223" s="308"/>
      <c r="L223" s="308"/>
      <c r="M223" s="308"/>
      <c r="N223" s="308"/>
      <c r="O223" s="308"/>
      <c r="P223" s="308"/>
      <c r="Q223" s="308"/>
      <c r="R223" s="308"/>
      <c r="S223" s="308"/>
      <c r="T223" s="308"/>
      <c r="U223" s="308"/>
      <c r="V223" s="308"/>
      <c r="W223" s="308"/>
      <c r="X223" s="308"/>
      <c r="Y223" s="308"/>
      <c r="Z223" s="308"/>
      <c r="AA223" s="308"/>
      <c r="AB223" s="308"/>
      <c r="AC223" s="308"/>
      <c r="AD223" s="308"/>
      <c r="AE223" s="308"/>
      <c r="AF223" s="308"/>
      <c r="AG223" s="308"/>
      <c r="AH223" s="308"/>
      <c r="AI223" s="308"/>
      <c r="AJ223" s="308"/>
      <c r="AK223" s="308"/>
      <c r="AL223" s="308"/>
      <c r="AM223" s="308"/>
      <c r="AN223" s="308"/>
      <c r="AO223" s="308"/>
      <c r="AP223" s="308"/>
      <c r="AQ223" s="308"/>
      <c r="AR223" s="308"/>
      <c r="AS223" s="308"/>
      <c r="AT223" s="308"/>
      <c r="AU223" s="308"/>
      <c r="AV223" s="308"/>
      <c r="AW223" s="308"/>
      <c r="AX223" s="308"/>
      <c r="AY223" s="308"/>
      <c r="AZ223" s="308"/>
      <c r="BA223" s="308"/>
      <c r="BB223" s="308"/>
      <c r="BC223" s="308"/>
      <c r="BD223" s="308"/>
      <c r="BE223" s="308"/>
      <c r="BF223" s="308"/>
      <c r="BG223" s="308"/>
      <c r="BH223" s="308"/>
      <c r="BI223" s="308"/>
      <c r="BJ223" s="308"/>
      <c r="BK223" s="308"/>
      <c r="BL223" s="308"/>
      <c r="BM223" s="308"/>
      <c r="BN223" s="308"/>
      <c r="BO223" s="308"/>
      <c r="BP223" s="308"/>
      <c r="BQ223" s="308"/>
      <c r="BR223" s="308"/>
      <c r="BS223" s="308"/>
    </row>
    <row r="224" spans="1:71" ht="15.75" customHeight="1">
      <c r="A224" s="308"/>
      <c r="B224" s="308"/>
      <c r="C224" s="308"/>
      <c r="D224" s="308"/>
      <c r="E224" s="308"/>
      <c r="F224" s="341"/>
      <c r="G224" s="340"/>
      <c r="H224" s="308"/>
      <c r="I224" s="308"/>
      <c r="J224" s="308"/>
      <c r="K224" s="308"/>
      <c r="L224" s="308"/>
      <c r="M224" s="308"/>
      <c r="N224" s="308"/>
      <c r="O224" s="308"/>
      <c r="P224" s="308"/>
      <c r="Q224" s="308"/>
      <c r="R224" s="308"/>
      <c r="S224" s="308"/>
      <c r="T224" s="308"/>
      <c r="U224" s="308"/>
      <c r="V224" s="308"/>
      <c r="W224" s="308"/>
      <c r="X224" s="308"/>
      <c r="Y224" s="308"/>
      <c r="Z224" s="308"/>
      <c r="AA224" s="308"/>
      <c r="AB224" s="308"/>
      <c r="AC224" s="308"/>
      <c r="AD224" s="308"/>
      <c r="AE224" s="308"/>
      <c r="AF224" s="308"/>
      <c r="AG224" s="308"/>
      <c r="AH224" s="308"/>
      <c r="AI224" s="308"/>
      <c r="AJ224" s="308"/>
      <c r="AK224" s="308"/>
      <c r="AL224" s="308"/>
      <c r="AM224" s="308"/>
      <c r="AN224" s="308"/>
      <c r="AO224" s="308"/>
      <c r="AP224" s="308"/>
      <c r="AQ224" s="308"/>
      <c r="AR224" s="308"/>
      <c r="AS224" s="308"/>
      <c r="AT224" s="308"/>
      <c r="AU224" s="308"/>
      <c r="AV224" s="308"/>
      <c r="AW224" s="308"/>
      <c r="AX224" s="308"/>
      <c r="AY224" s="308"/>
      <c r="AZ224" s="308"/>
      <c r="BA224" s="308"/>
      <c r="BB224" s="308"/>
      <c r="BC224" s="308"/>
      <c r="BD224" s="308"/>
      <c r="BE224" s="308"/>
      <c r="BF224" s="308"/>
      <c r="BG224" s="308"/>
      <c r="BH224" s="308"/>
      <c r="BI224" s="308"/>
      <c r="BJ224" s="308"/>
      <c r="BK224" s="308"/>
      <c r="BL224" s="308"/>
      <c r="BM224" s="308"/>
      <c r="BN224" s="308"/>
      <c r="BO224" s="308"/>
      <c r="BP224" s="308"/>
      <c r="BQ224" s="308"/>
      <c r="BR224" s="308"/>
      <c r="BS224" s="308"/>
    </row>
    <row r="225" spans="1:71" ht="15.75" customHeight="1">
      <c r="A225" s="308"/>
      <c r="B225" s="308"/>
      <c r="C225" s="308"/>
      <c r="D225" s="308"/>
      <c r="E225" s="308"/>
      <c r="F225" s="341"/>
      <c r="G225" s="340"/>
      <c r="H225" s="308"/>
      <c r="I225" s="308"/>
      <c r="J225" s="308"/>
      <c r="K225" s="308"/>
      <c r="L225" s="308"/>
      <c r="M225" s="308"/>
      <c r="N225" s="308"/>
      <c r="O225" s="308"/>
      <c r="P225" s="308"/>
      <c r="Q225" s="308"/>
      <c r="R225" s="308"/>
      <c r="S225" s="308"/>
      <c r="T225" s="308"/>
      <c r="U225" s="308"/>
      <c r="V225" s="308"/>
      <c r="W225" s="308"/>
      <c r="X225" s="308"/>
      <c r="Y225" s="308"/>
      <c r="Z225" s="308"/>
      <c r="AA225" s="308"/>
      <c r="AB225" s="308"/>
      <c r="AC225" s="308"/>
      <c r="AD225" s="308"/>
      <c r="AE225" s="308"/>
      <c r="AF225" s="308"/>
      <c r="AG225" s="308"/>
      <c r="AH225" s="308"/>
      <c r="AI225" s="308"/>
      <c r="AJ225" s="308"/>
      <c r="AK225" s="308"/>
      <c r="AL225" s="308"/>
      <c r="AM225" s="308"/>
      <c r="AN225" s="308"/>
      <c r="AO225" s="308"/>
      <c r="AP225" s="308"/>
      <c r="AQ225" s="308"/>
      <c r="AR225" s="308"/>
      <c r="AS225" s="308"/>
      <c r="AT225" s="308"/>
      <c r="AU225" s="308"/>
      <c r="AV225" s="308"/>
      <c r="AW225" s="308"/>
      <c r="AX225" s="308"/>
      <c r="AY225" s="308"/>
      <c r="AZ225" s="308"/>
      <c r="BA225" s="308"/>
      <c r="BB225" s="308"/>
      <c r="BC225" s="308"/>
      <c r="BD225" s="308"/>
      <c r="BE225" s="308"/>
      <c r="BF225" s="308"/>
      <c r="BG225" s="308"/>
      <c r="BH225" s="308"/>
      <c r="BI225" s="308"/>
      <c r="BJ225" s="308"/>
      <c r="BK225" s="308"/>
      <c r="BL225" s="308"/>
      <c r="BM225" s="308"/>
      <c r="BN225" s="308"/>
      <c r="BO225" s="308"/>
      <c r="BP225" s="308"/>
      <c r="BQ225" s="308"/>
      <c r="BR225" s="308"/>
      <c r="BS225" s="308"/>
    </row>
    <row r="226" spans="1:71" ht="15.75" customHeight="1">
      <c r="A226" s="308"/>
      <c r="B226" s="308"/>
      <c r="C226" s="308"/>
      <c r="D226" s="308"/>
      <c r="E226" s="308"/>
      <c r="F226" s="341"/>
      <c r="G226" s="340"/>
      <c r="H226" s="308"/>
      <c r="I226" s="308"/>
      <c r="J226" s="308"/>
      <c r="K226" s="308"/>
      <c r="L226" s="308"/>
      <c r="M226" s="308"/>
      <c r="N226" s="308"/>
      <c r="O226" s="308"/>
      <c r="P226" s="308"/>
      <c r="Q226" s="308"/>
      <c r="R226" s="308"/>
      <c r="S226" s="308"/>
      <c r="T226" s="308"/>
      <c r="U226" s="308"/>
      <c r="V226" s="308"/>
      <c r="W226" s="308"/>
      <c r="X226" s="308"/>
      <c r="Y226" s="308"/>
      <c r="Z226" s="308"/>
      <c r="AA226" s="308"/>
      <c r="AB226" s="308"/>
      <c r="AC226" s="308"/>
      <c r="AD226" s="308"/>
      <c r="AE226" s="308"/>
      <c r="AF226" s="308"/>
      <c r="AG226" s="308"/>
      <c r="AH226" s="308"/>
      <c r="AI226" s="308"/>
      <c r="AJ226" s="308"/>
      <c r="AK226" s="308"/>
      <c r="AL226" s="308"/>
      <c r="AM226" s="308"/>
      <c r="AN226" s="308"/>
      <c r="AO226" s="308"/>
      <c r="AP226" s="308"/>
      <c r="AQ226" s="308"/>
      <c r="AR226" s="308"/>
      <c r="AS226" s="308"/>
      <c r="AT226" s="308"/>
      <c r="AU226" s="308"/>
      <c r="AV226" s="308"/>
      <c r="AW226" s="308"/>
      <c r="AX226" s="308"/>
      <c r="AY226" s="308"/>
      <c r="AZ226" s="308"/>
      <c r="BA226" s="308"/>
      <c r="BB226" s="308"/>
      <c r="BC226" s="308"/>
      <c r="BD226" s="308"/>
      <c r="BE226" s="308"/>
      <c r="BF226" s="308"/>
      <c r="BG226" s="308"/>
      <c r="BH226" s="308"/>
      <c r="BI226" s="308"/>
      <c r="BJ226" s="308"/>
      <c r="BK226" s="308"/>
      <c r="BL226" s="308"/>
      <c r="BM226" s="308"/>
      <c r="BN226" s="308"/>
      <c r="BO226" s="308"/>
      <c r="BP226" s="308"/>
      <c r="BQ226" s="308"/>
      <c r="BR226" s="308"/>
      <c r="BS226" s="308"/>
    </row>
    <row r="227" spans="1:71" ht="15.75" customHeight="1">
      <c r="A227" s="308"/>
      <c r="B227" s="308"/>
      <c r="C227" s="308"/>
      <c r="D227" s="308"/>
      <c r="E227" s="308"/>
      <c r="F227" s="341"/>
      <c r="G227" s="340"/>
      <c r="H227" s="308"/>
      <c r="I227" s="308"/>
      <c r="J227" s="308"/>
      <c r="K227" s="308"/>
      <c r="L227" s="308"/>
      <c r="M227" s="308"/>
      <c r="N227" s="308"/>
      <c r="O227" s="308"/>
      <c r="P227" s="308"/>
      <c r="Q227" s="308"/>
      <c r="R227" s="308"/>
      <c r="S227" s="308"/>
      <c r="T227" s="308"/>
      <c r="U227" s="308"/>
      <c r="V227" s="308"/>
      <c r="W227" s="308"/>
      <c r="X227" s="308"/>
      <c r="Y227" s="308"/>
      <c r="Z227" s="308"/>
      <c r="AA227" s="308"/>
      <c r="AB227" s="308"/>
      <c r="AC227" s="308"/>
      <c r="AD227" s="308"/>
      <c r="AE227" s="308"/>
      <c r="AF227" s="308"/>
      <c r="AG227" s="308"/>
      <c r="AH227" s="308"/>
      <c r="AI227" s="308"/>
      <c r="AJ227" s="308"/>
      <c r="AK227" s="308"/>
      <c r="AL227" s="308"/>
      <c r="AM227" s="308"/>
      <c r="AN227" s="308"/>
      <c r="AO227" s="308"/>
      <c r="AP227" s="308"/>
      <c r="AQ227" s="308"/>
      <c r="AR227" s="308"/>
      <c r="AS227" s="308"/>
      <c r="AT227" s="308"/>
      <c r="AU227" s="308"/>
      <c r="AV227" s="308"/>
      <c r="AW227" s="308"/>
      <c r="AX227" s="308"/>
      <c r="AY227" s="308"/>
      <c r="AZ227" s="308"/>
      <c r="BA227" s="308"/>
      <c r="BB227" s="308"/>
      <c r="BC227" s="308"/>
      <c r="BD227" s="308"/>
      <c r="BE227" s="308"/>
      <c r="BF227" s="308"/>
      <c r="BG227" s="308"/>
      <c r="BH227" s="308"/>
      <c r="BI227" s="308"/>
      <c r="BJ227" s="308"/>
      <c r="BK227" s="308"/>
      <c r="BL227" s="308"/>
      <c r="BM227" s="308"/>
      <c r="BN227" s="308"/>
      <c r="BO227" s="308"/>
      <c r="BP227" s="308"/>
      <c r="BQ227" s="308"/>
      <c r="BR227" s="308"/>
      <c r="BS227" s="308"/>
    </row>
    <row r="228" spans="1:71" ht="15.75" customHeight="1">
      <c r="A228" s="308"/>
      <c r="B228" s="308"/>
      <c r="C228" s="308"/>
      <c r="D228" s="308"/>
      <c r="E228" s="308"/>
      <c r="F228" s="341"/>
      <c r="G228" s="340"/>
      <c r="H228" s="308"/>
      <c r="I228" s="308"/>
      <c r="J228" s="308"/>
      <c r="K228" s="308"/>
      <c r="L228" s="308"/>
      <c r="M228" s="308"/>
      <c r="N228" s="308"/>
      <c r="O228" s="308"/>
      <c r="P228" s="308"/>
      <c r="Q228" s="308"/>
      <c r="R228" s="308"/>
      <c r="S228" s="308"/>
      <c r="T228" s="308"/>
      <c r="U228" s="308"/>
      <c r="V228" s="308"/>
      <c r="W228" s="308"/>
      <c r="X228" s="308"/>
      <c r="Y228" s="308"/>
      <c r="Z228" s="308"/>
      <c r="AA228" s="308"/>
      <c r="AB228" s="308"/>
      <c r="AC228" s="308"/>
      <c r="AD228" s="308"/>
      <c r="AE228" s="308"/>
      <c r="AF228" s="308"/>
      <c r="AG228" s="308"/>
      <c r="AH228" s="308"/>
      <c r="AI228" s="308"/>
      <c r="AJ228" s="308"/>
      <c r="AK228" s="308"/>
      <c r="AL228" s="308"/>
      <c r="AM228" s="308"/>
      <c r="AN228" s="308"/>
      <c r="AO228" s="308"/>
      <c r="AP228" s="308"/>
      <c r="AQ228" s="308"/>
      <c r="AR228" s="308"/>
      <c r="AS228" s="308"/>
      <c r="AT228" s="308"/>
      <c r="AU228" s="308"/>
      <c r="AV228" s="308"/>
      <c r="AW228" s="308"/>
      <c r="AX228" s="308"/>
      <c r="AY228" s="308"/>
      <c r="AZ228" s="308"/>
      <c r="BA228" s="308"/>
      <c r="BB228" s="308"/>
      <c r="BC228" s="308"/>
      <c r="BD228" s="308"/>
      <c r="BE228" s="308"/>
      <c r="BF228" s="308"/>
      <c r="BG228" s="308"/>
      <c r="BH228" s="308"/>
      <c r="BI228" s="308"/>
      <c r="BJ228" s="308"/>
      <c r="BK228" s="308"/>
      <c r="BL228" s="308"/>
      <c r="BM228" s="308"/>
      <c r="BN228" s="308"/>
      <c r="BO228" s="308"/>
      <c r="BP228" s="308"/>
      <c r="BQ228" s="308"/>
      <c r="BR228" s="308"/>
      <c r="BS228" s="308"/>
    </row>
    <row r="229" spans="1:71" ht="15.75" customHeight="1">
      <c r="A229" s="308"/>
      <c r="B229" s="308"/>
      <c r="C229" s="308"/>
      <c r="D229" s="308"/>
      <c r="E229" s="308"/>
      <c r="F229" s="341"/>
      <c r="G229" s="340"/>
      <c r="H229" s="308"/>
      <c r="I229" s="308"/>
      <c r="J229" s="308"/>
      <c r="K229" s="308"/>
      <c r="L229" s="308"/>
      <c r="M229" s="308"/>
      <c r="N229" s="308"/>
      <c r="O229" s="308"/>
      <c r="P229" s="308"/>
      <c r="Q229" s="308"/>
      <c r="R229" s="308"/>
      <c r="S229" s="308"/>
      <c r="T229" s="308"/>
      <c r="U229" s="308"/>
      <c r="V229" s="308"/>
      <c r="W229" s="308"/>
      <c r="X229" s="308"/>
      <c r="Y229" s="308"/>
      <c r="Z229" s="308"/>
      <c r="AA229" s="308"/>
      <c r="AB229" s="308"/>
      <c r="AC229" s="308"/>
      <c r="AD229" s="308"/>
      <c r="AE229" s="308"/>
      <c r="AF229" s="308"/>
      <c r="AG229" s="308"/>
      <c r="AH229" s="308"/>
      <c r="AI229" s="308"/>
      <c r="AJ229" s="308"/>
      <c r="AK229" s="308"/>
      <c r="AL229" s="308"/>
      <c r="AM229" s="308"/>
      <c r="AN229" s="308"/>
      <c r="AO229" s="308"/>
      <c r="AP229" s="308"/>
      <c r="AQ229" s="308"/>
      <c r="AR229" s="308"/>
      <c r="AS229" s="308"/>
      <c r="AT229" s="308"/>
      <c r="AU229" s="308"/>
      <c r="AV229" s="308"/>
      <c r="AW229" s="308"/>
      <c r="AX229" s="308"/>
      <c r="AY229" s="308"/>
      <c r="AZ229" s="308"/>
      <c r="BA229" s="308"/>
      <c r="BB229" s="308"/>
      <c r="BC229" s="308"/>
      <c r="BD229" s="308"/>
      <c r="BE229" s="308"/>
      <c r="BF229" s="308"/>
      <c r="BG229" s="308"/>
      <c r="BH229" s="308"/>
      <c r="BI229" s="308"/>
      <c r="BJ229" s="308"/>
      <c r="BK229" s="308"/>
      <c r="BL229" s="308"/>
      <c r="BM229" s="308"/>
      <c r="BN229" s="308"/>
      <c r="BO229" s="308"/>
      <c r="BP229" s="308"/>
      <c r="BQ229" s="308"/>
      <c r="BR229" s="308"/>
      <c r="BS229" s="308"/>
    </row>
    <row r="230" spans="1:71" ht="15.75" customHeight="1">
      <c r="A230" s="308"/>
      <c r="B230" s="308"/>
      <c r="C230" s="308"/>
      <c r="D230" s="308"/>
      <c r="E230" s="308"/>
      <c r="F230" s="341"/>
      <c r="G230" s="340"/>
      <c r="H230" s="308"/>
      <c r="I230" s="308"/>
      <c r="J230" s="308"/>
      <c r="K230" s="308"/>
      <c r="L230" s="308"/>
      <c r="M230" s="308"/>
      <c r="N230" s="308"/>
      <c r="O230" s="308"/>
      <c r="P230" s="308"/>
      <c r="Q230" s="308"/>
      <c r="R230" s="308"/>
      <c r="S230" s="308"/>
      <c r="T230" s="308"/>
      <c r="U230" s="308"/>
      <c r="V230" s="308"/>
      <c r="W230" s="308"/>
      <c r="X230" s="308"/>
      <c r="Y230" s="308"/>
      <c r="Z230" s="308"/>
      <c r="AA230" s="308"/>
      <c r="AB230" s="308"/>
      <c r="AC230" s="308"/>
      <c r="AD230" s="308"/>
      <c r="AE230" s="308"/>
      <c r="AF230" s="308"/>
      <c r="AG230" s="308"/>
      <c r="AH230" s="308"/>
      <c r="AI230" s="308"/>
      <c r="AJ230" s="308"/>
      <c r="AK230" s="308"/>
      <c r="AL230" s="308"/>
      <c r="AM230" s="308"/>
      <c r="AN230" s="308"/>
      <c r="AO230" s="308"/>
      <c r="AP230" s="308"/>
      <c r="AQ230" s="308"/>
      <c r="AR230" s="308"/>
      <c r="AS230" s="308"/>
      <c r="AT230" s="308"/>
      <c r="AU230" s="308"/>
      <c r="AV230" s="308"/>
      <c r="AW230" s="308"/>
      <c r="AX230" s="308"/>
      <c r="AY230" s="308"/>
      <c r="AZ230" s="308"/>
      <c r="BA230" s="308"/>
      <c r="BB230" s="308"/>
      <c r="BC230" s="308"/>
      <c r="BD230" s="308"/>
      <c r="BE230" s="308"/>
      <c r="BF230" s="308"/>
      <c r="BG230" s="308"/>
      <c r="BH230" s="308"/>
      <c r="BI230" s="308"/>
      <c r="BJ230" s="308"/>
      <c r="BK230" s="308"/>
      <c r="BL230" s="308"/>
      <c r="BM230" s="308"/>
      <c r="BN230" s="308"/>
      <c r="BO230" s="308"/>
      <c r="BP230" s="308"/>
      <c r="BQ230" s="308"/>
      <c r="BR230" s="308"/>
      <c r="BS230" s="308"/>
    </row>
    <row r="231" spans="1:71" ht="15.75" customHeight="1">
      <c r="A231" s="308"/>
      <c r="B231" s="308"/>
      <c r="C231" s="308"/>
      <c r="D231" s="308"/>
      <c r="E231" s="308"/>
      <c r="F231" s="341"/>
      <c r="G231" s="340"/>
      <c r="H231" s="308"/>
      <c r="I231" s="308"/>
      <c r="J231" s="308"/>
      <c r="K231" s="308"/>
      <c r="L231" s="308"/>
      <c r="M231" s="308"/>
      <c r="N231" s="308"/>
      <c r="O231" s="308"/>
      <c r="P231" s="308"/>
      <c r="Q231" s="308"/>
      <c r="R231" s="308"/>
      <c r="S231" s="308"/>
      <c r="T231" s="308"/>
      <c r="U231" s="308"/>
      <c r="V231" s="308"/>
      <c r="W231" s="308"/>
      <c r="X231" s="308"/>
      <c r="Y231" s="308"/>
      <c r="Z231" s="308"/>
      <c r="AA231" s="308"/>
      <c r="AB231" s="308"/>
      <c r="AC231" s="308"/>
      <c r="AD231" s="308"/>
      <c r="AE231" s="308"/>
      <c r="AF231" s="308"/>
      <c r="AG231" s="308"/>
      <c r="AH231" s="308"/>
      <c r="AI231" s="308"/>
      <c r="AJ231" s="308"/>
      <c r="AK231" s="308"/>
      <c r="AL231" s="308"/>
      <c r="AM231" s="308"/>
      <c r="AN231" s="308"/>
      <c r="AO231" s="308"/>
      <c r="AP231" s="308"/>
      <c r="AQ231" s="308"/>
      <c r="AR231" s="308"/>
      <c r="AS231" s="308"/>
      <c r="AT231" s="308"/>
      <c r="AU231" s="308"/>
      <c r="AV231" s="308"/>
      <c r="AW231" s="308"/>
      <c r="AX231" s="308"/>
      <c r="AY231" s="308"/>
      <c r="AZ231" s="308"/>
      <c r="BA231" s="308"/>
      <c r="BB231" s="308"/>
      <c r="BC231" s="308"/>
      <c r="BD231" s="308"/>
      <c r="BE231" s="308"/>
      <c r="BF231" s="308"/>
      <c r="BG231" s="308"/>
      <c r="BH231" s="308"/>
      <c r="BI231" s="308"/>
      <c r="BJ231" s="308"/>
      <c r="BK231" s="308"/>
      <c r="BL231" s="308"/>
      <c r="BM231" s="308"/>
      <c r="BN231" s="308"/>
      <c r="BO231" s="308"/>
      <c r="BP231" s="308"/>
      <c r="BQ231" s="308"/>
      <c r="BR231" s="308"/>
      <c r="BS231" s="308"/>
    </row>
    <row r="232" spans="1:71" ht="15.75" customHeight="1">
      <c r="A232" s="308"/>
      <c r="B232" s="308"/>
      <c r="C232" s="308"/>
      <c r="D232" s="308"/>
      <c r="E232" s="308"/>
      <c r="F232" s="341"/>
      <c r="G232" s="340"/>
      <c r="H232" s="308"/>
      <c r="I232" s="308"/>
      <c r="J232" s="308"/>
      <c r="K232" s="308"/>
      <c r="L232" s="308"/>
      <c r="M232" s="308"/>
      <c r="N232" s="308"/>
      <c r="O232" s="308"/>
      <c r="P232" s="308"/>
      <c r="Q232" s="308"/>
      <c r="R232" s="308"/>
      <c r="S232" s="308"/>
      <c r="T232" s="308"/>
      <c r="U232" s="308"/>
      <c r="V232" s="308"/>
      <c r="W232" s="308"/>
      <c r="X232" s="308"/>
      <c r="Y232" s="308"/>
      <c r="Z232" s="308"/>
      <c r="AA232" s="308"/>
      <c r="AB232" s="308"/>
      <c r="AC232" s="308"/>
      <c r="AD232" s="308"/>
      <c r="AE232" s="308"/>
      <c r="AF232" s="308"/>
      <c r="AG232" s="308"/>
      <c r="AH232" s="308"/>
      <c r="AI232" s="308"/>
      <c r="AJ232" s="308"/>
      <c r="AK232" s="308"/>
      <c r="AL232" s="308"/>
      <c r="AM232" s="308"/>
      <c r="AN232" s="308"/>
      <c r="AO232" s="308"/>
      <c r="AP232" s="308"/>
      <c r="AQ232" s="308"/>
      <c r="AR232" s="308"/>
      <c r="AS232" s="308"/>
      <c r="AT232" s="308"/>
      <c r="AU232" s="308"/>
      <c r="AV232" s="308"/>
      <c r="AW232" s="308"/>
      <c r="AX232" s="308"/>
      <c r="AY232" s="308"/>
      <c r="AZ232" s="308"/>
      <c r="BA232" s="308"/>
      <c r="BB232" s="308"/>
      <c r="BC232" s="308"/>
      <c r="BD232" s="308"/>
      <c r="BE232" s="308"/>
      <c r="BF232" s="308"/>
      <c r="BG232" s="308"/>
      <c r="BH232" s="308"/>
      <c r="BI232" s="308"/>
      <c r="BJ232" s="308"/>
      <c r="BK232" s="308"/>
      <c r="BL232" s="308"/>
      <c r="BM232" s="308"/>
      <c r="BN232" s="308"/>
      <c r="BO232" s="308"/>
      <c r="BP232" s="308"/>
      <c r="BQ232" s="308"/>
      <c r="BR232" s="308"/>
      <c r="BS232" s="308"/>
    </row>
    <row r="233" spans="1:71" ht="15.75" customHeight="1">
      <c r="A233" s="308"/>
      <c r="B233" s="308"/>
      <c r="C233" s="308"/>
      <c r="D233" s="308"/>
      <c r="E233" s="308"/>
      <c r="F233" s="341"/>
      <c r="G233" s="340"/>
      <c r="H233" s="308"/>
      <c r="I233" s="308"/>
      <c r="J233" s="308"/>
      <c r="K233" s="308"/>
      <c r="L233" s="308"/>
      <c r="M233" s="308"/>
      <c r="N233" s="308"/>
      <c r="O233" s="308"/>
      <c r="P233" s="308"/>
      <c r="Q233" s="308"/>
      <c r="R233" s="308"/>
      <c r="S233" s="308"/>
      <c r="T233" s="308"/>
      <c r="U233" s="308"/>
      <c r="V233" s="308"/>
      <c r="W233" s="308"/>
      <c r="X233" s="308"/>
      <c r="Y233" s="308"/>
      <c r="Z233" s="308"/>
      <c r="AA233" s="308"/>
      <c r="AB233" s="308"/>
      <c r="AC233" s="308"/>
      <c r="AD233" s="308"/>
      <c r="AE233" s="308"/>
      <c r="AF233" s="308"/>
      <c r="AG233" s="308"/>
      <c r="AH233" s="308"/>
      <c r="AI233" s="308"/>
      <c r="AJ233" s="308"/>
      <c r="AK233" s="308"/>
      <c r="AL233" s="308"/>
      <c r="AM233" s="308"/>
      <c r="AN233" s="308"/>
      <c r="AO233" s="308"/>
      <c r="AP233" s="308"/>
      <c r="AQ233" s="308"/>
      <c r="AR233" s="308"/>
      <c r="AS233" s="308"/>
      <c r="AT233" s="308"/>
      <c r="AU233" s="308"/>
      <c r="AV233" s="308"/>
      <c r="AW233" s="308"/>
      <c r="AX233" s="308"/>
      <c r="AY233" s="308"/>
      <c r="AZ233" s="308"/>
      <c r="BA233" s="308"/>
      <c r="BB233" s="308"/>
      <c r="BC233" s="308"/>
      <c r="BD233" s="308"/>
      <c r="BE233" s="308"/>
      <c r="BF233" s="308"/>
      <c r="BG233" s="308"/>
      <c r="BH233" s="308"/>
      <c r="BI233" s="308"/>
      <c r="BJ233" s="308"/>
      <c r="BK233" s="308"/>
      <c r="BL233" s="308"/>
      <c r="BM233" s="308"/>
      <c r="BN233" s="308"/>
      <c r="BO233" s="308"/>
      <c r="BP233" s="308"/>
      <c r="BQ233" s="308"/>
      <c r="BR233" s="308"/>
      <c r="BS233" s="308"/>
    </row>
    <row r="234" spans="1:71" ht="15.75" customHeight="1">
      <c r="A234" s="308"/>
      <c r="B234" s="308"/>
      <c r="C234" s="308"/>
      <c r="D234" s="308"/>
      <c r="E234" s="308"/>
      <c r="F234" s="341"/>
      <c r="G234" s="340"/>
      <c r="H234" s="308"/>
      <c r="I234" s="308"/>
      <c r="J234" s="308"/>
      <c r="K234" s="308"/>
      <c r="L234" s="308"/>
      <c r="M234" s="308"/>
      <c r="N234" s="308"/>
      <c r="O234" s="308"/>
      <c r="P234" s="308"/>
      <c r="Q234" s="308"/>
      <c r="R234" s="308"/>
      <c r="S234" s="308"/>
      <c r="T234" s="308"/>
      <c r="U234" s="308"/>
      <c r="V234" s="308"/>
      <c r="W234" s="308"/>
      <c r="X234" s="308"/>
      <c r="Y234" s="308"/>
      <c r="Z234" s="308"/>
      <c r="AA234" s="308"/>
      <c r="AB234" s="308"/>
      <c r="AC234" s="308"/>
      <c r="AD234" s="308"/>
      <c r="AE234" s="308"/>
      <c r="AF234" s="308"/>
      <c r="AG234" s="308"/>
      <c r="AH234" s="308"/>
      <c r="AI234" s="308"/>
      <c r="AJ234" s="308"/>
      <c r="AK234" s="308"/>
      <c r="AL234" s="308"/>
      <c r="AM234" s="308"/>
      <c r="AN234" s="308"/>
      <c r="AO234" s="308"/>
      <c r="AP234" s="308"/>
      <c r="AQ234" s="308"/>
      <c r="AR234" s="308"/>
      <c r="AS234" s="308"/>
      <c r="AT234" s="308"/>
      <c r="AU234" s="308"/>
      <c r="AV234" s="308"/>
      <c r="AW234" s="308"/>
      <c r="AX234" s="308"/>
      <c r="AY234" s="308"/>
      <c r="AZ234" s="308"/>
      <c r="BA234" s="308"/>
      <c r="BB234" s="308"/>
      <c r="BC234" s="308"/>
      <c r="BD234" s="308"/>
      <c r="BE234" s="308"/>
      <c r="BF234" s="308"/>
      <c r="BG234" s="308"/>
      <c r="BH234" s="308"/>
      <c r="BI234" s="308"/>
      <c r="BJ234" s="308"/>
      <c r="BK234" s="308"/>
      <c r="BL234" s="308"/>
      <c r="BM234" s="308"/>
      <c r="BN234" s="308"/>
      <c r="BO234" s="308"/>
      <c r="BP234" s="308"/>
      <c r="BQ234" s="308"/>
      <c r="BR234" s="308"/>
      <c r="BS234" s="308"/>
    </row>
    <row r="235" spans="1:71" ht="15.75" customHeight="1">
      <c r="A235" s="308"/>
      <c r="B235" s="308"/>
      <c r="C235" s="308"/>
      <c r="D235" s="308"/>
      <c r="E235" s="308"/>
      <c r="F235" s="341"/>
      <c r="G235" s="340"/>
      <c r="H235" s="308"/>
      <c r="I235" s="308"/>
      <c r="J235" s="308"/>
      <c r="K235" s="308"/>
      <c r="L235" s="308"/>
      <c r="M235" s="308"/>
      <c r="N235" s="308"/>
      <c r="O235" s="308"/>
      <c r="P235" s="308"/>
      <c r="Q235" s="308"/>
      <c r="R235" s="308"/>
      <c r="S235" s="308"/>
      <c r="T235" s="308"/>
      <c r="U235" s="308"/>
      <c r="V235" s="308"/>
      <c r="W235" s="308"/>
      <c r="X235" s="308"/>
      <c r="Y235" s="308"/>
      <c r="Z235" s="308"/>
      <c r="AA235" s="308"/>
      <c r="AB235" s="308"/>
      <c r="AC235" s="308"/>
      <c r="AD235" s="308"/>
      <c r="AE235" s="308"/>
      <c r="AF235" s="308"/>
      <c r="AG235" s="308"/>
      <c r="AH235" s="308"/>
      <c r="AI235" s="308"/>
      <c r="AJ235" s="308"/>
      <c r="AK235" s="308"/>
      <c r="AL235" s="308"/>
      <c r="AM235" s="308"/>
      <c r="AN235" s="308"/>
      <c r="AO235" s="308"/>
      <c r="AP235" s="308"/>
      <c r="AQ235" s="308"/>
      <c r="AR235" s="308"/>
      <c r="AS235" s="308"/>
      <c r="AT235" s="308"/>
      <c r="AU235" s="308"/>
      <c r="AV235" s="308"/>
      <c r="AW235" s="308"/>
      <c r="AX235" s="308"/>
      <c r="AY235" s="308"/>
      <c r="AZ235" s="308"/>
      <c r="BA235" s="308"/>
      <c r="BB235" s="308"/>
      <c r="BC235" s="308"/>
      <c r="BD235" s="308"/>
      <c r="BE235" s="308"/>
      <c r="BF235" s="308"/>
      <c r="BG235" s="308"/>
      <c r="BH235" s="308"/>
      <c r="BI235" s="308"/>
      <c r="BJ235" s="308"/>
      <c r="BK235" s="308"/>
      <c r="BL235" s="308"/>
      <c r="BM235" s="308"/>
      <c r="BN235" s="308"/>
      <c r="BO235" s="308"/>
      <c r="BP235" s="308"/>
      <c r="BQ235" s="308"/>
      <c r="BR235" s="308"/>
      <c r="BS235" s="308"/>
    </row>
    <row r="236" spans="1:71" ht="15.75" customHeight="1">
      <c r="A236" s="308"/>
      <c r="B236" s="308"/>
      <c r="C236" s="308"/>
      <c r="D236" s="308"/>
      <c r="E236" s="308"/>
      <c r="F236" s="341"/>
      <c r="G236" s="340"/>
      <c r="H236" s="308"/>
      <c r="I236" s="308"/>
      <c r="J236" s="308"/>
      <c r="K236" s="308"/>
      <c r="L236" s="308"/>
      <c r="M236" s="308"/>
      <c r="N236" s="308"/>
      <c r="O236" s="308"/>
      <c r="P236" s="308"/>
      <c r="Q236" s="308"/>
      <c r="R236" s="308"/>
      <c r="S236" s="308"/>
      <c r="T236" s="308"/>
      <c r="U236" s="308"/>
      <c r="V236" s="308"/>
      <c r="W236" s="308"/>
      <c r="X236" s="308"/>
      <c r="Y236" s="308"/>
      <c r="Z236" s="308"/>
      <c r="AA236" s="308"/>
      <c r="AB236" s="308"/>
      <c r="AC236" s="308"/>
      <c r="AD236" s="308"/>
      <c r="AE236" s="308"/>
      <c r="AF236" s="308"/>
      <c r="AG236" s="308"/>
      <c r="AH236" s="308"/>
      <c r="AI236" s="308"/>
      <c r="AJ236" s="308"/>
      <c r="AK236" s="308"/>
      <c r="AL236" s="308"/>
      <c r="AM236" s="308"/>
      <c r="AN236" s="308"/>
      <c r="AO236" s="308"/>
      <c r="AP236" s="308"/>
      <c r="AQ236" s="308"/>
      <c r="AR236" s="308"/>
      <c r="AS236" s="308"/>
      <c r="AT236" s="308"/>
      <c r="AU236" s="308"/>
      <c r="AV236" s="308"/>
      <c r="AW236" s="308"/>
      <c r="AX236" s="308"/>
      <c r="AY236" s="308"/>
      <c r="AZ236" s="308"/>
      <c r="BA236" s="308"/>
      <c r="BB236" s="308"/>
      <c r="BC236" s="308"/>
      <c r="BD236" s="308"/>
      <c r="BE236" s="308"/>
      <c r="BF236" s="308"/>
      <c r="BG236" s="308"/>
      <c r="BH236" s="308"/>
      <c r="BI236" s="308"/>
      <c r="BJ236" s="308"/>
      <c r="BK236" s="308"/>
      <c r="BL236" s="308"/>
      <c r="BM236" s="308"/>
      <c r="BN236" s="308"/>
      <c r="BO236" s="308"/>
      <c r="BP236" s="308"/>
      <c r="BQ236" s="308"/>
      <c r="BR236" s="308"/>
      <c r="BS236" s="308"/>
    </row>
    <row r="237" spans="1:71" ht="15.75" customHeight="1">
      <c r="A237" s="308"/>
      <c r="B237" s="308"/>
      <c r="C237" s="308"/>
      <c r="D237" s="308"/>
      <c r="E237" s="308"/>
      <c r="F237" s="341"/>
      <c r="G237" s="340"/>
      <c r="H237" s="308"/>
      <c r="I237" s="308"/>
      <c r="J237" s="308"/>
      <c r="K237" s="308"/>
      <c r="L237" s="308"/>
      <c r="M237" s="308"/>
      <c r="N237" s="308"/>
      <c r="O237" s="308"/>
      <c r="P237" s="308"/>
      <c r="Q237" s="308"/>
      <c r="R237" s="308"/>
      <c r="S237" s="308"/>
      <c r="T237" s="308"/>
      <c r="U237" s="308"/>
      <c r="V237" s="308"/>
      <c r="W237" s="308"/>
      <c r="X237" s="308"/>
      <c r="Y237" s="308"/>
      <c r="Z237" s="308"/>
      <c r="AA237" s="308"/>
      <c r="AB237" s="308"/>
      <c r="AC237" s="308"/>
      <c r="AD237" s="308"/>
      <c r="AE237" s="308"/>
      <c r="AF237" s="308"/>
      <c r="AG237" s="308"/>
      <c r="AH237" s="308"/>
      <c r="AI237" s="308"/>
      <c r="AJ237" s="308"/>
      <c r="AK237" s="308"/>
      <c r="AL237" s="308"/>
      <c r="AM237" s="308"/>
      <c r="AN237" s="308"/>
      <c r="AO237" s="308"/>
      <c r="AP237" s="308"/>
      <c r="AQ237" s="308"/>
      <c r="AR237" s="308"/>
      <c r="AS237" s="308"/>
      <c r="AT237" s="308"/>
      <c r="AU237" s="308"/>
      <c r="AV237" s="308"/>
      <c r="AW237" s="308"/>
      <c r="AX237" s="308"/>
      <c r="AY237" s="308"/>
      <c r="AZ237" s="308"/>
      <c r="BA237" s="308"/>
      <c r="BB237" s="308"/>
      <c r="BC237" s="308"/>
      <c r="BD237" s="308"/>
      <c r="BE237" s="308"/>
      <c r="BF237" s="308"/>
      <c r="BG237" s="308"/>
      <c r="BH237" s="308"/>
      <c r="BI237" s="308"/>
      <c r="BJ237" s="308"/>
      <c r="BK237" s="308"/>
      <c r="BL237" s="308"/>
      <c r="BM237" s="308"/>
      <c r="BN237" s="308"/>
      <c r="BO237" s="308"/>
      <c r="BP237" s="308"/>
      <c r="BQ237" s="308"/>
      <c r="BR237" s="308"/>
      <c r="BS237" s="308"/>
    </row>
    <row r="238" spans="1:71" ht="15.75" customHeight="1">
      <c r="A238" s="308"/>
      <c r="B238" s="308"/>
      <c r="C238" s="308"/>
      <c r="D238" s="308"/>
      <c r="E238" s="308"/>
      <c r="F238" s="341"/>
      <c r="G238" s="340"/>
      <c r="H238" s="308"/>
      <c r="I238" s="308"/>
      <c r="J238" s="308"/>
      <c r="K238" s="308"/>
      <c r="L238" s="308"/>
      <c r="M238" s="308"/>
      <c r="N238" s="308"/>
      <c r="O238" s="308"/>
      <c r="P238" s="308"/>
      <c r="Q238" s="308"/>
      <c r="R238" s="308"/>
      <c r="S238" s="308"/>
      <c r="T238" s="308"/>
      <c r="U238" s="308"/>
      <c r="V238" s="308"/>
      <c r="W238" s="308"/>
      <c r="X238" s="308"/>
      <c r="Y238" s="308"/>
      <c r="Z238" s="308"/>
      <c r="AA238" s="308"/>
      <c r="AB238" s="308"/>
      <c r="AC238" s="308"/>
      <c r="AD238" s="308"/>
      <c r="AE238" s="308"/>
      <c r="AF238" s="308"/>
      <c r="AG238" s="308"/>
      <c r="AH238" s="308"/>
      <c r="AI238" s="308"/>
      <c r="AJ238" s="308"/>
      <c r="AK238" s="308"/>
      <c r="AL238" s="308"/>
      <c r="AM238" s="308"/>
      <c r="AN238" s="308"/>
      <c r="AO238" s="308"/>
      <c r="AP238" s="308"/>
      <c r="AQ238" s="308"/>
      <c r="AR238" s="308"/>
      <c r="AS238" s="308"/>
      <c r="AT238" s="308"/>
      <c r="AU238" s="308"/>
      <c r="AV238" s="308"/>
      <c r="AW238" s="308"/>
      <c r="AX238" s="308"/>
      <c r="AY238" s="308"/>
      <c r="AZ238" s="308"/>
      <c r="BA238" s="308"/>
      <c r="BB238" s="308"/>
      <c r="BC238" s="308"/>
      <c r="BD238" s="308"/>
      <c r="BE238" s="308"/>
      <c r="BF238" s="308"/>
      <c r="BG238" s="308"/>
      <c r="BH238" s="308"/>
      <c r="BI238" s="308"/>
      <c r="BJ238" s="308"/>
      <c r="BK238" s="308"/>
      <c r="BL238" s="308"/>
      <c r="BM238" s="308"/>
      <c r="BN238" s="308"/>
      <c r="BO238" s="308"/>
      <c r="BP238" s="308"/>
      <c r="BQ238" s="308"/>
      <c r="BR238" s="308"/>
      <c r="BS238" s="308"/>
    </row>
    <row r="239" spans="1:71" ht="15.75" customHeight="1">
      <c r="A239" s="308"/>
      <c r="B239" s="308"/>
      <c r="C239" s="308"/>
      <c r="D239" s="308"/>
      <c r="E239" s="308"/>
      <c r="F239" s="341"/>
      <c r="G239" s="340"/>
      <c r="H239" s="308"/>
      <c r="I239" s="308"/>
      <c r="J239" s="308"/>
      <c r="K239" s="308"/>
      <c r="L239" s="308"/>
      <c r="M239" s="308"/>
      <c r="N239" s="308"/>
      <c r="O239" s="308"/>
      <c r="P239" s="308"/>
      <c r="Q239" s="308"/>
      <c r="R239" s="308"/>
      <c r="S239" s="308"/>
      <c r="T239" s="308"/>
      <c r="U239" s="308"/>
      <c r="V239" s="308"/>
      <c r="W239" s="308"/>
      <c r="X239" s="308"/>
      <c r="Y239" s="308"/>
      <c r="Z239" s="308"/>
      <c r="AA239" s="308"/>
      <c r="AB239" s="308"/>
      <c r="AC239" s="308"/>
      <c r="AD239" s="308"/>
      <c r="AE239" s="308"/>
      <c r="AF239" s="308"/>
      <c r="AG239" s="308"/>
      <c r="AH239" s="308"/>
      <c r="AI239" s="308"/>
      <c r="AJ239" s="308"/>
      <c r="AK239" s="308"/>
      <c r="AL239" s="308"/>
      <c r="AM239" s="308"/>
      <c r="AN239" s="308"/>
      <c r="AO239" s="308"/>
      <c r="AP239" s="308"/>
      <c r="AQ239" s="308"/>
      <c r="AR239" s="308"/>
      <c r="AS239" s="308"/>
      <c r="AT239" s="308"/>
      <c r="AU239" s="308"/>
      <c r="AV239" s="308"/>
      <c r="AW239" s="308"/>
      <c r="AX239" s="308"/>
      <c r="AY239" s="308"/>
      <c r="AZ239" s="308"/>
      <c r="BA239" s="308"/>
      <c r="BB239" s="308"/>
      <c r="BC239" s="308"/>
      <c r="BD239" s="308"/>
      <c r="BE239" s="308"/>
      <c r="BF239" s="308"/>
      <c r="BG239" s="308"/>
      <c r="BH239" s="308"/>
      <c r="BI239" s="308"/>
      <c r="BJ239" s="308"/>
      <c r="BK239" s="308"/>
      <c r="BL239" s="308"/>
      <c r="BM239" s="308"/>
      <c r="BN239" s="308"/>
      <c r="BO239" s="308"/>
      <c r="BP239" s="308"/>
      <c r="BQ239" s="308"/>
      <c r="BR239" s="308"/>
      <c r="BS239" s="308"/>
    </row>
    <row r="240" spans="1:71" ht="15.75" customHeight="1">
      <c r="A240" s="308"/>
      <c r="B240" s="308"/>
      <c r="C240" s="308"/>
      <c r="D240" s="308"/>
      <c r="E240" s="308"/>
      <c r="F240" s="341"/>
      <c r="G240" s="340"/>
      <c r="H240" s="308"/>
      <c r="I240" s="308"/>
      <c r="J240" s="308"/>
      <c r="K240" s="308"/>
      <c r="L240" s="308"/>
      <c r="M240" s="308"/>
      <c r="N240" s="308"/>
      <c r="O240" s="308"/>
      <c r="P240" s="308"/>
      <c r="Q240" s="308"/>
      <c r="R240" s="308"/>
      <c r="S240" s="308"/>
      <c r="T240" s="308"/>
      <c r="U240" s="308"/>
      <c r="V240" s="308"/>
      <c r="W240" s="308"/>
      <c r="X240" s="308"/>
      <c r="Y240" s="308"/>
      <c r="Z240" s="308"/>
      <c r="AA240" s="308"/>
      <c r="AB240" s="308"/>
      <c r="AC240" s="308"/>
      <c r="AD240" s="308"/>
      <c r="AE240" s="308"/>
      <c r="AF240" s="308"/>
      <c r="AG240" s="308"/>
      <c r="AH240" s="308"/>
      <c r="AI240" s="308"/>
      <c r="AJ240" s="308"/>
      <c r="AK240" s="308"/>
      <c r="AL240" s="308"/>
      <c r="AM240" s="308"/>
      <c r="AN240" s="308"/>
      <c r="AO240" s="308"/>
      <c r="AP240" s="308"/>
      <c r="AQ240" s="308"/>
      <c r="AR240" s="308"/>
      <c r="AS240" s="308"/>
      <c r="AT240" s="308"/>
      <c r="AU240" s="308"/>
      <c r="AV240" s="308"/>
      <c r="AW240" s="308"/>
      <c r="AX240" s="308"/>
      <c r="AY240" s="308"/>
      <c r="AZ240" s="308"/>
      <c r="BA240" s="308"/>
      <c r="BB240" s="308"/>
      <c r="BC240" s="308"/>
      <c r="BD240" s="308"/>
      <c r="BE240" s="308"/>
      <c r="BF240" s="308"/>
      <c r="BG240" s="308"/>
      <c r="BH240" s="308"/>
      <c r="BI240" s="308"/>
      <c r="BJ240" s="308"/>
      <c r="BK240" s="308"/>
      <c r="BL240" s="308"/>
      <c r="BM240" s="308"/>
      <c r="BN240" s="308"/>
      <c r="BO240" s="308"/>
      <c r="BP240" s="308"/>
      <c r="BQ240" s="308"/>
      <c r="BR240" s="308"/>
      <c r="BS240" s="308"/>
    </row>
    <row r="241" spans="1:71" ht="15.75" customHeight="1">
      <c r="A241" s="308"/>
      <c r="B241" s="308"/>
      <c r="C241" s="308"/>
      <c r="D241" s="308"/>
      <c r="E241" s="308"/>
      <c r="F241" s="341"/>
      <c r="G241" s="340"/>
      <c r="H241" s="308"/>
      <c r="I241" s="308"/>
      <c r="J241" s="308"/>
      <c r="K241" s="308"/>
      <c r="L241" s="308"/>
      <c r="M241" s="308"/>
      <c r="N241" s="308"/>
      <c r="O241" s="308"/>
      <c r="P241" s="308"/>
      <c r="Q241" s="308"/>
      <c r="R241" s="308"/>
      <c r="S241" s="308"/>
      <c r="T241" s="308"/>
      <c r="U241" s="308"/>
      <c r="V241" s="308"/>
      <c r="W241" s="308"/>
      <c r="X241" s="308"/>
      <c r="Y241" s="308"/>
      <c r="Z241" s="308"/>
      <c r="AA241" s="308"/>
      <c r="AB241" s="308"/>
      <c r="AC241" s="308"/>
      <c r="AD241" s="308"/>
      <c r="AE241" s="308"/>
      <c r="AF241" s="308"/>
      <c r="AG241" s="308"/>
      <c r="AH241" s="308"/>
      <c r="AI241" s="308"/>
      <c r="AJ241" s="308"/>
      <c r="AK241" s="308"/>
      <c r="AL241" s="308"/>
      <c r="AM241" s="308"/>
      <c r="AN241" s="308"/>
      <c r="AO241" s="308"/>
      <c r="AP241" s="308"/>
      <c r="AQ241" s="308"/>
      <c r="AR241" s="308"/>
      <c r="AS241" s="308"/>
      <c r="AT241" s="308"/>
      <c r="AU241" s="308"/>
      <c r="AV241" s="308"/>
      <c r="AW241" s="308"/>
      <c r="AX241" s="308"/>
      <c r="AY241" s="308"/>
      <c r="AZ241" s="308"/>
      <c r="BA241" s="308"/>
      <c r="BB241" s="308"/>
      <c r="BC241" s="308"/>
      <c r="BD241" s="308"/>
      <c r="BE241" s="308"/>
      <c r="BF241" s="308"/>
      <c r="BG241" s="308"/>
      <c r="BH241" s="308"/>
      <c r="BI241" s="308"/>
      <c r="BJ241" s="308"/>
      <c r="BK241" s="308"/>
      <c r="BL241" s="308"/>
      <c r="BM241" s="308"/>
      <c r="BN241" s="308"/>
      <c r="BO241" s="308"/>
      <c r="BP241" s="308"/>
      <c r="BQ241" s="308"/>
      <c r="BR241" s="308"/>
      <c r="BS241" s="308"/>
    </row>
    <row r="242" spans="1:71" ht="15.75" customHeight="1">
      <c r="A242" s="308"/>
      <c r="B242" s="308"/>
      <c r="C242" s="308"/>
      <c r="D242" s="308"/>
      <c r="E242" s="308"/>
      <c r="F242" s="341"/>
      <c r="G242" s="340"/>
      <c r="H242" s="308"/>
      <c r="I242" s="308"/>
      <c r="J242" s="308"/>
      <c r="K242" s="308"/>
      <c r="L242" s="308"/>
      <c r="M242" s="308"/>
      <c r="N242" s="308"/>
      <c r="O242" s="308"/>
      <c r="P242" s="308"/>
      <c r="Q242" s="308"/>
      <c r="R242" s="308"/>
      <c r="S242" s="308"/>
      <c r="T242" s="308"/>
      <c r="U242" s="308"/>
      <c r="V242" s="308"/>
      <c r="W242" s="308"/>
      <c r="X242" s="308"/>
      <c r="Y242" s="308"/>
      <c r="Z242" s="308"/>
      <c r="AA242" s="308"/>
      <c r="AB242" s="308"/>
      <c r="AC242" s="308"/>
      <c r="AD242" s="308"/>
      <c r="AE242" s="308"/>
      <c r="AF242" s="308"/>
      <c r="AG242" s="308"/>
      <c r="AH242" s="308"/>
      <c r="AI242" s="308"/>
      <c r="AJ242" s="308"/>
      <c r="AK242" s="308"/>
      <c r="AL242" s="308"/>
      <c r="AM242" s="308"/>
      <c r="AN242" s="308"/>
      <c r="AO242" s="308"/>
      <c r="AP242" s="308"/>
      <c r="AQ242" s="308"/>
      <c r="AR242" s="308"/>
      <c r="AS242" s="308"/>
      <c r="AT242" s="308"/>
      <c r="AU242" s="308"/>
      <c r="AV242" s="308"/>
      <c r="AW242" s="308"/>
      <c r="AX242" s="308"/>
      <c r="AY242" s="308"/>
      <c r="AZ242" s="308"/>
      <c r="BA242" s="308"/>
      <c r="BB242" s="308"/>
      <c r="BC242" s="308"/>
      <c r="BD242" s="308"/>
      <c r="BE242" s="308"/>
      <c r="BF242" s="308"/>
      <c r="BG242" s="308"/>
      <c r="BH242" s="308"/>
      <c r="BI242" s="308"/>
      <c r="BJ242" s="308"/>
      <c r="BK242" s="308"/>
      <c r="BL242" s="308"/>
      <c r="BM242" s="308"/>
      <c r="BN242" s="308"/>
      <c r="BO242" s="308"/>
      <c r="BP242" s="308"/>
      <c r="BQ242" s="308"/>
      <c r="BR242" s="308"/>
      <c r="BS242" s="308"/>
    </row>
    <row r="243" spans="1:71" ht="15.75" customHeight="1">
      <c r="A243" s="308"/>
      <c r="B243" s="308"/>
      <c r="C243" s="308"/>
      <c r="D243" s="308"/>
      <c r="E243" s="308"/>
      <c r="F243" s="341"/>
      <c r="G243" s="340"/>
      <c r="H243" s="308"/>
      <c r="I243" s="308"/>
      <c r="J243" s="308"/>
      <c r="K243" s="308"/>
      <c r="L243" s="308"/>
      <c r="M243" s="308"/>
      <c r="N243" s="308"/>
      <c r="O243" s="308"/>
      <c r="P243" s="308"/>
      <c r="Q243" s="308"/>
      <c r="R243" s="308"/>
      <c r="S243" s="308"/>
      <c r="T243" s="308"/>
      <c r="U243" s="308"/>
      <c r="V243" s="308"/>
      <c r="W243" s="308"/>
      <c r="X243" s="308"/>
      <c r="Y243" s="308"/>
      <c r="Z243" s="308"/>
      <c r="AA243" s="308"/>
      <c r="AB243" s="308"/>
      <c r="AC243" s="308"/>
      <c r="AD243" s="308"/>
      <c r="AE243" s="308"/>
      <c r="AF243" s="308"/>
      <c r="AG243" s="308"/>
      <c r="AH243" s="308"/>
      <c r="AI243" s="308"/>
      <c r="AJ243" s="308"/>
      <c r="AK243" s="308"/>
      <c r="AL243" s="308"/>
      <c r="AM243" s="308"/>
      <c r="AN243" s="308"/>
      <c r="AO243" s="308"/>
      <c r="AP243" s="308"/>
      <c r="AQ243" s="308"/>
      <c r="AR243" s="308"/>
      <c r="AS243" s="308"/>
      <c r="AT243" s="308"/>
      <c r="AU243" s="308"/>
      <c r="AV243" s="308"/>
      <c r="AW243" s="308"/>
      <c r="AX243" s="308"/>
      <c r="AY243" s="308"/>
      <c r="AZ243" s="308"/>
      <c r="BA243" s="308"/>
      <c r="BB243" s="308"/>
      <c r="BC243" s="308"/>
      <c r="BD243" s="308"/>
      <c r="BE243" s="308"/>
      <c r="BF243" s="308"/>
      <c r="BG243" s="308"/>
      <c r="BH243" s="308"/>
      <c r="BI243" s="308"/>
      <c r="BJ243" s="308"/>
      <c r="BK243" s="308"/>
      <c r="BL243" s="308"/>
      <c r="BM243" s="308"/>
      <c r="BN243" s="308"/>
      <c r="BO243" s="308"/>
      <c r="BP243" s="308"/>
      <c r="BQ243" s="308"/>
      <c r="BR243" s="308"/>
      <c r="BS243" s="308"/>
    </row>
    <row r="244" spans="1:71" ht="15.75" customHeight="1">
      <c r="A244" s="308"/>
      <c r="B244" s="308"/>
      <c r="C244" s="308"/>
      <c r="D244" s="308"/>
      <c r="E244" s="308"/>
      <c r="F244" s="341"/>
      <c r="G244" s="340"/>
      <c r="H244" s="308"/>
      <c r="I244" s="308"/>
      <c r="J244" s="308"/>
      <c r="K244" s="308"/>
      <c r="L244" s="308"/>
      <c r="M244" s="308"/>
      <c r="N244" s="308"/>
      <c r="O244" s="308"/>
      <c r="P244" s="308"/>
      <c r="Q244" s="308"/>
      <c r="R244" s="308"/>
      <c r="S244" s="308"/>
      <c r="T244" s="308"/>
      <c r="U244" s="308"/>
      <c r="V244" s="308"/>
      <c r="W244" s="308"/>
      <c r="X244" s="308"/>
      <c r="Y244" s="308"/>
      <c r="Z244" s="308"/>
      <c r="AA244" s="308"/>
      <c r="AB244" s="308"/>
      <c r="AC244" s="308"/>
      <c r="AD244" s="308"/>
      <c r="AE244" s="308"/>
      <c r="AF244" s="308"/>
      <c r="AG244" s="308"/>
      <c r="AH244" s="308"/>
      <c r="AI244" s="308"/>
      <c r="AJ244" s="308"/>
      <c r="AK244" s="308"/>
      <c r="AL244" s="308"/>
      <c r="AM244" s="308"/>
      <c r="AN244" s="308"/>
      <c r="AO244" s="308"/>
      <c r="AP244" s="308"/>
      <c r="AQ244" s="308"/>
      <c r="AR244" s="308"/>
      <c r="AS244" s="308"/>
      <c r="AT244" s="308"/>
      <c r="AU244" s="308"/>
      <c r="AV244" s="308"/>
      <c r="AW244" s="308"/>
      <c r="AX244" s="308"/>
      <c r="AY244" s="308"/>
      <c r="AZ244" s="308"/>
      <c r="BA244" s="308"/>
      <c r="BB244" s="308"/>
      <c r="BC244" s="308"/>
      <c r="BD244" s="308"/>
      <c r="BE244" s="308"/>
      <c r="BF244" s="308"/>
      <c r="BG244" s="308"/>
      <c r="BH244" s="308"/>
      <c r="BI244" s="308"/>
      <c r="BJ244" s="308"/>
      <c r="BK244" s="308"/>
      <c r="BL244" s="308"/>
      <c r="BM244" s="308"/>
      <c r="BN244" s="308"/>
      <c r="BO244" s="308"/>
      <c r="BP244" s="308"/>
      <c r="BQ244" s="308"/>
      <c r="BR244" s="308"/>
      <c r="BS244" s="308"/>
    </row>
    <row r="245" spans="1:71" ht="15.75" customHeight="1">
      <c r="A245" s="308"/>
      <c r="B245" s="308"/>
      <c r="C245" s="308"/>
      <c r="D245" s="308"/>
      <c r="E245" s="308"/>
      <c r="F245" s="341"/>
      <c r="G245" s="340"/>
      <c r="H245" s="308"/>
      <c r="I245" s="308"/>
      <c r="J245" s="308"/>
      <c r="K245" s="308"/>
      <c r="L245" s="308"/>
      <c r="M245" s="308"/>
      <c r="N245" s="308"/>
      <c r="O245" s="308"/>
      <c r="P245" s="308"/>
      <c r="Q245" s="308"/>
      <c r="R245" s="308"/>
      <c r="S245" s="308"/>
      <c r="T245" s="308"/>
      <c r="U245" s="308"/>
      <c r="V245" s="308"/>
      <c r="W245" s="308"/>
      <c r="X245" s="308"/>
      <c r="Y245" s="308"/>
      <c r="Z245" s="308"/>
      <c r="AA245" s="308"/>
      <c r="AB245" s="308"/>
      <c r="AC245" s="308"/>
      <c r="AD245" s="308"/>
      <c r="AE245" s="308"/>
      <c r="AF245" s="308"/>
      <c r="AG245" s="308"/>
      <c r="AH245" s="308"/>
      <c r="AI245" s="308"/>
      <c r="AJ245" s="308"/>
      <c r="AK245" s="308"/>
      <c r="AL245" s="308"/>
      <c r="AM245" s="308"/>
      <c r="AN245" s="308"/>
      <c r="AO245" s="308"/>
      <c r="AP245" s="308"/>
      <c r="AQ245" s="308"/>
      <c r="AR245" s="308"/>
      <c r="AS245" s="308"/>
      <c r="AT245" s="308"/>
      <c r="AU245" s="308"/>
      <c r="AV245" s="308"/>
      <c r="AW245" s="308"/>
      <c r="AX245" s="308"/>
      <c r="AY245" s="308"/>
      <c r="AZ245" s="308"/>
      <c r="BA245" s="308"/>
      <c r="BB245" s="308"/>
      <c r="BC245" s="308"/>
      <c r="BD245" s="308"/>
      <c r="BE245" s="308"/>
      <c r="BF245" s="308"/>
      <c r="BG245" s="308"/>
      <c r="BH245" s="308"/>
      <c r="BI245" s="308"/>
      <c r="BJ245" s="308"/>
      <c r="BK245" s="308"/>
      <c r="BL245" s="308"/>
      <c r="BM245" s="308"/>
      <c r="BN245" s="308"/>
      <c r="BO245" s="308"/>
      <c r="BP245" s="308"/>
      <c r="BQ245" s="308"/>
      <c r="BR245" s="308"/>
      <c r="BS245" s="308"/>
    </row>
    <row r="246" spans="1:71" ht="15.75" customHeight="1">
      <c r="A246" s="308"/>
      <c r="B246" s="308"/>
      <c r="C246" s="308"/>
      <c r="D246" s="308"/>
      <c r="E246" s="308"/>
      <c r="F246" s="341"/>
      <c r="G246" s="340"/>
      <c r="H246" s="308"/>
      <c r="I246" s="308"/>
      <c r="J246" s="308"/>
      <c r="K246" s="308"/>
      <c r="L246" s="308"/>
      <c r="M246" s="308"/>
      <c r="N246" s="308"/>
      <c r="O246" s="308"/>
      <c r="P246" s="308"/>
      <c r="Q246" s="308"/>
      <c r="R246" s="308"/>
      <c r="S246" s="308"/>
      <c r="T246" s="308"/>
      <c r="U246" s="308"/>
      <c r="V246" s="308"/>
      <c r="W246" s="308"/>
      <c r="X246" s="308"/>
      <c r="Y246" s="308"/>
      <c r="Z246" s="308"/>
      <c r="AA246" s="308"/>
      <c r="AB246" s="308"/>
      <c r="AC246" s="308"/>
      <c r="AD246" s="308"/>
      <c r="AE246" s="308"/>
      <c r="AF246" s="308"/>
      <c r="AG246" s="308"/>
      <c r="AH246" s="308"/>
      <c r="AI246" s="308"/>
      <c r="AJ246" s="308"/>
      <c r="AK246" s="308"/>
      <c r="AL246" s="308"/>
      <c r="AM246" s="308"/>
      <c r="AN246" s="308"/>
      <c r="AO246" s="308"/>
      <c r="AP246" s="308"/>
      <c r="AQ246" s="308"/>
      <c r="AR246" s="308"/>
      <c r="AS246" s="308"/>
      <c r="AT246" s="308"/>
      <c r="AU246" s="308"/>
      <c r="AV246" s="308"/>
      <c r="AW246" s="308"/>
      <c r="AX246" s="308"/>
      <c r="AY246" s="308"/>
      <c r="AZ246" s="308"/>
      <c r="BA246" s="308"/>
      <c r="BB246" s="308"/>
      <c r="BC246" s="308"/>
      <c r="BD246" s="308"/>
      <c r="BE246" s="308"/>
      <c r="BF246" s="308"/>
      <c r="BG246" s="308"/>
      <c r="BH246" s="308"/>
      <c r="BI246" s="308"/>
      <c r="BJ246" s="308"/>
      <c r="BK246" s="308"/>
      <c r="BL246" s="308"/>
      <c r="BM246" s="308"/>
      <c r="BN246" s="308"/>
      <c r="BO246" s="308"/>
      <c r="BP246" s="308"/>
      <c r="BQ246" s="308"/>
      <c r="BR246" s="308"/>
      <c r="BS246" s="308"/>
    </row>
    <row r="247" spans="1:71" ht="15.75" customHeight="1">
      <c r="A247" s="308"/>
      <c r="B247" s="308"/>
      <c r="C247" s="308"/>
      <c r="D247" s="308"/>
      <c r="E247" s="308"/>
      <c r="F247" s="341"/>
      <c r="G247" s="340"/>
      <c r="H247" s="308"/>
      <c r="I247" s="308"/>
      <c r="J247" s="308"/>
      <c r="K247" s="308"/>
      <c r="L247" s="308"/>
      <c r="M247" s="308"/>
      <c r="N247" s="308"/>
      <c r="O247" s="308"/>
      <c r="P247" s="308"/>
      <c r="Q247" s="308"/>
      <c r="R247" s="308"/>
      <c r="S247" s="308"/>
      <c r="T247" s="308"/>
      <c r="U247" s="308"/>
      <c r="V247" s="308"/>
      <c r="W247" s="308"/>
      <c r="X247" s="308"/>
      <c r="Y247" s="308"/>
      <c r="Z247" s="308"/>
      <c r="AA247" s="308"/>
      <c r="AB247" s="308"/>
      <c r="AC247" s="308"/>
      <c r="AD247" s="308"/>
      <c r="AE247" s="308"/>
      <c r="AF247" s="308"/>
      <c r="AG247" s="308"/>
      <c r="AH247" s="308"/>
      <c r="AI247" s="308"/>
      <c r="AJ247" s="308"/>
      <c r="AK247" s="308"/>
      <c r="AL247" s="308"/>
      <c r="AM247" s="308"/>
      <c r="AN247" s="308"/>
      <c r="AO247" s="308"/>
      <c r="AP247" s="308"/>
      <c r="AQ247" s="308"/>
      <c r="AR247" s="308"/>
      <c r="AS247" s="308"/>
      <c r="AT247" s="308"/>
      <c r="AU247" s="308"/>
      <c r="AV247" s="308"/>
      <c r="AW247" s="308"/>
      <c r="AX247" s="308"/>
      <c r="AY247" s="308"/>
      <c r="AZ247" s="308"/>
      <c r="BA247" s="308"/>
      <c r="BB247" s="308"/>
      <c r="BC247" s="308"/>
      <c r="BD247" s="308"/>
      <c r="BE247" s="308"/>
      <c r="BF247" s="308"/>
      <c r="BG247" s="308"/>
      <c r="BH247" s="308"/>
      <c r="BI247" s="308"/>
      <c r="BJ247" s="308"/>
      <c r="BK247" s="308"/>
      <c r="BL247" s="308"/>
      <c r="BM247" s="308"/>
      <c r="BN247" s="308"/>
      <c r="BO247" s="308"/>
      <c r="BP247" s="308"/>
      <c r="BQ247" s="308"/>
      <c r="BR247" s="308"/>
      <c r="BS247" s="308"/>
    </row>
    <row r="248" spans="1:71" ht="15.75" customHeight="1">
      <c r="A248" s="308"/>
      <c r="B248" s="308"/>
      <c r="C248" s="308"/>
      <c r="D248" s="308"/>
      <c r="E248" s="308"/>
      <c r="F248" s="341"/>
      <c r="G248" s="340"/>
      <c r="H248" s="308"/>
      <c r="I248" s="308"/>
      <c r="J248" s="308"/>
      <c r="K248" s="308"/>
      <c r="L248" s="308"/>
      <c r="M248" s="308"/>
      <c r="N248" s="308"/>
      <c r="O248" s="308"/>
      <c r="P248" s="308"/>
      <c r="Q248" s="308"/>
      <c r="R248" s="308"/>
      <c r="S248" s="308"/>
      <c r="T248" s="308"/>
      <c r="U248" s="308"/>
      <c r="V248" s="308"/>
      <c r="W248" s="308"/>
      <c r="X248" s="308"/>
      <c r="Y248" s="308"/>
      <c r="Z248" s="308"/>
      <c r="AA248" s="308"/>
      <c r="AB248" s="308"/>
      <c r="AC248" s="308"/>
      <c r="AD248" s="308"/>
      <c r="AE248" s="308"/>
      <c r="AF248" s="308"/>
      <c r="AG248" s="308"/>
      <c r="AH248" s="308"/>
      <c r="AI248" s="308"/>
      <c r="AJ248" s="308"/>
      <c r="AK248" s="308"/>
      <c r="AL248" s="308"/>
      <c r="AM248" s="308"/>
      <c r="AN248" s="308"/>
      <c r="AO248" s="308"/>
      <c r="AP248" s="308"/>
      <c r="AQ248" s="308"/>
      <c r="AR248" s="308"/>
      <c r="AS248" s="308"/>
      <c r="AT248" s="308"/>
      <c r="AU248" s="308"/>
      <c r="AV248" s="308"/>
      <c r="AW248" s="308"/>
      <c r="AX248" s="308"/>
      <c r="AY248" s="308"/>
      <c r="AZ248" s="308"/>
      <c r="BA248" s="308"/>
      <c r="BB248" s="308"/>
      <c r="BC248" s="308"/>
      <c r="BD248" s="308"/>
      <c r="BE248" s="308"/>
      <c r="BF248" s="308"/>
      <c r="BG248" s="308"/>
      <c r="BH248" s="308"/>
      <c r="BI248" s="308"/>
      <c r="BJ248" s="308"/>
      <c r="BK248" s="308"/>
      <c r="BL248" s="308"/>
      <c r="BM248" s="308"/>
      <c r="BN248" s="308"/>
      <c r="BO248" s="308"/>
      <c r="BP248" s="308"/>
      <c r="BQ248" s="308"/>
      <c r="BR248" s="308"/>
      <c r="BS248" s="308"/>
    </row>
    <row r="249" spans="1:71" ht="15.75" customHeight="1">
      <c r="A249" s="308"/>
      <c r="B249" s="308"/>
      <c r="C249" s="308"/>
      <c r="D249" s="308"/>
      <c r="E249" s="308"/>
      <c r="F249" s="341"/>
      <c r="G249" s="340"/>
      <c r="H249" s="308"/>
      <c r="I249" s="308"/>
      <c r="J249" s="308"/>
      <c r="K249" s="308"/>
      <c r="L249" s="308"/>
      <c r="M249" s="308"/>
      <c r="N249" s="308"/>
      <c r="O249" s="308"/>
      <c r="P249" s="308"/>
      <c r="Q249" s="308"/>
      <c r="R249" s="308"/>
      <c r="S249" s="308"/>
      <c r="T249" s="308"/>
      <c r="U249" s="308"/>
      <c r="V249" s="308"/>
      <c r="W249" s="308"/>
      <c r="X249" s="308"/>
      <c r="Y249" s="308"/>
      <c r="Z249" s="308"/>
      <c r="AA249" s="308"/>
      <c r="AB249" s="308"/>
      <c r="AC249" s="308"/>
      <c r="AD249" s="308"/>
      <c r="AE249" s="308"/>
      <c r="AF249" s="308"/>
      <c r="AG249" s="308"/>
      <c r="AH249" s="308"/>
      <c r="AI249" s="308"/>
      <c r="AJ249" s="308"/>
      <c r="AK249" s="308"/>
      <c r="AL249" s="308"/>
      <c r="AM249" s="308"/>
      <c r="AN249" s="308"/>
      <c r="AO249" s="308"/>
      <c r="AP249" s="308"/>
      <c r="AQ249" s="308"/>
      <c r="AR249" s="308"/>
      <c r="AS249" s="308"/>
      <c r="AT249" s="308"/>
      <c r="AU249" s="308"/>
      <c r="AV249" s="308"/>
      <c r="AW249" s="308"/>
      <c r="AX249" s="308"/>
      <c r="AY249" s="308"/>
      <c r="AZ249" s="308"/>
      <c r="BA249" s="308"/>
      <c r="BB249" s="308"/>
      <c r="BC249" s="308"/>
      <c r="BD249" s="308"/>
      <c r="BE249" s="308"/>
      <c r="BF249" s="308"/>
      <c r="BG249" s="308"/>
      <c r="BH249" s="308"/>
      <c r="BI249" s="308"/>
      <c r="BJ249" s="308"/>
      <c r="BK249" s="308"/>
      <c r="BL249" s="308"/>
      <c r="BM249" s="308"/>
      <c r="BN249" s="308"/>
      <c r="BO249" s="308"/>
      <c r="BP249" s="308"/>
      <c r="BQ249" s="308"/>
      <c r="BR249" s="308"/>
      <c r="BS249" s="308"/>
    </row>
    <row r="250" spans="1:71" ht="15.75" customHeight="1">
      <c r="A250" s="308"/>
      <c r="B250" s="308"/>
      <c r="C250" s="308"/>
      <c r="D250" s="308"/>
      <c r="E250" s="308"/>
      <c r="F250" s="341"/>
      <c r="G250" s="340"/>
      <c r="H250" s="308"/>
      <c r="I250" s="308"/>
      <c r="J250" s="308"/>
      <c r="K250" s="308"/>
      <c r="L250" s="308"/>
      <c r="M250" s="308"/>
      <c r="N250" s="308"/>
      <c r="O250" s="308"/>
      <c r="P250" s="308"/>
      <c r="Q250" s="308"/>
      <c r="R250" s="308"/>
      <c r="S250" s="308"/>
      <c r="T250" s="308"/>
      <c r="U250" s="308"/>
      <c r="V250" s="308"/>
      <c r="W250" s="308"/>
      <c r="X250" s="308"/>
      <c r="Y250" s="308"/>
      <c r="Z250" s="308"/>
      <c r="AA250" s="308"/>
      <c r="AB250" s="308"/>
      <c r="AC250" s="308"/>
      <c r="AD250" s="308"/>
      <c r="AE250" s="308"/>
      <c r="AF250" s="308"/>
      <c r="AG250" s="308"/>
      <c r="AH250" s="308"/>
      <c r="AI250" s="308"/>
      <c r="AJ250" s="308"/>
      <c r="AK250" s="308"/>
      <c r="AL250" s="308"/>
      <c r="AM250" s="308"/>
      <c r="AN250" s="308"/>
      <c r="AO250" s="308"/>
      <c r="AP250" s="308"/>
      <c r="AQ250" s="308"/>
      <c r="AR250" s="308"/>
      <c r="AS250" s="308"/>
      <c r="AT250" s="308"/>
      <c r="AU250" s="308"/>
      <c r="AV250" s="308"/>
      <c r="AW250" s="308"/>
      <c r="AX250" s="308"/>
      <c r="AY250" s="308"/>
      <c r="AZ250" s="308"/>
      <c r="BA250" s="308"/>
      <c r="BB250" s="308"/>
      <c r="BC250" s="308"/>
      <c r="BD250" s="308"/>
      <c r="BE250" s="308"/>
      <c r="BF250" s="308"/>
      <c r="BG250" s="308"/>
      <c r="BH250" s="308"/>
      <c r="BI250" s="308"/>
      <c r="BJ250" s="308"/>
      <c r="BK250" s="308"/>
      <c r="BL250" s="308"/>
      <c r="BM250" s="308"/>
      <c r="BN250" s="308"/>
      <c r="BO250" s="308"/>
      <c r="BP250" s="308"/>
      <c r="BQ250" s="308"/>
      <c r="BR250" s="308"/>
      <c r="BS250" s="308"/>
    </row>
    <row r="251" spans="1:71" ht="15.75" customHeight="1">
      <c r="A251" s="308"/>
      <c r="B251" s="308"/>
      <c r="C251" s="308"/>
      <c r="D251" s="308"/>
      <c r="E251" s="308"/>
      <c r="F251" s="341"/>
      <c r="G251" s="340"/>
      <c r="H251" s="308"/>
      <c r="I251" s="308"/>
      <c r="J251" s="308"/>
      <c r="K251" s="308"/>
      <c r="L251" s="308"/>
      <c r="M251" s="308"/>
      <c r="N251" s="308"/>
      <c r="O251" s="308"/>
      <c r="P251" s="308"/>
      <c r="Q251" s="308"/>
      <c r="R251" s="308"/>
      <c r="S251" s="308"/>
      <c r="T251" s="308"/>
      <c r="U251" s="308"/>
      <c r="V251" s="308"/>
      <c r="W251" s="308"/>
      <c r="X251" s="308"/>
      <c r="Y251" s="308"/>
      <c r="Z251" s="308"/>
      <c r="AA251" s="308"/>
      <c r="AB251" s="308"/>
      <c r="AC251" s="308"/>
      <c r="AD251" s="308"/>
      <c r="AE251" s="308"/>
      <c r="AF251" s="308"/>
      <c r="AG251" s="308"/>
      <c r="AH251" s="308"/>
      <c r="AI251" s="308"/>
      <c r="AJ251" s="308"/>
      <c r="AK251" s="308"/>
      <c r="AL251" s="308"/>
      <c r="AM251" s="308"/>
      <c r="AN251" s="308"/>
      <c r="AO251" s="308"/>
      <c r="AP251" s="308"/>
      <c r="AQ251" s="308"/>
      <c r="AR251" s="308"/>
      <c r="AS251" s="308"/>
      <c r="AT251" s="308"/>
      <c r="AU251" s="308"/>
      <c r="AV251" s="308"/>
      <c r="AW251" s="308"/>
      <c r="AX251" s="308"/>
      <c r="AY251" s="308"/>
      <c r="AZ251" s="308"/>
      <c r="BA251" s="308"/>
      <c r="BB251" s="308"/>
      <c r="BC251" s="308"/>
      <c r="BD251" s="308"/>
      <c r="BE251" s="308"/>
      <c r="BF251" s="308"/>
      <c r="BG251" s="308"/>
      <c r="BH251" s="308"/>
      <c r="BI251" s="308"/>
      <c r="BJ251" s="308"/>
      <c r="BK251" s="308"/>
      <c r="BL251" s="308"/>
      <c r="BM251" s="308"/>
      <c r="BN251" s="308"/>
      <c r="BO251" s="308"/>
      <c r="BP251" s="308"/>
      <c r="BQ251" s="308"/>
      <c r="BR251" s="308"/>
      <c r="BS251" s="308"/>
    </row>
    <row r="252" spans="1:71" ht="15.75" customHeight="1">
      <c r="A252" s="308"/>
      <c r="B252" s="308"/>
      <c r="C252" s="308"/>
      <c r="D252" s="308"/>
      <c r="E252" s="308"/>
      <c r="F252" s="341"/>
      <c r="G252" s="340"/>
      <c r="H252" s="308"/>
      <c r="I252" s="308"/>
      <c r="J252" s="308"/>
      <c r="K252" s="308"/>
      <c r="L252" s="308"/>
      <c r="M252" s="308"/>
      <c r="N252" s="308"/>
      <c r="O252" s="308"/>
      <c r="P252" s="308"/>
      <c r="Q252" s="308"/>
      <c r="R252" s="308"/>
      <c r="S252" s="308"/>
      <c r="T252" s="308"/>
      <c r="U252" s="308"/>
      <c r="V252" s="308"/>
      <c r="W252" s="308"/>
      <c r="X252" s="308"/>
      <c r="Y252" s="308"/>
      <c r="Z252" s="308"/>
      <c r="AA252" s="308"/>
      <c r="AB252" s="308"/>
      <c r="AC252" s="308"/>
      <c r="AD252" s="308"/>
      <c r="AE252" s="308"/>
      <c r="AF252" s="308"/>
      <c r="AG252" s="308"/>
      <c r="AH252" s="308"/>
      <c r="AI252" s="308"/>
      <c r="AJ252" s="308"/>
      <c r="AK252" s="308"/>
      <c r="AL252" s="308"/>
      <c r="AM252" s="308"/>
      <c r="AN252" s="308"/>
      <c r="AO252" s="308"/>
      <c r="AP252" s="308"/>
      <c r="AQ252" s="308"/>
      <c r="AR252" s="308"/>
      <c r="AS252" s="308"/>
      <c r="AT252" s="308"/>
      <c r="AU252" s="308"/>
      <c r="AV252" s="308"/>
      <c r="AW252" s="308"/>
      <c r="AX252" s="308"/>
      <c r="AY252" s="308"/>
      <c r="AZ252" s="308"/>
      <c r="BA252" s="308"/>
      <c r="BB252" s="308"/>
      <c r="BC252" s="308"/>
      <c r="BD252" s="308"/>
      <c r="BE252" s="308"/>
      <c r="BF252" s="308"/>
      <c r="BG252" s="308"/>
      <c r="BH252" s="308"/>
      <c r="BI252" s="308"/>
      <c r="BJ252" s="308"/>
      <c r="BK252" s="308"/>
      <c r="BL252" s="308"/>
      <c r="BM252" s="308"/>
      <c r="BN252" s="308"/>
      <c r="BO252" s="308"/>
      <c r="BP252" s="308"/>
      <c r="BQ252" s="308"/>
      <c r="BR252" s="308"/>
      <c r="BS252" s="308"/>
    </row>
    <row r="253" spans="1:71" ht="15.75" customHeight="1">
      <c r="A253" s="308"/>
      <c r="B253" s="308"/>
      <c r="C253" s="308"/>
      <c r="D253" s="308"/>
      <c r="E253" s="308"/>
      <c r="F253" s="341"/>
      <c r="G253" s="340"/>
      <c r="H253" s="308"/>
      <c r="I253" s="308"/>
      <c r="J253" s="308"/>
      <c r="K253" s="308"/>
      <c r="L253" s="308"/>
      <c r="M253" s="308"/>
      <c r="N253" s="308"/>
      <c r="O253" s="308"/>
      <c r="P253" s="308"/>
      <c r="Q253" s="308"/>
      <c r="R253" s="308"/>
      <c r="S253" s="308"/>
      <c r="T253" s="308"/>
      <c r="U253" s="308"/>
      <c r="V253" s="308"/>
      <c r="W253" s="308"/>
      <c r="X253" s="308"/>
      <c r="Y253" s="308"/>
      <c r="Z253" s="308"/>
      <c r="AA253" s="308"/>
      <c r="AB253" s="308"/>
      <c r="AC253" s="308"/>
      <c r="AD253" s="308"/>
      <c r="AE253" s="308"/>
      <c r="AF253" s="308"/>
      <c r="AG253" s="308"/>
      <c r="AH253" s="308"/>
      <c r="AI253" s="308"/>
      <c r="AJ253" s="308"/>
      <c r="AK253" s="308"/>
      <c r="AL253" s="308"/>
      <c r="AM253" s="308"/>
      <c r="AN253" s="308"/>
      <c r="AO253" s="308"/>
      <c r="AP253" s="308"/>
      <c r="AQ253" s="308"/>
      <c r="AR253" s="308"/>
      <c r="AS253" s="308"/>
      <c r="AT253" s="308"/>
      <c r="AU253" s="308"/>
      <c r="AV253" s="308"/>
      <c r="AW253" s="308"/>
      <c r="AX253" s="308"/>
      <c r="AY253" s="308"/>
      <c r="AZ253" s="308"/>
      <c r="BA253" s="308"/>
      <c r="BB253" s="308"/>
      <c r="BC253" s="308"/>
      <c r="BD253" s="308"/>
      <c r="BE253" s="308"/>
      <c r="BF253" s="308"/>
      <c r="BG253" s="308"/>
      <c r="BH253" s="308"/>
      <c r="BI253" s="308"/>
      <c r="BJ253" s="308"/>
      <c r="BK253" s="308"/>
      <c r="BL253" s="308"/>
      <c r="BM253" s="308"/>
      <c r="BN253" s="308"/>
      <c r="BO253" s="308"/>
      <c r="BP253" s="308"/>
      <c r="BQ253" s="308"/>
      <c r="BR253" s="308"/>
      <c r="BS253" s="308"/>
    </row>
    <row r="254" spans="1:71" ht="15.75" customHeight="1">
      <c r="A254" s="308"/>
      <c r="B254" s="308"/>
      <c r="C254" s="308"/>
      <c r="D254" s="308"/>
      <c r="E254" s="308"/>
      <c r="F254" s="341"/>
      <c r="G254" s="340"/>
      <c r="H254" s="308"/>
      <c r="I254" s="308"/>
      <c r="J254" s="308"/>
      <c r="K254" s="308"/>
      <c r="L254" s="308"/>
      <c r="M254" s="308"/>
      <c r="N254" s="308"/>
      <c r="O254" s="308"/>
      <c r="P254" s="308"/>
      <c r="Q254" s="308"/>
      <c r="R254" s="308"/>
      <c r="S254" s="308"/>
      <c r="T254" s="308"/>
      <c r="U254" s="308"/>
      <c r="V254" s="308"/>
      <c r="W254" s="308"/>
      <c r="X254" s="308"/>
      <c r="Y254" s="308"/>
      <c r="Z254" s="308"/>
      <c r="AA254" s="308"/>
      <c r="AB254" s="308"/>
      <c r="AC254" s="308"/>
      <c r="AD254" s="308"/>
      <c r="AE254" s="308"/>
      <c r="AF254" s="308"/>
      <c r="AG254" s="308"/>
      <c r="AH254" s="308"/>
      <c r="AI254" s="308"/>
      <c r="AJ254" s="308"/>
      <c r="AK254" s="308"/>
      <c r="AL254" s="308"/>
      <c r="AM254" s="308"/>
      <c r="AN254" s="308"/>
      <c r="AO254" s="308"/>
      <c r="AP254" s="308"/>
      <c r="AQ254" s="308"/>
      <c r="AR254" s="308"/>
      <c r="AS254" s="308"/>
      <c r="AT254" s="308"/>
      <c r="AU254" s="308"/>
      <c r="AV254" s="308"/>
      <c r="AW254" s="308"/>
      <c r="AX254" s="308"/>
      <c r="AY254" s="308"/>
      <c r="AZ254" s="308"/>
      <c r="BA254" s="308"/>
      <c r="BB254" s="308"/>
      <c r="BC254" s="308"/>
      <c r="BD254" s="308"/>
      <c r="BE254" s="308"/>
      <c r="BF254" s="308"/>
      <c r="BG254" s="308"/>
      <c r="BH254" s="308"/>
      <c r="BI254" s="308"/>
      <c r="BJ254" s="308"/>
      <c r="BK254" s="308"/>
      <c r="BL254" s="308"/>
      <c r="BM254" s="308"/>
      <c r="BN254" s="308"/>
      <c r="BO254" s="308"/>
      <c r="BP254" s="308"/>
      <c r="BQ254" s="308"/>
      <c r="BR254" s="308"/>
      <c r="BS254" s="308"/>
    </row>
    <row r="255" spans="1:71" ht="15.75" customHeight="1">
      <c r="A255" s="308"/>
      <c r="B255" s="308"/>
      <c r="C255" s="308"/>
      <c r="D255" s="308"/>
      <c r="E255" s="308"/>
      <c r="F255" s="341"/>
      <c r="G255" s="340"/>
      <c r="H255" s="308"/>
      <c r="I255" s="308"/>
      <c r="J255" s="308"/>
      <c r="K255" s="308"/>
      <c r="L255" s="308"/>
      <c r="M255" s="308"/>
      <c r="N255" s="308"/>
      <c r="O255" s="308"/>
      <c r="P255" s="308"/>
      <c r="Q255" s="308"/>
      <c r="R255" s="308"/>
      <c r="S255" s="308"/>
      <c r="T255" s="308"/>
      <c r="U255" s="308"/>
      <c r="V255" s="308"/>
      <c r="W255" s="308"/>
      <c r="X255" s="308"/>
      <c r="Y255" s="308"/>
      <c r="Z255" s="308"/>
      <c r="AA255" s="308"/>
      <c r="AB255" s="308"/>
      <c r="AC255" s="308"/>
      <c r="AD255" s="308"/>
      <c r="AE255" s="308"/>
      <c r="AF255" s="308"/>
      <c r="AG255" s="308"/>
      <c r="AH255" s="308"/>
      <c r="AI255" s="308"/>
      <c r="AJ255" s="308"/>
      <c r="AK255" s="308"/>
      <c r="AL255" s="308"/>
      <c r="AM255" s="308"/>
      <c r="AN255" s="308"/>
      <c r="AO255" s="308"/>
      <c r="AP255" s="308"/>
      <c r="AQ255" s="308"/>
      <c r="AR255" s="308"/>
      <c r="AS255" s="308"/>
      <c r="AT255" s="308"/>
      <c r="AU255" s="308"/>
      <c r="AV255" s="308"/>
      <c r="AW255" s="308"/>
      <c r="AX255" s="308"/>
      <c r="AY255" s="308"/>
      <c r="AZ255" s="308"/>
      <c r="BA255" s="308"/>
      <c r="BB255" s="308"/>
      <c r="BC255" s="308"/>
      <c r="BD255" s="308"/>
      <c r="BE255" s="308"/>
      <c r="BF255" s="308"/>
      <c r="BG255" s="308"/>
      <c r="BH255" s="308"/>
      <c r="BI255" s="308"/>
      <c r="BJ255" s="308"/>
      <c r="BK255" s="308"/>
      <c r="BL255" s="308"/>
      <c r="BM255" s="308"/>
      <c r="BN255" s="308"/>
      <c r="BO255" s="308"/>
      <c r="BP255" s="308"/>
      <c r="BQ255" s="308"/>
      <c r="BR255" s="308"/>
      <c r="BS255" s="308"/>
    </row>
    <row r="256" spans="1:71" ht="15.75" customHeight="1">
      <c r="A256" s="308"/>
      <c r="B256" s="308"/>
      <c r="C256" s="308"/>
      <c r="D256" s="308"/>
      <c r="E256" s="308"/>
      <c r="F256" s="341"/>
      <c r="G256" s="340"/>
      <c r="H256" s="308"/>
      <c r="I256" s="308"/>
      <c r="J256" s="308"/>
      <c r="K256" s="308"/>
      <c r="L256" s="308"/>
      <c r="M256" s="308"/>
      <c r="N256" s="308"/>
      <c r="O256" s="308"/>
      <c r="P256" s="308"/>
      <c r="Q256" s="308"/>
      <c r="R256" s="308"/>
      <c r="S256" s="308"/>
      <c r="T256" s="308"/>
      <c r="U256" s="308"/>
      <c r="V256" s="308"/>
      <c r="W256" s="308"/>
      <c r="X256" s="308"/>
      <c r="Y256" s="308"/>
      <c r="Z256" s="308"/>
      <c r="AA256" s="308"/>
      <c r="AB256" s="308"/>
      <c r="AC256" s="308"/>
      <c r="AD256" s="308"/>
      <c r="AE256" s="308"/>
      <c r="AF256" s="308"/>
      <c r="AG256" s="308"/>
      <c r="AH256" s="308"/>
      <c r="AI256" s="308"/>
      <c r="AJ256" s="308"/>
      <c r="AK256" s="308"/>
      <c r="AL256" s="308"/>
      <c r="AM256" s="308"/>
      <c r="AN256" s="308"/>
      <c r="AO256" s="308"/>
      <c r="AP256" s="308"/>
      <c r="AQ256" s="308"/>
      <c r="AR256" s="308"/>
      <c r="AS256" s="308"/>
      <c r="AT256" s="308"/>
      <c r="AU256" s="308"/>
      <c r="AV256" s="308"/>
      <c r="AW256" s="308"/>
      <c r="AX256" s="308"/>
      <c r="AY256" s="308"/>
      <c r="AZ256" s="308"/>
      <c r="BA256" s="308"/>
      <c r="BB256" s="308"/>
      <c r="BC256" s="308"/>
      <c r="BD256" s="308"/>
      <c r="BE256" s="308"/>
      <c r="BF256" s="308"/>
      <c r="BG256" s="308"/>
      <c r="BH256" s="308"/>
      <c r="BI256" s="308"/>
      <c r="BJ256" s="308"/>
      <c r="BK256" s="308"/>
      <c r="BL256" s="308"/>
      <c r="BM256" s="308"/>
      <c r="BN256" s="308"/>
      <c r="BO256" s="308"/>
      <c r="BP256" s="308"/>
      <c r="BQ256" s="308"/>
      <c r="BR256" s="308"/>
      <c r="BS256" s="308"/>
    </row>
    <row r="257" spans="1:71" ht="15.75" customHeight="1">
      <c r="A257" s="308"/>
      <c r="B257" s="308"/>
      <c r="C257" s="308"/>
      <c r="D257" s="308"/>
      <c r="E257" s="308"/>
      <c r="F257" s="341"/>
      <c r="G257" s="340"/>
      <c r="H257" s="308"/>
      <c r="I257" s="308"/>
      <c r="J257" s="308"/>
      <c r="K257" s="308"/>
      <c r="L257" s="308"/>
      <c r="M257" s="308"/>
      <c r="N257" s="308"/>
      <c r="O257" s="308"/>
      <c r="P257" s="308"/>
      <c r="Q257" s="308"/>
      <c r="R257" s="308"/>
      <c r="S257" s="308"/>
      <c r="T257" s="308"/>
      <c r="U257" s="308"/>
      <c r="V257" s="308"/>
      <c r="W257" s="308"/>
      <c r="X257" s="308"/>
      <c r="Y257" s="308"/>
      <c r="Z257" s="308"/>
      <c r="AA257" s="308"/>
      <c r="AB257" s="308"/>
      <c r="AC257" s="308"/>
      <c r="AD257" s="308"/>
      <c r="AE257" s="308"/>
      <c r="AF257" s="308"/>
      <c r="AG257" s="308"/>
      <c r="AH257" s="308"/>
      <c r="AI257" s="308"/>
      <c r="AJ257" s="308"/>
      <c r="AK257" s="308"/>
      <c r="AL257" s="308"/>
      <c r="AM257" s="308"/>
      <c r="AN257" s="308"/>
      <c r="AO257" s="308"/>
      <c r="AP257" s="308"/>
      <c r="AQ257" s="308"/>
      <c r="AR257" s="308"/>
      <c r="AS257" s="308"/>
      <c r="AT257" s="308"/>
      <c r="AU257" s="308"/>
      <c r="AV257" s="308"/>
      <c r="AW257" s="308"/>
      <c r="AX257" s="308"/>
      <c r="AY257" s="308"/>
      <c r="AZ257" s="308"/>
      <c r="BA257" s="308"/>
      <c r="BB257" s="308"/>
      <c r="BC257" s="308"/>
      <c r="BD257" s="308"/>
      <c r="BE257" s="308"/>
      <c r="BF257" s="308"/>
      <c r="BG257" s="308"/>
      <c r="BH257" s="308"/>
      <c r="BI257" s="308"/>
      <c r="BJ257" s="308"/>
      <c r="BK257" s="308"/>
      <c r="BL257" s="308"/>
      <c r="BM257" s="308"/>
      <c r="BN257" s="308"/>
      <c r="BO257" s="308"/>
      <c r="BP257" s="308"/>
      <c r="BQ257" s="308"/>
      <c r="BR257" s="308"/>
      <c r="BS257" s="308"/>
    </row>
    <row r="258" spans="1:71" ht="15.75" customHeight="1">
      <c r="A258" s="308"/>
      <c r="B258" s="308"/>
      <c r="C258" s="308"/>
      <c r="D258" s="308"/>
      <c r="E258" s="308"/>
      <c r="F258" s="341"/>
      <c r="G258" s="340"/>
      <c r="H258" s="308"/>
      <c r="I258" s="308"/>
      <c r="J258" s="308"/>
      <c r="K258" s="308"/>
      <c r="L258" s="308"/>
      <c r="M258" s="308"/>
      <c r="N258" s="308"/>
      <c r="O258" s="308"/>
      <c r="P258" s="308"/>
      <c r="Q258" s="308"/>
      <c r="R258" s="308"/>
      <c r="S258" s="308"/>
      <c r="T258" s="308"/>
      <c r="U258" s="308"/>
      <c r="V258" s="308"/>
      <c r="W258" s="308"/>
      <c r="X258" s="308"/>
      <c r="Y258" s="308"/>
      <c r="Z258" s="308"/>
      <c r="AA258" s="308"/>
      <c r="AB258" s="308"/>
      <c r="AC258" s="308"/>
      <c r="AD258" s="308"/>
      <c r="AE258" s="308"/>
      <c r="AF258" s="308"/>
      <c r="AG258" s="308"/>
      <c r="AH258" s="308"/>
      <c r="AI258" s="308"/>
      <c r="AJ258" s="308"/>
      <c r="AK258" s="308"/>
      <c r="AL258" s="308"/>
      <c r="AM258" s="308"/>
      <c r="AN258" s="308"/>
      <c r="AO258" s="308"/>
      <c r="AP258" s="308"/>
      <c r="AQ258" s="308"/>
      <c r="AR258" s="308"/>
      <c r="AS258" s="308"/>
      <c r="AT258" s="308"/>
      <c r="AU258" s="308"/>
      <c r="AV258" s="308"/>
      <c r="AW258" s="308"/>
      <c r="AX258" s="308"/>
      <c r="AY258" s="308"/>
      <c r="AZ258" s="308"/>
      <c r="BA258" s="308"/>
      <c r="BB258" s="308"/>
      <c r="BC258" s="308"/>
      <c r="BD258" s="308"/>
      <c r="BE258" s="308"/>
      <c r="BF258" s="308"/>
      <c r="BG258" s="308"/>
      <c r="BH258" s="308"/>
      <c r="BI258" s="308"/>
      <c r="BJ258" s="308"/>
      <c r="BK258" s="308"/>
      <c r="BL258" s="308"/>
      <c r="BM258" s="308"/>
      <c r="BN258" s="308"/>
      <c r="BO258" s="308"/>
      <c r="BP258" s="308"/>
      <c r="BQ258" s="308"/>
      <c r="BR258" s="308"/>
      <c r="BS258" s="308"/>
    </row>
    <row r="259" spans="1:71" ht="15.75" customHeight="1">
      <c r="A259" s="308"/>
      <c r="B259" s="308"/>
      <c r="C259" s="308"/>
      <c r="D259" s="308"/>
      <c r="E259" s="308"/>
      <c r="F259" s="341"/>
      <c r="G259" s="340"/>
      <c r="H259" s="308"/>
      <c r="I259" s="308"/>
      <c r="J259" s="308"/>
      <c r="K259" s="308"/>
      <c r="L259" s="308"/>
      <c r="M259" s="308"/>
      <c r="N259" s="308"/>
      <c r="O259" s="308"/>
      <c r="P259" s="308"/>
      <c r="Q259" s="308"/>
      <c r="R259" s="308"/>
      <c r="S259" s="308"/>
      <c r="T259" s="308"/>
      <c r="U259" s="308"/>
      <c r="V259" s="308"/>
      <c r="W259" s="308"/>
      <c r="X259" s="308"/>
      <c r="Y259" s="308"/>
      <c r="Z259" s="308"/>
      <c r="AA259" s="308"/>
      <c r="AB259" s="308"/>
      <c r="AC259" s="308"/>
      <c r="AD259" s="308"/>
      <c r="AE259" s="308"/>
      <c r="AF259" s="308"/>
      <c r="AG259" s="308"/>
      <c r="AH259" s="308"/>
      <c r="AI259" s="308"/>
      <c r="AJ259" s="308"/>
      <c r="AK259" s="308"/>
      <c r="AL259" s="308"/>
      <c r="AM259" s="308"/>
      <c r="AN259" s="308"/>
      <c r="AO259" s="308"/>
      <c r="AP259" s="308"/>
      <c r="AQ259" s="308"/>
      <c r="AR259" s="308"/>
      <c r="AS259" s="308"/>
      <c r="AT259" s="308"/>
      <c r="AU259" s="308"/>
      <c r="AV259" s="308"/>
      <c r="AW259" s="308"/>
      <c r="AX259" s="308"/>
      <c r="AY259" s="308"/>
      <c r="AZ259" s="308"/>
      <c r="BA259" s="308"/>
      <c r="BB259" s="308"/>
      <c r="BC259" s="308"/>
      <c r="BD259" s="308"/>
      <c r="BE259" s="308"/>
      <c r="BF259" s="308"/>
      <c r="BG259" s="308"/>
      <c r="BH259" s="308"/>
      <c r="BI259" s="308"/>
      <c r="BJ259" s="308"/>
      <c r="BK259" s="308"/>
      <c r="BL259" s="308"/>
      <c r="BM259" s="308"/>
      <c r="BN259" s="308"/>
      <c r="BO259" s="308"/>
      <c r="BP259" s="308"/>
      <c r="BQ259" s="308"/>
      <c r="BR259" s="308"/>
      <c r="BS259" s="308"/>
    </row>
    <row r="260" spans="1:71" ht="15.75" customHeight="1">
      <c r="A260" s="308"/>
      <c r="B260" s="308"/>
      <c r="C260" s="308"/>
      <c r="D260" s="308"/>
      <c r="E260" s="308"/>
      <c r="F260" s="341"/>
      <c r="G260" s="340"/>
      <c r="H260" s="308"/>
      <c r="I260" s="308"/>
      <c r="J260" s="308"/>
      <c r="K260" s="308"/>
      <c r="L260" s="308"/>
      <c r="M260" s="308"/>
      <c r="N260" s="308"/>
      <c r="O260" s="308"/>
      <c r="P260" s="308"/>
      <c r="Q260" s="308"/>
      <c r="R260" s="308"/>
      <c r="S260" s="308"/>
      <c r="T260" s="308"/>
      <c r="U260" s="308"/>
      <c r="V260" s="308"/>
      <c r="W260" s="308"/>
      <c r="X260" s="308"/>
      <c r="Y260" s="308"/>
      <c r="Z260" s="308"/>
      <c r="AA260" s="308"/>
      <c r="AB260" s="308"/>
      <c r="AC260" s="308"/>
      <c r="AD260" s="308"/>
      <c r="AE260" s="308"/>
      <c r="AF260" s="308"/>
      <c r="AG260" s="308"/>
      <c r="AH260" s="308"/>
      <c r="AI260" s="308"/>
      <c r="AJ260" s="308"/>
      <c r="AK260" s="308"/>
      <c r="AL260" s="308"/>
      <c r="AM260" s="308"/>
      <c r="AN260" s="308"/>
      <c r="AO260" s="308"/>
      <c r="AP260" s="308"/>
      <c r="AQ260" s="308"/>
      <c r="AR260" s="308"/>
      <c r="AS260" s="308"/>
      <c r="AT260" s="308"/>
      <c r="AU260" s="308"/>
      <c r="AV260" s="308"/>
      <c r="AW260" s="308"/>
      <c r="AX260" s="308"/>
      <c r="AY260" s="308"/>
      <c r="AZ260" s="308"/>
      <c r="BA260" s="308"/>
      <c r="BB260" s="308"/>
      <c r="BC260" s="308"/>
      <c r="BD260" s="308"/>
      <c r="BE260" s="308"/>
      <c r="BF260" s="308"/>
      <c r="BG260" s="308"/>
      <c r="BH260" s="308"/>
      <c r="BI260" s="308"/>
      <c r="BJ260" s="308"/>
      <c r="BK260" s="308"/>
      <c r="BL260" s="308"/>
      <c r="BM260" s="308"/>
      <c r="BN260" s="308"/>
      <c r="BO260" s="308"/>
      <c r="BP260" s="308"/>
      <c r="BQ260" s="308"/>
      <c r="BR260" s="308"/>
      <c r="BS260" s="308"/>
    </row>
    <row r="261" spans="1:71" ht="15.75" customHeight="1">
      <c r="A261" s="308"/>
      <c r="B261" s="308"/>
      <c r="C261" s="308"/>
      <c r="D261" s="308"/>
      <c r="E261" s="308"/>
      <c r="F261" s="341"/>
      <c r="G261" s="340"/>
      <c r="H261" s="308"/>
      <c r="I261" s="308"/>
      <c r="J261" s="308"/>
      <c r="K261" s="308"/>
      <c r="L261" s="308"/>
      <c r="M261" s="308"/>
      <c r="N261" s="308"/>
      <c r="O261" s="308"/>
      <c r="P261" s="308"/>
      <c r="Q261" s="308"/>
      <c r="R261" s="308"/>
      <c r="S261" s="308"/>
      <c r="T261" s="308"/>
      <c r="U261" s="308"/>
      <c r="V261" s="308"/>
      <c r="W261" s="308"/>
      <c r="X261" s="308"/>
      <c r="Y261" s="308"/>
      <c r="Z261" s="308"/>
      <c r="AA261" s="308"/>
      <c r="AB261" s="308"/>
      <c r="AC261" s="308"/>
      <c r="AD261" s="308"/>
      <c r="AE261" s="308"/>
      <c r="AF261" s="308"/>
      <c r="AG261" s="308"/>
      <c r="AH261" s="308"/>
      <c r="AI261" s="308"/>
      <c r="AJ261" s="308"/>
      <c r="AK261" s="308"/>
      <c r="AL261" s="308"/>
      <c r="AM261" s="308"/>
      <c r="AN261" s="308"/>
      <c r="AO261" s="308"/>
      <c r="AP261" s="308"/>
      <c r="AQ261" s="308"/>
      <c r="AR261" s="308"/>
      <c r="AS261" s="308"/>
      <c r="AT261" s="308"/>
      <c r="AU261" s="308"/>
      <c r="AV261" s="308"/>
      <c r="AW261" s="308"/>
      <c r="AX261" s="308"/>
      <c r="AY261" s="308"/>
      <c r="AZ261" s="308"/>
      <c r="BA261" s="308"/>
      <c r="BB261" s="308"/>
      <c r="BC261" s="308"/>
      <c r="BD261" s="308"/>
      <c r="BE261" s="308"/>
      <c r="BF261" s="308"/>
      <c r="BG261" s="308"/>
      <c r="BH261" s="308"/>
      <c r="BI261" s="308"/>
      <c r="BJ261" s="308"/>
      <c r="BK261" s="308"/>
      <c r="BL261" s="308"/>
      <c r="BM261" s="308"/>
      <c r="BN261" s="308"/>
      <c r="BO261" s="308"/>
      <c r="BP261" s="308"/>
      <c r="BQ261" s="308"/>
      <c r="BR261" s="308"/>
      <c r="BS261" s="308"/>
    </row>
    <row r="262" spans="1:71" ht="15.75" customHeight="1">
      <c r="A262" s="308"/>
      <c r="B262" s="308"/>
      <c r="C262" s="308"/>
      <c r="D262" s="308"/>
      <c r="E262" s="308"/>
      <c r="F262" s="341"/>
      <c r="G262" s="340"/>
      <c r="H262" s="308"/>
      <c r="I262" s="308"/>
      <c r="J262" s="308"/>
      <c r="K262" s="308"/>
      <c r="L262" s="308"/>
      <c r="M262" s="308"/>
      <c r="N262" s="308"/>
      <c r="O262" s="308"/>
      <c r="P262" s="308"/>
      <c r="Q262" s="308"/>
      <c r="R262" s="308"/>
      <c r="S262" s="308"/>
      <c r="T262" s="308"/>
      <c r="U262" s="308"/>
      <c r="V262" s="308"/>
      <c r="W262" s="308"/>
      <c r="X262" s="308"/>
      <c r="Y262" s="308"/>
      <c r="Z262" s="308"/>
      <c r="AA262" s="308"/>
      <c r="AB262" s="308"/>
      <c r="AC262" s="308"/>
      <c r="AD262" s="308"/>
      <c r="AE262" s="308"/>
      <c r="AF262" s="308"/>
      <c r="AG262" s="308"/>
      <c r="AH262" s="308"/>
      <c r="AI262" s="308"/>
      <c r="AJ262" s="308"/>
      <c r="AK262" s="308"/>
      <c r="AL262" s="308"/>
      <c r="AM262" s="308"/>
      <c r="AN262" s="308"/>
      <c r="AO262" s="308"/>
      <c r="AP262" s="308"/>
      <c r="AQ262" s="308"/>
      <c r="AR262" s="308"/>
      <c r="AS262" s="308"/>
      <c r="AT262" s="308"/>
      <c r="AU262" s="308"/>
      <c r="AV262" s="308"/>
      <c r="AW262" s="308"/>
      <c r="AX262" s="308"/>
      <c r="AY262" s="308"/>
      <c r="AZ262" s="308"/>
      <c r="BA262" s="308"/>
      <c r="BB262" s="308"/>
      <c r="BC262" s="308"/>
      <c r="BD262" s="308"/>
      <c r="BE262" s="308"/>
      <c r="BF262" s="308"/>
      <c r="BG262" s="308"/>
      <c r="BH262" s="308"/>
      <c r="BI262" s="308"/>
      <c r="BJ262" s="308"/>
      <c r="BK262" s="308"/>
      <c r="BL262" s="308"/>
      <c r="BM262" s="308"/>
      <c r="BN262" s="308"/>
      <c r="BO262" s="308"/>
      <c r="BP262" s="308"/>
      <c r="BQ262" s="308"/>
      <c r="BR262" s="308"/>
      <c r="BS262" s="308"/>
    </row>
    <row r="263" spans="1:71" ht="15.75" customHeight="1">
      <c r="A263" s="308"/>
      <c r="B263" s="308"/>
      <c r="C263" s="308"/>
      <c r="D263" s="308"/>
      <c r="E263" s="308"/>
      <c r="F263" s="341"/>
      <c r="G263" s="340"/>
      <c r="H263" s="308"/>
      <c r="I263" s="308"/>
      <c r="J263" s="308"/>
      <c r="K263" s="308"/>
      <c r="L263" s="308"/>
      <c r="M263" s="308"/>
      <c r="N263" s="308"/>
      <c r="O263" s="308"/>
      <c r="P263" s="308"/>
      <c r="Q263" s="308"/>
      <c r="R263" s="308"/>
      <c r="S263" s="308"/>
      <c r="T263" s="308"/>
      <c r="U263" s="308"/>
      <c r="V263" s="308"/>
      <c r="W263" s="308"/>
      <c r="X263" s="308"/>
      <c r="Y263" s="308"/>
      <c r="Z263" s="308"/>
      <c r="AA263" s="308"/>
      <c r="AB263" s="308"/>
      <c r="AC263" s="308"/>
      <c r="AD263" s="308"/>
      <c r="AE263" s="308"/>
      <c r="AF263" s="308"/>
      <c r="AG263" s="308"/>
      <c r="AH263" s="308"/>
      <c r="AI263" s="308"/>
      <c r="AJ263" s="308"/>
      <c r="AK263" s="308"/>
      <c r="AL263" s="308"/>
      <c r="AM263" s="308"/>
      <c r="AN263" s="308"/>
      <c r="AO263" s="308"/>
      <c r="AP263" s="308"/>
      <c r="AQ263" s="308"/>
      <c r="AR263" s="308"/>
      <c r="AS263" s="308"/>
      <c r="AT263" s="308"/>
      <c r="AU263" s="308"/>
      <c r="AV263" s="308"/>
      <c r="AW263" s="308"/>
      <c r="AX263" s="308"/>
      <c r="AY263" s="308"/>
      <c r="AZ263" s="308"/>
      <c r="BA263" s="308"/>
      <c r="BB263" s="308"/>
      <c r="BC263" s="308"/>
      <c r="BD263" s="308"/>
      <c r="BE263" s="308"/>
      <c r="BF263" s="308"/>
      <c r="BG263" s="308"/>
      <c r="BH263" s="308"/>
      <c r="BI263" s="308"/>
      <c r="BJ263" s="308"/>
      <c r="BK263" s="308"/>
      <c r="BL263" s="308"/>
      <c r="BM263" s="308"/>
      <c r="BN263" s="308"/>
      <c r="BO263" s="308"/>
      <c r="BP263" s="308"/>
      <c r="BQ263" s="308"/>
      <c r="BR263" s="308"/>
      <c r="BS263" s="308"/>
    </row>
    <row r="264" spans="1:71" ht="15.75" customHeight="1">
      <c r="A264" s="308"/>
      <c r="B264" s="308"/>
      <c r="C264" s="308"/>
      <c r="D264" s="308"/>
      <c r="E264" s="308"/>
      <c r="F264" s="341"/>
      <c r="G264" s="340"/>
      <c r="H264" s="308"/>
      <c r="I264" s="308"/>
      <c r="J264" s="308"/>
      <c r="K264" s="308"/>
      <c r="L264" s="308"/>
      <c r="M264" s="308"/>
      <c r="N264" s="308"/>
      <c r="O264" s="308"/>
      <c r="P264" s="308"/>
      <c r="Q264" s="308"/>
      <c r="R264" s="308"/>
      <c r="S264" s="308"/>
      <c r="T264" s="308"/>
      <c r="U264" s="308"/>
      <c r="V264" s="308"/>
      <c r="W264" s="308"/>
      <c r="X264" s="308"/>
      <c r="Y264" s="308"/>
      <c r="Z264" s="308"/>
      <c r="AA264" s="308"/>
      <c r="AB264" s="308"/>
      <c r="AC264" s="308"/>
      <c r="AD264" s="308"/>
      <c r="AE264" s="308"/>
      <c r="AF264" s="308"/>
      <c r="AG264" s="308"/>
      <c r="AH264" s="308"/>
      <c r="AI264" s="308"/>
      <c r="AJ264" s="308"/>
      <c r="AK264" s="308"/>
      <c r="AL264" s="308"/>
      <c r="AM264" s="308"/>
      <c r="AN264" s="308"/>
      <c r="AO264" s="308"/>
      <c r="AP264" s="308"/>
      <c r="AQ264" s="308"/>
      <c r="AR264" s="308"/>
      <c r="AS264" s="308"/>
      <c r="AT264" s="308"/>
      <c r="AU264" s="308"/>
      <c r="AV264" s="308"/>
      <c r="AW264" s="308"/>
      <c r="AX264" s="308"/>
      <c r="AY264" s="308"/>
      <c r="AZ264" s="308"/>
      <c r="BA264" s="308"/>
      <c r="BB264" s="308"/>
      <c r="BC264" s="308"/>
      <c r="BD264" s="308"/>
      <c r="BE264" s="308"/>
      <c r="BF264" s="308"/>
      <c r="BG264" s="308"/>
      <c r="BH264" s="308"/>
      <c r="BI264" s="308"/>
      <c r="BJ264" s="308"/>
      <c r="BK264" s="308"/>
      <c r="BL264" s="308"/>
      <c r="BM264" s="308"/>
      <c r="BN264" s="308"/>
      <c r="BO264" s="308"/>
      <c r="BP264" s="308"/>
      <c r="BQ264" s="308"/>
      <c r="BR264" s="308"/>
      <c r="BS264" s="308"/>
    </row>
    <row r="265" spans="1:71" ht="15.75" customHeight="1">
      <c r="A265" s="308"/>
      <c r="B265" s="308"/>
      <c r="C265" s="308"/>
      <c r="D265" s="308"/>
      <c r="E265" s="308"/>
      <c r="F265" s="341"/>
      <c r="G265" s="340"/>
      <c r="H265" s="308"/>
      <c r="I265" s="308"/>
      <c r="J265" s="308"/>
      <c r="K265" s="308"/>
      <c r="L265" s="308"/>
      <c r="M265" s="308"/>
      <c r="N265" s="308"/>
      <c r="O265" s="308"/>
      <c r="P265" s="308"/>
      <c r="Q265" s="308"/>
      <c r="R265" s="308"/>
      <c r="S265" s="308"/>
      <c r="T265" s="308"/>
      <c r="U265" s="308"/>
      <c r="V265" s="308"/>
      <c r="W265" s="308"/>
      <c r="X265" s="308"/>
      <c r="Y265" s="308"/>
      <c r="Z265" s="308"/>
      <c r="AA265" s="308"/>
      <c r="AB265" s="308"/>
      <c r="AC265" s="308"/>
      <c r="AD265" s="308"/>
      <c r="AE265" s="308"/>
      <c r="AF265" s="308"/>
      <c r="AG265" s="308"/>
      <c r="AH265" s="308"/>
      <c r="AI265" s="308"/>
      <c r="AJ265" s="308"/>
      <c r="AK265" s="308"/>
      <c r="AL265" s="308"/>
      <c r="AM265" s="308"/>
      <c r="AN265" s="308"/>
      <c r="AO265" s="308"/>
      <c r="AP265" s="308"/>
      <c r="AQ265" s="308"/>
      <c r="AR265" s="308"/>
      <c r="AS265" s="308"/>
      <c r="AT265" s="308"/>
      <c r="AU265" s="308"/>
      <c r="AV265" s="308"/>
      <c r="AW265" s="308"/>
      <c r="AX265" s="308"/>
      <c r="AY265" s="308"/>
      <c r="AZ265" s="308"/>
      <c r="BA265" s="308"/>
      <c r="BB265" s="308"/>
      <c r="BC265" s="308"/>
      <c r="BD265" s="308"/>
      <c r="BE265" s="308"/>
      <c r="BF265" s="308"/>
      <c r="BG265" s="308"/>
      <c r="BH265" s="308"/>
      <c r="BI265" s="308"/>
      <c r="BJ265" s="308"/>
      <c r="BK265" s="308"/>
      <c r="BL265" s="308"/>
      <c r="BM265" s="308"/>
      <c r="BN265" s="308"/>
      <c r="BO265" s="308"/>
      <c r="BP265" s="308"/>
      <c r="BQ265" s="308"/>
      <c r="BR265" s="308"/>
      <c r="BS265" s="308"/>
    </row>
    <row r="266" spans="1:71" ht="15.75" customHeight="1">
      <c r="A266" s="308"/>
      <c r="B266" s="308"/>
      <c r="C266" s="308"/>
      <c r="D266" s="308"/>
      <c r="E266" s="308"/>
      <c r="F266" s="341"/>
      <c r="G266" s="340"/>
      <c r="H266" s="308"/>
      <c r="I266" s="308"/>
      <c r="J266" s="308"/>
      <c r="K266" s="308"/>
      <c r="L266" s="308"/>
      <c r="M266" s="308"/>
      <c r="N266" s="308"/>
      <c r="O266" s="308"/>
      <c r="P266" s="308"/>
      <c r="Q266" s="308"/>
      <c r="R266" s="308"/>
      <c r="S266" s="308"/>
      <c r="T266" s="308"/>
      <c r="U266" s="308"/>
      <c r="V266" s="308"/>
      <c r="W266" s="308"/>
      <c r="X266" s="308"/>
      <c r="Y266" s="308"/>
      <c r="Z266" s="308"/>
      <c r="AA266" s="308"/>
      <c r="AB266" s="308"/>
      <c r="AC266" s="308"/>
      <c r="AD266" s="308"/>
      <c r="AE266" s="308"/>
      <c r="AF266" s="308"/>
      <c r="AG266" s="308"/>
      <c r="AH266" s="308"/>
      <c r="AI266" s="308"/>
      <c r="AJ266" s="308"/>
      <c r="AK266" s="308"/>
      <c r="AL266" s="308"/>
      <c r="AM266" s="308"/>
      <c r="AN266" s="308"/>
      <c r="AO266" s="308"/>
      <c r="AP266" s="308"/>
      <c r="AQ266" s="308"/>
      <c r="AR266" s="308"/>
      <c r="AS266" s="308"/>
      <c r="AT266" s="308"/>
      <c r="AU266" s="308"/>
      <c r="AV266" s="308"/>
      <c r="AW266" s="308"/>
      <c r="AX266" s="308"/>
      <c r="AY266" s="308"/>
      <c r="AZ266" s="308"/>
      <c r="BA266" s="308"/>
      <c r="BB266" s="308"/>
      <c r="BC266" s="308"/>
      <c r="BD266" s="308"/>
      <c r="BE266" s="308"/>
      <c r="BF266" s="308"/>
      <c r="BG266" s="308"/>
      <c r="BH266" s="308"/>
      <c r="BI266" s="308"/>
      <c r="BJ266" s="308"/>
      <c r="BK266" s="308"/>
      <c r="BL266" s="308"/>
      <c r="BM266" s="308"/>
      <c r="BN266" s="308"/>
      <c r="BO266" s="308"/>
      <c r="BP266" s="308"/>
      <c r="BQ266" s="308"/>
      <c r="BR266" s="308"/>
      <c r="BS266" s="308"/>
    </row>
    <row r="267" spans="1:71" ht="15.75" customHeight="1">
      <c r="A267" s="308"/>
      <c r="B267" s="308"/>
      <c r="C267" s="308"/>
      <c r="D267" s="308"/>
      <c r="E267" s="308"/>
      <c r="F267" s="341"/>
      <c r="G267" s="340"/>
      <c r="H267" s="308"/>
      <c r="I267" s="308"/>
      <c r="J267" s="308"/>
      <c r="K267" s="308"/>
      <c r="L267" s="308"/>
      <c r="M267" s="308"/>
      <c r="N267" s="308"/>
      <c r="O267" s="308"/>
      <c r="P267" s="308"/>
      <c r="Q267" s="308"/>
      <c r="R267" s="308"/>
      <c r="S267" s="308"/>
      <c r="T267" s="308"/>
      <c r="U267" s="308"/>
      <c r="V267" s="308"/>
      <c r="W267" s="308"/>
      <c r="X267" s="308"/>
      <c r="Y267" s="308"/>
      <c r="Z267" s="308"/>
      <c r="AA267" s="308"/>
      <c r="AB267" s="308"/>
      <c r="AC267" s="308"/>
      <c r="AD267" s="308"/>
      <c r="AE267" s="308"/>
      <c r="AF267" s="308"/>
      <c r="AG267" s="308"/>
      <c r="AH267" s="308"/>
      <c r="AI267" s="308"/>
      <c r="AJ267" s="308"/>
      <c r="AK267" s="308"/>
      <c r="AL267" s="308"/>
      <c r="AM267" s="308"/>
      <c r="AN267" s="308"/>
      <c r="AO267" s="308"/>
      <c r="AP267" s="308"/>
      <c r="AQ267" s="308"/>
      <c r="AR267" s="308"/>
      <c r="AS267" s="308"/>
      <c r="AT267" s="308"/>
      <c r="AU267" s="308"/>
      <c r="AV267" s="308"/>
      <c r="AW267" s="308"/>
      <c r="AX267" s="308"/>
      <c r="AY267" s="308"/>
      <c r="AZ267" s="308"/>
      <c r="BA267" s="308"/>
      <c r="BB267" s="308"/>
      <c r="BC267" s="308"/>
      <c r="BD267" s="308"/>
      <c r="BE267" s="308"/>
      <c r="BF267" s="308"/>
      <c r="BG267" s="308"/>
      <c r="BH267" s="308"/>
      <c r="BI267" s="308"/>
      <c r="BJ267" s="308"/>
      <c r="BK267" s="308"/>
      <c r="BL267" s="308"/>
      <c r="BM267" s="308"/>
      <c r="BN267" s="308"/>
      <c r="BO267" s="308"/>
      <c r="BP267" s="308"/>
      <c r="BQ267" s="308"/>
      <c r="BR267" s="308"/>
      <c r="BS267" s="308"/>
    </row>
    <row r="268" spans="1:71" ht="15.75" customHeight="1">
      <c r="A268" s="308"/>
      <c r="B268" s="308"/>
      <c r="C268" s="308"/>
      <c r="D268" s="308"/>
      <c r="E268" s="308"/>
      <c r="F268" s="341"/>
      <c r="G268" s="340"/>
      <c r="H268" s="308"/>
      <c r="I268" s="308"/>
      <c r="J268" s="308"/>
      <c r="K268" s="308"/>
      <c r="L268" s="308"/>
      <c r="M268" s="308"/>
      <c r="N268" s="308"/>
      <c r="O268" s="308"/>
      <c r="P268" s="308"/>
      <c r="Q268" s="308"/>
      <c r="R268" s="308"/>
      <c r="S268" s="308"/>
      <c r="T268" s="308"/>
      <c r="U268" s="308"/>
      <c r="V268" s="308"/>
      <c r="W268" s="308"/>
      <c r="X268" s="308"/>
      <c r="Y268" s="308"/>
      <c r="Z268" s="308"/>
      <c r="AA268" s="308"/>
      <c r="AB268" s="308"/>
      <c r="AC268" s="308"/>
      <c r="AD268" s="308"/>
      <c r="AE268" s="308"/>
      <c r="AF268" s="308"/>
      <c r="AG268" s="308"/>
      <c r="AH268" s="308"/>
      <c r="AI268" s="308"/>
      <c r="AJ268" s="308"/>
      <c r="AK268" s="308"/>
      <c r="AL268" s="308"/>
      <c r="AM268" s="308"/>
      <c r="AN268" s="308"/>
      <c r="AO268" s="308"/>
      <c r="AP268" s="308"/>
      <c r="AQ268" s="308"/>
      <c r="AR268" s="308"/>
      <c r="AS268" s="308"/>
      <c r="AT268" s="308"/>
      <c r="AU268" s="308"/>
      <c r="AV268" s="308"/>
      <c r="AW268" s="308"/>
      <c r="AX268" s="308"/>
      <c r="AY268" s="308"/>
      <c r="AZ268" s="308"/>
      <c r="BA268" s="308"/>
      <c r="BB268" s="308"/>
      <c r="BC268" s="308"/>
      <c r="BD268" s="308"/>
      <c r="BE268" s="308"/>
      <c r="BF268" s="308"/>
      <c r="BG268" s="308"/>
      <c r="BH268" s="308"/>
      <c r="BI268" s="308"/>
      <c r="BJ268" s="308"/>
      <c r="BK268" s="308"/>
      <c r="BL268" s="308"/>
      <c r="BM268" s="308"/>
      <c r="BN268" s="308"/>
      <c r="BO268" s="308"/>
      <c r="BP268" s="308"/>
      <c r="BQ268" s="308"/>
      <c r="BR268" s="308"/>
      <c r="BS268" s="308"/>
    </row>
    <row r="269" spans="1:71" ht="15.75" customHeight="1">
      <c r="A269" s="308"/>
      <c r="B269" s="308"/>
      <c r="C269" s="308"/>
      <c r="D269" s="308"/>
      <c r="E269" s="308"/>
      <c r="F269" s="341"/>
      <c r="G269" s="340"/>
      <c r="H269" s="308"/>
      <c r="I269" s="308"/>
      <c r="J269" s="308"/>
      <c r="K269" s="308"/>
      <c r="L269" s="308"/>
      <c r="M269" s="308"/>
      <c r="N269" s="308"/>
      <c r="O269" s="308"/>
      <c r="P269" s="308"/>
      <c r="Q269" s="308"/>
      <c r="R269" s="308"/>
      <c r="S269" s="308"/>
      <c r="T269" s="308"/>
      <c r="U269" s="308"/>
      <c r="V269" s="308"/>
      <c r="W269" s="308"/>
      <c r="X269" s="308"/>
      <c r="Y269" s="308"/>
      <c r="Z269" s="308"/>
      <c r="AA269" s="308"/>
      <c r="AB269" s="308"/>
      <c r="AC269" s="308"/>
      <c r="AD269" s="308"/>
      <c r="AE269" s="308"/>
      <c r="AF269" s="308"/>
      <c r="AG269" s="308"/>
      <c r="AH269" s="308"/>
      <c r="AI269" s="308"/>
      <c r="AJ269" s="308"/>
      <c r="AK269" s="308"/>
      <c r="AL269" s="308"/>
      <c r="AM269" s="308"/>
      <c r="AN269" s="308"/>
      <c r="AO269" s="308"/>
      <c r="AP269" s="308"/>
      <c r="AQ269" s="308"/>
      <c r="AR269" s="308"/>
      <c r="AS269" s="308"/>
      <c r="AT269" s="308"/>
      <c r="AU269" s="308"/>
      <c r="AV269" s="308"/>
      <c r="AW269" s="308"/>
      <c r="AX269" s="308"/>
      <c r="AY269" s="308"/>
      <c r="AZ269" s="308"/>
      <c r="BA269" s="308"/>
      <c r="BB269" s="308"/>
      <c r="BC269" s="308"/>
      <c r="BD269" s="308"/>
      <c r="BE269" s="308"/>
      <c r="BF269" s="308"/>
      <c r="BG269" s="308"/>
      <c r="BH269" s="308"/>
      <c r="BI269" s="308"/>
      <c r="BJ269" s="308"/>
      <c r="BK269" s="308"/>
      <c r="BL269" s="308"/>
      <c r="BM269" s="308"/>
      <c r="BN269" s="308"/>
      <c r="BO269" s="308"/>
      <c r="BP269" s="308"/>
      <c r="BQ269" s="308"/>
      <c r="BR269" s="308"/>
      <c r="BS269" s="308"/>
    </row>
    <row r="270" spans="1:71" ht="15.75" customHeight="1">
      <c r="A270" s="308"/>
      <c r="B270" s="308"/>
      <c r="C270" s="308"/>
      <c r="D270" s="308"/>
      <c r="E270" s="308"/>
      <c r="F270" s="341"/>
      <c r="G270" s="340"/>
      <c r="H270" s="308"/>
      <c r="I270" s="308"/>
      <c r="J270" s="308"/>
      <c r="K270" s="308"/>
      <c r="L270" s="308"/>
      <c r="M270" s="308"/>
      <c r="N270" s="308"/>
      <c r="O270" s="308"/>
      <c r="P270" s="308"/>
      <c r="Q270" s="308"/>
      <c r="R270" s="308"/>
      <c r="S270" s="308"/>
      <c r="T270" s="308"/>
      <c r="U270" s="308"/>
      <c r="V270" s="308"/>
      <c r="W270" s="308"/>
      <c r="X270" s="308"/>
      <c r="Y270" s="308"/>
      <c r="Z270" s="308"/>
      <c r="AA270" s="308"/>
      <c r="AB270" s="308"/>
      <c r="AC270" s="308"/>
      <c r="AD270" s="308"/>
      <c r="AE270" s="308"/>
      <c r="AF270" s="308"/>
      <c r="AG270" s="308"/>
      <c r="AH270" s="308"/>
      <c r="AI270" s="308"/>
      <c r="AJ270" s="308"/>
      <c r="AK270" s="308"/>
      <c r="AL270" s="308"/>
      <c r="AM270" s="308"/>
      <c r="AN270" s="308"/>
      <c r="AO270" s="308"/>
      <c r="AP270" s="308"/>
      <c r="AQ270" s="308"/>
      <c r="AR270" s="308"/>
      <c r="AS270" s="308"/>
      <c r="AT270" s="308"/>
      <c r="AU270" s="308"/>
      <c r="AV270" s="308"/>
      <c r="AW270" s="308"/>
      <c r="AX270" s="308"/>
      <c r="AY270" s="308"/>
      <c r="AZ270" s="308"/>
      <c r="BA270" s="308"/>
      <c r="BB270" s="308"/>
      <c r="BC270" s="308"/>
      <c r="BD270" s="308"/>
      <c r="BE270" s="308"/>
      <c r="BF270" s="308"/>
      <c r="BG270" s="308"/>
      <c r="BH270" s="308"/>
      <c r="BI270" s="308"/>
      <c r="BJ270" s="308"/>
      <c r="BK270" s="308"/>
      <c r="BL270" s="308"/>
      <c r="BM270" s="308"/>
      <c r="BN270" s="308"/>
      <c r="BO270" s="308"/>
      <c r="BP270" s="308"/>
      <c r="BQ270" s="308"/>
      <c r="BR270" s="308"/>
      <c r="BS270" s="308"/>
    </row>
    <row r="271" spans="1:71" ht="15.75" customHeight="1">
      <c r="A271" s="308"/>
      <c r="B271" s="308"/>
      <c r="C271" s="308"/>
      <c r="D271" s="308"/>
      <c r="E271" s="308"/>
      <c r="F271" s="341"/>
      <c r="G271" s="340"/>
      <c r="H271" s="308"/>
      <c r="I271" s="308"/>
      <c r="J271" s="308"/>
      <c r="K271" s="308"/>
      <c r="L271" s="308"/>
      <c r="M271" s="308"/>
      <c r="N271" s="308"/>
      <c r="O271" s="308"/>
      <c r="P271" s="308"/>
      <c r="Q271" s="308"/>
      <c r="R271" s="308"/>
      <c r="S271" s="308"/>
      <c r="T271" s="308"/>
      <c r="U271" s="308"/>
      <c r="V271" s="308"/>
      <c r="W271" s="308"/>
      <c r="X271" s="308"/>
      <c r="Y271" s="308"/>
      <c r="Z271" s="308"/>
      <c r="AA271" s="308"/>
      <c r="AB271" s="308"/>
      <c r="AC271" s="308"/>
      <c r="AD271" s="308"/>
      <c r="AE271" s="308"/>
      <c r="AF271" s="308"/>
      <c r="AG271" s="308"/>
      <c r="AH271" s="308"/>
      <c r="AI271" s="308"/>
      <c r="AJ271" s="308"/>
      <c r="AK271" s="308"/>
      <c r="AL271" s="308"/>
      <c r="AM271" s="308"/>
      <c r="AN271" s="308"/>
      <c r="AO271" s="308"/>
      <c r="AP271" s="308"/>
      <c r="AQ271" s="308"/>
      <c r="AR271" s="308"/>
      <c r="AS271" s="308"/>
      <c r="AT271" s="308"/>
      <c r="AU271" s="308"/>
      <c r="AV271" s="308"/>
      <c r="AW271" s="308"/>
      <c r="AX271" s="308"/>
      <c r="AY271" s="308"/>
      <c r="AZ271" s="308"/>
      <c r="BA271" s="308"/>
      <c r="BB271" s="308"/>
      <c r="BC271" s="308"/>
      <c r="BD271" s="308"/>
      <c r="BE271" s="308"/>
      <c r="BF271" s="308"/>
      <c r="BG271" s="308"/>
      <c r="BH271" s="308"/>
      <c r="BI271" s="308"/>
      <c r="BJ271" s="308"/>
      <c r="BK271" s="308"/>
      <c r="BL271" s="308"/>
      <c r="BM271" s="308"/>
      <c r="BN271" s="308"/>
      <c r="BO271" s="308"/>
      <c r="BP271" s="308"/>
      <c r="BQ271" s="308"/>
      <c r="BR271" s="308"/>
      <c r="BS271" s="308"/>
    </row>
    <row r="272" spans="1:71" ht="15.75" customHeight="1">
      <c r="A272" s="308"/>
      <c r="B272" s="308"/>
      <c r="C272" s="308"/>
      <c r="D272" s="308"/>
      <c r="E272" s="308"/>
      <c r="F272" s="341"/>
      <c r="G272" s="340"/>
      <c r="H272" s="308"/>
      <c r="I272" s="308"/>
      <c r="J272" s="308"/>
      <c r="K272" s="308"/>
      <c r="L272" s="308"/>
      <c r="M272" s="308"/>
      <c r="N272" s="308"/>
      <c r="O272" s="308"/>
      <c r="P272" s="308"/>
      <c r="Q272" s="308"/>
      <c r="R272" s="308"/>
      <c r="S272" s="308"/>
      <c r="T272" s="308"/>
      <c r="U272" s="308"/>
      <c r="V272" s="308"/>
      <c r="W272" s="308"/>
      <c r="X272" s="308"/>
      <c r="Y272" s="308"/>
      <c r="Z272" s="308"/>
      <c r="AA272" s="308"/>
      <c r="AB272" s="308"/>
      <c r="AC272" s="308"/>
      <c r="AD272" s="308"/>
      <c r="AE272" s="308"/>
      <c r="AF272" s="308"/>
      <c r="AG272" s="308"/>
      <c r="AH272" s="308"/>
      <c r="AI272" s="308"/>
      <c r="AJ272" s="308"/>
      <c r="AK272" s="308"/>
      <c r="AL272" s="308"/>
      <c r="AM272" s="308"/>
      <c r="AN272" s="308"/>
      <c r="AO272" s="308"/>
      <c r="AP272" s="308"/>
      <c r="AQ272" s="308"/>
      <c r="AR272" s="308"/>
      <c r="AS272" s="308"/>
      <c r="AT272" s="308"/>
      <c r="AU272" s="308"/>
      <c r="AV272" s="308"/>
      <c r="AW272" s="308"/>
      <c r="AX272" s="308"/>
      <c r="AY272" s="308"/>
      <c r="AZ272" s="308"/>
      <c r="BA272" s="308"/>
      <c r="BB272" s="308"/>
      <c r="BC272" s="308"/>
      <c r="BD272" s="308"/>
      <c r="BE272" s="308"/>
      <c r="BF272" s="308"/>
      <c r="BG272" s="308"/>
      <c r="BH272" s="308"/>
      <c r="BI272" s="308"/>
      <c r="BJ272" s="308"/>
      <c r="BK272" s="308"/>
      <c r="BL272" s="308"/>
      <c r="BM272" s="308"/>
      <c r="BN272" s="308"/>
      <c r="BO272" s="308"/>
      <c r="BP272" s="308"/>
      <c r="BQ272" s="308"/>
      <c r="BR272" s="308"/>
      <c r="BS272" s="308"/>
    </row>
    <row r="273" spans="1:71" ht="15.75" customHeight="1">
      <c r="A273" s="308"/>
      <c r="B273" s="308"/>
      <c r="C273" s="308"/>
      <c r="D273" s="308"/>
      <c r="E273" s="308"/>
      <c r="F273" s="341"/>
      <c r="G273" s="340"/>
      <c r="H273" s="308"/>
      <c r="I273" s="308"/>
      <c r="J273" s="308"/>
      <c r="K273" s="308"/>
      <c r="L273" s="308"/>
      <c r="M273" s="308"/>
      <c r="N273" s="308"/>
      <c r="O273" s="308"/>
      <c r="P273" s="308"/>
      <c r="Q273" s="308"/>
      <c r="R273" s="308"/>
      <c r="S273" s="308"/>
      <c r="T273" s="308"/>
      <c r="U273" s="308"/>
      <c r="V273" s="308"/>
      <c r="W273" s="308"/>
      <c r="X273" s="308"/>
      <c r="Y273" s="308"/>
      <c r="Z273" s="308"/>
      <c r="AA273" s="308"/>
      <c r="AB273" s="308"/>
      <c r="AC273" s="308"/>
      <c r="AD273" s="308"/>
      <c r="AE273" s="308"/>
      <c r="AF273" s="308"/>
      <c r="AG273" s="308"/>
      <c r="AH273" s="308"/>
      <c r="AI273" s="308"/>
      <c r="AJ273" s="308"/>
      <c r="AK273" s="308"/>
      <c r="AL273" s="308"/>
      <c r="AM273" s="308"/>
      <c r="AN273" s="308"/>
      <c r="AO273" s="308"/>
      <c r="AP273" s="308"/>
      <c r="AQ273" s="308"/>
      <c r="AR273" s="308"/>
      <c r="AS273" s="308"/>
      <c r="AT273" s="308"/>
      <c r="AU273" s="308"/>
      <c r="AV273" s="308"/>
      <c r="AW273" s="308"/>
      <c r="AX273" s="308"/>
      <c r="AY273" s="308"/>
      <c r="AZ273" s="308"/>
      <c r="BA273" s="308"/>
      <c r="BB273" s="308"/>
      <c r="BC273" s="308"/>
      <c r="BD273" s="308"/>
      <c r="BE273" s="308"/>
      <c r="BF273" s="308"/>
      <c r="BG273" s="308"/>
      <c r="BH273" s="308"/>
      <c r="BI273" s="308"/>
      <c r="BJ273" s="308"/>
      <c r="BK273" s="308"/>
      <c r="BL273" s="308"/>
      <c r="BM273" s="308"/>
      <c r="BN273" s="308"/>
      <c r="BO273" s="308"/>
      <c r="BP273" s="308"/>
      <c r="BQ273" s="308"/>
      <c r="BR273" s="308"/>
      <c r="BS273" s="308"/>
    </row>
    <row r="274" spans="1:71" ht="15.75" customHeight="1">
      <c r="A274" s="308"/>
      <c r="B274" s="308"/>
      <c r="C274" s="308"/>
      <c r="D274" s="308"/>
      <c r="E274" s="308"/>
      <c r="F274" s="341"/>
      <c r="G274" s="340"/>
      <c r="H274" s="308"/>
      <c r="I274" s="308"/>
      <c r="J274" s="308"/>
      <c r="K274" s="308"/>
      <c r="L274" s="308"/>
      <c r="M274" s="308"/>
      <c r="N274" s="308"/>
      <c r="O274" s="308"/>
      <c r="P274" s="308"/>
      <c r="Q274" s="308"/>
      <c r="R274" s="308"/>
      <c r="S274" s="308"/>
      <c r="T274" s="308"/>
      <c r="U274" s="308"/>
      <c r="V274" s="308"/>
      <c r="W274" s="308"/>
      <c r="X274" s="308"/>
      <c r="Y274" s="308"/>
      <c r="Z274" s="308"/>
      <c r="AA274" s="308"/>
      <c r="AB274" s="308"/>
      <c r="AC274" s="308"/>
      <c r="AD274" s="308"/>
      <c r="AE274" s="308"/>
      <c r="AF274" s="308"/>
      <c r="AG274" s="308"/>
      <c r="AH274" s="308"/>
      <c r="AI274" s="308"/>
      <c r="AJ274" s="308"/>
      <c r="AK274" s="308"/>
      <c r="AL274" s="308"/>
      <c r="AM274" s="308"/>
      <c r="AN274" s="308"/>
      <c r="AO274" s="308"/>
      <c r="AP274" s="308"/>
      <c r="AQ274" s="308"/>
      <c r="AR274" s="308"/>
      <c r="AS274" s="308"/>
      <c r="AT274" s="308"/>
      <c r="AU274" s="308"/>
      <c r="AV274" s="308"/>
      <c r="AW274" s="308"/>
      <c r="AX274" s="308"/>
      <c r="AY274" s="308"/>
      <c r="AZ274" s="308"/>
      <c r="BA274" s="308"/>
      <c r="BB274" s="308"/>
      <c r="BC274" s="308"/>
      <c r="BD274" s="308"/>
      <c r="BE274" s="308"/>
      <c r="BF274" s="308"/>
      <c r="BG274" s="308"/>
      <c r="BH274" s="308"/>
      <c r="BI274" s="308"/>
      <c r="BJ274" s="308"/>
      <c r="BK274" s="308"/>
      <c r="BL274" s="308"/>
      <c r="BM274" s="308"/>
      <c r="BN274" s="308"/>
      <c r="BO274" s="308"/>
      <c r="BP274" s="308"/>
      <c r="BQ274" s="308"/>
      <c r="BR274" s="308"/>
      <c r="BS274" s="308"/>
    </row>
    <row r="275" spans="1:71" ht="15.75" customHeight="1">
      <c r="A275" s="308"/>
      <c r="B275" s="308"/>
      <c r="C275" s="308"/>
      <c r="D275" s="308"/>
      <c r="E275" s="308"/>
      <c r="F275" s="341"/>
      <c r="G275" s="340"/>
      <c r="H275" s="308"/>
      <c r="I275" s="308"/>
      <c r="J275" s="308"/>
      <c r="K275" s="308"/>
      <c r="L275" s="308"/>
      <c r="M275" s="308"/>
      <c r="N275" s="308"/>
      <c r="O275" s="308"/>
      <c r="P275" s="308"/>
      <c r="Q275" s="308"/>
      <c r="R275" s="308"/>
      <c r="S275" s="308"/>
      <c r="T275" s="308"/>
      <c r="U275" s="308"/>
      <c r="V275" s="308"/>
      <c r="W275" s="308"/>
      <c r="X275" s="308"/>
      <c r="Y275" s="308"/>
      <c r="Z275" s="308"/>
      <c r="AA275" s="308"/>
      <c r="AB275" s="308"/>
      <c r="AC275" s="308"/>
      <c r="AD275" s="308"/>
      <c r="AE275" s="308"/>
      <c r="AF275" s="308"/>
      <c r="AG275" s="308"/>
      <c r="AH275" s="308"/>
      <c r="AI275" s="308"/>
      <c r="AJ275" s="308"/>
      <c r="AK275" s="308"/>
      <c r="AL275" s="308"/>
      <c r="AM275" s="308"/>
      <c r="AN275" s="308"/>
      <c r="AO275" s="308"/>
      <c r="AP275" s="308"/>
      <c r="AQ275" s="308"/>
      <c r="AR275" s="308"/>
      <c r="AS275" s="308"/>
      <c r="AT275" s="308"/>
      <c r="AU275" s="308"/>
      <c r="AV275" s="308"/>
      <c r="AW275" s="308"/>
      <c r="AX275" s="308"/>
      <c r="AY275" s="308"/>
      <c r="AZ275" s="308"/>
      <c r="BA275" s="308"/>
      <c r="BB275" s="308"/>
      <c r="BC275" s="308"/>
      <c r="BD275" s="308"/>
      <c r="BE275" s="308"/>
      <c r="BF275" s="308"/>
      <c r="BG275" s="308"/>
      <c r="BH275" s="308"/>
      <c r="BI275" s="308"/>
      <c r="BJ275" s="308"/>
      <c r="BK275" s="308"/>
      <c r="BL275" s="308"/>
      <c r="BM275" s="308"/>
      <c r="BN275" s="308"/>
      <c r="BO275" s="308"/>
      <c r="BP275" s="308"/>
      <c r="BQ275" s="308"/>
      <c r="BR275" s="308"/>
      <c r="BS275" s="308"/>
    </row>
    <row r="276" spans="1:71" ht="15.75" customHeight="1">
      <c r="A276" s="308"/>
      <c r="B276" s="308"/>
      <c r="C276" s="308"/>
      <c r="D276" s="308"/>
      <c r="E276" s="308"/>
      <c r="F276" s="341"/>
      <c r="G276" s="340"/>
      <c r="H276" s="308"/>
      <c r="I276" s="308"/>
      <c r="J276" s="308"/>
      <c r="K276" s="308"/>
      <c r="L276" s="308"/>
      <c r="M276" s="308"/>
      <c r="N276" s="308"/>
      <c r="O276" s="308"/>
      <c r="P276" s="308"/>
      <c r="Q276" s="308"/>
      <c r="R276" s="308"/>
      <c r="S276" s="308"/>
      <c r="T276" s="308"/>
      <c r="U276" s="308"/>
      <c r="V276" s="308"/>
      <c r="W276" s="308"/>
      <c r="X276" s="308"/>
      <c r="Y276" s="308"/>
      <c r="Z276" s="308"/>
      <c r="AA276" s="308"/>
      <c r="AB276" s="308"/>
      <c r="AC276" s="308"/>
      <c r="AD276" s="308"/>
      <c r="AE276" s="308"/>
      <c r="AF276" s="308"/>
      <c r="AG276" s="308"/>
      <c r="AH276" s="308"/>
      <c r="AI276" s="308"/>
      <c r="AJ276" s="308"/>
      <c r="AK276" s="308"/>
      <c r="AL276" s="308"/>
      <c r="AM276" s="308"/>
      <c r="AN276" s="308"/>
      <c r="AO276" s="308"/>
      <c r="AP276" s="308"/>
      <c r="AQ276" s="308"/>
      <c r="AR276" s="308"/>
      <c r="AS276" s="308"/>
      <c r="AT276" s="308"/>
      <c r="AU276" s="308"/>
      <c r="AV276" s="308"/>
      <c r="AW276" s="308"/>
      <c r="AX276" s="308"/>
      <c r="AY276" s="308"/>
      <c r="AZ276" s="308"/>
      <c r="BA276" s="308"/>
      <c r="BB276" s="308"/>
      <c r="BC276" s="308"/>
      <c r="BD276" s="308"/>
      <c r="BE276" s="308"/>
      <c r="BF276" s="308"/>
      <c r="BG276" s="308"/>
      <c r="BH276" s="308"/>
      <c r="BI276" s="308"/>
      <c r="BJ276" s="308"/>
      <c r="BK276" s="308"/>
      <c r="BL276" s="308"/>
      <c r="BM276" s="308"/>
      <c r="BN276" s="308"/>
      <c r="BO276" s="308"/>
      <c r="BP276" s="308"/>
      <c r="BQ276" s="308"/>
      <c r="BR276" s="308"/>
      <c r="BS276" s="308"/>
    </row>
    <row r="277" spans="1:71" ht="15.75" customHeight="1">
      <c r="A277" s="308"/>
      <c r="B277" s="308"/>
      <c r="C277" s="308"/>
      <c r="D277" s="308"/>
      <c r="E277" s="308"/>
      <c r="F277" s="341"/>
      <c r="G277" s="340"/>
      <c r="H277" s="308"/>
      <c r="I277" s="308"/>
      <c r="J277" s="308"/>
      <c r="K277" s="308"/>
      <c r="L277" s="308"/>
      <c r="M277" s="308"/>
      <c r="N277" s="308"/>
      <c r="O277" s="308"/>
      <c r="P277" s="308"/>
      <c r="Q277" s="308"/>
      <c r="R277" s="308"/>
      <c r="S277" s="308"/>
      <c r="T277" s="308"/>
      <c r="U277" s="308"/>
      <c r="V277" s="308"/>
      <c r="W277" s="308"/>
      <c r="X277" s="308"/>
      <c r="Y277" s="308"/>
      <c r="Z277" s="308"/>
      <c r="AA277" s="308"/>
      <c r="AB277" s="308"/>
      <c r="AC277" s="308"/>
      <c r="AD277" s="308"/>
      <c r="AE277" s="308"/>
      <c r="AF277" s="308"/>
      <c r="AG277" s="308"/>
      <c r="AH277" s="308"/>
      <c r="AI277" s="308"/>
      <c r="AJ277" s="308"/>
      <c r="AK277" s="308"/>
      <c r="AL277" s="308"/>
      <c r="AM277" s="308"/>
      <c r="AN277" s="308"/>
      <c r="AO277" s="308"/>
      <c r="AP277" s="308"/>
      <c r="AQ277" s="308"/>
      <c r="AR277" s="308"/>
      <c r="AS277" s="308"/>
      <c r="AT277" s="308"/>
      <c r="AU277" s="308"/>
      <c r="AV277" s="308"/>
      <c r="AW277" s="308"/>
      <c r="AX277" s="308"/>
      <c r="AY277" s="308"/>
      <c r="AZ277" s="308"/>
      <c r="BA277" s="308"/>
      <c r="BB277" s="308"/>
      <c r="BC277" s="308"/>
      <c r="BD277" s="308"/>
      <c r="BE277" s="308"/>
      <c r="BF277" s="308"/>
      <c r="BG277" s="308"/>
      <c r="BH277" s="308"/>
      <c r="BI277" s="308"/>
      <c r="BJ277" s="308"/>
      <c r="BK277" s="308"/>
      <c r="BL277" s="308"/>
      <c r="BM277" s="308"/>
      <c r="BN277" s="308"/>
      <c r="BO277" s="308"/>
      <c r="BP277" s="308"/>
      <c r="BQ277" s="308"/>
      <c r="BR277" s="308"/>
      <c r="BS277" s="308"/>
    </row>
    <row r="278" spans="1:71" ht="15.75" customHeight="1">
      <c r="A278" s="308"/>
      <c r="B278" s="308"/>
      <c r="C278" s="308"/>
      <c r="D278" s="308"/>
      <c r="E278" s="308"/>
      <c r="F278" s="341"/>
      <c r="G278" s="340"/>
      <c r="H278" s="308"/>
      <c r="I278" s="308"/>
      <c r="J278" s="308"/>
      <c r="K278" s="308"/>
      <c r="L278" s="308"/>
      <c r="M278" s="308"/>
      <c r="N278" s="308"/>
      <c r="O278" s="308"/>
      <c r="P278" s="308"/>
      <c r="Q278" s="308"/>
      <c r="R278" s="308"/>
      <c r="S278" s="308"/>
      <c r="T278" s="308"/>
      <c r="U278" s="308"/>
      <c r="V278" s="308"/>
      <c r="W278" s="308"/>
      <c r="X278" s="308"/>
      <c r="Y278" s="308"/>
      <c r="Z278" s="308"/>
      <c r="AA278" s="308"/>
      <c r="AB278" s="308"/>
      <c r="AC278" s="308"/>
      <c r="AD278" s="308"/>
      <c r="AE278" s="308"/>
      <c r="AF278" s="308"/>
      <c r="AG278" s="308"/>
      <c r="AH278" s="308"/>
      <c r="AI278" s="308"/>
      <c r="AJ278" s="308"/>
      <c r="AK278" s="308"/>
      <c r="AL278" s="308"/>
      <c r="AM278" s="308"/>
      <c r="AN278" s="308"/>
      <c r="AO278" s="308"/>
      <c r="AP278" s="308"/>
      <c r="AQ278" s="308"/>
      <c r="AR278" s="308"/>
      <c r="AS278" s="308"/>
      <c r="AT278" s="308"/>
      <c r="AU278" s="308"/>
      <c r="AV278" s="308"/>
      <c r="AW278" s="308"/>
      <c r="AX278" s="308"/>
      <c r="AY278" s="308"/>
      <c r="AZ278" s="308"/>
      <c r="BA278" s="308"/>
      <c r="BB278" s="308"/>
      <c r="BC278" s="308"/>
      <c r="BD278" s="308"/>
      <c r="BE278" s="308"/>
      <c r="BF278" s="308"/>
      <c r="BG278" s="308"/>
      <c r="BH278" s="308"/>
      <c r="BI278" s="308"/>
      <c r="BJ278" s="308"/>
      <c r="BK278" s="308"/>
      <c r="BL278" s="308"/>
      <c r="BM278" s="308"/>
      <c r="BN278" s="308"/>
      <c r="BO278" s="308"/>
      <c r="BP278" s="308"/>
      <c r="BQ278" s="308"/>
      <c r="BR278" s="308"/>
      <c r="BS278" s="308"/>
    </row>
    <row r="279" spans="1:71" ht="15.75" customHeight="1">
      <c r="A279" s="308"/>
      <c r="B279" s="308"/>
      <c r="C279" s="308"/>
      <c r="D279" s="308"/>
      <c r="E279" s="308"/>
      <c r="F279" s="341"/>
      <c r="G279" s="340"/>
      <c r="H279" s="308"/>
      <c r="I279" s="308"/>
      <c r="J279" s="308"/>
      <c r="K279" s="308"/>
      <c r="L279" s="308"/>
      <c r="M279" s="308"/>
      <c r="N279" s="308"/>
      <c r="O279" s="308"/>
      <c r="P279" s="308"/>
      <c r="Q279" s="308"/>
      <c r="R279" s="308"/>
      <c r="S279" s="308"/>
      <c r="T279" s="308"/>
      <c r="U279" s="308"/>
      <c r="V279" s="308"/>
      <c r="W279" s="308"/>
      <c r="X279" s="308"/>
      <c r="Y279" s="308"/>
      <c r="Z279" s="308"/>
      <c r="AA279" s="308"/>
      <c r="AB279" s="308"/>
      <c r="AC279" s="308"/>
      <c r="AD279" s="308"/>
      <c r="AE279" s="308"/>
      <c r="AF279" s="308"/>
      <c r="AG279" s="308"/>
      <c r="AH279" s="308"/>
      <c r="AI279" s="308"/>
      <c r="AJ279" s="308"/>
      <c r="AK279" s="308"/>
      <c r="AL279" s="308"/>
      <c r="AM279" s="308"/>
      <c r="AN279" s="308"/>
      <c r="AO279" s="308"/>
      <c r="AP279" s="308"/>
      <c r="AQ279" s="308"/>
      <c r="AR279" s="308"/>
      <c r="AS279" s="308"/>
      <c r="AT279" s="308"/>
      <c r="AU279" s="308"/>
      <c r="AV279" s="308"/>
      <c r="AW279" s="308"/>
      <c r="AX279" s="308"/>
      <c r="AY279" s="308"/>
      <c r="AZ279" s="308"/>
      <c r="BA279" s="308"/>
      <c r="BB279" s="308"/>
      <c r="BC279" s="308"/>
      <c r="BD279" s="308"/>
      <c r="BE279" s="308"/>
      <c r="BF279" s="308"/>
      <c r="BG279" s="308"/>
      <c r="BH279" s="308"/>
      <c r="BI279" s="308"/>
      <c r="BJ279" s="308"/>
      <c r="BK279" s="308"/>
      <c r="BL279" s="308"/>
      <c r="BM279" s="308"/>
      <c r="BN279" s="308"/>
      <c r="BO279" s="308"/>
      <c r="BP279" s="308"/>
      <c r="BQ279" s="308"/>
      <c r="BR279" s="308"/>
      <c r="BS279" s="308"/>
    </row>
    <row r="280" spans="1:71" ht="15.75" customHeight="1">
      <c r="A280" s="308"/>
      <c r="B280" s="308"/>
      <c r="C280" s="308"/>
      <c r="D280" s="308"/>
      <c r="E280" s="308"/>
      <c r="F280" s="341"/>
      <c r="G280" s="340"/>
      <c r="H280" s="308"/>
      <c r="I280" s="308"/>
      <c r="J280" s="308"/>
      <c r="K280" s="308"/>
      <c r="L280" s="308"/>
      <c r="M280" s="308"/>
      <c r="N280" s="308"/>
      <c r="O280" s="308"/>
      <c r="P280" s="308"/>
      <c r="Q280" s="308"/>
      <c r="R280" s="308"/>
      <c r="S280" s="308"/>
      <c r="T280" s="308"/>
      <c r="U280" s="308"/>
      <c r="V280" s="308"/>
      <c r="W280" s="308"/>
      <c r="X280" s="308"/>
      <c r="Y280" s="308"/>
      <c r="Z280" s="308"/>
      <c r="AA280" s="308"/>
      <c r="AB280" s="308"/>
      <c r="AC280" s="308"/>
      <c r="AD280" s="308"/>
      <c r="AE280" s="308"/>
      <c r="AF280" s="308"/>
      <c r="AG280" s="308"/>
      <c r="AH280" s="308"/>
      <c r="AI280" s="308"/>
      <c r="AJ280" s="308"/>
      <c r="AK280" s="308"/>
      <c r="AL280" s="308"/>
      <c r="AM280" s="308"/>
      <c r="AN280" s="308"/>
      <c r="AO280" s="308"/>
      <c r="AP280" s="308"/>
      <c r="AQ280" s="308"/>
      <c r="AR280" s="308"/>
      <c r="AS280" s="308"/>
      <c r="AT280" s="308"/>
      <c r="AU280" s="308"/>
      <c r="AV280" s="308"/>
      <c r="AW280" s="308"/>
      <c r="AX280" s="308"/>
      <c r="AY280" s="308"/>
      <c r="AZ280" s="308"/>
      <c r="BA280" s="308"/>
      <c r="BB280" s="308"/>
      <c r="BC280" s="308"/>
      <c r="BD280" s="308"/>
      <c r="BE280" s="308"/>
      <c r="BF280" s="308"/>
      <c r="BG280" s="308"/>
      <c r="BH280" s="308"/>
      <c r="BI280" s="308"/>
      <c r="BJ280" s="308"/>
      <c r="BK280" s="308"/>
      <c r="BL280" s="308"/>
      <c r="BM280" s="308"/>
      <c r="BN280" s="308"/>
      <c r="BO280" s="308"/>
      <c r="BP280" s="308"/>
      <c r="BQ280" s="308"/>
      <c r="BR280" s="308"/>
      <c r="BS280" s="308"/>
    </row>
    <row r="281" spans="1:71" ht="15.75" customHeight="1">
      <c r="A281" s="308"/>
      <c r="B281" s="308"/>
      <c r="C281" s="308"/>
      <c r="D281" s="308"/>
      <c r="E281" s="308"/>
      <c r="F281" s="341"/>
      <c r="G281" s="340"/>
      <c r="H281" s="308"/>
      <c r="I281" s="308"/>
      <c r="J281" s="308"/>
      <c r="K281" s="308"/>
      <c r="L281" s="308"/>
      <c r="M281" s="308"/>
      <c r="N281" s="308"/>
      <c r="O281" s="308"/>
      <c r="P281" s="308"/>
      <c r="Q281" s="308"/>
      <c r="R281" s="308"/>
      <c r="S281" s="308"/>
      <c r="T281" s="308"/>
      <c r="U281" s="308"/>
      <c r="V281" s="308"/>
      <c r="W281" s="308"/>
      <c r="X281" s="308"/>
      <c r="Y281" s="308"/>
      <c r="Z281" s="308"/>
      <c r="AA281" s="308"/>
      <c r="AB281" s="308"/>
      <c r="AC281" s="308"/>
      <c r="AD281" s="308"/>
      <c r="AE281" s="308"/>
      <c r="AF281" s="308"/>
      <c r="AG281" s="308"/>
      <c r="AH281" s="308"/>
      <c r="AI281" s="308"/>
      <c r="AJ281" s="308"/>
      <c r="AK281" s="308"/>
      <c r="AL281" s="308"/>
      <c r="AM281" s="308"/>
      <c r="AN281" s="308"/>
      <c r="AO281" s="308"/>
      <c r="AP281" s="308"/>
      <c r="AQ281" s="308"/>
      <c r="AR281" s="308"/>
      <c r="AS281" s="308"/>
      <c r="AT281" s="308"/>
      <c r="AU281" s="308"/>
      <c r="AV281" s="308"/>
      <c r="AW281" s="308"/>
      <c r="AX281" s="308"/>
      <c r="AY281" s="308"/>
      <c r="AZ281" s="308"/>
      <c r="BA281" s="308"/>
      <c r="BB281" s="308"/>
      <c r="BC281" s="308"/>
      <c r="BD281" s="308"/>
      <c r="BE281" s="308"/>
      <c r="BF281" s="308"/>
      <c r="BG281" s="308"/>
      <c r="BH281" s="308"/>
      <c r="BI281" s="308"/>
      <c r="BJ281" s="308"/>
      <c r="BK281" s="308"/>
      <c r="BL281" s="308"/>
      <c r="BM281" s="308"/>
      <c r="BN281" s="308"/>
      <c r="BO281" s="308"/>
      <c r="BP281" s="308"/>
      <c r="BQ281" s="308"/>
      <c r="BR281" s="308"/>
      <c r="BS281" s="308"/>
    </row>
    <row r="282" spans="1:71" ht="15.75" customHeight="1">
      <c r="A282" s="308"/>
      <c r="B282" s="308"/>
      <c r="C282" s="308"/>
      <c r="D282" s="308"/>
      <c r="E282" s="308"/>
      <c r="F282" s="341"/>
      <c r="G282" s="340"/>
      <c r="H282" s="308"/>
      <c r="I282" s="308"/>
      <c r="J282" s="308"/>
      <c r="K282" s="308"/>
      <c r="L282" s="308"/>
      <c r="M282" s="308"/>
      <c r="N282" s="308"/>
      <c r="O282" s="308"/>
      <c r="P282" s="308"/>
      <c r="Q282" s="308"/>
      <c r="R282" s="308"/>
      <c r="S282" s="308"/>
      <c r="T282" s="308"/>
      <c r="U282" s="308"/>
      <c r="V282" s="308"/>
      <c r="W282" s="308"/>
      <c r="X282" s="308"/>
      <c r="Y282" s="308"/>
      <c r="Z282" s="308"/>
      <c r="AA282" s="308"/>
      <c r="AB282" s="308"/>
      <c r="AC282" s="308"/>
      <c r="AD282" s="308"/>
      <c r="AE282" s="308"/>
      <c r="AF282" s="308"/>
      <c r="AG282" s="308"/>
      <c r="AH282" s="308"/>
      <c r="AI282" s="308"/>
      <c r="AJ282" s="308"/>
      <c r="AK282" s="308"/>
      <c r="AL282" s="308"/>
      <c r="AM282" s="308"/>
      <c r="AN282" s="308"/>
      <c r="AO282" s="308"/>
      <c r="AP282" s="308"/>
      <c r="AQ282" s="308"/>
      <c r="AR282" s="308"/>
      <c r="AS282" s="308"/>
      <c r="AT282" s="308"/>
      <c r="AU282" s="308"/>
      <c r="AV282" s="308"/>
      <c r="AW282" s="308"/>
      <c r="AX282" s="308"/>
      <c r="AY282" s="308"/>
      <c r="AZ282" s="308"/>
      <c r="BA282" s="308"/>
      <c r="BB282" s="308"/>
      <c r="BC282" s="308"/>
      <c r="BD282" s="308"/>
      <c r="BE282" s="308"/>
      <c r="BF282" s="308"/>
      <c r="BG282" s="308"/>
      <c r="BH282" s="308"/>
      <c r="BI282" s="308"/>
      <c r="BJ282" s="308"/>
      <c r="BK282" s="308"/>
      <c r="BL282" s="308"/>
      <c r="BM282" s="308"/>
      <c r="BN282" s="308"/>
      <c r="BO282" s="308"/>
      <c r="BP282" s="308"/>
      <c r="BQ282" s="308"/>
      <c r="BR282" s="308"/>
      <c r="BS282" s="308"/>
    </row>
    <row r="283" spans="1:71" ht="15.75" customHeight="1">
      <c r="A283" s="308"/>
      <c r="B283" s="308"/>
      <c r="C283" s="308"/>
      <c r="D283" s="308"/>
      <c r="E283" s="308"/>
      <c r="F283" s="341"/>
      <c r="G283" s="340"/>
      <c r="H283" s="308"/>
      <c r="I283" s="308"/>
      <c r="J283" s="308"/>
      <c r="K283" s="308"/>
      <c r="L283" s="308"/>
      <c r="M283" s="308"/>
      <c r="N283" s="308"/>
      <c r="O283" s="308"/>
      <c r="P283" s="308"/>
      <c r="Q283" s="308"/>
      <c r="R283" s="308"/>
      <c r="S283" s="308"/>
      <c r="T283" s="308"/>
      <c r="U283" s="308"/>
      <c r="V283" s="308"/>
      <c r="W283" s="308"/>
      <c r="X283" s="308"/>
      <c r="Y283" s="308"/>
      <c r="Z283" s="308"/>
      <c r="AA283" s="308"/>
      <c r="AB283" s="308"/>
      <c r="AC283" s="308"/>
      <c r="AD283" s="308"/>
      <c r="AE283" s="308"/>
      <c r="AF283" s="308"/>
      <c r="AG283" s="308"/>
      <c r="AH283" s="308"/>
      <c r="AI283" s="308"/>
      <c r="AJ283" s="308"/>
      <c r="AK283" s="308"/>
      <c r="AL283" s="308"/>
      <c r="AM283" s="308"/>
      <c r="AN283" s="308"/>
      <c r="AO283" s="308"/>
      <c r="AP283" s="308"/>
      <c r="AQ283" s="308"/>
      <c r="AR283" s="308"/>
      <c r="AS283" s="308"/>
      <c r="AT283" s="308"/>
      <c r="AU283" s="308"/>
      <c r="AV283" s="308"/>
      <c r="AW283" s="308"/>
      <c r="AX283" s="308"/>
      <c r="AY283" s="308"/>
      <c r="AZ283" s="308"/>
      <c r="BA283" s="308"/>
      <c r="BB283" s="308"/>
      <c r="BC283" s="308"/>
      <c r="BD283" s="308"/>
      <c r="BE283" s="308"/>
      <c r="BF283" s="308"/>
      <c r="BG283" s="308"/>
      <c r="BH283" s="308"/>
      <c r="BI283" s="308"/>
      <c r="BJ283" s="308"/>
      <c r="BK283" s="308"/>
      <c r="BL283" s="308"/>
      <c r="BM283" s="308"/>
      <c r="BN283" s="308"/>
      <c r="BO283" s="308"/>
      <c r="BP283" s="308"/>
      <c r="BQ283" s="308"/>
      <c r="BR283" s="308"/>
      <c r="BS283" s="308"/>
    </row>
    <row r="284" spans="1:71" ht="15.75" customHeight="1">
      <c r="A284" s="308"/>
      <c r="B284" s="308"/>
      <c r="C284" s="308"/>
      <c r="D284" s="308"/>
      <c r="E284" s="308"/>
      <c r="F284" s="341"/>
      <c r="G284" s="340"/>
      <c r="H284" s="308"/>
      <c r="I284" s="308"/>
      <c r="J284" s="308"/>
      <c r="K284" s="308"/>
      <c r="L284" s="308"/>
      <c r="M284" s="308"/>
      <c r="N284" s="308"/>
      <c r="O284" s="308"/>
      <c r="P284" s="308"/>
      <c r="Q284" s="308"/>
      <c r="R284" s="308"/>
      <c r="S284" s="308"/>
      <c r="T284" s="308"/>
      <c r="U284" s="308"/>
      <c r="V284" s="308"/>
      <c r="W284" s="308"/>
      <c r="X284" s="308"/>
      <c r="Y284" s="308"/>
      <c r="Z284" s="308"/>
      <c r="AA284" s="308"/>
      <c r="AB284" s="308"/>
      <c r="AC284" s="308"/>
      <c r="AD284" s="308"/>
      <c r="AE284" s="308"/>
      <c r="AF284" s="308"/>
      <c r="AG284" s="308"/>
      <c r="AH284" s="308"/>
      <c r="AI284" s="308"/>
      <c r="AJ284" s="308"/>
      <c r="AK284" s="308"/>
      <c r="AL284" s="308"/>
      <c r="AM284" s="308"/>
      <c r="AN284" s="308"/>
      <c r="AO284" s="308"/>
      <c r="AP284" s="308"/>
      <c r="AQ284" s="308"/>
      <c r="AR284" s="308"/>
      <c r="AS284" s="308"/>
      <c r="AT284" s="308"/>
      <c r="AU284" s="308"/>
      <c r="AV284" s="308"/>
      <c r="AW284" s="308"/>
      <c r="AX284" s="308"/>
      <c r="AY284" s="308"/>
      <c r="AZ284" s="308"/>
      <c r="BA284" s="308"/>
      <c r="BB284" s="308"/>
      <c r="BC284" s="308"/>
      <c r="BD284" s="308"/>
      <c r="BE284" s="308"/>
      <c r="BF284" s="308"/>
      <c r="BG284" s="308"/>
      <c r="BH284" s="308"/>
      <c r="BI284" s="308"/>
      <c r="BJ284" s="308"/>
      <c r="BK284" s="308"/>
      <c r="BL284" s="308"/>
      <c r="BM284" s="308"/>
      <c r="BN284" s="308"/>
      <c r="BO284" s="308"/>
      <c r="BP284" s="308"/>
      <c r="BQ284" s="308"/>
      <c r="BR284" s="308"/>
      <c r="BS284" s="308"/>
    </row>
    <row r="285" spans="1:71" ht="15.75" customHeight="1">
      <c r="A285" s="308"/>
      <c r="B285" s="308"/>
      <c r="C285" s="308"/>
      <c r="D285" s="308"/>
      <c r="E285" s="308"/>
      <c r="F285" s="341"/>
      <c r="G285" s="340"/>
      <c r="H285" s="308"/>
      <c r="I285" s="308"/>
      <c r="J285" s="308"/>
      <c r="K285" s="308"/>
      <c r="L285" s="308"/>
      <c r="M285" s="308"/>
      <c r="N285" s="308"/>
      <c r="O285" s="308"/>
      <c r="P285" s="308"/>
      <c r="Q285" s="308"/>
      <c r="R285" s="308"/>
      <c r="S285" s="308"/>
      <c r="T285" s="308"/>
      <c r="U285" s="308"/>
      <c r="V285" s="308"/>
      <c r="W285" s="308"/>
      <c r="X285" s="308"/>
      <c r="Y285" s="308"/>
      <c r="Z285" s="308"/>
      <c r="AA285" s="308"/>
      <c r="AB285" s="308"/>
      <c r="AC285" s="308"/>
      <c r="AD285" s="308"/>
      <c r="AE285" s="308"/>
      <c r="AF285" s="308"/>
      <c r="AG285" s="308"/>
      <c r="AH285" s="308"/>
      <c r="AI285" s="308"/>
      <c r="AJ285" s="308"/>
      <c r="AK285" s="308"/>
      <c r="AL285" s="308"/>
      <c r="AM285" s="308"/>
      <c r="AN285" s="308"/>
      <c r="AO285" s="308"/>
      <c r="AP285" s="308"/>
      <c r="AQ285" s="308"/>
      <c r="AR285" s="308"/>
      <c r="AS285" s="308"/>
      <c r="AT285" s="308"/>
      <c r="AU285" s="308"/>
      <c r="AV285" s="308"/>
      <c r="AW285" s="308"/>
      <c r="AX285" s="308"/>
      <c r="AY285" s="308"/>
      <c r="AZ285" s="308"/>
      <c r="BA285" s="308"/>
      <c r="BB285" s="308"/>
      <c r="BC285" s="308"/>
      <c r="BD285" s="308"/>
      <c r="BE285" s="308"/>
      <c r="BF285" s="308"/>
      <c r="BG285" s="308"/>
      <c r="BH285" s="308"/>
      <c r="BI285" s="308"/>
      <c r="BJ285" s="308"/>
      <c r="BK285" s="308"/>
      <c r="BL285" s="308"/>
      <c r="BM285" s="308"/>
      <c r="BN285" s="308"/>
      <c r="BO285" s="308"/>
      <c r="BP285" s="308"/>
      <c r="BQ285" s="308"/>
      <c r="BR285" s="308"/>
      <c r="BS285" s="308"/>
    </row>
    <row r="286" spans="1:71" ht="15.75" customHeight="1">
      <c r="A286" s="308"/>
      <c r="B286" s="308"/>
      <c r="C286" s="308"/>
      <c r="D286" s="308"/>
      <c r="E286" s="308"/>
      <c r="F286" s="341"/>
      <c r="G286" s="340"/>
      <c r="H286" s="308"/>
      <c r="I286" s="308"/>
      <c r="J286" s="308"/>
      <c r="K286" s="308"/>
      <c r="L286" s="308"/>
      <c r="M286" s="308"/>
      <c r="N286" s="308"/>
      <c r="O286" s="308"/>
      <c r="P286" s="308"/>
      <c r="Q286" s="308"/>
      <c r="R286" s="308"/>
      <c r="S286" s="308"/>
      <c r="T286" s="308"/>
      <c r="U286" s="308"/>
      <c r="V286" s="308"/>
      <c r="W286" s="308"/>
      <c r="X286" s="308"/>
      <c r="Y286" s="308"/>
      <c r="Z286" s="308"/>
      <c r="AA286" s="308"/>
      <c r="AB286" s="308"/>
      <c r="AC286" s="308"/>
      <c r="AD286" s="308"/>
      <c r="AE286" s="308"/>
      <c r="AF286" s="308"/>
      <c r="AG286" s="308"/>
      <c r="AH286" s="308"/>
      <c r="AI286" s="308"/>
      <c r="AJ286" s="308"/>
      <c r="AK286" s="308"/>
      <c r="AL286" s="308"/>
      <c r="AM286" s="308"/>
      <c r="AN286" s="308"/>
      <c r="AO286" s="308"/>
      <c r="AP286" s="308"/>
      <c r="AQ286" s="308"/>
      <c r="AR286" s="308"/>
      <c r="AS286" s="308"/>
      <c r="AT286" s="308"/>
      <c r="AU286" s="308"/>
      <c r="AV286" s="308"/>
      <c r="AW286" s="308"/>
      <c r="AX286" s="308"/>
      <c r="AY286" s="308"/>
      <c r="AZ286" s="308"/>
      <c r="BA286" s="308"/>
      <c r="BB286" s="308"/>
      <c r="BC286" s="308"/>
      <c r="BD286" s="308"/>
      <c r="BE286" s="308"/>
      <c r="BF286" s="308"/>
      <c r="BG286" s="308"/>
      <c r="BH286" s="308"/>
      <c r="BI286" s="308"/>
      <c r="BJ286" s="308"/>
      <c r="BK286" s="308"/>
      <c r="BL286" s="308"/>
      <c r="BM286" s="308"/>
      <c r="BN286" s="308"/>
      <c r="BO286" s="308"/>
      <c r="BP286" s="308"/>
      <c r="BQ286" s="308"/>
      <c r="BR286" s="308"/>
      <c r="BS286" s="308"/>
    </row>
    <row r="287" spans="1:71" ht="15.75" customHeight="1">
      <c r="A287" s="308"/>
      <c r="B287" s="308"/>
      <c r="C287" s="308"/>
      <c r="D287" s="308"/>
      <c r="E287" s="308"/>
      <c r="F287" s="341"/>
      <c r="G287" s="340"/>
      <c r="H287" s="308"/>
      <c r="I287" s="308"/>
      <c r="J287" s="308"/>
      <c r="K287" s="308"/>
      <c r="L287" s="308"/>
      <c r="M287" s="308"/>
      <c r="N287" s="308"/>
      <c r="O287" s="308"/>
      <c r="P287" s="308"/>
      <c r="Q287" s="308"/>
      <c r="R287" s="308"/>
      <c r="S287" s="308"/>
      <c r="T287" s="308"/>
      <c r="U287" s="308"/>
      <c r="V287" s="308"/>
      <c r="W287" s="308"/>
      <c r="X287" s="308"/>
      <c r="Y287" s="308"/>
      <c r="Z287" s="308"/>
      <c r="AA287" s="308"/>
      <c r="AB287" s="308"/>
      <c r="AC287" s="308"/>
      <c r="AD287" s="308"/>
      <c r="AE287" s="308"/>
      <c r="AF287" s="308"/>
      <c r="AG287" s="308"/>
      <c r="AH287" s="308"/>
      <c r="AI287" s="308"/>
      <c r="AJ287" s="308"/>
      <c r="AK287" s="308"/>
      <c r="AL287" s="308"/>
      <c r="AM287" s="308"/>
      <c r="AN287" s="308"/>
      <c r="AO287" s="308"/>
      <c r="AP287" s="308"/>
      <c r="AQ287" s="308"/>
      <c r="AR287" s="308"/>
      <c r="AS287" s="308"/>
      <c r="AT287" s="308"/>
      <c r="AU287" s="308"/>
      <c r="AV287" s="308"/>
      <c r="AW287" s="308"/>
      <c r="AX287" s="308"/>
      <c r="AY287" s="308"/>
      <c r="AZ287" s="308"/>
      <c r="BA287" s="308"/>
      <c r="BB287" s="308"/>
      <c r="BC287" s="308"/>
      <c r="BD287" s="308"/>
      <c r="BE287" s="308"/>
      <c r="BF287" s="308"/>
      <c r="BG287" s="308"/>
      <c r="BH287" s="308"/>
      <c r="BI287" s="308"/>
      <c r="BJ287" s="308"/>
      <c r="BK287" s="308"/>
      <c r="BL287" s="308"/>
      <c r="BM287" s="308"/>
      <c r="BN287" s="308"/>
      <c r="BO287" s="308"/>
      <c r="BP287" s="308"/>
      <c r="BQ287" s="308"/>
      <c r="BR287" s="308"/>
      <c r="BS287" s="308"/>
    </row>
    <row r="288" spans="1:71" ht="15.75" customHeight="1">
      <c r="A288" s="308"/>
      <c r="B288" s="308"/>
      <c r="C288" s="308"/>
      <c r="D288" s="308"/>
      <c r="E288" s="308"/>
      <c r="F288" s="341"/>
      <c r="G288" s="340"/>
      <c r="H288" s="308"/>
      <c r="I288" s="308"/>
      <c r="J288" s="308"/>
      <c r="K288" s="308"/>
      <c r="L288" s="308"/>
      <c r="M288" s="308"/>
      <c r="N288" s="308"/>
      <c r="O288" s="308"/>
      <c r="P288" s="308"/>
      <c r="Q288" s="308"/>
      <c r="R288" s="308"/>
      <c r="S288" s="308"/>
      <c r="T288" s="308"/>
      <c r="U288" s="308"/>
      <c r="V288" s="308"/>
      <c r="W288" s="308"/>
      <c r="X288" s="308"/>
      <c r="Y288" s="308"/>
      <c r="Z288" s="308"/>
      <c r="AA288" s="308"/>
      <c r="AB288" s="308"/>
      <c r="AC288" s="308"/>
      <c r="AD288" s="308"/>
      <c r="AE288" s="308"/>
      <c r="AF288" s="308"/>
      <c r="AG288" s="308"/>
      <c r="AH288" s="308"/>
      <c r="AI288" s="308"/>
      <c r="AJ288" s="308"/>
      <c r="AK288" s="308"/>
      <c r="AL288" s="308"/>
      <c r="AM288" s="308"/>
      <c r="AN288" s="308"/>
      <c r="AO288" s="308"/>
      <c r="AP288" s="308"/>
      <c r="AQ288" s="308"/>
      <c r="AR288" s="308"/>
      <c r="AS288" s="308"/>
      <c r="AT288" s="308"/>
      <c r="AU288" s="308"/>
      <c r="AV288" s="308"/>
      <c r="AW288" s="308"/>
      <c r="AX288" s="308"/>
      <c r="AY288" s="308"/>
      <c r="AZ288" s="308"/>
      <c r="BA288" s="308"/>
      <c r="BB288" s="308"/>
      <c r="BC288" s="308"/>
      <c r="BD288" s="308"/>
      <c r="BE288" s="308"/>
      <c r="BF288" s="308"/>
      <c r="BG288" s="308"/>
      <c r="BH288" s="308"/>
      <c r="BI288" s="308"/>
      <c r="BJ288" s="308"/>
      <c r="BK288" s="308"/>
      <c r="BL288" s="308"/>
      <c r="BM288" s="308"/>
      <c r="BN288" s="308"/>
      <c r="BO288" s="308"/>
      <c r="BP288" s="308"/>
      <c r="BQ288" s="308"/>
      <c r="BR288" s="308"/>
      <c r="BS288" s="308"/>
    </row>
    <row r="289" spans="1:71" ht="15.75" customHeight="1">
      <c r="A289" s="308"/>
      <c r="B289" s="308"/>
      <c r="C289" s="308"/>
      <c r="D289" s="308"/>
      <c r="E289" s="308"/>
      <c r="F289" s="341"/>
      <c r="G289" s="340"/>
      <c r="H289" s="308"/>
      <c r="I289" s="308"/>
      <c r="J289" s="308"/>
      <c r="K289" s="308"/>
      <c r="L289" s="308"/>
      <c r="M289" s="308"/>
      <c r="N289" s="308"/>
      <c r="O289" s="308"/>
      <c r="P289" s="308"/>
      <c r="Q289" s="308"/>
      <c r="R289" s="308"/>
      <c r="S289" s="308"/>
      <c r="T289" s="308"/>
      <c r="U289" s="308"/>
      <c r="V289" s="308"/>
      <c r="W289" s="308"/>
      <c r="X289" s="308"/>
      <c r="Y289" s="308"/>
      <c r="Z289" s="308"/>
      <c r="AA289" s="308"/>
      <c r="AB289" s="308"/>
      <c r="AC289" s="308"/>
      <c r="AD289" s="308"/>
      <c r="AE289" s="308"/>
      <c r="AF289" s="308"/>
      <c r="AG289" s="308"/>
      <c r="AH289" s="308"/>
      <c r="AI289" s="308"/>
      <c r="AJ289" s="308"/>
      <c r="AK289" s="308"/>
      <c r="AL289" s="308"/>
      <c r="AM289" s="308"/>
      <c r="AN289" s="308"/>
      <c r="AO289" s="308"/>
      <c r="AP289" s="308"/>
      <c r="AQ289" s="308"/>
      <c r="AR289" s="308"/>
      <c r="AS289" s="308"/>
      <c r="AT289" s="308"/>
      <c r="AU289" s="308"/>
      <c r="AV289" s="308"/>
      <c r="AW289" s="308"/>
      <c r="AX289" s="308"/>
      <c r="AY289" s="308"/>
      <c r="AZ289" s="308"/>
      <c r="BA289" s="308"/>
      <c r="BB289" s="308"/>
      <c r="BC289" s="308"/>
      <c r="BD289" s="308"/>
      <c r="BE289" s="308"/>
      <c r="BF289" s="308"/>
      <c r="BG289" s="308"/>
      <c r="BH289" s="308"/>
      <c r="BI289" s="308"/>
      <c r="BJ289" s="308"/>
      <c r="BK289" s="308"/>
      <c r="BL289" s="308"/>
      <c r="BM289" s="308"/>
      <c r="BN289" s="308"/>
      <c r="BO289" s="308"/>
      <c r="BP289" s="308"/>
      <c r="BQ289" s="308"/>
      <c r="BR289" s="308"/>
      <c r="BS289" s="308"/>
    </row>
    <row r="290" spans="1:71" ht="15.75" customHeight="1">
      <c r="A290" s="308"/>
      <c r="B290" s="308"/>
      <c r="C290" s="308"/>
      <c r="D290" s="308"/>
      <c r="E290" s="308"/>
      <c r="F290" s="341"/>
      <c r="G290" s="340"/>
      <c r="H290" s="308"/>
      <c r="I290" s="308"/>
      <c r="J290" s="308"/>
      <c r="K290" s="308"/>
      <c r="L290" s="308"/>
      <c r="M290" s="308"/>
      <c r="N290" s="308"/>
      <c r="O290" s="308"/>
      <c r="P290" s="308"/>
      <c r="Q290" s="308"/>
      <c r="R290" s="308"/>
      <c r="S290" s="308"/>
      <c r="T290" s="308"/>
      <c r="U290" s="308"/>
      <c r="V290" s="308"/>
      <c r="W290" s="308"/>
      <c r="X290" s="308"/>
      <c r="Y290" s="308"/>
      <c r="Z290" s="308"/>
      <c r="AA290" s="308"/>
      <c r="AB290" s="308"/>
      <c r="AC290" s="308"/>
      <c r="AD290" s="308"/>
      <c r="AE290" s="308"/>
      <c r="AF290" s="308"/>
      <c r="AG290" s="308"/>
      <c r="AH290" s="308"/>
      <c r="AI290" s="308"/>
      <c r="AJ290" s="308"/>
      <c r="AK290" s="308"/>
      <c r="AL290" s="308"/>
      <c r="AM290" s="308"/>
      <c r="AN290" s="308"/>
      <c r="AO290" s="308"/>
      <c r="AP290" s="308"/>
      <c r="AQ290" s="308"/>
      <c r="AR290" s="308"/>
      <c r="AS290" s="308"/>
      <c r="AT290" s="308"/>
      <c r="AU290" s="308"/>
      <c r="AV290" s="308"/>
      <c r="AW290" s="308"/>
      <c r="AX290" s="308"/>
      <c r="AY290" s="308"/>
      <c r="AZ290" s="308"/>
      <c r="BA290" s="308"/>
      <c r="BB290" s="308"/>
      <c r="BC290" s="308"/>
      <c r="BD290" s="308"/>
      <c r="BE290" s="308"/>
      <c r="BF290" s="308"/>
      <c r="BG290" s="308"/>
      <c r="BH290" s="308"/>
      <c r="BI290" s="308"/>
      <c r="BJ290" s="308"/>
      <c r="BK290" s="308"/>
      <c r="BL290" s="308"/>
      <c r="BM290" s="308"/>
      <c r="BN290" s="308"/>
      <c r="BO290" s="308"/>
      <c r="BP290" s="308"/>
      <c r="BQ290" s="308"/>
      <c r="BR290" s="308"/>
      <c r="BS290" s="308"/>
    </row>
    <row r="291" spans="1:71" ht="15.75" customHeight="1">
      <c r="A291" s="308"/>
      <c r="B291" s="308"/>
      <c r="C291" s="308"/>
      <c r="D291" s="308"/>
      <c r="E291" s="308"/>
      <c r="F291" s="341"/>
      <c r="G291" s="340"/>
      <c r="H291" s="308"/>
      <c r="I291" s="308"/>
      <c r="J291" s="308"/>
      <c r="K291" s="308"/>
      <c r="L291" s="308"/>
      <c r="M291" s="308"/>
      <c r="N291" s="308"/>
      <c r="O291" s="308"/>
      <c r="P291" s="308"/>
      <c r="Q291" s="308"/>
      <c r="R291" s="308"/>
      <c r="S291" s="308"/>
      <c r="T291" s="308"/>
      <c r="U291" s="308"/>
      <c r="V291" s="308"/>
      <c r="W291" s="308"/>
      <c r="X291" s="308"/>
      <c r="Y291" s="308"/>
      <c r="Z291" s="308"/>
      <c r="AA291" s="308"/>
      <c r="AB291" s="308"/>
      <c r="AC291" s="308"/>
      <c r="AD291" s="308"/>
      <c r="AE291" s="308"/>
      <c r="AF291" s="308"/>
      <c r="AG291" s="308"/>
      <c r="AH291" s="308"/>
      <c r="AI291" s="308"/>
      <c r="AJ291" s="308"/>
      <c r="AK291" s="308"/>
      <c r="AL291" s="308"/>
      <c r="AM291" s="308"/>
      <c r="AN291" s="308"/>
      <c r="AO291" s="308"/>
      <c r="AP291" s="308"/>
      <c r="AQ291" s="308"/>
      <c r="AR291" s="308"/>
      <c r="AS291" s="308"/>
      <c r="AT291" s="308"/>
      <c r="AU291" s="308"/>
      <c r="AV291" s="308"/>
      <c r="AW291" s="308"/>
      <c r="AX291" s="308"/>
      <c r="AY291" s="308"/>
      <c r="AZ291" s="308"/>
      <c r="BA291" s="308"/>
      <c r="BB291" s="308"/>
      <c r="BC291" s="308"/>
      <c r="BD291" s="308"/>
      <c r="BE291" s="308"/>
      <c r="BF291" s="308"/>
      <c r="BG291" s="308"/>
      <c r="BH291" s="308"/>
      <c r="BI291" s="308"/>
      <c r="BJ291" s="308"/>
      <c r="BK291" s="308"/>
      <c r="BL291" s="308"/>
      <c r="BM291" s="308"/>
      <c r="BN291" s="308"/>
      <c r="BO291" s="308"/>
      <c r="BP291" s="308"/>
      <c r="BQ291" s="308"/>
      <c r="BR291" s="308"/>
      <c r="BS291" s="308"/>
    </row>
    <row r="292" spans="1:71" ht="15.75" customHeight="1">
      <c r="A292" s="308"/>
      <c r="B292" s="308"/>
      <c r="C292" s="308"/>
      <c r="D292" s="308"/>
      <c r="E292" s="308"/>
      <c r="F292" s="341"/>
      <c r="G292" s="340"/>
      <c r="H292" s="308"/>
      <c r="I292" s="308"/>
      <c r="J292" s="308"/>
      <c r="K292" s="308"/>
      <c r="L292" s="308"/>
      <c r="M292" s="308"/>
      <c r="N292" s="308"/>
      <c r="O292" s="308"/>
      <c r="P292" s="308"/>
      <c r="Q292" s="308"/>
      <c r="R292" s="308"/>
      <c r="S292" s="308"/>
      <c r="T292" s="308"/>
      <c r="U292" s="308"/>
      <c r="V292" s="308"/>
      <c r="W292" s="308"/>
      <c r="X292" s="308"/>
      <c r="Y292" s="308"/>
      <c r="Z292" s="308"/>
      <c r="AA292" s="308"/>
      <c r="AB292" s="308"/>
      <c r="AC292" s="308"/>
      <c r="AD292" s="308"/>
      <c r="AE292" s="308"/>
      <c r="AF292" s="308"/>
      <c r="AG292" s="308"/>
      <c r="AH292" s="308"/>
      <c r="AI292" s="308"/>
      <c r="AJ292" s="308"/>
      <c r="AK292" s="308"/>
      <c r="AL292" s="308"/>
      <c r="AM292" s="308"/>
      <c r="AN292" s="308"/>
      <c r="AO292" s="308"/>
      <c r="AP292" s="308"/>
      <c r="AQ292" s="308"/>
      <c r="AR292" s="308"/>
      <c r="AS292" s="308"/>
      <c r="AT292" s="308"/>
      <c r="AU292" s="308"/>
      <c r="AV292" s="308"/>
      <c r="AW292" s="308"/>
      <c r="AX292" s="308"/>
      <c r="AY292" s="308"/>
      <c r="AZ292" s="308"/>
      <c r="BA292" s="308"/>
      <c r="BB292" s="308"/>
      <c r="BC292" s="308"/>
      <c r="BD292" s="308"/>
      <c r="BE292" s="308"/>
      <c r="BF292" s="308"/>
      <c r="BG292" s="308"/>
      <c r="BH292" s="308"/>
      <c r="BI292" s="308"/>
      <c r="BJ292" s="308"/>
      <c r="BK292" s="308"/>
      <c r="BL292" s="308"/>
      <c r="BM292" s="308"/>
      <c r="BN292" s="308"/>
      <c r="BO292" s="308"/>
      <c r="BP292" s="308"/>
      <c r="BQ292" s="308"/>
      <c r="BR292" s="308"/>
      <c r="BS292" s="308"/>
    </row>
    <row r="293" spans="1:71" ht="15.75" customHeight="1">
      <c r="A293" s="308"/>
      <c r="B293" s="308"/>
      <c r="C293" s="308"/>
      <c r="D293" s="308"/>
      <c r="E293" s="308"/>
      <c r="F293" s="341"/>
      <c r="G293" s="340"/>
      <c r="H293" s="308"/>
      <c r="I293" s="308"/>
      <c r="J293" s="308"/>
      <c r="K293" s="308"/>
      <c r="L293" s="308"/>
      <c r="M293" s="308"/>
      <c r="N293" s="308"/>
      <c r="O293" s="308"/>
      <c r="P293" s="308"/>
      <c r="Q293" s="308"/>
      <c r="R293" s="308"/>
      <c r="S293" s="308"/>
      <c r="T293" s="308"/>
      <c r="U293" s="308"/>
      <c r="V293" s="308"/>
      <c r="W293" s="308"/>
      <c r="X293" s="308"/>
      <c r="Y293" s="308"/>
      <c r="Z293" s="308"/>
      <c r="AA293" s="308"/>
      <c r="AB293" s="308"/>
      <c r="AC293" s="308"/>
      <c r="AD293" s="308"/>
      <c r="AE293" s="308"/>
      <c r="AF293" s="308"/>
      <c r="AG293" s="308"/>
      <c r="AH293" s="308"/>
      <c r="AI293" s="308"/>
      <c r="AJ293" s="308"/>
      <c r="AK293" s="308"/>
      <c r="AL293" s="308"/>
      <c r="AM293" s="308"/>
      <c r="AN293" s="308"/>
      <c r="AO293" s="308"/>
      <c r="AP293" s="308"/>
      <c r="AQ293" s="308"/>
      <c r="AR293" s="308"/>
      <c r="AS293" s="308"/>
      <c r="AT293" s="308"/>
      <c r="AU293" s="308"/>
      <c r="AV293" s="308"/>
      <c r="AW293" s="308"/>
      <c r="AX293" s="308"/>
      <c r="AY293" s="308"/>
      <c r="AZ293" s="308"/>
      <c r="BA293" s="308"/>
      <c r="BB293" s="308"/>
      <c r="BC293" s="308"/>
      <c r="BD293" s="308"/>
      <c r="BE293" s="308"/>
      <c r="BF293" s="308"/>
      <c r="BG293" s="308"/>
      <c r="BH293" s="308"/>
      <c r="BI293" s="308"/>
      <c r="BJ293" s="308"/>
      <c r="BK293" s="308"/>
      <c r="BL293" s="308"/>
      <c r="BM293" s="308"/>
      <c r="BN293" s="308"/>
      <c r="BO293" s="308"/>
      <c r="BP293" s="308"/>
      <c r="BQ293" s="308"/>
      <c r="BR293" s="308"/>
      <c r="BS293" s="308"/>
    </row>
    <row r="294" spans="1:71" ht="15.75" customHeight="1">
      <c r="A294" s="308"/>
      <c r="B294" s="308"/>
      <c r="C294" s="308"/>
      <c r="D294" s="308"/>
      <c r="E294" s="308"/>
      <c r="F294" s="341"/>
      <c r="G294" s="340"/>
      <c r="H294" s="308"/>
      <c r="I294" s="308"/>
      <c r="J294" s="308"/>
      <c r="K294" s="308"/>
      <c r="L294" s="308"/>
      <c r="M294" s="308"/>
      <c r="N294" s="308"/>
      <c r="O294" s="308"/>
      <c r="P294" s="308"/>
      <c r="Q294" s="308"/>
      <c r="R294" s="308"/>
      <c r="S294" s="308"/>
      <c r="T294" s="308"/>
      <c r="U294" s="308"/>
      <c r="V294" s="308"/>
      <c r="W294" s="308"/>
      <c r="X294" s="308"/>
      <c r="Y294" s="308"/>
      <c r="Z294" s="308"/>
      <c r="AA294" s="308"/>
      <c r="AB294" s="308"/>
      <c r="AC294" s="308"/>
      <c r="AD294" s="308"/>
      <c r="AE294" s="308"/>
      <c r="AF294" s="308"/>
      <c r="AG294" s="308"/>
      <c r="AH294" s="308"/>
      <c r="AI294" s="308"/>
      <c r="AJ294" s="308"/>
      <c r="AK294" s="308"/>
      <c r="AL294" s="308"/>
      <c r="AM294" s="308"/>
      <c r="AN294" s="308"/>
      <c r="AO294" s="308"/>
      <c r="AP294" s="308"/>
      <c r="AQ294" s="308"/>
      <c r="AR294" s="308"/>
      <c r="AS294" s="308"/>
      <c r="AT294" s="308"/>
      <c r="AU294" s="308"/>
      <c r="AV294" s="308"/>
      <c r="AW294" s="308"/>
      <c r="AX294" s="308"/>
      <c r="AY294" s="308"/>
      <c r="AZ294" s="308"/>
      <c r="BA294" s="308"/>
      <c r="BB294" s="308"/>
      <c r="BC294" s="308"/>
      <c r="BD294" s="308"/>
      <c r="BE294" s="308"/>
      <c r="BF294" s="308"/>
      <c r="BG294" s="308"/>
      <c r="BH294" s="308"/>
      <c r="BI294" s="308"/>
      <c r="BJ294" s="308"/>
      <c r="BK294" s="308"/>
      <c r="BL294" s="308"/>
      <c r="BM294" s="308"/>
      <c r="BN294" s="308"/>
      <c r="BO294" s="308"/>
      <c r="BP294" s="308"/>
      <c r="BQ294" s="308"/>
      <c r="BR294" s="308"/>
      <c r="BS294" s="308"/>
    </row>
    <row r="295" spans="1:71" ht="15.75" customHeight="1">
      <c r="A295" s="308"/>
      <c r="B295" s="308"/>
      <c r="C295" s="308"/>
      <c r="D295" s="308"/>
      <c r="E295" s="308"/>
      <c r="F295" s="341"/>
      <c r="G295" s="340"/>
      <c r="H295" s="308"/>
      <c r="I295" s="308"/>
      <c r="J295" s="308"/>
      <c r="K295" s="308"/>
      <c r="L295" s="308"/>
      <c r="M295" s="308"/>
      <c r="N295" s="308"/>
      <c r="O295" s="308"/>
      <c r="P295" s="308"/>
      <c r="Q295" s="308"/>
      <c r="R295" s="308"/>
      <c r="S295" s="308"/>
      <c r="T295" s="308"/>
      <c r="U295" s="308"/>
      <c r="V295" s="308"/>
      <c r="W295" s="308"/>
      <c r="X295" s="308"/>
      <c r="Y295" s="308"/>
      <c r="Z295" s="308"/>
      <c r="AA295" s="308"/>
      <c r="AB295" s="308"/>
      <c r="AC295" s="308"/>
      <c r="AD295" s="308"/>
      <c r="AE295" s="308"/>
      <c r="AF295" s="308"/>
      <c r="AG295" s="308"/>
      <c r="AH295" s="308"/>
      <c r="AI295" s="308"/>
      <c r="AJ295" s="308"/>
      <c r="AK295" s="308"/>
      <c r="AL295" s="308"/>
      <c r="AM295" s="308"/>
      <c r="AN295" s="308"/>
      <c r="AO295" s="308"/>
      <c r="AP295" s="308"/>
      <c r="AQ295" s="308"/>
      <c r="AR295" s="308"/>
      <c r="AS295" s="308"/>
      <c r="AT295" s="308"/>
      <c r="AU295" s="308"/>
      <c r="AV295" s="308"/>
      <c r="AW295" s="308"/>
      <c r="AX295" s="308"/>
      <c r="AY295" s="308"/>
      <c r="AZ295" s="308"/>
      <c r="BA295" s="308"/>
      <c r="BB295" s="308"/>
      <c r="BC295" s="308"/>
      <c r="BD295" s="308"/>
      <c r="BE295" s="308"/>
      <c r="BF295" s="308"/>
      <c r="BG295" s="308"/>
      <c r="BH295" s="308"/>
      <c r="BI295" s="308"/>
      <c r="BJ295" s="308"/>
      <c r="BK295" s="308"/>
      <c r="BL295" s="308"/>
      <c r="BM295" s="308"/>
      <c r="BN295" s="308"/>
      <c r="BO295" s="308"/>
      <c r="BP295" s="308"/>
      <c r="BQ295" s="308"/>
      <c r="BR295" s="308"/>
      <c r="BS295" s="308"/>
    </row>
    <row r="296" spans="1:71" ht="15.75" customHeight="1">
      <c r="A296" s="308"/>
      <c r="B296" s="308"/>
      <c r="C296" s="308"/>
      <c r="D296" s="308"/>
      <c r="E296" s="308"/>
      <c r="F296" s="341"/>
      <c r="G296" s="340"/>
      <c r="H296" s="308"/>
      <c r="I296" s="308"/>
      <c r="J296" s="308"/>
      <c r="K296" s="308"/>
      <c r="L296" s="308"/>
      <c r="M296" s="308"/>
      <c r="N296" s="308"/>
      <c r="O296" s="308"/>
      <c r="P296" s="308"/>
      <c r="Q296" s="308"/>
      <c r="R296" s="308"/>
      <c r="S296" s="308"/>
      <c r="T296" s="308"/>
      <c r="U296" s="308"/>
      <c r="V296" s="308"/>
      <c r="W296" s="308"/>
      <c r="X296" s="308"/>
      <c r="Y296" s="308"/>
      <c r="Z296" s="308"/>
      <c r="AA296" s="308"/>
      <c r="AB296" s="308"/>
      <c r="AC296" s="308"/>
      <c r="AD296" s="308"/>
      <c r="AE296" s="308"/>
      <c r="AF296" s="308"/>
      <c r="AG296" s="308"/>
      <c r="AH296" s="308"/>
      <c r="AI296" s="308"/>
      <c r="AJ296" s="308"/>
      <c r="AK296" s="308"/>
      <c r="AL296" s="308"/>
      <c r="AM296" s="308"/>
      <c r="AN296" s="308"/>
      <c r="AO296" s="308"/>
      <c r="AP296" s="308"/>
      <c r="AQ296" s="308"/>
      <c r="AR296" s="308"/>
      <c r="AS296" s="308"/>
      <c r="AT296" s="308"/>
      <c r="AU296" s="308"/>
      <c r="AV296" s="308"/>
      <c r="AW296" s="308"/>
      <c r="AX296" s="308"/>
      <c r="AY296" s="308"/>
      <c r="AZ296" s="308"/>
      <c r="BA296" s="308"/>
      <c r="BB296" s="308"/>
      <c r="BC296" s="308"/>
      <c r="BD296" s="308"/>
      <c r="BE296" s="308"/>
      <c r="BF296" s="308"/>
      <c r="BG296" s="308"/>
      <c r="BH296" s="308"/>
      <c r="BI296" s="308"/>
      <c r="BJ296" s="308"/>
      <c r="BK296" s="308"/>
      <c r="BL296" s="308"/>
      <c r="BM296" s="308"/>
      <c r="BN296" s="308"/>
      <c r="BO296" s="308"/>
      <c r="BP296" s="308"/>
      <c r="BQ296" s="308"/>
      <c r="BR296" s="308"/>
      <c r="BS296" s="308"/>
    </row>
    <row r="297" spans="1:71" ht="15.75" customHeight="1">
      <c r="A297" s="308"/>
      <c r="B297" s="308"/>
      <c r="C297" s="308"/>
      <c r="D297" s="308"/>
      <c r="E297" s="308"/>
      <c r="F297" s="341"/>
      <c r="G297" s="340"/>
      <c r="H297" s="308"/>
      <c r="I297" s="308"/>
      <c r="J297" s="308"/>
      <c r="K297" s="308"/>
      <c r="L297" s="308"/>
      <c r="M297" s="308"/>
      <c r="N297" s="308"/>
      <c r="O297" s="308"/>
      <c r="P297" s="308"/>
      <c r="Q297" s="308"/>
      <c r="R297" s="308"/>
      <c r="S297" s="308"/>
      <c r="T297" s="308"/>
      <c r="U297" s="308"/>
      <c r="V297" s="308"/>
      <c r="W297" s="308"/>
      <c r="X297" s="308"/>
      <c r="Y297" s="308"/>
      <c r="Z297" s="308"/>
      <c r="AA297" s="308"/>
      <c r="AB297" s="308"/>
      <c r="AC297" s="308"/>
      <c r="AD297" s="308"/>
      <c r="AE297" s="308"/>
      <c r="AF297" s="308"/>
      <c r="AG297" s="308"/>
      <c r="AH297" s="308"/>
      <c r="AI297" s="308"/>
      <c r="AJ297" s="308"/>
      <c r="AK297" s="308"/>
      <c r="AL297" s="308"/>
      <c r="AM297" s="308"/>
      <c r="AN297" s="308"/>
      <c r="AO297" s="308"/>
      <c r="AP297" s="308"/>
      <c r="AQ297" s="308"/>
      <c r="AR297" s="308"/>
      <c r="AS297" s="308"/>
      <c r="AT297" s="308"/>
      <c r="AU297" s="308"/>
      <c r="AV297" s="308"/>
      <c r="AW297" s="308"/>
      <c r="AX297" s="308"/>
      <c r="AY297" s="308"/>
      <c r="AZ297" s="308"/>
      <c r="BA297" s="308"/>
      <c r="BB297" s="308"/>
      <c r="BC297" s="308"/>
      <c r="BD297" s="308"/>
      <c r="BE297" s="308"/>
      <c r="BF297" s="308"/>
      <c r="BG297" s="308"/>
      <c r="BH297" s="308"/>
      <c r="BI297" s="308"/>
      <c r="BJ297" s="308"/>
      <c r="BK297" s="308"/>
      <c r="BL297" s="308"/>
      <c r="BM297" s="308"/>
      <c r="BN297" s="308"/>
      <c r="BO297" s="308"/>
      <c r="BP297" s="308"/>
      <c r="BQ297" s="308"/>
      <c r="BR297" s="308"/>
      <c r="BS297" s="308"/>
    </row>
    <row r="298" spans="1:71" ht="15.75" customHeight="1">
      <c r="A298" s="308"/>
      <c r="B298" s="308"/>
      <c r="C298" s="308"/>
      <c r="D298" s="308"/>
      <c r="E298" s="308"/>
      <c r="F298" s="341"/>
      <c r="G298" s="340"/>
      <c r="H298" s="308"/>
      <c r="I298" s="308"/>
      <c r="J298" s="308"/>
      <c r="K298" s="308"/>
      <c r="L298" s="308"/>
      <c r="M298" s="308"/>
      <c r="N298" s="308"/>
      <c r="O298" s="308"/>
      <c r="P298" s="308"/>
      <c r="Q298" s="308"/>
      <c r="R298" s="308"/>
      <c r="S298" s="308"/>
      <c r="T298" s="308"/>
      <c r="U298" s="308"/>
      <c r="V298" s="308"/>
      <c r="W298" s="308"/>
      <c r="X298" s="308"/>
      <c r="Y298" s="308"/>
      <c r="Z298" s="308"/>
      <c r="AA298" s="308"/>
      <c r="AB298" s="308"/>
      <c r="AC298" s="308"/>
      <c r="AD298" s="308"/>
      <c r="AE298" s="308"/>
      <c r="AF298" s="308"/>
      <c r="AG298" s="308"/>
      <c r="AH298" s="308"/>
      <c r="AI298" s="308"/>
      <c r="AJ298" s="308"/>
      <c r="AK298" s="308"/>
      <c r="AL298" s="308"/>
      <c r="AM298" s="308"/>
      <c r="AN298" s="308"/>
      <c r="AO298" s="308"/>
      <c r="AP298" s="308"/>
      <c r="AQ298" s="308"/>
      <c r="AR298" s="308"/>
      <c r="AS298" s="308"/>
      <c r="AT298" s="308"/>
      <c r="AU298" s="308"/>
      <c r="AV298" s="308"/>
      <c r="AW298" s="308"/>
      <c r="AX298" s="308"/>
      <c r="AY298" s="308"/>
      <c r="AZ298" s="308"/>
      <c r="BA298" s="308"/>
      <c r="BB298" s="308"/>
      <c r="BC298" s="308"/>
      <c r="BD298" s="308"/>
      <c r="BE298" s="308"/>
      <c r="BF298" s="308"/>
      <c r="BG298" s="308"/>
      <c r="BH298" s="308"/>
      <c r="BI298" s="308"/>
      <c r="BJ298" s="308"/>
      <c r="BK298" s="308"/>
      <c r="BL298" s="308"/>
      <c r="BM298" s="308"/>
      <c r="BN298" s="308"/>
      <c r="BO298" s="308"/>
      <c r="BP298" s="308"/>
      <c r="BQ298" s="308"/>
      <c r="BR298" s="308"/>
      <c r="BS298" s="308"/>
    </row>
    <row r="299" spans="1:71" ht="15.75" customHeight="1">
      <c r="A299" s="308"/>
      <c r="B299" s="308"/>
      <c r="C299" s="308"/>
      <c r="D299" s="308"/>
      <c r="E299" s="308"/>
      <c r="F299" s="341"/>
      <c r="G299" s="340"/>
      <c r="H299" s="308"/>
      <c r="I299" s="308"/>
      <c r="J299" s="308"/>
      <c r="K299" s="308"/>
      <c r="L299" s="308"/>
      <c r="M299" s="308"/>
      <c r="N299" s="308"/>
      <c r="O299" s="308"/>
      <c r="P299" s="308"/>
      <c r="Q299" s="308"/>
      <c r="R299" s="308"/>
      <c r="S299" s="308"/>
      <c r="T299" s="308"/>
      <c r="U299" s="308"/>
      <c r="V299" s="308"/>
      <c r="W299" s="308"/>
      <c r="X299" s="308"/>
      <c r="Y299" s="308"/>
      <c r="Z299" s="308"/>
      <c r="AA299" s="308"/>
      <c r="AB299" s="308"/>
      <c r="AC299" s="308"/>
      <c r="AD299" s="308"/>
      <c r="AE299" s="308"/>
      <c r="AF299" s="308"/>
      <c r="AG299" s="308"/>
      <c r="AH299" s="308"/>
      <c r="AI299" s="308"/>
      <c r="AJ299" s="308"/>
      <c r="AK299" s="308"/>
      <c r="AL299" s="308"/>
      <c r="AM299" s="308"/>
      <c r="AN299" s="308"/>
      <c r="AO299" s="308"/>
      <c r="AP299" s="308"/>
      <c r="AQ299" s="308"/>
      <c r="AR299" s="308"/>
      <c r="AS299" s="308"/>
      <c r="AT299" s="308"/>
      <c r="AU299" s="308"/>
      <c r="AV299" s="308"/>
      <c r="AW299" s="308"/>
      <c r="AX299" s="308"/>
      <c r="AY299" s="308"/>
      <c r="AZ299" s="308"/>
      <c r="BA299" s="308"/>
      <c r="BB299" s="308"/>
      <c r="BC299" s="308"/>
      <c r="BD299" s="308"/>
      <c r="BE299" s="308"/>
      <c r="BF299" s="308"/>
      <c r="BG299" s="308"/>
      <c r="BH299" s="308"/>
      <c r="BI299" s="308"/>
      <c r="BJ299" s="308"/>
      <c r="BK299" s="308"/>
      <c r="BL299" s="308"/>
      <c r="BM299" s="308"/>
      <c r="BN299" s="308"/>
      <c r="BO299" s="308"/>
      <c r="BP299" s="308"/>
      <c r="BQ299" s="308"/>
      <c r="BR299" s="308"/>
      <c r="BS299" s="308"/>
    </row>
    <row r="300" spans="1:71" ht="15.75" customHeight="1">
      <c r="A300" s="308"/>
      <c r="B300" s="308"/>
      <c r="C300" s="308"/>
      <c r="D300" s="308"/>
      <c r="E300" s="308"/>
      <c r="F300" s="341"/>
      <c r="G300" s="340"/>
      <c r="H300" s="308"/>
      <c r="I300" s="308"/>
      <c r="J300" s="308"/>
      <c r="K300" s="308"/>
      <c r="L300" s="308"/>
      <c r="M300" s="308"/>
      <c r="N300" s="308"/>
      <c r="O300" s="308"/>
      <c r="P300" s="308"/>
      <c r="Q300" s="308"/>
      <c r="R300" s="308"/>
      <c r="S300" s="308"/>
      <c r="T300" s="308"/>
      <c r="U300" s="308"/>
      <c r="V300" s="308"/>
      <c r="W300" s="308"/>
      <c r="X300" s="308"/>
      <c r="Y300" s="308"/>
      <c r="Z300" s="308"/>
      <c r="AA300" s="308"/>
      <c r="AB300" s="308"/>
      <c r="AC300" s="308"/>
      <c r="AD300" s="308"/>
      <c r="AE300" s="308"/>
      <c r="AF300" s="308"/>
      <c r="AG300" s="308"/>
      <c r="AH300" s="308"/>
      <c r="AI300" s="308"/>
      <c r="AJ300" s="308"/>
      <c r="AK300" s="308"/>
      <c r="AL300" s="308"/>
      <c r="AM300" s="308"/>
      <c r="AN300" s="308"/>
      <c r="AO300" s="308"/>
      <c r="AP300" s="308"/>
      <c r="AQ300" s="308"/>
      <c r="AR300" s="308"/>
      <c r="AS300" s="308"/>
      <c r="AT300" s="308"/>
      <c r="AU300" s="308"/>
      <c r="AV300" s="308"/>
      <c r="AW300" s="308"/>
      <c r="AX300" s="308"/>
      <c r="AY300" s="308"/>
      <c r="AZ300" s="308"/>
      <c r="BA300" s="308"/>
      <c r="BB300" s="308"/>
      <c r="BC300" s="308"/>
      <c r="BD300" s="308"/>
      <c r="BE300" s="308"/>
      <c r="BF300" s="308"/>
      <c r="BG300" s="308"/>
      <c r="BH300" s="308"/>
      <c r="BI300" s="308"/>
      <c r="BJ300" s="308"/>
      <c r="BK300" s="308"/>
      <c r="BL300" s="308"/>
      <c r="BM300" s="308"/>
      <c r="BN300" s="308"/>
      <c r="BO300" s="308"/>
      <c r="BP300" s="308"/>
      <c r="BQ300" s="308"/>
      <c r="BR300" s="308"/>
      <c r="BS300" s="308"/>
    </row>
    <row r="301" spans="1:71" ht="15.75" customHeight="1">
      <c r="A301" s="308"/>
      <c r="B301" s="308"/>
      <c r="C301" s="308"/>
      <c r="D301" s="308"/>
      <c r="E301" s="308"/>
      <c r="F301" s="341"/>
      <c r="G301" s="340"/>
      <c r="H301" s="308"/>
      <c r="I301" s="308"/>
      <c r="J301" s="308"/>
      <c r="K301" s="308"/>
      <c r="L301" s="308"/>
      <c r="M301" s="308"/>
      <c r="N301" s="308"/>
      <c r="O301" s="308"/>
      <c r="P301" s="308"/>
      <c r="Q301" s="308"/>
      <c r="R301" s="308"/>
      <c r="S301" s="308"/>
      <c r="T301" s="308"/>
      <c r="U301" s="308"/>
      <c r="V301" s="308"/>
      <c r="W301" s="308"/>
      <c r="X301" s="308"/>
      <c r="Y301" s="308"/>
      <c r="Z301" s="308"/>
      <c r="AA301" s="308"/>
      <c r="AB301" s="308"/>
      <c r="AC301" s="308"/>
      <c r="AD301" s="308"/>
      <c r="AE301" s="308"/>
      <c r="AF301" s="308"/>
      <c r="AG301" s="308"/>
      <c r="AH301" s="308"/>
      <c r="AI301" s="308"/>
      <c r="AJ301" s="308"/>
      <c r="AK301" s="308"/>
      <c r="AL301" s="308"/>
      <c r="AM301" s="308"/>
      <c r="AN301" s="308"/>
      <c r="AO301" s="308"/>
      <c r="AP301" s="308"/>
      <c r="AQ301" s="308"/>
      <c r="AR301" s="308"/>
      <c r="AS301" s="308"/>
      <c r="AT301" s="308"/>
      <c r="AU301" s="308"/>
      <c r="AV301" s="308"/>
      <c r="AW301" s="308"/>
      <c r="AX301" s="308"/>
      <c r="AY301" s="308"/>
      <c r="AZ301" s="308"/>
      <c r="BA301" s="308"/>
      <c r="BB301" s="308"/>
      <c r="BC301" s="308"/>
      <c r="BD301" s="308"/>
      <c r="BE301" s="308"/>
      <c r="BF301" s="308"/>
      <c r="BG301" s="308"/>
      <c r="BH301" s="308"/>
      <c r="BI301" s="308"/>
      <c r="BJ301" s="308"/>
      <c r="BK301" s="308"/>
      <c r="BL301" s="308"/>
      <c r="BM301" s="308"/>
      <c r="BN301" s="308"/>
      <c r="BO301" s="308"/>
      <c r="BP301" s="308"/>
      <c r="BQ301" s="308"/>
      <c r="BR301" s="308"/>
      <c r="BS301" s="308"/>
    </row>
    <row r="302" spans="1:71" ht="15.75" customHeight="1">
      <c r="A302" s="308"/>
      <c r="B302" s="308"/>
      <c r="C302" s="308"/>
      <c r="D302" s="308"/>
      <c r="E302" s="308"/>
      <c r="F302" s="341"/>
      <c r="G302" s="340"/>
      <c r="H302" s="308"/>
      <c r="I302" s="308"/>
      <c r="J302" s="308"/>
      <c r="K302" s="308"/>
      <c r="L302" s="308"/>
      <c r="M302" s="308"/>
      <c r="N302" s="308"/>
      <c r="O302" s="308"/>
      <c r="P302" s="308"/>
      <c r="Q302" s="308"/>
      <c r="R302" s="308"/>
      <c r="S302" s="308"/>
      <c r="T302" s="308"/>
      <c r="U302" s="308"/>
      <c r="V302" s="308"/>
      <c r="W302" s="308"/>
      <c r="X302" s="308"/>
      <c r="Y302" s="308"/>
      <c r="Z302" s="308"/>
      <c r="AA302" s="308"/>
      <c r="AB302" s="308"/>
      <c r="AC302" s="308"/>
      <c r="AD302" s="308"/>
      <c r="AE302" s="308"/>
      <c r="AF302" s="308"/>
      <c r="AG302" s="308"/>
      <c r="AH302" s="308"/>
      <c r="AI302" s="308"/>
      <c r="AJ302" s="308"/>
      <c r="AK302" s="308"/>
      <c r="AL302" s="308"/>
      <c r="AM302" s="308"/>
      <c r="AN302" s="308"/>
      <c r="AO302" s="308"/>
      <c r="AP302" s="308"/>
      <c r="AQ302" s="308"/>
      <c r="AR302" s="308"/>
      <c r="AS302" s="308"/>
      <c r="AT302" s="308"/>
      <c r="AU302" s="308"/>
      <c r="AV302" s="308"/>
      <c r="AW302" s="308"/>
      <c r="AX302" s="308"/>
      <c r="AY302" s="308"/>
      <c r="AZ302" s="308"/>
      <c r="BA302" s="308"/>
      <c r="BB302" s="308"/>
      <c r="BC302" s="308"/>
      <c r="BD302" s="308"/>
      <c r="BE302" s="308"/>
      <c r="BF302" s="308"/>
      <c r="BG302" s="308"/>
      <c r="BH302" s="308"/>
      <c r="BI302" s="308"/>
      <c r="BJ302" s="308"/>
      <c r="BK302" s="308"/>
      <c r="BL302" s="308"/>
      <c r="BM302" s="308"/>
      <c r="BN302" s="308"/>
      <c r="BO302" s="308"/>
      <c r="BP302" s="308"/>
      <c r="BQ302" s="308"/>
      <c r="BR302" s="308"/>
      <c r="BS302" s="308"/>
    </row>
    <row r="303" spans="1:71" ht="15.75" customHeight="1">
      <c r="A303" s="308"/>
      <c r="B303" s="308"/>
      <c r="C303" s="308"/>
      <c r="D303" s="308"/>
      <c r="E303" s="308"/>
      <c r="F303" s="341"/>
      <c r="G303" s="340"/>
      <c r="H303" s="308"/>
      <c r="I303" s="308"/>
      <c r="J303" s="308"/>
      <c r="K303" s="308"/>
      <c r="L303" s="308"/>
      <c r="M303" s="308"/>
      <c r="N303" s="308"/>
      <c r="O303" s="308"/>
      <c r="P303" s="308"/>
      <c r="Q303" s="308"/>
      <c r="R303" s="308"/>
      <c r="S303" s="308"/>
      <c r="T303" s="308"/>
      <c r="U303" s="308"/>
      <c r="V303" s="308"/>
      <c r="W303" s="308"/>
      <c r="X303" s="308"/>
      <c r="Y303" s="308"/>
      <c r="Z303" s="308"/>
      <c r="AA303" s="308"/>
      <c r="AB303" s="308"/>
      <c r="AC303" s="308"/>
      <c r="AD303" s="308"/>
      <c r="AE303" s="308"/>
      <c r="AF303" s="308"/>
      <c r="AG303" s="308"/>
      <c r="AH303" s="308"/>
      <c r="AI303" s="308"/>
      <c r="AJ303" s="308"/>
      <c r="AK303" s="308"/>
      <c r="AL303" s="308"/>
      <c r="AM303" s="308"/>
      <c r="AN303" s="308"/>
      <c r="AO303" s="308"/>
      <c r="AP303" s="308"/>
      <c r="AQ303" s="308"/>
      <c r="AR303" s="308"/>
      <c r="AS303" s="308"/>
      <c r="AT303" s="308"/>
      <c r="AU303" s="308"/>
      <c r="AV303" s="308"/>
      <c r="AW303" s="308"/>
      <c r="AX303" s="308"/>
      <c r="AY303" s="308"/>
      <c r="AZ303" s="308"/>
      <c r="BA303" s="308"/>
      <c r="BB303" s="308"/>
      <c r="BC303" s="308"/>
      <c r="BD303" s="308"/>
      <c r="BE303" s="308"/>
      <c r="BF303" s="308"/>
      <c r="BG303" s="308"/>
      <c r="BH303" s="308"/>
      <c r="BI303" s="308"/>
      <c r="BJ303" s="308"/>
      <c r="BK303" s="308"/>
      <c r="BL303" s="308"/>
      <c r="BM303" s="308"/>
      <c r="BN303" s="308"/>
      <c r="BO303" s="308"/>
      <c r="BP303" s="308"/>
      <c r="BQ303" s="308"/>
      <c r="BR303" s="308"/>
      <c r="BS303" s="308"/>
    </row>
    <row r="304" spans="1:71" ht="15.75" customHeight="1">
      <c r="A304" s="308"/>
      <c r="B304" s="308"/>
      <c r="C304" s="308"/>
      <c r="D304" s="308"/>
      <c r="E304" s="308"/>
      <c r="F304" s="341"/>
      <c r="G304" s="340"/>
      <c r="H304" s="308"/>
      <c r="I304" s="308"/>
      <c r="J304" s="308"/>
      <c r="K304" s="308"/>
      <c r="L304" s="308"/>
      <c r="M304" s="308"/>
      <c r="N304" s="308"/>
      <c r="O304" s="308"/>
      <c r="P304" s="308"/>
      <c r="Q304" s="308"/>
      <c r="R304" s="308"/>
      <c r="S304" s="308"/>
      <c r="T304" s="308"/>
      <c r="U304" s="308"/>
      <c r="V304" s="308"/>
      <c r="W304" s="308"/>
      <c r="X304" s="308"/>
      <c r="Y304" s="308"/>
      <c r="Z304" s="308"/>
      <c r="AA304" s="308"/>
      <c r="AB304" s="308"/>
      <c r="AC304" s="308"/>
      <c r="AD304" s="308"/>
      <c r="AE304" s="308"/>
      <c r="AF304" s="308"/>
      <c r="AG304" s="308"/>
      <c r="AH304" s="308"/>
      <c r="AI304" s="308"/>
      <c r="AJ304" s="308"/>
      <c r="AK304" s="308"/>
      <c r="AL304" s="308"/>
      <c r="AM304" s="308"/>
      <c r="AN304" s="308"/>
      <c r="AO304" s="308"/>
      <c r="AP304" s="308"/>
      <c r="AQ304" s="308"/>
      <c r="AR304" s="308"/>
      <c r="AS304" s="308"/>
      <c r="AT304" s="308"/>
      <c r="AU304" s="308"/>
      <c r="AV304" s="308"/>
      <c r="AW304" s="308"/>
      <c r="AX304" s="308"/>
      <c r="AY304" s="308"/>
      <c r="AZ304" s="308"/>
      <c r="BA304" s="308"/>
      <c r="BB304" s="308"/>
      <c r="BC304" s="308"/>
      <c r="BD304" s="308"/>
      <c r="BE304" s="308"/>
      <c r="BF304" s="308"/>
      <c r="BG304" s="308"/>
      <c r="BH304" s="308"/>
      <c r="BI304" s="308"/>
      <c r="BJ304" s="308"/>
      <c r="BK304" s="308"/>
      <c r="BL304" s="308"/>
      <c r="BM304" s="308"/>
      <c r="BN304" s="308"/>
      <c r="BO304" s="308"/>
      <c r="BP304" s="308"/>
      <c r="BQ304" s="308"/>
      <c r="BR304" s="308"/>
      <c r="BS304" s="308"/>
    </row>
    <row r="305" spans="1:71" ht="15.75" customHeight="1">
      <c r="A305" s="308"/>
      <c r="B305" s="308"/>
      <c r="C305" s="308"/>
      <c r="D305" s="308"/>
      <c r="E305" s="308"/>
      <c r="F305" s="341"/>
      <c r="G305" s="340"/>
      <c r="H305" s="308"/>
      <c r="I305" s="308"/>
      <c r="J305" s="308"/>
      <c r="K305" s="308"/>
      <c r="L305" s="308"/>
      <c r="M305" s="308"/>
      <c r="N305" s="308"/>
      <c r="O305" s="308"/>
      <c r="P305" s="308"/>
      <c r="Q305" s="308"/>
      <c r="R305" s="308"/>
      <c r="S305" s="308"/>
      <c r="T305" s="308"/>
      <c r="U305" s="308"/>
      <c r="V305" s="308"/>
      <c r="W305" s="308"/>
      <c r="X305" s="308"/>
      <c r="Y305" s="308"/>
      <c r="Z305" s="308"/>
      <c r="AA305" s="308"/>
      <c r="AB305" s="308"/>
      <c r="AC305" s="308"/>
      <c r="AD305" s="308"/>
      <c r="AE305" s="308"/>
      <c r="AF305" s="308"/>
      <c r="AG305" s="308"/>
      <c r="AH305" s="308"/>
      <c r="AI305" s="308"/>
      <c r="AJ305" s="308"/>
      <c r="AK305" s="308"/>
      <c r="AL305" s="308"/>
      <c r="AM305" s="308"/>
      <c r="AN305" s="308"/>
      <c r="AO305" s="308"/>
      <c r="AP305" s="308"/>
      <c r="AQ305" s="308"/>
      <c r="AR305" s="308"/>
      <c r="AS305" s="308"/>
      <c r="AT305" s="308"/>
      <c r="AU305" s="308"/>
      <c r="AV305" s="308"/>
      <c r="AW305" s="308"/>
      <c r="AX305" s="308"/>
      <c r="AY305" s="308"/>
      <c r="AZ305" s="308"/>
      <c r="BA305" s="308"/>
      <c r="BB305" s="308"/>
      <c r="BC305" s="308"/>
      <c r="BD305" s="308"/>
      <c r="BE305" s="308"/>
      <c r="BF305" s="308"/>
      <c r="BG305" s="308"/>
      <c r="BH305" s="308"/>
      <c r="BI305" s="308"/>
      <c r="BJ305" s="308"/>
      <c r="BK305" s="308"/>
      <c r="BL305" s="308"/>
      <c r="BM305" s="308"/>
      <c r="BN305" s="308"/>
      <c r="BO305" s="308"/>
      <c r="BP305" s="308"/>
      <c r="BQ305" s="308"/>
      <c r="BR305" s="308"/>
      <c r="BS305" s="308"/>
    </row>
    <row r="306" spans="1:71" ht="15.75" customHeight="1">
      <c r="A306" s="308"/>
      <c r="B306" s="308"/>
      <c r="C306" s="308"/>
      <c r="D306" s="308"/>
      <c r="E306" s="308"/>
      <c r="F306" s="341"/>
      <c r="G306" s="340"/>
      <c r="H306" s="308"/>
      <c r="I306" s="308"/>
      <c r="J306" s="308"/>
      <c r="K306" s="308"/>
      <c r="L306" s="308"/>
      <c r="M306" s="308"/>
      <c r="N306" s="308"/>
      <c r="O306" s="308"/>
      <c r="P306" s="308"/>
      <c r="Q306" s="308"/>
      <c r="R306" s="308"/>
      <c r="S306" s="308"/>
      <c r="T306" s="308"/>
      <c r="U306" s="308"/>
      <c r="V306" s="308"/>
      <c r="W306" s="308"/>
      <c r="X306" s="308"/>
      <c r="Y306" s="308"/>
      <c r="Z306" s="308"/>
      <c r="AA306" s="308"/>
      <c r="AB306" s="308"/>
      <c r="AC306" s="308"/>
      <c r="AD306" s="308"/>
      <c r="AE306" s="308"/>
      <c r="AF306" s="308"/>
      <c r="AG306" s="308"/>
      <c r="AH306" s="308"/>
      <c r="AI306" s="308"/>
      <c r="AJ306" s="308"/>
      <c r="AK306" s="308"/>
      <c r="AL306" s="308"/>
      <c r="AM306" s="308"/>
      <c r="AN306" s="308"/>
      <c r="AO306" s="308"/>
      <c r="AP306" s="308"/>
      <c r="AQ306" s="308"/>
      <c r="AR306" s="308"/>
      <c r="AS306" s="308"/>
      <c r="AT306" s="308"/>
      <c r="AU306" s="308"/>
      <c r="AV306" s="308"/>
      <c r="AW306" s="308"/>
      <c r="AX306" s="308"/>
      <c r="AY306" s="308"/>
      <c r="AZ306" s="308"/>
      <c r="BA306" s="308"/>
      <c r="BB306" s="308"/>
      <c r="BC306" s="308"/>
      <c r="BD306" s="308"/>
      <c r="BE306" s="308"/>
      <c r="BF306" s="308"/>
      <c r="BG306" s="308"/>
      <c r="BH306" s="308"/>
      <c r="BI306" s="308"/>
      <c r="BJ306" s="308"/>
      <c r="BK306" s="308"/>
      <c r="BL306" s="308"/>
      <c r="BM306" s="308"/>
      <c r="BN306" s="308"/>
      <c r="BO306" s="308"/>
      <c r="BP306" s="308"/>
      <c r="BQ306" s="308"/>
      <c r="BR306" s="308"/>
      <c r="BS306" s="308"/>
    </row>
    <row r="307" spans="1:71" ht="15.75" customHeight="1">
      <c r="A307" s="308"/>
      <c r="B307" s="308"/>
      <c r="C307" s="308"/>
      <c r="D307" s="308"/>
      <c r="E307" s="308"/>
      <c r="F307" s="341"/>
      <c r="G307" s="340"/>
      <c r="H307" s="308"/>
      <c r="I307" s="308"/>
      <c r="J307" s="308"/>
      <c r="K307" s="308"/>
      <c r="L307" s="308"/>
      <c r="M307" s="308"/>
      <c r="N307" s="308"/>
      <c r="O307" s="308"/>
      <c r="P307" s="308"/>
      <c r="Q307" s="308"/>
      <c r="R307" s="308"/>
      <c r="S307" s="308"/>
      <c r="T307" s="308"/>
      <c r="U307" s="308"/>
      <c r="V307" s="308"/>
      <c r="W307" s="308"/>
      <c r="X307" s="308"/>
      <c r="Y307" s="308"/>
      <c r="Z307" s="308"/>
      <c r="AA307" s="308"/>
      <c r="AB307" s="308"/>
      <c r="AC307" s="308"/>
      <c r="AD307" s="308"/>
      <c r="AE307" s="308"/>
      <c r="AF307" s="308"/>
      <c r="AG307" s="308"/>
      <c r="AH307" s="308"/>
      <c r="AI307" s="308"/>
      <c r="AJ307" s="308"/>
      <c r="AK307" s="308"/>
      <c r="AL307" s="308"/>
      <c r="AM307" s="308"/>
      <c r="AN307" s="308"/>
      <c r="AO307" s="308"/>
      <c r="AP307" s="308"/>
      <c r="AQ307" s="308"/>
      <c r="AR307" s="308"/>
      <c r="AS307" s="308"/>
      <c r="AT307" s="308"/>
      <c r="AU307" s="308"/>
      <c r="AV307" s="308"/>
      <c r="AW307" s="308"/>
      <c r="AX307" s="308"/>
      <c r="AY307" s="308"/>
      <c r="AZ307" s="308"/>
      <c r="BA307" s="308"/>
      <c r="BB307" s="308"/>
      <c r="BC307" s="308"/>
      <c r="BD307" s="308"/>
      <c r="BE307" s="308"/>
      <c r="BF307" s="308"/>
      <c r="BG307" s="308"/>
      <c r="BH307" s="308"/>
      <c r="BI307" s="308"/>
      <c r="BJ307" s="308"/>
      <c r="BK307" s="308"/>
      <c r="BL307" s="308"/>
      <c r="BM307" s="308"/>
      <c r="BN307" s="308"/>
      <c r="BO307" s="308"/>
      <c r="BP307" s="308"/>
      <c r="BQ307" s="308"/>
      <c r="BR307" s="308"/>
      <c r="BS307" s="308"/>
    </row>
    <row r="308" spans="1:71" ht="15.75" customHeight="1">
      <c r="A308" s="308"/>
      <c r="B308" s="308"/>
      <c r="C308" s="308"/>
      <c r="D308" s="308"/>
      <c r="E308" s="308"/>
      <c r="F308" s="341"/>
      <c r="G308" s="340"/>
      <c r="H308" s="308"/>
      <c r="I308" s="308"/>
      <c r="J308" s="308"/>
      <c r="K308" s="308"/>
      <c r="L308" s="308"/>
      <c r="M308" s="308"/>
      <c r="N308" s="308"/>
      <c r="O308" s="308"/>
      <c r="P308" s="308"/>
      <c r="Q308" s="308"/>
      <c r="R308" s="308"/>
      <c r="S308" s="308"/>
      <c r="T308" s="308"/>
      <c r="U308" s="308"/>
      <c r="V308" s="308"/>
      <c r="W308" s="308"/>
      <c r="X308" s="308"/>
      <c r="Y308" s="308"/>
      <c r="Z308" s="308"/>
      <c r="AA308" s="308"/>
      <c r="AB308" s="308"/>
      <c r="AC308" s="308"/>
      <c r="AD308" s="308"/>
      <c r="AE308" s="308"/>
      <c r="AF308" s="308"/>
      <c r="AG308" s="308"/>
      <c r="AH308" s="308"/>
      <c r="AI308" s="308"/>
      <c r="AJ308" s="308"/>
      <c r="AK308" s="308"/>
      <c r="AL308" s="308"/>
      <c r="AM308" s="308"/>
      <c r="AN308" s="308"/>
      <c r="AO308" s="308"/>
      <c r="AP308" s="308"/>
      <c r="AQ308" s="308"/>
      <c r="AR308" s="308"/>
      <c r="AS308" s="308"/>
      <c r="AT308" s="308"/>
      <c r="AU308" s="308"/>
      <c r="AV308" s="308"/>
      <c r="AW308" s="308"/>
      <c r="AX308" s="308"/>
      <c r="AY308" s="308"/>
      <c r="AZ308" s="308"/>
      <c r="BA308" s="308"/>
      <c r="BB308" s="308"/>
      <c r="BC308" s="308"/>
      <c r="BD308" s="308"/>
      <c r="BE308" s="308"/>
      <c r="BF308" s="308"/>
      <c r="BG308" s="308"/>
      <c r="BH308" s="308"/>
      <c r="BI308" s="308"/>
      <c r="BJ308" s="308"/>
      <c r="BK308" s="308"/>
      <c r="BL308" s="308"/>
      <c r="BM308" s="308"/>
      <c r="BN308" s="308"/>
      <c r="BO308" s="308"/>
      <c r="BP308" s="308"/>
      <c r="BQ308" s="308"/>
      <c r="BR308" s="308"/>
      <c r="BS308" s="308"/>
    </row>
    <row r="309" spans="1:71" ht="15.75" customHeight="1">
      <c r="A309" s="308"/>
      <c r="B309" s="308"/>
      <c r="C309" s="308"/>
      <c r="D309" s="308"/>
      <c r="E309" s="308"/>
      <c r="F309" s="341"/>
      <c r="G309" s="340"/>
      <c r="H309" s="308"/>
      <c r="I309" s="308"/>
      <c r="J309" s="308"/>
      <c r="K309" s="308"/>
      <c r="L309" s="308"/>
      <c r="M309" s="308"/>
      <c r="N309" s="308"/>
      <c r="O309" s="308"/>
      <c r="P309" s="308"/>
      <c r="Q309" s="308"/>
      <c r="R309" s="308"/>
      <c r="S309" s="308"/>
      <c r="T309" s="308"/>
      <c r="U309" s="308"/>
      <c r="V309" s="308"/>
      <c r="W309" s="308"/>
      <c r="X309" s="308"/>
      <c r="Y309" s="308"/>
      <c r="Z309" s="308"/>
      <c r="AA309" s="308"/>
      <c r="AB309" s="308"/>
      <c r="AC309" s="308"/>
      <c r="AD309" s="308"/>
      <c r="AE309" s="308"/>
      <c r="AF309" s="308"/>
      <c r="AG309" s="308"/>
      <c r="AH309" s="308"/>
      <c r="AI309" s="308"/>
      <c r="AJ309" s="308"/>
      <c r="AK309" s="308"/>
      <c r="AL309" s="308"/>
      <c r="AM309" s="308"/>
      <c r="AN309" s="308"/>
      <c r="AO309" s="308"/>
      <c r="AP309" s="308"/>
      <c r="AQ309" s="308"/>
      <c r="AR309" s="308"/>
      <c r="AS309" s="308"/>
      <c r="AT309" s="308"/>
      <c r="AU309" s="308"/>
      <c r="AV309" s="308"/>
      <c r="AW309" s="308"/>
      <c r="AX309" s="308"/>
      <c r="AY309" s="308"/>
      <c r="AZ309" s="308"/>
      <c r="BA309" s="308"/>
      <c r="BB309" s="308"/>
      <c r="BC309" s="308"/>
      <c r="BD309" s="308"/>
      <c r="BE309" s="308"/>
      <c r="BF309" s="308"/>
      <c r="BG309" s="308"/>
      <c r="BH309" s="308"/>
      <c r="BI309" s="308"/>
      <c r="BJ309" s="308"/>
      <c r="BK309" s="308"/>
      <c r="BL309" s="308"/>
      <c r="BM309" s="308"/>
      <c r="BN309" s="308"/>
      <c r="BO309" s="308"/>
      <c r="BP309" s="308"/>
      <c r="BQ309" s="308"/>
      <c r="BR309" s="308"/>
      <c r="BS309" s="308"/>
    </row>
    <row r="310" spans="1:71" ht="15.75" customHeight="1">
      <c r="A310" s="308"/>
      <c r="B310" s="308"/>
      <c r="C310" s="308"/>
      <c r="D310" s="308"/>
      <c r="E310" s="308"/>
      <c r="F310" s="341"/>
      <c r="G310" s="340"/>
      <c r="H310" s="308"/>
      <c r="I310" s="308"/>
      <c r="J310" s="308"/>
      <c r="K310" s="308"/>
      <c r="L310" s="308"/>
      <c r="M310" s="308"/>
      <c r="N310" s="308"/>
      <c r="O310" s="308"/>
      <c r="P310" s="308"/>
      <c r="Q310" s="308"/>
      <c r="R310" s="308"/>
      <c r="S310" s="308"/>
      <c r="T310" s="308"/>
      <c r="U310" s="308"/>
      <c r="V310" s="308"/>
      <c r="W310" s="308"/>
      <c r="X310" s="308"/>
      <c r="Y310" s="308"/>
      <c r="Z310" s="308"/>
      <c r="AA310" s="308"/>
      <c r="AB310" s="308"/>
      <c r="AC310" s="308"/>
      <c r="AD310" s="308"/>
      <c r="AE310" s="308"/>
      <c r="AF310" s="308"/>
      <c r="AG310" s="308"/>
      <c r="AH310" s="308"/>
      <c r="AI310" s="308"/>
      <c r="AJ310" s="308"/>
      <c r="AK310" s="308"/>
      <c r="AL310" s="308"/>
      <c r="AM310" s="308"/>
      <c r="AN310" s="308"/>
      <c r="AO310" s="308"/>
      <c r="AP310" s="308"/>
      <c r="AQ310" s="308"/>
      <c r="AR310" s="308"/>
      <c r="AS310" s="308"/>
      <c r="AT310" s="308"/>
      <c r="AU310" s="308"/>
      <c r="AV310" s="308"/>
      <c r="AW310" s="308"/>
      <c r="AX310" s="308"/>
      <c r="AY310" s="308"/>
      <c r="AZ310" s="308"/>
      <c r="BA310" s="308"/>
      <c r="BB310" s="308"/>
      <c r="BC310" s="308"/>
      <c r="BD310" s="308"/>
      <c r="BE310" s="308"/>
      <c r="BF310" s="308"/>
      <c r="BG310" s="308"/>
      <c r="BH310" s="308"/>
      <c r="BI310" s="308"/>
      <c r="BJ310" s="308"/>
      <c r="BK310" s="308"/>
      <c r="BL310" s="308"/>
      <c r="BM310" s="308"/>
      <c r="BN310" s="308"/>
      <c r="BO310" s="308"/>
      <c r="BP310" s="308"/>
      <c r="BQ310" s="308"/>
      <c r="BR310" s="308"/>
      <c r="BS310" s="308"/>
    </row>
    <row r="311" spans="1:71" ht="15.75" customHeight="1">
      <c r="A311" s="308"/>
      <c r="B311" s="308"/>
      <c r="C311" s="308"/>
      <c r="D311" s="308"/>
      <c r="E311" s="308"/>
      <c r="F311" s="341"/>
      <c r="G311" s="340"/>
      <c r="H311" s="308"/>
      <c r="I311" s="308"/>
      <c r="J311" s="308"/>
      <c r="K311" s="308"/>
      <c r="L311" s="308"/>
      <c r="M311" s="308"/>
      <c r="N311" s="308"/>
      <c r="O311" s="308"/>
      <c r="P311" s="308"/>
      <c r="Q311" s="308"/>
      <c r="R311" s="308"/>
      <c r="S311" s="308"/>
      <c r="T311" s="308"/>
      <c r="U311" s="308"/>
      <c r="V311" s="308"/>
      <c r="W311" s="308"/>
      <c r="X311" s="308"/>
      <c r="Y311" s="308"/>
      <c r="Z311" s="308"/>
      <c r="AA311" s="308"/>
      <c r="AB311" s="308"/>
      <c r="AC311" s="308"/>
      <c r="AD311" s="308"/>
      <c r="AE311" s="308"/>
      <c r="AF311" s="308"/>
      <c r="AG311" s="308"/>
      <c r="AH311" s="308"/>
      <c r="AI311" s="308"/>
      <c r="AJ311" s="308"/>
      <c r="AK311" s="308"/>
      <c r="AL311" s="308"/>
      <c r="AM311" s="308"/>
      <c r="AN311" s="308"/>
      <c r="AO311" s="308"/>
      <c r="AP311" s="308"/>
      <c r="AQ311" s="308"/>
      <c r="AR311" s="308"/>
      <c r="AS311" s="308"/>
      <c r="AT311" s="308"/>
      <c r="AU311" s="308"/>
      <c r="AV311" s="308"/>
      <c r="AW311" s="308"/>
      <c r="AX311" s="308"/>
      <c r="AY311" s="308"/>
      <c r="AZ311" s="308"/>
      <c r="BA311" s="308"/>
      <c r="BB311" s="308"/>
      <c r="BC311" s="308"/>
      <c r="BD311" s="308"/>
      <c r="BE311" s="308"/>
      <c r="BF311" s="308"/>
      <c r="BG311" s="308"/>
      <c r="BH311" s="308"/>
      <c r="BI311" s="308"/>
      <c r="BJ311" s="308"/>
      <c r="BK311" s="308"/>
      <c r="BL311" s="308"/>
      <c r="BM311" s="308"/>
      <c r="BN311" s="308"/>
      <c r="BO311" s="308"/>
      <c r="BP311" s="308"/>
      <c r="BQ311" s="308"/>
      <c r="BR311" s="308"/>
      <c r="BS311" s="308"/>
    </row>
    <row r="312" spans="1:71" ht="15.75" customHeight="1">
      <c r="A312" s="308"/>
      <c r="B312" s="308"/>
      <c r="C312" s="308"/>
      <c r="D312" s="308"/>
      <c r="E312" s="308"/>
      <c r="F312" s="341"/>
      <c r="G312" s="340"/>
      <c r="H312" s="308"/>
      <c r="I312" s="308"/>
      <c r="J312" s="308"/>
      <c r="K312" s="308"/>
      <c r="L312" s="308"/>
      <c r="M312" s="308"/>
      <c r="N312" s="308"/>
      <c r="O312" s="308"/>
      <c r="P312" s="308"/>
      <c r="Q312" s="308"/>
      <c r="R312" s="308"/>
      <c r="S312" s="308"/>
      <c r="T312" s="308"/>
      <c r="U312" s="308"/>
      <c r="V312" s="308"/>
      <c r="W312" s="308"/>
      <c r="X312" s="308"/>
      <c r="Y312" s="308"/>
      <c r="Z312" s="308"/>
      <c r="AA312" s="308"/>
      <c r="AB312" s="308"/>
      <c r="AC312" s="308"/>
      <c r="AD312" s="308"/>
      <c r="AE312" s="308"/>
      <c r="AF312" s="308"/>
      <c r="AG312" s="308"/>
      <c r="AH312" s="308"/>
      <c r="AI312" s="308"/>
      <c r="AJ312" s="308"/>
      <c r="AK312" s="308"/>
      <c r="AL312" s="308"/>
      <c r="AM312" s="308"/>
      <c r="AN312" s="308"/>
      <c r="AO312" s="308"/>
      <c r="AP312" s="308"/>
      <c r="AQ312" s="308"/>
      <c r="AR312" s="308"/>
      <c r="AS312" s="308"/>
      <c r="AT312" s="308"/>
      <c r="AU312" s="308"/>
      <c r="AV312" s="308"/>
      <c r="AW312" s="308"/>
      <c r="AX312" s="308"/>
      <c r="AY312" s="308"/>
      <c r="AZ312" s="308"/>
      <c r="BA312" s="308"/>
      <c r="BB312" s="308"/>
      <c r="BC312" s="308"/>
      <c r="BD312" s="308"/>
      <c r="BE312" s="308"/>
      <c r="BF312" s="308"/>
      <c r="BG312" s="308"/>
      <c r="BH312" s="308"/>
      <c r="BI312" s="308"/>
      <c r="BJ312" s="308"/>
      <c r="BK312" s="308"/>
      <c r="BL312" s="308"/>
      <c r="BM312" s="308"/>
      <c r="BN312" s="308"/>
      <c r="BO312" s="308"/>
      <c r="BP312" s="308"/>
      <c r="BQ312" s="308"/>
      <c r="BR312" s="308"/>
      <c r="BS312" s="308"/>
    </row>
    <row r="313" spans="1:71" ht="15.75" customHeight="1">
      <c r="A313" s="308"/>
      <c r="B313" s="308"/>
      <c r="C313" s="308"/>
      <c r="D313" s="308"/>
      <c r="E313" s="308"/>
      <c r="F313" s="341"/>
      <c r="G313" s="340"/>
      <c r="H313" s="308"/>
      <c r="I313" s="308"/>
      <c r="J313" s="308"/>
      <c r="K313" s="308"/>
      <c r="L313" s="308"/>
      <c r="M313" s="308"/>
      <c r="N313" s="308"/>
      <c r="O313" s="308"/>
      <c r="P313" s="308"/>
      <c r="Q313" s="308"/>
      <c r="R313" s="308"/>
      <c r="S313" s="308"/>
      <c r="T313" s="308"/>
      <c r="U313" s="308"/>
      <c r="V313" s="308"/>
      <c r="W313" s="308"/>
      <c r="X313" s="308"/>
      <c r="Y313" s="308"/>
      <c r="Z313" s="308"/>
      <c r="AA313" s="308"/>
      <c r="AB313" s="308"/>
      <c r="AC313" s="308"/>
      <c r="AD313" s="308"/>
      <c r="AE313" s="308"/>
      <c r="AF313" s="308"/>
      <c r="AG313" s="308"/>
      <c r="AH313" s="308"/>
      <c r="AI313" s="308"/>
      <c r="AJ313" s="308"/>
      <c r="AK313" s="308"/>
      <c r="AL313" s="308"/>
      <c r="AM313" s="308"/>
      <c r="AN313" s="308"/>
      <c r="AO313" s="308"/>
      <c r="AP313" s="308"/>
      <c r="AQ313" s="308"/>
      <c r="AR313" s="308"/>
      <c r="AS313" s="308"/>
      <c r="AT313" s="308"/>
      <c r="AU313" s="308"/>
      <c r="AV313" s="308"/>
      <c r="AW313" s="308"/>
      <c r="AX313" s="308"/>
      <c r="AY313" s="308"/>
      <c r="AZ313" s="308"/>
      <c r="BA313" s="308"/>
      <c r="BB313" s="308"/>
      <c r="BC313" s="308"/>
      <c r="BD313" s="308"/>
      <c r="BE313" s="308"/>
      <c r="BF313" s="308"/>
      <c r="BG313" s="308"/>
      <c r="BH313" s="308"/>
      <c r="BI313" s="308"/>
      <c r="BJ313" s="308"/>
      <c r="BK313" s="308"/>
      <c r="BL313" s="308"/>
      <c r="BM313" s="308"/>
      <c r="BN313" s="308"/>
      <c r="BO313" s="308"/>
      <c r="BP313" s="308"/>
      <c r="BQ313" s="308"/>
      <c r="BR313" s="308"/>
      <c r="BS313" s="308"/>
    </row>
    <row r="314" spans="1:71" ht="15.75" customHeight="1">
      <c r="A314" s="308"/>
      <c r="B314" s="308"/>
      <c r="C314" s="308"/>
      <c r="D314" s="308"/>
      <c r="E314" s="308"/>
      <c r="F314" s="341"/>
      <c r="G314" s="340"/>
      <c r="H314" s="308"/>
      <c r="I314" s="308"/>
      <c r="J314" s="308"/>
      <c r="K314" s="308"/>
      <c r="L314" s="308"/>
      <c r="M314" s="308"/>
      <c r="N314" s="308"/>
      <c r="O314" s="308"/>
      <c r="P314" s="308"/>
      <c r="Q314" s="308"/>
      <c r="R314" s="308"/>
      <c r="S314" s="308"/>
      <c r="T314" s="308"/>
      <c r="U314" s="308"/>
      <c r="V314" s="308"/>
      <c r="W314" s="308"/>
      <c r="X314" s="308"/>
      <c r="Y314" s="308"/>
      <c r="Z314" s="308"/>
      <c r="AA314" s="308"/>
      <c r="AB314" s="308"/>
      <c r="AC314" s="308"/>
      <c r="AD314" s="308"/>
      <c r="AE314" s="308"/>
      <c r="AF314" s="308"/>
      <c r="AG314" s="308"/>
      <c r="AH314" s="308"/>
      <c r="AI314" s="308"/>
      <c r="AJ314" s="308"/>
      <c r="AK314" s="308"/>
      <c r="AL314" s="308"/>
      <c r="AM314" s="308"/>
      <c r="AN314" s="308"/>
      <c r="AO314" s="308"/>
      <c r="AP314" s="308"/>
      <c r="AQ314" s="308"/>
      <c r="AR314" s="308"/>
      <c r="AS314" s="308"/>
      <c r="AT314" s="308"/>
      <c r="AU314" s="308"/>
      <c r="AV314" s="308"/>
      <c r="AW314" s="308"/>
      <c r="AX314" s="308"/>
      <c r="AY314" s="308"/>
      <c r="AZ314" s="308"/>
      <c r="BA314" s="308"/>
      <c r="BB314" s="308"/>
      <c r="BC314" s="308"/>
      <c r="BD314" s="308"/>
      <c r="BE314" s="308"/>
      <c r="BF314" s="308"/>
      <c r="BG314" s="308"/>
      <c r="BH314" s="308"/>
      <c r="BI314" s="308"/>
      <c r="BJ314" s="308"/>
      <c r="BK314" s="308"/>
      <c r="BL314" s="308"/>
      <c r="BM314" s="308"/>
      <c r="BN314" s="308"/>
      <c r="BO314" s="308"/>
      <c r="BP314" s="308"/>
      <c r="BQ314" s="308"/>
      <c r="BR314" s="308"/>
      <c r="BS314" s="308"/>
    </row>
    <row r="315" spans="1:71" ht="15.75" customHeight="1">
      <c r="A315" s="308"/>
      <c r="B315" s="308"/>
      <c r="C315" s="308"/>
      <c r="D315" s="308"/>
      <c r="E315" s="308"/>
      <c r="F315" s="341"/>
      <c r="G315" s="340"/>
      <c r="H315" s="308"/>
      <c r="I315" s="308"/>
      <c r="J315" s="308"/>
      <c r="K315" s="308"/>
      <c r="L315" s="308"/>
      <c r="M315" s="308"/>
      <c r="N315" s="308"/>
      <c r="O315" s="308"/>
      <c r="P315" s="308"/>
      <c r="Q315" s="308"/>
      <c r="R315" s="308"/>
      <c r="S315" s="308"/>
      <c r="T315" s="308"/>
      <c r="U315" s="308"/>
      <c r="V315" s="308"/>
      <c r="W315" s="308"/>
      <c r="X315" s="308"/>
      <c r="Y315" s="308"/>
      <c r="Z315" s="308"/>
      <c r="AA315" s="308"/>
      <c r="AB315" s="308"/>
      <c r="AC315" s="308"/>
      <c r="AD315" s="308"/>
      <c r="AE315" s="308"/>
      <c r="AF315" s="308"/>
      <c r="AG315" s="308"/>
      <c r="AH315" s="308"/>
      <c r="AI315" s="308"/>
      <c r="AJ315" s="308"/>
      <c r="AK315" s="308"/>
      <c r="AL315" s="308"/>
      <c r="AM315" s="308"/>
      <c r="AN315" s="308"/>
      <c r="AO315" s="308"/>
      <c r="AP315" s="308"/>
      <c r="AQ315" s="308"/>
      <c r="AR315" s="308"/>
      <c r="AS315" s="308"/>
      <c r="AT315" s="308"/>
      <c r="AU315" s="308"/>
      <c r="AV315" s="308"/>
      <c r="AW315" s="308"/>
      <c r="AX315" s="308"/>
      <c r="AY315" s="308"/>
      <c r="AZ315" s="308"/>
      <c r="BA315" s="308"/>
      <c r="BB315" s="308"/>
      <c r="BC315" s="308"/>
      <c r="BD315" s="308"/>
      <c r="BE315" s="308"/>
      <c r="BF315" s="308"/>
      <c r="BG315" s="308"/>
      <c r="BH315" s="308"/>
      <c r="BI315" s="308"/>
      <c r="BJ315" s="308"/>
      <c r="BK315" s="308"/>
      <c r="BL315" s="308"/>
      <c r="BM315" s="308"/>
      <c r="BN315" s="308"/>
      <c r="BO315" s="308"/>
      <c r="BP315" s="308"/>
      <c r="BQ315" s="308"/>
      <c r="BR315" s="308"/>
      <c r="BS315" s="308"/>
    </row>
    <row r="316" spans="1:71" ht="15.75" customHeight="1">
      <c r="A316" s="308"/>
      <c r="B316" s="308"/>
      <c r="C316" s="308"/>
      <c r="D316" s="308"/>
      <c r="E316" s="308"/>
      <c r="F316" s="341"/>
      <c r="G316" s="340"/>
      <c r="H316" s="308"/>
      <c r="I316" s="308"/>
      <c r="J316" s="308"/>
      <c r="K316" s="308"/>
      <c r="L316" s="308"/>
      <c r="M316" s="308"/>
      <c r="N316" s="308"/>
      <c r="O316" s="308"/>
      <c r="P316" s="308"/>
      <c r="Q316" s="308"/>
      <c r="R316" s="308"/>
      <c r="S316" s="308"/>
      <c r="T316" s="308"/>
      <c r="U316" s="308"/>
      <c r="V316" s="308"/>
      <c r="W316" s="308"/>
      <c r="X316" s="308"/>
      <c r="Y316" s="308"/>
      <c r="Z316" s="308"/>
      <c r="AA316" s="308"/>
      <c r="AB316" s="308"/>
      <c r="AC316" s="308"/>
      <c r="AD316" s="308"/>
      <c r="AE316" s="308"/>
      <c r="AF316" s="308"/>
      <c r="AG316" s="308"/>
      <c r="AH316" s="308"/>
      <c r="AI316" s="308"/>
      <c r="AJ316" s="308"/>
      <c r="AK316" s="308"/>
      <c r="AL316" s="308"/>
      <c r="AM316" s="308"/>
      <c r="AN316" s="308"/>
      <c r="AO316" s="308"/>
      <c r="AP316" s="308"/>
      <c r="AQ316" s="308"/>
      <c r="AR316" s="308"/>
      <c r="AS316" s="308"/>
      <c r="AT316" s="308"/>
      <c r="AU316" s="308"/>
      <c r="AV316" s="308"/>
      <c r="AW316" s="308"/>
      <c r="AX316" s="308"/>
      <c r="AY316" s="308"/>
      <c r="AZ316" s="308"/>
      <c r="BA316" s="308"/>
      <c r="BB316" s="308"/>
      <c r="BC316" s="308"/>
      <c r="BD316" s="308"/>
      <c r="BE316" s="308"/>
      <c r="BF316" s="308"/>
      <c r="BG316" s="308"/>
      <c r="BH316" s="308"/>
      <c r="BI316" s="308"/>
      <c r="BJ316" s="308"/>
      <c r="BK316" s="308"/>
      <c r="BL316" s="308"/>
      <c r="BM316" s="308"/>
      <c r="BN316" s="308"/>
      <c r="BO316" s="308"/>
      <c r="BP316" s="308"/>
      <c r="BQ316" s="308"/>
      <c r="BR316" s="308"/>
      <c r="BS316" s="308"/>
    </row>
    <row r="317" spans="1:71" ht="15.75" customHeight="1">
      <c r="A317" s="308"/>
      <c r="B317" s="308"/>
      <c r="C317" s="308"/>
      <c r="D317" s="308"/>
      <c r="E317" s="308"/>
      <c r="F317" s="341"/>
      <c r="G317" s="340"/>
      <c r="H317" s="308"/>
      <c r="I317" s="308"/>
      <c r="J317" s="308"/>
      <c r="K317" s="308"/>
      <c r="L317" s="308"/>
      <c r="M317" s="308"/>
      <c r="N317" s="308"/>
      <c r="O317" s="308"/>
      <c r="P317" s="308"/>
      <c r="Q317" s="308"/>
      <c r="R317" s="308"/>
      <c r="S317" s="308"/>
      <c r="T317" s="308"/>
      <c r="U317" s="308"/>
      <c r="V317" s="308"/>
      <c r="W317" s="308"/>
      <c r="X317" s="308"/>
      <c r="Y317" s="308"/>
      <c r="Z317" s="308"/>
      <c r="AA317" s="308"/>
      <c r="AB317" s="308"/>
      <c r="AC317" s="308"/>
      <c r="AD317" s="308"/>
      <c r="AE317" s="308"/>
      <c r="AF317" s="308"/>
      <c r="AG317" s="308"/>
      <c r="AH317" s="308"/>
      <c r="AI317" s="308"/>
      <c r="AJ317" s="308"/>
      <c r="AK317" s="308"/>
      <c r="AL317" s="308"/>
      <c r="AM317" s="308"/>
      <c r="AN317" s="308"/>
      <c r="AO317" s="308"/>
      <c r="AP317" s="308"/>
      <c r="AQ317" s="308"/>
      <c r="AR317" s="308"/>
      <c r="AS317" s="308"/>
      <c r="AT317" s="308"/>
      <c r="AU317" s="308"/>
      <c r="AV317" s="308"/>
      <c r="AW317" s="308"/>
      <c r="AX317" s="308"/>
      <c r="AY317" s="308"/>
      <c r="AZ317" s="308"/>
      <c r="BA317" s="308"/>
      <c r="BB317" s="308"/>
      <c r="BC317" s="308"/>
      <c r="BD317" s="308"/>
      <c r="BE317" s="308"/>
      <c r="BF317" s="308"/>
      <c r="BG317" s="308"/>
      <c r="BH317" s="308"/>
      <c r="BI317" s="308"/>
      <c r="BJ317" s="308"/>
      <c r="BK317" s="308"/>
      <c r="BL317" s="308"/>
      <c r="BM317" s="308"/>
      <c r="BN317" s="308"/>
      <c r="BO317" s="308"/>
      <c r="BP317" s="308"/>
      <c r="BQ317" s="308"/>
      <c r="BR317" s="308"/>
      <c r="BS317" s="308"/>
    </row>
    <row r="318" spans="1:71" ht="15.75" customHeight="1">
      <c r="A318" s="308"/>
      <c r="B318" s="308"/>
      <c r="C318" s="308"/>
      <c r="D318" s="308"/>
      <c r="E318" s="308"/>
      <c r="F318" s="341"/>
      <c r="G318" s="340"/>
      <c r="H318" s="308"/>
      <c r="I318" s="308"/>
      <c r="J318" s="308"/>
      <c r="K318" s="308"/>
      <c r="L318" s="308"/>
      <c r="M318" s="308"/>
      <c r="N318" s="308"/>
      <c r="O318" s="308"/>
      <c r="P318" s="308"/>
      <c r="Q318" s="308"/>
      <c r="R318" s="308"/>
      <c r="S318" s="308"/>
      <c r="T318" s="308"/>
      <c r="U318" s="308"/>
      <c r="V318" s="308"/>
      <c r="W318" s="308"/>
      <c r="X318" s="308"/>
      <c r="Y318" s="308"/>
      <c r="Z318" s="308"/>
      <c r="AA318" s="308"/>
      <c r="AB318" s="308"/>
      <c r="AC318" s="308"/>
      <c r="AD318" s="308"/>
      <c r="AE318" s="308"/>
      <c r="AF318" s="308"/>
      <c r="AG318" s="308"/>
      <c r="AH318" s="308"/>
      <c r="AI318" s="308"/>
      <c r="AJ318" s="308"/>
      <c r="AK318" s="308"/>
      <c r="AL318" s="308"/>
      <c r="AM318" s="308"/>
      <c r="AN318" s="308"/>
      <c r="AO318" s="308"/>
      <c r="AP318" s="308"/>
      <c r="AQ318" s="308"/>
      <c r="AR318" s="308"/>
      <c r="AS318" s="308"/>
      <c r="AT318" s="308"/>
      <c r="AU318" s="308"/>
      <c r="AV318" s="308"/>
      <c r="AW318" s="308"/>
      <c r="AX318" s="308"/>
      <c r="AY318" s="308"/>
      <c r="AZ318" s="308"/>
      <c r="BA318" s="308"/>
      <c r="BB318" s="308"/>
      <c r="BC318" s="308"/>
      <c r="BD318" s="308"/>
      <c r="BE318" s="308"/>
      <c r="BF318" s="308"/>
      <c r="BG318" s="308"/>
      <c r="BH318" s="308"/>
      <c r="BI318" s="308"/>
      <c r="BJ318" s="308"/>
      <c r="BK318" s="308"/>
      <c r="BL318" s="308"/>
      <c r="BM318" s="308"/>
      <c r="BN318" s="308"/>
      <c r="BO318" s="308"/>
      <c r="BP318" s="308"/>
      <c r="BQ318" s="308"/>
      <c r="BR318" s="308"/>
      <c r="BS318" s="308"/>
    </row>
    <row r="319" spans="1:71" ht="15.75" customHeight="1">
      <c r="A319" s="308"/>
      <c r="B319" s="308"/>
      <c r="C319" s="308"/>
      <c r="D319" s="308"/>
      <c r="E319" s="308"/>
      <c r="F319" s="341"/>
      <c r="G319" s="340"/>
      <c r="H319" s="308"/>
      <c r="I319" s="308"/>
      <c r="J319" s="308"/>
      <c r="K319" s="308"/>
      <c r="L319" s="308"/>
      <c r="M319" s="308"/>
      <c r="N319" s="308"/>
      <c r="O319" s="308"/>
      <c r="P319" s="308"/>
      <c r="Q319" s="308"/>
      <c r="R319" s="308"/>
      <c r="S319" s="308"/>
      <c r="T319" s="308"/>
      <c r="U319" s="308"/>
      <c r="V319" s="308"/>
      <c r="W319" s="308"/>
      <c r="X319" s="308"/>
      <c r="Y319" s="308"/>
      <c r="Z319" s="308"/>
      <c r="AA319" s="308"/>
      <c r="AB319" s="308"/>
      <c r="AC319" s="308"/>
      <c r="AD319" s="308"/>
      <c r="AE319" s="308"/>
      <c r="AF319" s="308"/>
      <c r="AG319" s="308"/>
      <c r="AH319" s="308"/>
      <c r="AI319" s="308"/>
      <c r="AJ319" s="308"/>
      <c r="AK319" s="308"/>
      <c r="AL319" s="308"/>
      <c r="AM319" s="308"/>
      <c r="AN319" s="308"/>
      <c r="AO319" s="308"/>
      <c r="AP319" s="308"/>
      <c r="AQ319" s="308"/>
      <c r="AR319" s="308"/>
      <c r="AS319" s="308"/>
      <c r="AT319" s="308"/>
      <c r="AU319" s="308"/>
      <c r="AV319" s="308"/>
      <c r="AW319" s="308"/>
      <c r="AX319" s="308"/>
      <c r="AY319" s="308"/>
      <c r="AZ319" s="308"/>
      <c r="BA319" s="308"/>
      <c r="BB319" s="308"/>
      <c r="BC319" s="308"/>
      <c r="BD319" s="308"/>
      <c r="BE319" s="308"/>
      <c r="BF319" s="308"/>
      <c r="BG319" s="308"/>
      <c r="BH319" s="308"/>
      <c r="BI319" s="308"/>
      <c r="BJ319" s="308"/>
      <c r="BK319" s="308"/>
      <c r="BL319" s="308"/>
      <c r="BM319" s="308"/>
      <c r="BN319" s="308"/>
      <c r="BO319" s="308"/>
      <c r="BP319" s="308"/>
      <c r="BQ319" s="308"/>
      <c r="BR319" s="308"/>
      <c r="BS319" s="308"/>
    </row>
    <row r="320" spans="1:71" ht="15.75" customHeight="1">
      <c r="A320" s="308"/>
      <c r="B320" s="308"/>
      <c r="C320" s="308"/>
      <c r="D320" s="308"/>
      <c r="E320" s="308"/>
      <c r="F320" s="341"/>
      <c r="G320" s="340"/>
      <c r="H320" s="308"/>
      <c r="I320" s="308"/>
      <c r="J320" s="308"/>
      <c r="K320" s="308"/>
      <c r="L320" s="308"/>
      <c r="M320" s="308"/>
      <c r="N320" s="308"/>
      <c r="O320" s="308"/>
      <c r="P320" s="308"/>
      <c r="Q320" s="308"/>
      <c r="R320" s="308"/>
      <c r="S320" s="308"/>
      <c r="T320" s="308"/>
      <c r="U320" s="308"/>
      <c r="V320" s="308"/>
      <c r="W320" s="308"/>
      <c r="X320" s="308"/>
      <c r="Y320" s="308"/>
      <c r="Z320" s="308"/>
      <c r="AA320" s="308"/>
      <c r="AB320" s="308"/>
      <c r="AC320" s="308"/>
      <c r="AD320" s="308"/>
      <c r="AE320" s="308"/>
      <c r="AF320" s="308"/>
      <c r="AG320" s="308"/>
      <c r="AH320" s="308"/>
      <c r="AI320" s="308"/>
      <c r="AJ320" s="308"/>
      <c r="AK320" s="308"/>
      <c r="AL320" s="308"/>
      <c r="AM320" s="308"/>
      <c r="AN320" s="308"/>
      <c r="AO320" s="308"/>
      <c r="AP320" s="308"/>
      <c r="AQ320" s="308"/>
      <c r="AR320" s="308"/>
      <c r="AS320" s="308"/>
      <c r="AT320" s="308"/>
      <c r="AU320" s="308"/>
      <c r="AV320" s="308"/>
      <c r="AW320" s="308"/>
      <c r="AX320" s="308"/>
      <c r="AY320" s="308"/>
      <c r="AZ320" s="308"/>
      <c r="BA320" s="308"/>
      <c r="BB320" s="308"/>
      <c r="BC320" s="308"/>
      <c r="BD320" s="308"/>
      <c r="BE320" s="308"/>
      <c r="BF320" s="308"/>
      <c r="BG320" s="308"/>
      <c r="BH320" s="308"/>
      <c r="BI320" s="308"/>
      <c r="BJ320" s="308"/>
      <c r="BK320" s="308"/>
      <c r="BL320" s="308"/>
      <c r="BM320" s="308"/>
      <c r="BN320" s="308"/>
      <c r="BO320" s="308"/>
      <c r="BP320" s="308"/>
      <c r="BQ320" s="308"/>
      <c r="BR320" s="308"/>
      <c r="BS320" s="308"/>
    </row>
    <row r="321" spans="1:71" ht="15.75" customHeight="1">
      <c r="A321" s="308"/>
      <c r="B321" s="308"/>
      <c r="C321" s="308"/>
      <c r="D321" s="308"/>
      <c r="E321" s="308"/>
      <c r="F321" s="341"/>
      <c r="G321" s="340"/>
      <c r="H321" s="308"/>
      <c r="I321" s="308"/>
      <c r="J321" s="308"/>
      <c r="K321" s="308"/>
      <c r="L321" s="308"/>
      <c r="M321" s="308"/>
      <c r="N321" s="308"/>
      <c r="O321" s="308"/>
      <c r="P321" s="308"/>
      <c r="Q321" s="308"/>
      <c r="R321" s="308"/>
      <c r="S321" s="308"/>
      <c r="T321" s="308"/>
      <c r="U321" s="308"/>
      <c r="V321" s="308"/>
      <c r="W321" s="308"/>
      <c r="X321" s="308"/>
      <c r="Y321" s="308"/>
      <c r="Z321" s="308"/>
      <c r="AA321" s="308"/>
      <c r="AB321" s="308"/>
      <c r="AC321" s="308"/>
      <c r="AD321" s="308"/>
      <c r="AE321" s="308"/>
      <c r="AF321" s="308"/>
      <c r="AG321" s="308"/>
      <c r="AH321" s="308"/>
      <c r="AI321" s="308"/>
      <c r="AJ321" s="308"/>
      <c r="AK321" s="308"/>
      <c r="AL321" s="308"/>
      <c r="AM321" s="308"/>
      <c r="AN321" s="308"/>
      <c r="AO321" s="308"/>
      <c r="AP321" s="308"/>
      <c r="AQ321" s="308"/>
      <c r="AR321" s="308"/>
      <c r="AS321" s="308"/>
      <c r="AT321" s="308"/>
      <c r="AU321" s="308"/>
      <c r="AV321" s="308"/>
      <c r="AW321" s="308"/>
      <c r="AX321" s="308"/>
      <c r="AY321" s="308"/>
      <c r="AZ321" s="308"/>
      <c r="BA321" s="308"/>
      <c r="BB321" s="308"/>
      <c r="BC321" s="308"/>
      <c r="BD321" s="308"/>
      <c r="BE321" s="308"/>
      <c r="BF321" s="308"/>
      <c r="BG321" s="308"/>
      <c r="BH321" s="308"/>
      <c r="BI321" s="308"/>
      <c r="BJ321" s="308"/>
      <c r="BK321" s="308"/>
      <c r="BL321" s="308"/>
      <c r="BM321" s="308"/>
      <c r="BN321" s="308"/>
      <c r="BO321" s="308"/>
      <c r="BP321" s="308"/>
      <c r="BQ321" s="308"/>
      <c r="BR321" s="308"/>
      <c r="BS321" s="308"/>
    </row>
    <row r="322" spans="1:71" ht="15.75" customHeight="1">
      <c r="A322" s="308"/>
      <c r="B322" s="308"/>
      <c r="C322" s="308"/>
      <c r="D322" s="308"/>
      <c r="E322" s="308"/>
      <c r="F322" s="341"/>
      <c r="G322" s="340"/>
      <c r="H322" s="308"/>
      <c r="I322" s="308"/>
      <c r="J322" s="308"/>
      <c r="K322" s="308"/>
      <c r="L322" s="308"/>
      <c r="M322" s="308"/>
      <c r="N322" s="308"/>
      <c r="O322" s="308"/>
      <c r="P322" s="308"/>
      <c r="Q322" s="308"/>
      <c r="R322" s="308"/>
      <c r="S322" s="308"/>
      <c r="T322" s="308"/>
      <c r="U322" s="308"/>
      <c r="V322" s="308"/>
      <c r="W322" s="308"/>
      <c r="X322" s="308"/>
      <c r="Y322" s="308"/>
      <c r="Z322" s="308"/>
      <c r="AA322" s="308"/>
      <c r="AB322" s="308"/>
      <c r="AC322" s="308"/>
      <c r="AD322" s="308"/>
      <c r="AE322" s="308"/>
      <c r="AF322" s="308"/>
      <c r="AG322" s="308"/>
      <c r="AH322" s="308"/>
      <c r="AI322" s="308"/>
      <c r="AJ322" s="308"/>
      <c r="AK322" s="308"/>
      <c r="AL322" s="308"/>
      <c r="AM322" s="308"/>
      <c r="AN322" s="308"/>
      <c r="AO322" s="308"/>
      <c r="AP322" s="308"/>
      <c r="AQ322" s="308"/>
      <c r="AR322" s="308"/>
      <c r="AS322" s="308"/>
      <c r="AT322" s="308"/>
      <c r="AU322" s="308"/>
      <c r="AV322" s="308"/>
      <c r="AW322" s="308"/>
      <c r="AX322" s="308"/>
      <c r="AY322" s="308"/>
      <c r="AZ322" s="308"/>
      <c r="BA322" s="308"/>
      <c r="BB322" s="308"/>
      <c r="BC322" s="308"/>
      <c r="BD322" s="308"/>
      <c r="BE322" s="308"/>
      <c r="BF322" s="308"/>
      <c r="BG322" s="308"/>
      <c r="BH322" s="308"/>
      <c r="BI322" s="308"/>
      <c r="BJ322" s="308"/>
      <c r="BK322" s="308"/>
      <c r="BL322" s="308"/>
      <c r="BM322" s="308"/>
      <c r="BN322" s="308"/>
      <c r="BO322" s="308"/>
      <c r="BP322" s="308"/>
      <c r="BQ322" s="308"/>
      <c r="BR322" s="308"/>
      <c r="BS322" s="308"/>
    </row>
    <row r="323" spans="1:71" ht="15.75" customHeight="1">
      <c r="A323" s="308"/>
      <c r="B323" s="308"/>
      <c r="C323" s="308"/>
      <c r="D323" s="308"/>
      <c r="E323" s="308"/>
      <c r="F323" s="341"/>
      <c r="G323" s="340"/>
      <c r="H323" s="308"/>
      <c r="I323" s="308"/>
      <c r="J323" s="308"/>
      <c r="K323" s="308"/>
      <c r="L323" s="308"/>
      <c r="M323" s="308"/>
      <c r="N323" s="308"/>
      <c r="O323" s="308"/>
      <c r="P323" s="308"/>
      <c r="Q323" s="308"/>
      <c r="R323" s="308"/>
      <c r="S323" s="308"/>
      <c r="T323" s="308"/>
      <c r="U323" s="308"/>
      <c r="V323" s="308"/>
      <c r="W323" s="308"/>
      <c r="X323" s="308"/>
      <c r="Y323" s="308"/>
      <c r="Z323" s="308"/>
      <c r="AA323" s="308"/>
      <c r="AB323" s="308"/>
      <c r="AC323" s="308"/>
      <c r="AD323" s="308"/>
      <c r="AE323" s="308"/>
      <c r="AF323" s="308"/>
      <c r="AG323" s="308"/>
      <c r="AH323" s="308"/>
      <c r="AI323" s="308"/>
      <c r="AJ323" s="308"/>
      <c r="AK323" s="308"/>
      <c r="AL323" s="308"/>
      <c r="AM323" s="308"/>
      <c r="AN323" s="308"/>
      <c r="AO323" s="308"/>
      <c r="AP323" s="308"/>
      <c r="AQ323" s="308"/>
      <c r="AR323" s="308"/>
      <c r="AS323" s="308"/>
      <c r="AT323" s="308"/>
      <c r="AU323" s="308"/>
      <c r="AV323" s="308"/>
      <c r="AW323" s="308"/>
      <c r="AX323" s="308"/>
      <c r="AY323" s="308"/>
      <c r="AZ323" s="308"/>
      <c r="BA323" s="308"/>
      <c r="BB323" s="308"/>
      <c r="BC323" s="308"/>
      <c r="BD323" s="308"/>
      <c r="BE323" s="308"/>
      <c r="BF323" s="308"/>
      <c r="BG323" s="308"/>
      <c r="BH323" s="308"/>
      <c r="BI323" s="308"/>
      <c r="BJ323" s="308"/>
      <c r="BK323" s="308"/>
      <c r="BL323" s="308"/>
      <c r="BM323" s="308"/>
      <c r="BN323" s="308"/>
      <c r="BO323" s="308"/>
      <c r="BP323" s="308"/>
      <c r="BQ323" s="308"/>
      <c r="BR323" s="308"/>
      <c r="BS323" s="308"/>
    </row>
    <row r="324" spans="1:71" ht="15.75" customHeight="1">
      <c r="A324" s="308"/>
      <c r="B324" s="308"/>
      <c r="C324" s="308"/>
      <c r="D324" s="308"/>
      <c r="E324" s="308"/>
      <c r="F324" s="341"/>
      <c r="G324" s="340"/>
      <c r="H324" s="308"/>
      <c r="I324" s="308"/>
      <c r="J324" s="308"/>
      <c r="K324" s="308"/>
      <c r="L324" s="308"/>
      <c r="M324" s="308"/>
      <c r="N324" s="308"/>
      <c r="O324" s="308"/>
      <c r="P324" s="308"/>
      <c r="Q324" s="308"/>
      <c r="R324" s="308"/>
      <c r="S324" s="308"/>
      <c r="T324" s="308"/>
      <c r="U324" s="308"/>
      <c r="V324" s="308"/>
      <c r="W324" s="308"/>
      <c r="X324" s="308"/>
      <c r="Y324" s="308"/>
      <c r="Z324" s="308"/>
      <c r="AA324" s="308"/>
      <c r="AB324" s="308"/>
      <c r="AC324" s="308"/>
      <c r="AD324" s="308"/>
      <c r="AE324" s="308"/>
      <c r="AF324" s="308"/>
      <c r="AG324" s="308"/>
      <c r="AH324" s="308"/>
      <c r="AI324" s="308"/>
      <c r="AJ324" s="308"/>
      <c r="AK324" s="308"/>
      <c r="AL324" s="308"/>
      <c r="AM324" s="308"/>
      <c r="AN324" s="308"/>
      <c r="AO324" s="308"/>
      <c r="AP324" s="308"/>
      <c r="AQ324" s="308"/>
      <c r="AR324" s="308"/>
      <c r="AS324" s="308"/>
      <c r="AT324" s="308"/>
      <c r="AU324" s="308"/>
      <c r="AV324" s="308"/>
      <c r="AW324" s="308"/>
      <c r="AX324" s="308"/>
      <c r="AY324" s="308"/>
      <c r="AZ324" s="308"/>
      <c r="BA324" s="308"/>
      <c r="BB324" s="308"/>
      <c r="BC324" s="308"/>
      <c r="BD324" s="308"/>
      <c r="BE324" s="308"/>
      <c r="BF324" s="308"/>
      <c r="BG324" s="308"/>
      <c r="BH324" s="308"/>
      <c r="BI324" s="308"/>
      <c r="BJ324" s="308"/>
      <c r="BK324" s="308"/>
      <c r="BL324" s="308"/>
      <c r="BM324" s="308"/>
      <c r="BN324" s="308"/>
      <c r="BO324" s="308"/>
      <c r="BP324" s="308"/>
      <c r="BQ324" s="308"/>
      <c r="BR324" s="308"/>
      <c r="BS324" s="308"/>
    </row>
    <row r="325" spans="1:71" ht="15.75" customHeight="1">
      <c r="A325" s="308"/>
      <c r="B325" s="308"/>
      <c r="C325" s="308"/>
      <c r="D325" s="308"/>
      <c r="E325" s="308"/>
      <c r="F325" s="341"/>
      <c r="G325" s="340"/>
      <c r="H325" s="308"/>
      <c r="I325" s="308"/>
      <c r="J325" s="308"/>
      <c r="K325" s="308"/>
      <c r="L325" s="308"/>
      <c r="M325" s="308"/>
      <c r="N325" s="308"/>
      <c r="O325" s="308"/>
      <c r="P325" s="308"/>
      <c r="Q325" s="308"/>
      <c r="R325" s="308"/>
      <c r="S325" s="308"/>
      <c r="T325" s="308"/>
      <c r="U325" s="308"/>
      <c r="V325" s="308"/>
      <c r="W325" s="308"/>
      <c r="X325" s="308"/>
      <c r="Y325" s="308"/>
      <c r="Z325" s="308"/>
      <c r="AA325" s="308"/>
      <c r="AB325" s="308"/>
      <c r="AC325" s="308"/>
      <c r="AD325" s="308"/>
      <c r="AE325" s="308"/>
      <c r="AF325" s="308"/>
      <c r="AG325" s="308"/>
      <c r="AH325" s="308"/>
      <c r="AI325" s="308"/>
      <c r="AJ325" s="308"/>
      <c r="AK325" s="308"/>
      <c r="AL325" s="308"/>
      <c r="AM325" s="308"/>
      <c r="AN325" s="308"/>
      <c r="AO325" s="308"/>
      <c r="AP325" s="308"/>
      <c r="AQ325" s="308"/>
      <c r="AR325" s="308"/>
      <c r="AS325" s="308"/>
      <c r="AT325" s="308"/>
      <c r="AU325" s="308"/>
      <c r="AV325" s="308"/>
      <c r="AW325" s="308"/>
      <c r="AX325" s="308"/>
      <c r="AY325" s="308"/>
      <c r="AZ325" s="308"/>
      <c r="BA325" s="308"/>
      <c r="BB325" s="308"/>
      <c r="BC325" s="308"/>
      <c r="BD325" s="308"/>
      <c r="BE325" s="308"/>
      <c r="BF325" s="308"/>
      <c r="BG325" s="308"/>
      <c r="BH325" s="308"/>
      <c r="BI325" s="308"/>
      <c r="BJ325" s="308"/>
      <c r="BK325" s="308"/>
      <c r="BL325" s="308"/>
      <c r="BM325" s="308"/>
      <c r="BN325" s="308"/>
      <c r="BO325" s="308"/>
      <c r="BP325" s="308"/>
      <c r="BQ325" s="308"/>
      <c r="BR325" s="308"/>
      <c r="BS325" s="308"/>
    </row>
    <row r="326" spans="1:71" ht="15.75" customHeight="1">
      <c r="A326" s="308"/>
      <c r="B326" s="308"/>
      <c r="C326" s="308"/>
      <c r="D326" s="308"/>
      <c r="E326" s="308"/>
      <c r="F326" s="341"/>
      <c r="G326" s="340"/>
      <c r="H326" s="308"/>
      <c r="I326" s="308"/>
      <c r="J326" s="308"/>
      <c r="K326" s="308"/>
      <c r="L326" s="308"/>
      <c r="M326" s="308"/>
      <c r="N326" s="308"/>
      <c r="O326" s="308"/>
      <c r="P326" s="308"/>
      <c r="Q326" s="308"/>
      <c r="R326" s="308"/>
      <c r="S326" s="308"/>
      <c r="T326" s="308"/>
      <c r="U326" s="308"/>
      <c r="V326" s="308"/>
      <c r="W326" s="308"/>
      <c r="X326" s="308"/>
      <c r="Y326" s="308"/>
      <c r="Z326" s="308"/>
      <c r="AA326" s="308"/>
      <c r="AB326" s="308"/>
      <c r="AC326" s="308"/>
      <c r="AD326" s="308"/>
      <c r="AE326" s="308"/>
      <c r="AF326" s="308"/>
      <c r="AG326" s="308"/>
      <c r="AH326" s="308"/>
      <c r="AI326" s="308"/>
      <c r="AJ326" s="308"/>
      <c r="AK326" s="308"/>
      <c r="AL326" s="308"/>
      <c r="AM326" s="308"/>
      <c r="AN326" s="308"/>
      <c r="AO326" s="308"/>
      <c r="AP326" s="308"/>
      <c r="AQ326" s="308"/>
      <c r="AR326" s="308"/>
      <c r="AS326" s="308"/>
      <c r="AT326" s="308"/>
      <c r="AU326" s="308"/>
      <c r="AV326" s="308"/>
      <c r="AW326" s="308"/>
      <c r="AX326" s="308"/>
      <c r="AY326" s="308"/>
      <c r="AZ326" s="308"/>
      <c r="BA326" s="308"/>
      <c r="BB326" s="308"/>
      <c r="BC326" s="308"/>
      <c r="BD326" s="308"/>
      <c r="BE326" s="308"/>
      <c r="BF326" s="308"/>
      <c r="BG326" s="308"/>
      <c r="BH326" s="308"/>
      <c r="BI326" s="308"/>
      <c r="BJ326" s="308"/>
      <c r="BK326" s="308"/>
      <c r="BL326" s="308"/>
      <c r="BM326" s="308"/>
      <c r="BN326" s="308"/>
      <c r="BO326" s="308"/>
      <c r="BP326" s="308"/>
      <c r="BQ326" s="308"/>
      <c r="BR326" s="308"/>
      <c r="BS326" s="308"/>
    </row>
    <row r="327" spans="1:71" ht="15.75" customHeight="1">
      <c r="A327" s="308"/>
      <c r="B327" s="308"/>
      <c r="C327" s="308"/>
      <c r="D327" s="308"/>
      <c r="E327" s="308"/>
      <c r="F327" s="341"/>
      <c r="G327" s="340"/>
      <c r="H327" s="308"/>
      <c r="I327" s="308"/>
      <c r="J327" s="308"/>
      <c r="K327" s="308"/>
      <c r="L327" s="308"/>
      <c r="M327" s="308"/>
      <c r="N327" s="308"/>
      <c r="O327" s="308"/>
      <c r="P327" s="308"/>
      <c r="Q327" s="308"/>
      <c r="R327" s="308"/>
      <c r="S327" s="308"/>
      <c r="T327" s="308"/>
      <c r="U327" s="308"/>
      <c r="V327" s="308"/>
      <c r="W327" s="308"/>
      <c r="X327" s="308"/>
      <c r="Y327" s="308"/>
      <c r="Z327" s="308"/>
      <c r="AA327" s="308"/>
      <c r="AB327" s="308"/>
      <c r="AC327" s="308"/>
      <c r="AD327" s="308"/>
      <c r="AE327" s="308"/>
      <c r="AF327" s="308"/>
      <c r="AG327" s="308"/>
      <c r="AH327" s="308"/>
      <c r="AI327" s="308"/>
      <c r="AJ327" s="308"/>
      <c r="AK327" s="308"/>
      <c r="AL327" s="308"/>
      <c r="AM327" s="308"/>
      <c r="AN327" s="308"/>
      <c r="AO327" s="308"/>
      <c r="AP327" s="308"/>
      <c r="AQ327" s="308"/>
      <c r="AR327" s="308"/>
      <c r="AS327" s="308"/>
      <c r="AT327" s="308"/>
      <c r="AU327" s="308"/>
      <c r="AV327" s="308"/>
      <c r="AW327" s="308"/>
      <c r="AX327" s="308"/>
      <c r="AY327" s="308"/>
      <c r="AZ327" s="308"/>
      <c r="BA327" s="308"/>
      <c r="BB327" s="308"/>
      <c r="BC327" s="308"/>
      <c r="BD327" s="308"/>
      <c r="BE327" s="308"/>
      <c r="BF327" s="308"/>
      <c r="BG327" s="308"/>
      <c r="BH327" s="308"/>
      <c r="BI327" s="308"/>
      <c r="BJ327" s="308"/>
      <c r="BK327" s="308"/>
      <c r="BL327" s="308"/>
      <c r="BM327" s="308"/>
      <c r="BN327" s="308"/>
      <c r="BO327" s="308"/>
      <c r="BP327" s="308"/>
      <c r="BQ327" s="308"/>
      <c r="BR327" s="308"/>
      <c r="BS327" s="308"/>
    </row>
    <row r="328" spans="1:71" ht="15.75" customHeight="1">
      <c r="A328" s="308"/>
      <c r="B328" s="308"/>
      <c r="C328" s="308"/>
      <c r="D328" s="308"/>
      <c r="E328" s="308"/>
      <c r="F328" s="341"/>
      <c r="G328" s="340"/>
      <c r="H328" s="308"/>
      <c r="I328" s="308"/>
      <c r="J328" s="308"/>
      <c r="K328" s="308"/>
      <c r="L328" s="308"/>
      <c r="M328" s="308"/>
      <c r="N328" s="308"/>
      <c r="O328" s="308"/>
      <c r="P328" s="308"/>
      <c r="Q328" s="308"/>
      <c r="R328" s="308"/>
      <c r="S328" s="308"/>
      <c r="T328" s="308"/>
      <c r="U328" s="308"/>
      <c r="V328" s="308"/>
      <c r="W328" s="308"/>
      <c r="X328" s="308"/>
      <c r="Y328" s="308"/>
      <c r="Z328" s="308"/>
      <c r="AA328" s="308"/>
      <c r="AB328" s="308"/>
      <c r="AC328" s="308"/>
      <c r="AD328" s="308"/>
      <c r="AE328" s="308"/>
      <c r="AF328" s="308"/>
      <c r="AG328" s="308"/>
      <c r="AH328" s="308"/>
      <c r="AI328" s="308"/>
      <c r="AJ328" s="308"/>
      <c r="AK328" s="308"/>
      <c r="AL328" s="308"/>
      <c r="AM328" s="308"/>
      <c r="AN328" s="308"/>
      <c r="AO328" s="308"/>
      <c r="AP328" s="308"/>
      <c r="AQ328" s="308"/>
      <c r="AR328" s="308"/>
      <c r="AS328" s="308"/>
      <c r="AT328" s="308"/>
      <c r="AU328" s="308"/>
      <c r="AV328" s="308"/>
      <c r="AW328" s="308"/>
      <c r="AX328" s="308"/>
      <c r="AY328" s="308"/>
      <c r="AZ328" s="308"/>
      <c r="BA328" s="308"/>
      <c r="BB328" s="308"/>
      <c r="BC328" s="308"/>
      <c r="BD328" s="308"/>
      <c r="BE328" s="308"/>
      <c r="BF328" s="308"/>
      <c r="BG328" s="308"/>
      <c r="BH328" s="308"/>
      <c r="BI328" s="308"/>
      <c r="BJ328" s="308"/>
      <c r="BK328" s="308"/>
      <c r="BL328" s="308"/>
      <c r="BM328" s="308"/>
      <c r="BN328" s="308"/>
      <c r="BO328" s="308"/>
      <c r="BP328" s="308"/>
      <c r="BQ328" s="308"/>
      <c r="BR328" s="308"/>
      <c r="BS328" s="308"/>
    </row>
    <row r="329" spans="1:71" ht="15.75" customHeight="1">
      <c r="A329" s="308"/>
      <c r="B329" s="308"/>
      <c r="C329" s="308"/>
      <c r="D329" s="308"/>
      <c r="E329" s="308"/>
      <c r="F329" s="341"/>
      <c r="G329" s="340"/>
      <c r="H329" s="308"/>
      <c r="I329" s="308"/>
      <c r="J329" s="308"/>
      <c r="K329" s="308"/>
      <c r="L329" s="308"/>
      <c r="M329" s="308"/>
      <c r="N329" s="308"/>
      <c r="O329" s="308"/>
      <c r="P329" s="308"/>
      <c r="Q329" s="308"/>
      <c r="R329" s="308"/>
      <c r="S329" s="308"/>
      <c r="T329" s="308"/>
      <c r="U329" s="308"/>
      <c r="V329" s="308"/>
      <c r="W329" s="308"/>
      <c r="X329" s="308"/>
      <c r="Y329" s="308"/>
      <c r="Z329" s="308"/>
      <c r="AA329" s="308"/>
      <c r="AB329" s="308"/>
      <c r="AC329" s="308"/>
      <c r="AD329" s="308"/>
      <c r="AE329" s="308"/>
      <c r="AF329" s="308"/>
      <c r="AG329" s="308"/>
      <c r="AH329" s="308"/>
      <c r="AI329" s="308"/>
      <c r="AJ329" s="308"/>
      <c r="AK329" s="308"/>
      <c r="AL329" s="308"/>
      <c r="AM329" s="308"/>
      <c r="AN329" s="308"/>
      <c r="AO329" s="308"/>
      <c r="AP329" s="308"/>
      <c r="AQ329" s="308"/>
      <c r="AR329" s="308"/>
      <c r="AS329" s="308"/>
      <c r="AT329" s="308"/>
      <c r="AU329" s="308"/>
      <c r="AV329" s="308"/>
      <c r="AW329" s="308"/>
      <c r="AX329" s="308"/>
      <c r="AY329" s="308"/>
      <c r="AZ329" s="308"/>
      <c r="BA329" s="308"/>
      <c r="BB329" s="308"/>
      <c r="BC329" s="308"/>
      <c r="BD329" s="308"/>
      <c r="BE329" s="308"/>
      <c r="BF329" s="308"/>
      <c r="BG329" s="308"/>
      <c r="BH329" s="308"/>
      <c r="BI329" s="308"/>
      <c r="BJ329" s="308"/>
      <c r="BK329" s="308"/>
      <c r="BL329" s="308"/>
      <c r="BM329" s="308"/>
      <c r="BN329" s="308"/>
      <c r="BO329" s="308"/>
      <c r="BP329" s="308"/>
      <c r="BQ329" s="308"/>
      <c r="BR329" s="308"/>
      <c r="BS329" s="308"/>
    </row>
    <row r="330" spans="1:71" ht="15.75" customHeight="1">
      <c r="A330" s="308"/>
      <c r="B330" s="308"/>
      <c r="C330" s="308"/>
      <c r="D330" s="308"/>
      <c r="E330" s="308"/>
      <c r="F330" s="341"/>
      <c r="G330" s="340"/>
      <c r="H330" s="308"/>
      <c r="I330" s="308"/>
      <c r="J330" s="308"/>
      <c r="K330" s="308"/>
      <c r="L330" s="308"/>
      <c r="M330" s="308"/>
      <c r="N330" s="308"/>
      <c r="O330" s="308"/>
      <c r="P330" s="308"/>
      <c r="Q330" s="308"/>
      <c r="R330" s="308"/>
      <c r="S330" s="308"/>
      <c r="T330" s="308"/>
      <c r="U330" s="308"/>
      <c r="V330" s="308"/>
      <c r="W330" s="308"/>
      <c r="X330" s="308"/>
      <c r="Y330" s="308"/>
      <c r="Z330" s="308"/>
      <c r="AA330" s="308"/>
      <c r="AB330" s="308"/>
      <c r="AC330" s="308"/>
      <c r="AD330" s="308"/>
      <c r="AE330" s="308"/>
      <c r="AF330" s="308"/>
      <c r="AG330" s="308"/>
      <c r="AH330" s="308"/>
      <c r="AI330" s="308"/>
      <c r="AJ330" s="308"/>
      <c r="AK330" s="308"/>
      <c r="AL330" s="308"/>
      <c r="AM330" s="308"/>
      <c r="AN330" s="308"/>
      <c r="AO330" s="308"/>
      <c r="AP330" s="308"/>
      <c r="AQ330" s="308"/>
      <c r="AR330" s="308"/>
      <c r="AS330" s="308"/>
      <c r="AT330" s="308"/>
      <c r="AU330" s="308"/>
      <c r="AV330" s="308"/>
      <c r="AW330" s="308"/>
      <c r="AX330" s="308"/>
      <c r="AY330" s="308"/>
      <c r="AZ330" s="308"/>
      <c r="BA330" s="308"/>
      <c r="BB330" s="308"/>
      <c r="BC330" s="308"/>
      <c r="BD330" s="308"/>
      <c r="BE330" s="308"/>
      <c r="BF330" s="308"/>
      <c r="BG330" s="308"/>
      <c r="BH330" s="308"/>
      <c r="BI330" s="308"/>
      <c r="BJ330" s="308"/>
      <c r="BK330" s="308"/>
      <c r="BL330" s="308"/>
      <c r="BM330" s="308"/>
      <c r="BN330" s="308"/>
      <c r="BO330" s="308"/>
      <c r="BP330" s="308"/>
      <c r="BQ330" s="308"/>
      <c r="BR330" s="308"/>
      <c r="BS330" s="308"/>
    </row>
    <row r="331" spans="1:71" ht="15.75" customHeight="1">
      <c r="A331" s="308"/>
      <c r="B331" s="308"/>
      <c r="C331" s="308"/>
      <c r="D331" s="308"/>
      <c r="E331" s="308"/>
      <c r="F331" s="341"/>
      <c r="G331" s="340"/>
      <c r="H331" s="308"/>
      <c r="I331" s="308"/>
      <c r="J331" s="308"/>
      <c r="K331" s="308"/>
      <c r="L331" s="308"/>
      <c r="M331" s="308"/>
      <c r="N331" s="308"/>
      <c r="O331" s="308"/>
      <c r="P331" s="308"/>
      <c r="Q331" s="308"/>
      <c r="R331" s="308"/>
      <c r="S331" s="308"/>
      <c r="T331" s="308"/>
      <c r="U331" s="308"/>
      <c r="V331" s="308"/>
      <c r="W331" s="308"/>
      <c r="X331" s="308"/>
      <c r="Y331" s="308"/>
      <c r="Z331" s="308"/>
      <c r="AA331" s="308"/>
      <c r="AB331" s="308"/>
      <c r="AC331" s="308"/>
      <c r="AD331" s="308"/>
      <c r="AE331" s="308"/>
      <c r="AF331" s="308"/>
      <c r="AG331" s="308"/>
      <c r="AH331" s="308"/>
      <c r="AI331" s="308"/>
      <c r="AJ331" s="308"/>
      <c r="AK331" s="308"/>
      <c r="AL331" s="308"/>
      <c r="AM331" s="308"/>
      <c r="AN331" s="308"/>
      <c r="AO331" s="308"/>
      <c r="AP331" s="308"/>
      <c r="AQ331" s="308"/>
      <c r="AR331" s="308"/>
      <c r="AS331" s="308"/>
      <c r="AT331" s="308"/>
      <c r="AU331" s="308"/>
      <c r="AV331" s="308"/>
      <c r="AW331" s="308"/>
      <c r="AX331" s="308"/>
      <c r="AY331" s="308"/>
      <c r="AZ331" s="308"/>
      <c r="BA331" s="308"/>
      <c r="BB331" s="308"/>
      <c r="BC331" s="308"/>
      <c r="BD331" s="308"/>
      <c r="BE331" s="308"/>
      <c r="BF331" s="308"/>
      <c r="BG331" s="308"/>
      <c r="BH331" s="308"/>
      <c r="BI331" s="308"/>
      <c r="BJ331" s="308"/>
      <c r="BK331" s="308"/>
      <c r="BL331" s="308"/>
      <c r="BM331" s="308"/>
      <c r="BN331" s="308"/>
      <c r="BO331" s="308"/>
      <c r="BP331" s="308"/>
      <c r="BQ331" s="308"/>
      <c r="BR331" s="308"/>
      <c r="BS331" s="308"/>
    </row>
    <row r="332" spans="1:71" ht="15.75" customHeight="1">
      <c r="A332" s="308"/>
      <c r="B332" s="308"/>
      <c r="C332" s="308"/>
      <c r="D332" s="308"/>
      <c r="E332" s="308"/>
      <c r="F332" s="341"/>
      <c r="G332" s="340"/>
      <c r="H332" s="308"/>
      <c r="I332" s="308"/>
      <c r="J332" s="308"/>
      <c r="K332" s="308"/>
      <c r="L332" s="308"/>
      <c r="M332" s="308"/>
      <c r="N332" s="308"/>
      <c r="O332" s="308"/>
      <c r="P332" s="308"/>
      <c r="Q332" s="308"/>
      <c r="R332" s="308"/>
      <c r="S332" s="308"/>
      <c r="T332" s="308"/>
      <c r="U332" s="308"/>
      <c r="V332" s="308"/>
      <c r="W332" s="308"/>
      <c r="X332" s="308"/>
      <c r="Y332" s="308"/>
      <c r="Z332" s="308"/>
      <c r="AA332" s="308"/>
      <c r="AB332" s="308"/>
      <c r="AC332" s="308"/>
      <c r="AD332" s="308"/>
      <c r="AE332" s="308"/>
      <c r="AF332" s="308"/>
      <c r="AG332" s="308"/>
      <c r="AH332" s="308"/>
      <c r="AI332" s="308"/>
      <c r="AJ332" s="308"/>
      <c r="AK332" s="308"/>
      <c r="AL332" s="308"/>
      <c r="AM332" s="308"/>
      <c r="AN332" s="308"/>
      <c r="AO332" s="308"/>
      <c r="AP332" s="308"/>
      <c r="AQ332" s="308"/>
      <c r="AR332" s="308"/>
      <c r="AS332" s="308"/>
      <c r="AT332" s="308"/>
      <c r="AU332" s="308"/>
      <c r="AV332" s="308"/>
      <c r="AW332" s="308"/>
      <c r="AX332" s="308"/>
      <c r="AY332" s="308"/>
      <c r="AZ332" s="308"/>
      <c r="BA332" s="308"/>
      <c r="BB332" s="308"/>
      <c r="BC332" s="308"/>
      <c r="BD332" s="308"/>
      <c r="BE332" s="308"/>
      <c r="BF332" s="308"/>
      <c r="BG332" s="308"/>
      <c r="BH332" s="308"/>
      <c r="BI332" s="308"/>
      <c r="BJ332" s="308"/>
      <c r="BK332" s="308"/>
      <c r="BL332" s="308"/>
      <c r="BM332" s="308"/>
      <c r="BN332" s="308"/>
      <c r="BO332" s="308"/>
      <c r="BP332" s="308"/>
      <c r="BQ332" s="308"/>
      <c r="BR332" s="308"/>
      <c r="BS332" s="308"/>
    </row>
    <row r="333" spans="1:71" ht="15.75" customHeight="1">
      <c r="A333" s="308"/>
      <c r="B333" s="308"/>
      <c r="C333" s="308"/>
      <c r="D333" s="308"/>
      <c r="E333" s="308"/>
      <c r="F333" s="341"/>
      <c r="G333" s="340"/>
      <c r="H333" s="308"/>
      <c r="I333" s="308"/>
      <c r="J333" s="308"/>
      <c r="K333" s="308"/>
      <c r="L333" s="308"/>
      <c r="M333" s="308"/>
      <c r="N333" s="308"/>
      <c r="O333" s="308"/>
      <c r="P333" s="308"/>
      <c r="Q333" s="308"/>
      <c r="R333" s="308"/>
      <c r="S333" s="308"/>
      <c r="T333" s="308"/>
      <c r="U333" s="308"/>
      <c r="V333" s="308"/>
      <c r="W333" s="308"/>
      <c r="X333" s="308"/>
      <c r="Y333" s="308"/>
      <c r="Z333" s="308"/>
      <c r="AA333" s="308"/>
      <c r="AB333" s="308"/>
      <c r="AC333" s="308"/>
      <c r="AD333" s="308"/>
      <c r="AE333" s="308"/>
      <c r="AF333" s="308"/>
      <c r="AG333" s="308"/>
      <c r="AH333" s="308"/>
      <c r="AI333" s="308"/>
      <c r="AJ333" s="308"/>
      <c r="AK333" s="308"/>
      <c r="AL333" s="308"/>
      <c r="AM333" s="308"/>
      <c r="AN333" s="308"/>
      <c r="AO333" s="308"/>
      <c r="AP333" s="308"/>
      <c r="AQ333" s="308"/>
      <c r="AR333" s="308"/>
      <c r="AS333" s="308"/>
      <c r="AT333" s="308"/>
      <c r="AU333" s="308"/>
      <c r="AV333" s="308"/>
      <c r="AW333" s="308"/>
      <c r="AX333" s="308"/>
      <c r="AY333" s="308"/>
      <c r="AZ333" s="308"/>
      <c r="BA333" s="308"/>
      <c r="BB333" s="308"/>
      <c r="BC333" s="308"/>
      <c r="BD333" s="308"/>
      <c r="BE333" s="308"/>
      <c r="BF333" s="308"/>
      <c r="BG333" s="308"/>
      <c r="BH333" s="308"/>
      <c r="BI333" s="308"/>
      <c r="BJ333" s="308"/>
      <c r="BK333" s="308"/>
      <c r="BL333" s="308"/>
      <c r="BM333" s="308"/>
      <c r="BN333" s="308"/>
      <c r="BO333" s="308"/>
      <c r="BP333" s="308"/>
      <c r="BQ333" s="308"/>
      <c r="BR333" s="308"/>
      <c r="BS333" s="308"/>
    </row>
    <row r="334" spans="1:71" ht="15.75" customHeight="1">
      <c r="A334" s="308"/>
      <c r="B334" s="308"/>
      <c r="C334" s="308"/>
      <c r="D334" s="308"/>
      <c r="E334" s="308"/>
      <c r="F334" s="341"/>
      <c r="G334" s="340"/>
      <c r="H334" s="308"/>
      <c r="I334" s="308"/>
      <c r="J334" s="308"/>
      <c r="K334" s="308"/>
      <c r="L334" s="308"/>
      <c r="M334" s="308"/>
      <c r="N334" s="308"/>
      <c r="O334" s="308"/>
      <c r="P334" s="308"/>
      <c r="Q334" s="308"/>
      <c r="R334" s="308"/>
      <c r="S334" s="308"/>
      <c r="T334" s="308"/>
      <c r="U334" s="308"/>
      <c r="V334" s="308"/>
      <c r="W334" s="308"/>
      <c r="X334" s="308"/>
      <c r="Y334" s="308"/>
      <c r="Z334" s="308"/>
      <c r="AA334" s="308"/>
      <c r="AB334" s="308"/>
      <c r="AC334" s="308"/>
      <c r="AD334" s="308"/>
      <c r="AE334" s="308"/>
      <c r="AF334" s="308"/>
      <c r="AG334" s="308"/>
      <c r="AH334" s="308"/>
      <c r="AI334" s="308"/>
      <c r="AJ334" s="308"/>
      <c r="AK334" s="308"/>
      <c r="AL334" s="308"/>
      <c r="AM334" s="308"/>
      <c r="AN334" s="308"/>
      <c r="AO334" s="308"/>
      <c r="AP334" s="308"/>
      <c r="AQ334" s="308"/>
      <c r="AR334" s="308"/>
      <c r="AS334" s="308"/>
      <c r="AT334" s="308"/>
      <c r="AU334" s="308"/>
      <c r="AV334" s="308"/>
      <c r="AW334" s="308"/>
      <c r="AX334" s="308"/>
      <c r="AY334" s="308"/>
      <c r="AZ334" s="308"/>
      <c r="BA334" s="308"/>
      <c r="BB334" s="308"/>
      <c r="BC334" s="308"/>
      <c r="BD334" s="308"/>
      <c r="BE334" s="308"/>
      <c r="BF334" s="308"/>
      <c r="BG334" s="308"/>
      <c r="BH334" s="308"/>
      <c r="BI334" s="308"/>
      <c r="BJ334" s="308"/>
      <c r="BK334" s="308"/>
      <c r="BL334" s="308"/>
      <c r="BM334" s="308"/>
      <c r="BN334" s="308"/>
      <c r="BO334" s="308"/>
      <c r="BP334" s="308"/>
      <c r="BQ334" s="308"/>
      <c r="BR334" s="308"/>
      <c r="BS334" s="308"/>
    </row>
    <row r="335" spans="1:71" ht="15.75" customHeight="1">
      <c r="A335" s="308"/>
      <c r="B335" s="308"/>
      <c r="C335" s="308"/>
      <c r="D335" s="308"/>
      <c r="E335" s="308"/>
      <c r="F335" s="341"/>
      <c r="G335" s="340"/>
      <c r="H335" s="308"/>
      <c r="I335" s="308"/>
      <c r="J335" s="308"/>
      <c r="K335" s="308"/>
      <c r="L335" s="308"/>
      <c r="M335" s="308"/>
      <c r="N335" s="308"/>
      <c r="O335" s="308"/>
      <c r="P335" s="308"/>
      <c r="Q335" s="308"/>
      <c r="R335" s="308"/>
      <c r="S335" s="308"/>
      <c r="T335" s="308"/>
      <c r="U335" s="308"/>
      <c r="V335" s="308"/>
      <c r="W335" s="308"/>
      <c r="X335" s="308"/>
      <c r="Y335" s="308"/>
      <c r="Z335" s="308"/>
      <c r="AA335" s="308"/>
      <c r="AB335" s="308"/>
      <c r="AC335" s="308"/>
      <c r="AD335" s="308"/>
      <c r="AE335" s="308"/>
      <c r="AF335" s="308"/>
      <c r="AG335" s="308"/>
      <c r="AH335" s="308"/>
      <c r="AI335" s="308"/>
      <c r="AJ335" s="308"/>
      <c r="AK335" s="308"/>
      <c r="AL335" s="308"/>
      <c r="AM335" s="308"/>
      <c r="AN335" s="308"/>
      <c r="AO335" s="308"/>
      <c r="AP335" s="308"/>
      <c r="AQ335" s="308"/>
      <c r="AR335" s="308"/>
      <c r="AS335" s="308"/>
      <c r="AT335" s="308"/>
      <c r="AU335" s="308"/>
      <c r="AV335" s="308"/>
      <c r="AW335" s="308"/>
      <c r="AX335" s="308"/>
      <c r="AY335" s="308"/>
      <c r="AZ335" s="308"/>
      <c r="BA335" s="308"/>
      <c r="BB335" s="308"/>
      <c r="BC335" s="308"/>
      <c r="BD335" s="308"/>
      <c r="BE335" s="308"/>
      <c r="BF335" s="308"/>
      <c r="BG335" s="308"/>
      <c r="BH335" s="308"/>
      <c r="BI335" s="308"/>
      <c r="BJ335" s="308"/>
      <c r="BK335" s="308"/>
      <c r="BL335" s="308"/>
      <c r="BM335" s="308"/>
      <c r="BN335" s="308"/>
      <c r="BO335" s="308"/>
      <c r="BP335" s="308"/>
      <c r="BQ335" s="308"/>
      <c r="BR335" s="308"/>
      <c r="BS335" s="308"/>
    </row>
    <row r="336" spans="1:71" ht="15.75" customHeight="1">
      <c r="A336" s="308"/>
      <c r="B336" s="308"/>
      <c r="C336" s="308"/>
      <c r="D336" s="308"/>
      <c r="E336" s="308"/>
      <c r="F336" s="341"/>
      <c r="G336" s="340"/>
      <c r="H336" s="308"/>
      <c r="I336" s="308"/>
      <c r="J336" s="308"/>
      <c r="K336" s="308"/>
      <c r="L336" s="308"/>
      <c r="M336" s="308"/>
      <c r="N336" s="308"/>
      <c r="O336" s="308"/>
      <c r="P336" s="308"/>
      <c r="Q336" s="308"/>
      <c r="R336" s="308"/>
      <c r="S336" s="308"/>
      <c r="T336" s="308"/>
      <c r="U336" s="308"/>
      <c r="V336" s="308"/>
      <c r="W336" s="308"/>
      <c r="X336" s="308"/>
      <c r="Y336" s="308"/>
      <c r="Z336" s="308"/>
      <c r="AA336" s="308"/>
      <c r="AB336" s="308"/>
      <c r="AC336" s="308"/>
      <c r="AD336" s="308"/>
      <c r="AE336" s="308"/>
      <c r="AF336" s="308"/>
      <c r="AG336" s="308"/>
      <c r="AH336" s="308"/>
      <c r="AI336" s="308"/>
      <c r="AJ336" s="308"/>
      <c r="AK336" s="308"/>
      <c r="AL336" s="308"/>
      <c r="AM336" s="308"/>
      <c r="AN336" s="308"/>
      <c r="AO336" s="308"/>
      <c r="AP336" s="308"/>
      <c r="AQ336" s="308"/>
      <c r="AR336" s="308"/>
      <c r="AS336" s="308"/>
      <c r="AT336" s="308"/>
      <c r="AU336" s="308"/>
      <c r="AV336" s="308"/>
      <c r="AW336" s="308"/>
      <c r="AX336" s="308"/>
      <c r="AY336" s="308"/>
      <c r="AZ336" s="308"/>
      <c r="BA336" s="308"/>
      <c r="BB336" s="308"/>
      <c r="BC336" s="308"/>
      <c r="BD336" s="308"/>
      <c r="BE336" s="308"/>
      <c r="BF336" s="308"/>
      <c r="BG336" s="308"/>
      <c r="BH336" s="308"/>
      <c r="BI336" s="308"/>
      <c r="BJ336" s="308"/>
      <c r="BK336" s="308"/>
      <c r="BL336" s="308"/>
      <c r="BM336" s="308"/>
      <c r="BN336" s="308"/>
      <c r="BO336" s="308"/>
      <c r="BP336" s="308"/>
      <c r="BQ336" s="308"/>
      <c r="BR336" s="308"/>
      <c r="BS336" s="308"/>
    </row>
    <row r="337" spans="1:71" ht="15.75" customHeight="1">
      <c r="A337" s="308"/>
      <c r="B337" s="308"/>
      <c r="C337" s="308"/>
      <c r="D337" s="308"/>
      <c r="E337" s="308"/>
      <c r="F337" s="341"/>
      <c r="G337" s="340"/>
      <c r="H337" s="308"/>
      <c r="I337" s="308"/>
      <c r="J337" s="308"/>
      <c r="K337" s="308"/>
      <c r="L337" s="308"/>
      <c r="M337" s="308"/>
      <c r="N337" s="308"/>
      <c r="O337" s="308"/>
      <c r="P337" s="308"/>
      <c r="Q337" s="308"/>
      <c r="R337" s="308"/>
      <c r="S337" s="308"/>
      <c r="T337" s="308"/>
      <c r="U337" s="308"/>
      <c r="V337" s="308"/>
      <c r="W337" s="308"/>
      <c r="X337" s="308"/>
      <c r="Y337" s="308"/>
      <c r="Z337" s="308"/>
      <c r="AA337" s="308"/>
      <c r="AB337" s="308"/>
      <c r="AC337" s="308"/>
      <c r="AD337" s="308"/>
      <c r="AE337" s="308"/>
      <c r="AF337" s="308"/>
      <c r="AG337" s="308"/>
      <c r="AH337" s="308"/>
      <c r="AI337" s="308"/>
      <c r="AJ337" s="308"/>
      <c r="AK337" s="308"/>
      <c r="AL337" s="308"/>
      <c r="AM337" s="308"/>
      <c r="AN337" s="308"/>
      <c r="AO337" s="308"/>
      <c r="AP337" s="308"/>
      <c r="AQ337" s="308"/>
      <c r="AR337" s="308"/>
      <c r="AS337" s="308"/>
      <c r="AT337" s="308"/>
      <c r="AU337" s="308"/>
      <c r="AV337" s="308"/>
      <c r="AW337" s="308"/>
      <c r="AX337" s="308"/>
      <c r="AY337" s="308"/>
      <c r="AZ337" s="308"/>
      <c r="BA337" s="308"/>
      <c r="BB337" s="308"/>
      <c r="BC337" s="308"/>
      <c r="BD337" s="308"/>
      <c r="BE337" s="308"/>
      <c r="BF337" s="308"/>
      <c r="BG337" s="308"/>
      <c r="BH337" s="308"/>
      <c r="BI337" s="308"/>
      <c r="BJ337" s="308"/>
      <c r="BK337" s="308"/>
      <c r="BL337" s="308"/>
      <c r="BM337" s="308"/>
      <c r="BN337" s="308"/>
      <c r="BO337" s="308"/>
      <c r="BP337" s="308"/>
      <c r="BQ337" s="308"/>
      <c r="BR337" s="308"/>
      <c r="BS337" s="308"/>
    </row>
    <row r="338" spans="1:71" ht="15.75" customHeight="1">
      <c r="A338" s="308"/>
      <c r="B338" s="308"/>
      <c r="C338" s="308"/>
      <c r="D338" s="308"/>
      <c r="E338" s="308"/>
      <c r="F338" s="341"/>
      <c r="G338" s="340"/>
      <c r="H338" s="308"/>
      <c r="I338" s="308"/>
      <c r="J338" s="308"/>
      <c r="K338" s="308"/>
      <c r="L338" s="308"/>
      <c r="M338" s="308"/>
      <c r="N338" s="308"/>
      <c r="O338" s="308"/>
      <c r="P338" s="308"/>
      <c r="Q338" s="308"/>
      <c r="R338" s="308"/>
      <c r="S338" s="308"/>
      <c r="T338" s="308"/>
      <c r="U338" s="308"/>
      <c r="V338" s="308"/>
      <c r="W338" s="308"/>
      <c r="X338" s="308"/>
      <c r="Y338" s="308"/>
      <c r="Z338" s="308"/>
      <c r="AA338" s="308"/>
      <c r="AB338" s="308"/>
      <c r="AC338" s="308"/>
      <c r="AD338" s="308"/>
      <c r="AE338" s="308"/>
      <c r="AF338" s="308"/>
      <c r="AG338" s="308"/>
      <c r="AH338" s="308"/>
      <c r="AI338" s="308"/>
      <c r="AJ338" s="308"/>
      <c r="AK338" s="308"/>
      <c r="AL338" s="308"/>
      <c r="AM338" s="308"/>
      <c r="AN338" s="308"/>
      <c r="AO338" s="308"/>
      <c r="AP338" s="308"/>
      <c r="AQ338" s="308"/>
      <c r="AR338" s="308"/>
      <c r="AS338" s="308"/>
      <c r="AT338" s="308"/>
      <c r="AU338" s="308"/>
      <c r="AV338" s="308"/>
      <c r="AW338" s="308"/>
      <c r="AX338" s="308"/>
      <c r="AY338" s="308"/>
      <c r="AZ338" s="308"/>
      <c r="BA338" s="308"/>
      <c r="BB338" s="308"/>
      <c r="BC338" s="308"/>
      <c r="BD338" s="308"/>
      <c r="BE338" s="308"/>
      <c r="BF338" s="308"/>
      <c r="BG338" s="308"/>
      <c r="BH338" s="308"/>
      <c r="BI338" s="308"/>
      <c r="BJ338" s="308"/>
      <c r="BK338" s="308"/>
      <c r="BL338" s="308"/>
      <c r="BM338" s="308"/>
      <c r="BN338" s="308"/>
      <c r="BO338" s="308"/>
      <c r="BP338" s="308"/>
      <c r="BQ338" s="308"/>
      <c r="BR338" s="308"/>
      <c r="BS338" s="308"/>
    </row>
    <row r="339" spans="1:71" ht="15.75" customHeight="1">
      <c r="A339" s="308"/>
      <c r="B339" s="308"/>
      <c r="C339" s="308"/>
      <c r="D339" s="308"/>
      <c r="E339" s="308"/>
      <c r="F339" s="341"/>
      <c r="G339" s="340"/>
      <c r="H339" s="308"/>
      <c r="I339" s="308"/>
      <c r="J339" s="308"/>
      <c r="K339" s="308"/>
      <c r="L339" s="308"/>
      <c r="M339" s="308"/>
      <c r="N339" s="308"/>
      <c r="O339" s="308"/>
      <c r="P339" s="308"/>
      <c r="Q339" s="308"/>
      <c r="R339" s="308"/>
      <c r="S339" s="308"/>
      <c r="T339" s="308"/>
      <c r="U339" s="308"/>
      <c r="V339" s="308"/>
      <c r="W339" s="308"/>
      <c r="X339" s="308"/>
      <c r="Y339" s="308"/>
      <c r="Z339" s="308"/>
      <c r="AA339" s="308"/>
      <c r="AB339" s="308"/>
      <c r="AC339" s="308"/>
      <c r="AD339" s="308"/>
      <c r="AE339" s="308"/>
      <c r="AF339" s="308"/>
      <c r="AG339" s="308"/>
      <c r="AH339" s="308"/>
      <c r="AI339" s="308"/>
      <c r="AJ339" s="308"/>
      <c r="AK339" s="308"/>
      <c r="AL339" s="308"/>
      <c r="AM339" s="308"/>
      <c r="AN339" s="308"/>
      <c r="AO339" s="308"/>
      <c r="AP339" s="308"/>
      <c r="AQ339" s="308"/>
      <c r="AR339" s="308"/>
      <c r="AS339" s="308"/>
      <c r="AT339" s="308"/>
      <c r="AU339" s="308"/>
      <c r="AV339" s="308"/>
      <c r="AW339" s="308"/>
      <c r="AX339" s="308"/>
      <c r="AY339" s="308"/>
      <c r="AZ339" s="308"/>
      <c r="BA339" s="308"/>
      <c r="BB339" s="308"/>
      <c r="BC339" s="308"/>
      <c r="BD339" s="308"/>
      <c r="BE339" s="308"/>
      <c r="BF339" s="308"/>
      <c r="BG339" s="308"/>
      <c r="BH339" s="308"/>
      <c r="BI339" s="308"/>
      <c r="BJ339" s="308"/>
      <c r="BK339" s="308"/>
      <c r="BL339" s="308"/>
      <c r="BM339" s="308"/>
      <c r="BN339" s="308"/>
      <c r="BO339" s="308"/>
      <c r="BP339" s="308"/>
      <c r="BQ339" s="308"/>
      <c r="BR339" s="308"/>
      <c r="BS339" s="308"/>
    </row>
    <row r="340" spans="1:71" ht="15.75" customHeight="1">
      <c r="A340" s="308"/>
      <c r="B340" s="308"/>
      <c r="C340" s="308"/>
      <c r="D340" s="308"/>
      <c r="E340" s="308"/>
      <c r="F340" s="341"/>
      <c r="G340" s="340"/>
      <c r="H340" s="308"/>
      <c r="I340" s="308"/>
      <c r="J340" s="308"/>
      <c r="K340" s="308"/>
      <c r="L340" s="308"/>
      <c r="M340" s="308"/>
      <c r="N340" s="308"/>
      <c r="O340" s="308"/>
      <c r="P340" s="308"/>
      <c r="Q340" s="308"/>
      <c r="R340" s="308"/>
      <c r="S340" s="308"/>
      <c r="T340" s="308"/>
      <c r="U340" s="308"/>
      <c r="V340" s="308"/>
      <c r="W340" s="308"/>
      <c r="X340" s="308"/>
      <c r="Y340" s="308"/>
      <c r="Z340" s="308"/>
      <c r="AA340" s="308"/>
      <c r="AB340" s="308"/>
      <c r="AC340" s="308"/>
      <c r="AD340" s="308"/>
      <c r="AE340" s="308"/>
      <c r="AF340" s="308"/>
      <c r="AG340" s="308"/>
      <c r="AH340" s="308"/>
      <c r="AI340" s="308"/>
      <c r="AJ340" s="308"/>
      <c r="AK340" s="308"/>
      <c r="AL340" s="308"/>
      <c r="AM340" s="308"/>
      <c r="AN340" s="308"/>
      <c r="AO340" s="308"/>
      <c r="AP340" s="308"/>
      <c r="AQ340" s="308"/>
      <c r="AR340" s="308"/>
      <c r="AS340" s="308"/>
      <c r="AT340" s="308"/>
      <c r="AU340" s="308"/>
      <c r="AV340" s="308"/>
      <c r="AW340" s="308"/>
      <c r="AX340" s="308"/>
      <c r="AY340" s="308"/>
      <c r="AZ340" s="308"/>
      <c r="BA340" s="308"/>
      <c r="BB340" s="308"/>
      <c r="BC340" s="308"/>
      <c r="BD340" s="308"/>
      <c r="BE340" s="308"/>
      <c r="BF340" s="308"/>
      <c r="BG340" s="308"/>
      <c r="BH340" s="308"/>
      <c r="BI340" s="308"/>
      <c r="BJ340" s="308"/>
      <c r="BK340" s="308"/>
      <c r="BL340" s="308"/>
      <c r="BM340" s="308"/>
      <c r="BN340" s="308"/>
      <c r="BO340" s="308"/>
      <c r="BP340" s="308"/>
      <c r="BQ340" s="308"/>
      <c r="BR340" s="308"/>
      <c r="BS340" s="308"/>
    </row>
    <row r="341" spans="1:71" ht="15.75" customHeight="1">
      <c r="A341" s="308"/>
      <c r="B341" s="308"/>
      <c r="C341" s="308"/>
      <c r="D341" s="308"/>
      <c r="E341" s="308"/>
      <c r="F341" s="341"/>
      <c r="G341" s="340"/>
      <c r="H341" s="308"/>
      <c r="I341" s="308"/>
      <c r="J341" s="308"/>
      <c r="K341" s="308"/>
      <c r="L341" s="308"/>
      <c r="M341" s="308"/>
      <c r="N341" s="308"/>
      <c r="O341" s="308"/>
      <c r="P341" s="308"/>
      <c r="Q341" s="308"/>
      <c r="R341" s="308"/>
      <c r="S341" s="308"/>
      <c r="T341" s="308"/>
      <c r="U341" s="308"/>
      <c r="V341" s="308"/>
      <c r="W341" s="308"/>
      <c r="X341" s="308"/>
      <c r="Y341" s="308"/>
      <c r="Z341" s="308"/>
      <c r="AA341" s="308"/>
      <c r="AB341" s="308"/>
      <c r="AC341" s="308"/>
      <c r="AD341" s="308"/>
      <c r="AE341" s="308"/>
      <c r="AF341" s="308"/>
      <c r="AG341" s="308"/>
      <c r="AH341" s="308"/>
      <c r="AI341" s="308"/>
      <c r="AJ341" s="308"/>
      <c r="AK341" s="308"/>
      <c r="AL341" s="308"/>
      <c r="AM341" s="308"/>
      <c r="AN341" s="308"/>
      <c r="AO341" s="308"/>
      <c r="AP341" s="308"/>
      <c r="AQ341" s="308"/>
      <c r="AR341" s="308"/>
      <c r="AS341" s="308"/>
      <c r="AT341" s="308"/>
      <c r="AU341" s="308"/>
      <c r="AV341" s="308"/>
      <c r="AW341" s="308"/>
      <c r="AX341" s="308"/>
      <c r="AY341" s="308"/>
      <c r="AZ341" s="308"/>
      <c r="BA341" s="308"/>
      <c r="BB341" s="308"/>
      <c r="BC341" s="308"/>
      <c r="BD341" s="308"/>
      <c r="BE341" s="308"/>
      <c r="BF341" s="308"/>
      <c r="BG341" s="308"/>
      <c r="BH341" s="308"/>
      <c r="BI341" s="308"/>
      <c r="BJ341" s="308"/>
      <c r="BK341" s="308"/>
      <c r="BL341" s="308"/>
      <c r="BM341" s="308"/>
      <c r="BN341" s="308"/>
      <c r="BO341" s="308"/>
      <c r="BP341" s="308"/>
      <c r="BQ341" s="308"/>
      <c r="BR341" s="308"/>
      <c r="BS341" s="308"/>
    </row>
    <row r="342" spans="1:71" ht="15.75" customHeight="1">
      <c r="A342" s="308"/>
      <c r="B342" s="308"/>
      <c r="C342" s="308"/>
      <c r="D342" s="308"/>
      <c r="E342" s="308"/>
      <c r="F342" s="341"/>
      <c r="G342" s="340"/>
      <c r="H342" s="308"/>
      <c r="I342" s="308"/>
      <c r="J342" s="308"/>
      <c r="K342" s="308"/>
      <c r="L342" s="308"/>
      <c r="M342" s="308"/>
      <c r="N342" s="308"/>
      <c r="O342" s="308"/>
      <c r="P342" s="308"/>
      <c r="Q342" s="308"/>
      <c r="R342" s="308"/>
      <c r="S342" s="308"/>
      <c r="T342" s="308"/>
      <c r="U342" s="308"/>
      <c r="V342" s="308"/>
      <c r="W342" s="308"/>
      <c r="X342" s="308"/>
      <c r="Y342" s="308"/>
      <c r="Z342" s="308"/>
      <c r="AA342" s="308"/>
      <c r="AB342" s="308"/>
      <c r="AC342" s="308"/>
      <c r="AD342" s="308"/>
      <c r="AE342" s="308"/>
      <c r="AF342" s="308"/>
      <c r="AG342" s="308"/>
      <c r="AH342" s="308"/>
      <c r="AI342" s="308"/>
      <c r="AJ342" s="308"/>
      <c r="AK342" s="308"/>
      <c r="AL342" s="308"/>
      <c r="AM342" s="308"/>
      <c r="AN342" s="308"/>
      <c r="AO342" s="308"/>
      <c r="AP342" s="308"/>
      <c r="AQ342" s="308"/>
      <c r="AR342" s="308"/>
      <c r="AS342" s="308"/>
      <c r="AT342" s="308"/>
      <c r="AU342" s="308"/>
      <c r="AV342" s="308"/>
      <c r="AW342" s="308"/>
      <c r="AX342" s="308"/>
      <c r="AY342" s="308"/>
      <c r="AZ342" s="308"/>
      <c r="BA342" s="308"/>
      <c r="BB342" s="308"/>
      <c r="BC342" s="308"/>
      <c r="BD342" s="308"/>
      <c r="BE342" s="308"/>
      <c r="BF342" s="308"/>
      <c r="BG342" s="308"/>
      <c r="BH342" s="308"/>
      <c r="BI342" s="308"/>
      <c r="BJ342" s="308"/>
      <c r="BK342" s="308"/>
      <c r="BL342" s="308"/>
      <c r="BM342" s="308"/>
      <c r="BN342" s="308"/>
      <c r="BO342" s="308"/>
      <c r="BP342" s="308"/>
      <c r="BQ342" s="308"/>
      <c r="BR342" s="308"/>
      <c r="BS342" s="308"/>
    </row>
    <row r="343" spans="1:71" ht="15.75" customHeight="1">
      <c r="A343" s="308"/>
      <c r="B343" s="308"/>
      <c r="C343" s="308"/>
      <c r="D343" s="308"/>
      <c r="E343" s="308"/>
      <c r="F343" s="341"/>
      <c r="G343" s="340"/>
      <c r="H343" s="308"/>
      <c r="I343" s="308"/>
      <c r="J343" s="308"/>
      <c r="K343" s="308"/>
      <c r="L343" s="308"/>
      <c r="M343" s="308"/>
      <c r="N343" s="308"/>
      <c r="O343" s="308"/>
      <c r="P343" s="308"/>
      <c r="Q343" s="308"/>
      <c r="R343" s="308"/>
      <c r="S343" s="308"/>
      <c r="T343" s="308"/>
      <c r="U343" s="308"/>
      <c r="V343" s="308"/>
      <c r="W343" s="308"/>
      <c r="X343" s="308"/>
      <c r="Y343" s="308"/>
      <c r="Z343" s="308"/>
      <c r="AA343" s="308"/>
      <c r="AB343" s="308"/>
      <c r="AC343" s="308"/>
      <c r="AD343" s="308"/>
      <c r="AE343" s="308"/>
      <c r="AF343" s="308"/>
      <c r="AG343" s="308"/>
      <c r="AH343" s="308"/>
      <c r="AI343" s="308"/>
      <c r="AJ343" s="308"/>
      <c r="AK343" s="308"/>
      <c r="AL343" s="308"/>
      <c r="AM343" s="308"/>
      <c r="AN343" s="308"/>
      <c r="AO343" s="308"/>
      <c r="AP343" s="308"/>
      <c r="AQ343" s="308"/>
      <c r="AR343" s="308"/>
      <c r="AS343" s="308"/>
      <c r="AT343" s="308"/>
      <c r="AU343" s="308"/>
      <c r="AV343" s="308"/>
      <c r="AW343" s="308"/>
      <c r="AX343" s="308"/>
      <c r="AY343" s="308"/>
      <c r="AZ343" s="308"/>
      <c r="BA343" s="308"/>
      <c r="BB343" s="308"/>
      <c r="BC343" s="308"/>
      <c r="BD343" s="308"/>
      <c r="BE343" s="308"/>
      <c r="BF343" s="308"/>
      <c r="BG343" s="308"/>
      <c r="BH343" s="308"/>
      <c r="BI343" s="308"/>
      <c r="BJ343" s="308"/>
      <c r="BK343" s="308"/>
      <c r="BL343" s="308"/>
      <c r="BM343" s="308"/>
      <c r="BN343" s="308"/>
      <c r="BO343" s="308"/>
      <c r="BP343" s="308"/>
      <c r="BQ343" s="308"/>
      <c r="BR343" s="308"/>
      <c r="BS343" s="308"/>
    </row>
    <row r="344" spans="1:71" ht="15.75" customHeight="1">
      <c r="A344" s="308"/>
      <c r="B344" s="308"/>
      <c r="C344" s="308"/>
      <c r="D344" s="308"/>
      <c r="E344" s="308"/>
      <c r="F344" s="341"/>
      <c r="G344" s="340"/>
      <c r="H344" s="308"/>
      <c r="I344" s="308"/>
      <c r="J344" s="308"/>
      <c r="K344" s="308"/>
      <c r="L344" s="308"/>
      <c r="M344" s="308"/>
      <c r="N344" s="308"/>
      <c r="O344" s="308"/>
      <c r="P344" s="308"/>
      <c r="Q344" s="308"/>
      <c r="R344" s="308"/>
      <c r="S344" s="308"/>
      <c r="T344" s="308"/>
      <c r="U344" s="308"/>
      <c r="V344" s="308"/>
      <c r="W344" s="308"/>
      <c r="X344" s="308"/>
      <c r="Y344" s="308"/>
      <c r="Z344" s="308"/>
      <c r="AA344" s="308"/>
      <c r="AB344" s="308"/>
      <c r="AC344" s="308"/>
      <c r="AD344" s="308"/>
      <c r="AE344" s="308"/>
      <c r="AF344" s="308"/>
      <c r="AG344" s="308"/>
      <c r="AH344" s="308"/>
      <c r="AI344" s="308"/>
      <c r="AJ344" s="308"/>
      <c r="AK344" s="308"/>
      <c r="AL344" s="308"/>
      <c r="AM344" s="308"/>
      <c r="AN344" s="308"/>
      <c r="AO344" s="308"/>
      <c r="AP344" s="308"/>
      <c r="AQ344" s="308"/>
      <c r="AR344" s="308"/>
      <c r="AS344" s="308"/>
      <c r="AT344" s="308"/>
      <c r="AU344" s="308"/>
      <c r="AV344" s="308"/>
      <c r="AW344" s="308"/>
      <c r="AX344" s="308"/>
      <c r="AY344" s="308"/>
      <c r="AZ344" s="308"/>
      <c r="BA344" s="308"/>
      <c r="BB344" s="308"/>
      <c r="BC344" s="308"/>
      <c r="BD344" s="308"/>
      <c r="BE344" s="308"/>
      <c r="BF344" s="308"/>
      <c r="BG344" s="308"/>
      <c r="BH344" s="308"/>
      <c r="BI344" s="308"/>
      <c r="BJ344" s="308"/>
      <c r="BK344" s="308"/>
      <c r="BL344" s="308"/>
      <c r="BM344" s="308"/>
      <c r="BN344" s="308"/>
      <c r="BO344" s="308"/>
      <c r="BP344" s="308"/>
      <c r="BQ344" s="308"/>
      <c r="BR344" s="308"/>
      <c r="BS344" s="308"/>
    </row>
    <row r="345" spans="1:71" ht="15.75" customHeight="1">
      <c r="A345" s="308"/>
      <c r="B345" s="308"/>
      <c r="C345" s="308"/>
      <c r="D345" s="308"/>
      <c r="E345" s="308"/>
      <c r="F345" s="341"/>
      <c r="G345" s="340"/>
      <c r="H345" s="308"/>
      <c r="I345" s="308"/>
      <c r="J345" s="308"/>
      <c r="K345" s="308"/>
      <c r="L345" s="308"/>
      <c r="M345" s="308"/>
      <c r="N345" s="308"/>
      <c r="O345" s="308"/>
      <c r="P345" s="308"/>
      <c r="Q345" s="308"/>
      <c r="R345" s="308"/>
      <c r="S345" s="308"/>
      <c r="T345" s="308"/>
      <c r="U345" s="308"/>
      <c r="V345" s="308"/>
      <c r="W345" s="308"/>
      <c r="X345" s="308"/>
      <c r="Y345" s="308"/>
      <c r="Z345" s="308"/>
      <c r="AA345" s="308"/>
      <c r="AB345" s="308"/>
      <c r="AC345" s="308"/>
      <c r="AD345" s="308"/>
      <c r="AE345" s="308"/>
      <c r="AF345" s="308"/>
      <c r="AG345" s="308"/>
      <c r="AH345" s="308"/>
      <c r="AI345" s="308"/>
      <c r="AJ345" s="308"/>
      <c r="AK345" s="308"/>
      <c r="AL345" s="308"/>
      <c r="AM345" s="308"/>
      <c r="AN345" s="308"/>
      <c r="AO345" s="308"/>
      <c r="AP345" s="308"/>
      <c r="AQ345" s="308"/>
      <c r="AR345" s="308"/>
      <c r="AS345" s="308"/>
      <c r="AT345" s="308"/>
      <c r="AU345" s="308"/>
      <c r="AV345" s="308"/>
      <c r="AW345" s="308"/>
      <c r="AX345" s="308"/>
      <c r="AY345" s="308"/>
      <c r="AZ345" s="308"/>
      <c r="BA345" s="308"/>
      <c r="BB345" s="308"/>
      <c r="BC345" s="308"/>
      <c r="BD345" s="308"/>
      <c r="BE345" s="308"/>
      <c r="BF345" s="308"/>
      <c r="BG345" s="308"/>
      <c r="BH345" s="308"/>
      <c r="BI345" s="308"/>
      <c r="BJ345" s="308"/>
      <c r="BK345" s="308"/>
      <c r="BL345" s="308"/>
      <c r="BM345" s="308"/>
      <c r="BN345" s="308"/>
      <c r="BO345" s="308"/>
      <c r="BP345" s="308"/>
      <c r="BQ345" s="308"/>
      <c r="BR345" s="308"/>
      <c r="BS345" s="308"/>
    </row>
    <row r="346" spans="1:71" ht="15.75" customHeight="1">
      <c r="A346" s="308"/>
      <c r="B346" s="308"/>
      <c r="C346" s="308"/>
      <c r="D346" s="308"/>
      <c r="E346" s="308"/>
      <c r="F346" s="341"/>
      <c r="G346" s="340"/>
      <c r="H346" s="308"/>
      <c r="I346" s="308"/>
      <c r="J346" s="308"/>
      <c r="K346" s="308"/>
      <c r="L346" s="308"/>
      <c r="M346" s="308"/>
      <c r="N346" s="308"/>
      <c r="O346" s="308"/>
      <c r="P346" s="308"/>
      <c r="Q346" s="308"/>
      <c r="R346" s="308"/>
      <c r="S346" s="308"/>
      <c r="T346" s="308"/>
      <c r="U346" s="308"/>
      <c r="V346" s="308"/>
      <c r="W346" s="308"/>
      <c r="X346" s="308"/>
      <c r="Y346" s="308"/>
      <c r="Z346" s="308"/>
      <c r="AA346" s="308"/>
      <c r="AB346" s="308"/>
      <c r="AC346" s="308"/>
      <c r="AD346" s="308"/>
      <c r="AE346" s="308"/>
      <c r="AF346" s="308"/>
      <c r="AG346" s="308"/>
      <c r="AH346" s="308"/>
      <c r="AI346" s="308"/>
      <c r="AJ346" s="308"/>
      <c r="AK346" s="308"/>
      <c r="AL346" s="308"/>
      <c r="AM346" s="308"/>
      <c r="AN346" s="308"/>
      <c r="AO346" s="308"/>
      <c r="AP346" s="308"/>
      <c r="AQ346" s="308"/>
      <c r="AR346" s="308"/>
      <c r="AS346" s="308"/>
      <c r="AT346" s="308"/>
      <c r="AU346" s="308"/>
      <c r="AV346" s="308"/>
      <c r="AW346" s="308"/>
      <c r="AX346" s="308"/>
      <c r="AY346" s="308"/>
      <c r="AZ346" s="308"/>
      <c r="BA346" s="308"/>
      <c r="BB346" s="308"/>
      <c r="BC346" s="308"/>
      <c r="BD346" s="308"/>
      <c r="BE346" s="308"/>
      <c r="BF346" s="308"/>
      <c r="BG346" s="308"/>
      <c r="BH346" s="308"/>
      <c r="BI346" s="308"/>
      <c r="BJ346" s="308"/>
      <c r="BK346" s="308"/>
      <c r="BL346" s="308"/>
      <c r="BM346" s="308"/>
      <c r="BN346" s="308"/>
      <c r="BO346" s="308"/>
      <c r="BP346" s="308"/>
      <c r="BQ346" s="308"/>
      <c r="BR346" s="308"/>
      <c r="BS346" s="308"/>
    </row>
    <row r="347" spans="1:71" ht="15.75" customHeight="1">
      <c r="A347" s="308"/>
      <c r="B347" s="308"/>
      <c r="C347" s="308"/>
      <c r="D347" s="308"/>
      <c r="E347" s="308"/>
      <c r="F347" s="341"/>
      <c r="G347" s="340"/>
      <c r="H347" s="308"/>
      <c r="I347" s="308"/>
      <c r="J347" s="308"/>
      <c r="K347" s="308"/>
      <c r="L347" s="308"/>
      <c r="M347" s="308"/>
      <c r="N347" s="308"/>
      <c r="O347" s="308"/>
      <c r="P347" s="308"/>
      <c r="Q347" s="308"/>
      <c r="R347" s="308"/>
      <c r="S347" s="308"/>
      <c r="T347" s="308"/>
      <c r="U347" s="308"/>
      <c r="V347" s="308"/>
      <c r="W347" s="308"/>
      <c r="X347" s="308"/>
      <c r="Y347" s="308"/>
      <c r="Z347" s="308"/>
      <c r="AA347" s="308"/>
      <c r="AB347" s="308"/>
      <c r="AC347" s="308"/>
      <c r="AD347" s="308"/>
      <c r="AE347" s="308"/>
      <c r="AF347" s="308"/>
      <c r="AG347" s="308"/>
      <c r="AH347" s="308"/>
      <c r="AI347" s="308"/>
      <c r="AJ347" s="308"/>
      <c r="AK347" s="308"/>
      <c r="AL347" s="308"/>
      <c r="AM347" s="308"/>
      <c r="AN347" s="308"/>
      <c r="AO347" s="308"/>
      <c r="AP347" s="308"/>
      <c r="AQ347" s="308"/>
      <c r="AR347" s="308"/>
      <c r="AS347" s="308"/>
      <c r="AT347" s="308"/>
      <c r="AU347" s="308"/>
      <c r="AV347" s="308"/>
      <c r="AW347" s="308"/>
      <c r="AX347" s="308"/>
      <c r="AY347" s="308"/>
      <c r="AZ347" s="308"/>
      <c r="BA347" s="308"/>
      <c r="BB347" s="308"/>
      <c r="BC347" s="308"/>
      <c r="BD347" s="308"/>
      <c r="BE347" s="308"/>
      <c r="BF347" s="308"/>
      <c r="BG347" s="308"/>
      <c r="BH347" s="308"/>
      <c r="BI347" s="308"/>
      <c r="BJ347" s="308"/>
      <c r="BK347" s="308"/>
      <c r="BL347" s="308"/>
      <c r="BM347" s="308"/>
      <c r="BN347" s="308"/>
      <c r="BO347" s="308"/>
      <c r="BP347" s="308"/>
      <c r="BQ347" s="308"/>
      <c r="BR347" s="308"/>
      <c r="BS347" s="308"/>
    </row>
    <row r="348" spans="1:71" ht="15.75" customHeight="1">
      <c r="A348" s="308"/>
      <c r="B348" s="308"/>
      <c r="C348" s="308"/>
      <c r="D348" s="308"/>
      <c r="E348" s="308"/>
      <c r="F348" s="341"/>
      <c r="G348" s="340"/>
      <c r="H348" s="308"/>
      <c r="I348" s="308"/>
      <c r="J348" s="308"/>
      <c r="K348" s="308"/>
      <c r="L348" s="308"/>
      <c r="M348" s="308"/>
      <c r="N348" s="308"/>
      <c r="O348" s="308"/>
      <c r="P348" s="308"/>
      <c r="Q348" s="308"/>
      <c r="R348" s="308"/>
      <c r="S348" s="308"/>
      <c r="T348" s="308"/>
      <c r="U348" s="308"/>
      <c r="V348" s="308"/>
      <c r="W348" s="308"/>
      <c r="X348" s="308"/>
      <c r="Y348" s="308"/>
      <c r="Z348" s="308"/>
      <c r="AA348" s="308"/>
      <c r="AB348" s="308"/>
      <c r="AC348" s="308"/>
      <c r="AD348" s="308"/>
      <c r="AE348" s="308"/>
      <c r="AF348" s="308"/>
      <c r="AG348" s="308"/>
      <c r="AH348" s="308"/>
      <c r="AI348" s="308"/>
      <c r="AJ348" s="308"/>
      <c r="AK348" s="308"/>
      <c r="AL348" s="308"/>
      <c r="AM348" s="308"/>
      <c r="AN348" s="308"/>
      <c r="AO348" s="308"/>
      <c r="AP348" s="308"/>
      <c r="AQ348" s="308"/>
      <c r="AR348" s="308"/>
      <c r="AS348" s="308"/>
      <c r="AT348" s="308"/>
      <c r="AU348" s="308"/>
      <c r="AV348" s="308"/>
      <c r="AW348" s="308"/>
      <c r="AX348" s="308"/>
      <c r="AY348" s="308"/>
      <c r="AZ348" s="308"/>
      <c r="BA348" s="308"/>
      <c r="BB348" s="308"/>
      <c r="BC348" s="308"/>
      <c r="BD348" s="308"/>
      <c r="BE348" s="308"/>
      <c r="BF348" s="308"/>
      <c r="BG348" s="308"/>
      <c r="BH348" s="308"/>
      <c r="BI348" s="308"/>
      <c r="BJ348" s="308"/>
      <c r="BK348" s="308"/>
      <c r="BL348" s="308"/>
      <c r="BM348" s="308"/>
      <c r="BN348" s="308"/>
      <c r="BO348" s="308"/>
      <c r="BP348" s="308"/>
      <c r="BQ348" s="308"/>
      <c r="BR348" s="308"/>
      <c r="BS348" s="308"/>
    </row>
    <row r="349" spans="1:71" ht="15.75" customHeight="1">
      <c r="A349" s="308"/>
      <c r="B349" s="308"/>
      <c r="C349" s="308"/>
      <c r="D349" s="308"/>
      <c r="E349" s="308"/>
      <c r="F349" s="341"/>
      <c r="G349" s="340"/>
      <c r="H349" s="308"/>
      <c r="I349" s="308"/>
      <c r="J349" s="308"/>
      <c r="K349" s="308"/>
      <c r="L349" s="308"/>
      <c r="M349" s="308"/>
      <c r="N349" s="308"/>
      <c r="O349" s="308"/>
      <c r="P349" s="308"/>
      <c r="Q349" s="308"/>
      <c r="R349" s="308"/>
      <c r="S349" s="308"/>
      <c r="T349" s="308"/>
      <c r="U349" s="308"/>
      <c r="V349" s="308"/>
      <c r="W349" s="308"/>
      <c r="X349" s="308"/>
      <c r="Y349" s="308"/>
      <c r="Z349" s="308"/>
      <c r="AA349" s="308"/>
      <c r="AB349" s="308"/>
      <c r="AC349" s="308"/>
      <c r="AD349" s="308"/>
      <c r="AE349" s="308"/>
      <c r="AF349" s="308"/>
      <c r="AG349" s="308"/>
      <c r="AH349" s="308"/>
      <c r="AI349" s="308"/>
      <c r="AJ349" s="308"/>
      <c r="AK349" s="308"/>
      <c r="AL349" s="308"/>
      <c r="AM349" s="308"/>
      <c r="AN349" s="308"/>
      <c r="AO349" s="308"/>
      <c r="AP349" s="308"/>
      <c r="AQ349" s="308"/>
      <c r="AR349" s="308"/>
      <c r="AS349" s="308"/>
      <c r="AT349" s="308"/>
      <c r="AU349" s="308"/>
      <c r="AV349" s="308"/>
      <c r="AW349" s="308"/>
      <c r="AX349" s="308"/>
      <c r="AY349" s="308"/>
      <c r="AZ349" s="308"/>
      <c r="BA349" s="308"/>
      <c r="BB349" s="308"/>
      <c r="BC349" s="308"/>
      <c r="BD349" s="308"/>
      <c r="BE349" s="308"/>
      <c r="BF349" s="308"/>
      <c r="BG349" s="308"/>
      <c r="BH349" s="308"/>
      <c r="BI349" s="308"/>
      <c r="BJ349" s="308"/>
      <c r="BK349" s="308"/>
      <c r="BL349" s="308"/>
      <c r="BM349" s="308"/>
      <c r="BN349" s="308"/>
      <c r="BO349" s="308"/>
      <c r="BP349" s="308"/>
      <c r="BQ349" s="308"/>
      <c r="BR349" s="308"/>
      <c r="BS349" s="308"/>
    </row>
    <row r="350" spans="1:71" ht="15.75" customHeight="1">
      <c r="A350" s="308"/>
      <c r="B350" s="308"/>
      <c r="C350" s="308"/>
      <c r="D350" s="308"/>
      <c r="E350" s="308"/>
      <c r="F350" s="341"/>
      <c r="G350" s="340"/>
      <c r="H350" s="308"/>
      <c r="I350" s="308"/>
      <c r="J350" s="308"/>
      <c r="K350" s="308"/>
      <c r="L350" s="308"/>
      <c r="M350" s="308"/>
      <c r="N350" s="308"/>
      <c r="O350" s="308"/>
      <c r="P350" s="308"/>
      <c r="Q350" s="308"/>
      <c r="R350" s="308"/>
      <c r="S350" s="308"/>
      <c r="T350" s="308"/>
      <c r="U350" s="308"/>
      <c r="V350" s="308"/>
      <c r="W350" s="308"/>
      <c r="X350" s="308"/>
      <c r="Y350" s="308"/>
      <c r="Z350" s="308"/>
      <c r="AA350" s="308"/>
      <c r="AB350" s="308"/>
      <c r="AC350" s="308"/>
      <c r="AD350" s="308"/>
      <c r="AE350" s="308"/>
      <c r="AF350" s="308"/>
      <c r="AG350" s="308"/>
      <c r="AH350" s="308"/>
      <c r="AI350" s="308"/>
      <c r="AJ350" s="308"/>
      <c r="AK350" s="308"/>
      <c r="AL350" s="308"/>
      <c r="AM350" s="308"/>
      <c r="AN350" s="308"/>
      <c r="AO350" s="308"/>
      <c r="AP350" s="308"/>
      <c r="AQ350" s="308"/>
      <c r="AR350" s="308"/>
      <c r="AS350" s="308"/>
      <c r="AT350" s="308"/>
      <c r="AU350" s="308"/>
      <c r="AV350" s="308"/>
      <c r="AW350" s="308"/>
      <c r="AX350" s="308"/>
      <c r="AY350" s="308"/>
      <c r="AZ350" s="308"/>
      <c r="BA350" s="308"/>
      <c r="BB350" s="308"/>
      <c r="BC350" s="308"/>
      <c r="BD350" s="308"/>
      <c r="BE350" s="308"/>
      <c r="BF350" s="308"/>
      <c r="BG350" s="308"/>
      <c r="BH350" s="308"/>
      <c r="BI350" s="308"/>
      <c r="BJ350" s="308"/>
      <c r="BK350" s="308"/>
      <c r="BL350" s="308"/>
      <c r="BM350" s="308"/>
      <c r="BN350" s="308"/>
      <c r="BO350" s="308"/>
      <c r="BP350" s="308"/>
      <c r="BQ350" s="308"/>
      <c r="BR350" s="308"/>
      <c r="BS350" s="308"/>
    </row>
    <row r="351" spans="1:71" ht="15.75" customHeight="1">
      <c r="A351" s="308"/>
      <c r="B351" s="308"/>
      <c r="C351" s="308"/>
      <c r="D351" s="308"/>
      <c r="E351" s="308"/>
      <c r="F351" s="341"/>
      <c r="G351" s="340"/>
      <c r="H351" s="308"/>
      <c r="I351" s="308"/>
      <c r="J351" s="308"/>
      <c r="K351" s="308"/>
      <c r="L351" s="308"/>
      <c r="M351" s="308"/>
      <c r="N351" s="308"/>
      <c r="O351" s="308"/>
      <c r="P351" s="308"/>
      <c r="Q351" s="308"/>
      <c r="R351" s="308"/>
      <c r="S351" s="308"/>
      <c r="T351" s="308"/>
      <c r="U351" s="308"/>
      <c r="V351" s="308"/>
      <c r="W351" s="308"/>
      <c r="X351" s="308"/>
      <c r="Y351" s="308"/>
      <c r="Z351" s="308"/>
      <c r="AA351" s="308"/>
      <c r="AB351" s="308"/>
      <c r="AC351" s="308"/>
      <c r="AD351" s="308"/>
      <c r="AE351" s="308"/>
      <c r="AF351" s="308"/>
      <c r="AG351" s="308"/>
      <c r="AH351" s="308"/>
      <c r="AI351" s="308"/>
      <c r="AJ351" s="308"/>
      <c r="AK351" s="308"/>
      <c r="AL351" s="308"/>
      <c r="AM351" s="308"/>
      <c r="AN351" s="308"/>
      <c r="AO351" s="308"/>
      <c r="AP351" s="308"/>
      <c r="AQ351" s="308"/>
      <c r="AR351" s="308"/>
      <c r="AS351" s="308"/>
      <c r="AT351" s="308"/>
      <c r="AU351" s="308"/>
      <c r="AV351" s="308"/>
      <c r="AW351" s="308"/>
      <c r="AX351" s="308"/>
      <c r="AY351" s="308"/>
      <c r="AZ351" s="308"/>
      <c r="BA351" s="308"/>
      <c r="BB351" s="308"/>
      <c r="BC351" s="308"/>
      <c r="BD351" s="308"/>
      <c r="BE351" s="308"/>
      <c r="BF351" s="308"/>
      <c r="BG351" s="308"/>
      <c r="BH351" s="308"/>
      <c r="BI351" s="308"/>
      <c r="BJ351" s="308"/>
      <c r="BK351" s="308"/>
      <c r="BL351" s="308"/>
      <c r="BM351" s="308"/>
      <c r="BN351" s="308"/>
      <c r="BO351" s="308"/>
      <c r="BP351" s="308"/>
      <c r="BQ351" s="308"/>
      <c r="BR351" s="308"/>
      <c r="BS351" s="308"/>
    </row>
    <row r="352" spans="1:71" ht="15.75" customHeight="1">
      <c r="A352" s="308"/>
      <c r="B352" s="308"/>
      <c r="C352" s="308"/>
      <c r="D352" s="308"/>
      <c r="E352" s="308"/>
      <c r="F352" s="341"/>
      <c r="G352" s="340"/>
      <c r="H352" s="308"/>
      <c r="I352" s="308"/>
      <c r="J352" s="308"/>
      <c r="K352" s="308"/>
      <c r="L352" s="308"/>
      <c r="M352" s="308"/>
      <c r="N352" s="308"/>
      <c r="O352" s="308"/>
      <c r="P352" s="308"/>
      <c r="Q352" s="308"/>
      <c r="R352" s="308"/>
      <c r="S352" s="308"/>
      <c r="T352" s="308"/>
      <c r="U352" s="308"/>
      <c r="V352" s="308"/>
      <c r="W352" s="308"/>
      <c r="X352" s="308"/>
      <c r="Y352" s="308"/>
      <c r="Z352" s="308"/>
      <c r="AA352" s="308"/>
      <c r="AB352" s="308"/>
      <c r="AC352" s="308"/>
      <c r="AD352" s="308"/>
      <c r="AE352" s="308"/>
      <c r="AF352" s="308"/>
      <c r="AG352" s="308"/>
      <c r="AH352" s="308"/>
      <c r="AI352" s="308"/>
      <c r="AJ352" s="308"/>
      <c r="AK352" s="308"/>
      <c r="AL352" s="308"/>
      <c r="AM352" s="308"/>
      <c r="AN352" s="308"/>
      <c r="AO352" s="308"/>
      <c r="AP352" s="308"/>
      <c r="AQ352" s="308"/>
      <c r="AR352" s="308"/>
      <c r="AS352" s="308"/>
      <c r="AT352" s="308"/>
      <c r="AU352" s="308"/>
      <c r="AV352" s="308"/>
      <c r="AW352" s="308"/>
      <c r="AX352" s="308"/>
      <c r="AY352" s="308"/>
      <c r="AZ352" s="308"/>
      <c r="BA352" s="308"/>
      <c r="BB352" s="308"/>
      <c r="BC352" s="308"/>
      <c r="BD352" s="308"/>
      <c r="BE352" s="308"/>
      <c r="BF352" s="308"/>
      <c r="BG352" s="308"/>
      <c r="BH352" s="308"/>
      <c r="BI352" s="308"/>
      <c r="BJ352" s="308"/>
      <c r="BK352" s="308"/>
      <c r="BL352" s="308"/>
      <c r="BM352" s="308"/>
      <c r="BN352" s="308"/>
      <c r="BO352" s="308"/>
      <c r="BP352" s="308"/>
      <c r="BQ352" s="308"/>
      <c r="BR352" s="308"/>
      <c r="BS352" s="308"/>
    </row>
    <row r="353" spans="1:71" ht="15.75" customHeight="1">
      <c r="A353" s="308"/>
      <c r="B353" s="308"/>
      <c r="C353" s="308"/>
      <c r="D353" s="308"/>
      <c r="E353" s="308"/>
      <c r="F353" s="341"/>
      <c r="G353" s="340"/>
      <c r="H353" s="308"/>
      <c r="I353" s="308"/>
      <c r="J353" s="308"/>
      <c r="K353" s="308"/>
      <c r="L353" s="308"/>
      <c r="M353" s="308"/>
      <c r="N353" s="308"/>
      <c r="O353" s="308"/>
      <c r="P353" s="308"/>
      <c r="Q353" s="308"/>
      <c r="R353" s="308"/>
      <c r="S353" s="308"/>
      <c r="T353" s="308"/>
      <c r="U353" s="308"/>
      <c r="V353" s="308"/>
      <c r="W353" s="308"/>
      <c r="X353" s="308"/>
      <c r="Y353" s="308"/>
      <c r="Z353" s="308"/>
      <c r="AA353" s="308"/>
      <c r="AB353" s="308"/>
      <c r="AC353" s="308"/>
      <c r="AD353" s="308"/>
      <c r="AE353" s="308"/>
      <c r="AF353" s="308"/>
      <c r="AG353" s="308"/>
      <c r="AH353" s="308"/>
      <c r="AI353" s="308"/>
      <c r="AJ353" s="308"/>
      <c r="AK353" s="308"/>
      <c r="AL353" s="308"/>
      <c r="AM353" s="308"/>
      <c r="AN353" s="308"/>
      <c r="AO353" s="308"/>
      <c r="AP353" s="308"/>
      <c r="AQ353" s="308"/>
      <c r="AR353" s="308"/>
      <c r="AS353" s="308"/>
      <c r="AT353" s="308"/>
      <c r="AU353" s="308"/>
      <c r="AV353" s="308"/>
      <c r="AW353" s="308"/>
      <c r="AX353" s="308"/>
      <c r="AY353" s="308"/>
      <c r="AZ353" s="308"/>
      <c r="BA353" s="308"/>
      <c r="BB353" s="308"/>
      <c r="BC353" s="308"/>
      <c r="BD353" s="308"/>
      <c r="BE353" s="308"/>
      <c r="BF353" s="308"/>
      <c r="BG353" s="308"/>
      <c r="BH353" s="308"/>
      <c r="BI353" s="308"/>
      <c r="BJ353" s="308"/>
      <c r="BK353" s="308"/>
      <c r="BL353" s="308"/>
      <c r="BM353" s="308"/>
      <c r="BN353" s="308"/>
      <c r="BO353" s="308"/>
      <c r="BP353" s="308"/>
      <c r="BQ353" s="308"/>
      <c r="BR353" s="308"/>
      <c r="BS353" s="308"/>
    </row>
    <row r="354" spans="1:71" ht="15.75" customHeight="1">
      <c r="A354" s="308"/>
      <c r="B354" s="308"/>
      <c r="C354" s="308"/>
      <c r="D354" s="308"/>
      <c r="E354" s="308"/>
      <c r="F354" s="341"/>
      <c r="G354" s="340"/>
      <c r="H354" s="308"/>
      <c r="I354" s="308"/>
      <c r="J354" s="308"/>
      <c r="K354" s="308"/>
      <c r="L354" s="308"/>
      <c r="M354" s="308"/>
      <c r="N354" s="308"/>
      <c r="O354" s="308"/>
      <c r="P354" s="308"/>
      <c r="Q354" s="308"/>
      <c r="R354" s="308"/>
      <c r="S354" s="308"/>
      <c r="T354" s="308"/>
      <c r="U354" s="308"/>
      <c r="V354" s="308"/>
      <c r="W354" s="308"/>
      <c r="X354" s="308"/>
      <c r="Y354" s="308"/>
      <c r="Z354" s="308"/>
      <c r="AA354" s="308"/>
      <c r="AB354" s="308"/>
      <c r="AC354" s="308"/>
      <c r="AD354" s="308"/>
      <c r="AE354" s="308"/>
      <c r="AF354" s="308"/>
      <c r="AG354" s="308"/>
      <c r="AH354" s="308"/>
      <c r="AI354" s="308"/>
      <c r="AJ354" s="308"/>
      <c r="AK354" s="308"/>
      <c r="AL354" s="308"/>
      <c r="AM354" s="308"/>
      <c r="AN354" s="308"/>
      <c r="AO354" s="308"/>
      <c r="AP354" s="308"/>
      <c r="AQ354" s="308"/>
      <c r="AR354" s="308"/>
      <c r="AS354" s="308"/>
      <c r="AT354" s="308"/>
      <c r="AU354" s="308"/>
      <c r="AV354" s="308"/>
      <c r="AW354" s="308"/>
      <c r="AX354" s="308"/>
      <c r="AY354" s="308"/>
      <c r="AZ354" s="308"/>
      <c r="BA354" s="308"/>
      <c r="BB354" s="308"/>
      <c r="BC354" s="308"/>
      <c r="BD354" s="308"/>
      <c r="BE354" s="308"/>
      <c r="BF354" s="308"/>
      <c r="BG354" s="308"/>
      <c r="BH354" s="308"/>
      <c r="BI354" s="308"/>
      <c r="BJ354" s="308"/>
      <c r="BK354" s="308"/>
      <c r="BL354" s="308"/>
      <c r="BM354" s="308"/>
      <c r="BN354" s="308"/>
      <c r="BO354" s="308"/>
      <c r="BP354" s="308"/>
      <c r="BQ354" s="308"/>
      <c r="BR354" s="308"/>
      <c r="BS354" s="308"/>
    </row>
    <row r="355" spans="1:71" ht="15.75" customHeight="1">
      <c r="A355" s="308"/>
      <c r="B355" s="308"/>
      <c r="C355" s="308"/>
      <c r="D355" s="308"/>
      <c r="E355" s="308"/>
      <c r="F355" s="341"/>
      <c r="G355" s="340"/>
      <c r="H355" s="308"/>
      <c r="I355" s="308"/>
      <c r="J355" s="308"/>
      <c r="K355" s="308"/>
      <c r="L355" s="308"/>
      <c r="M355" s="308"/>
      <c r="N355" s="308"/>
      <c r="O355" s="308"/>
      <c r="P355" s="308"/>
      <c r="Q355" s="308"/>
      <c r="R355" s="308"/>
      <c r="S355" s="308"/>
      <c r="T355" s="308"/>
      <c r="U355" s="308"/>
      <c r="V355" s="308"/>
      <c r="W355" s="308"/>
      <c r="X355" s="308"/>
      <c r="Y355" s="308"/>
      <c r="Z355" s="308"/>
      <c r="AA355" s="308"/>
      <c r="AB355" s="308"/>
      <c r="AC355" s="308"/>
      <c r="AD355" s="308"/>
      <c r="AE355" s="308"/>
      <c r="AF355" s="308"/>
      <c r="AG355" s="308"/>
      <c r="AH355" s="308"/>
      <c r="AI355" s="308"/>
      <c r="AJ355" s="308"/>
      <c r="AK355" s="308"/>
      <c r="AL355" s="308"/>
      <c r="AM355" s="308"/>
      <c r="AN355" s="308"/>
      <c r="AO355" s="308"/>
      <c r="AP355" s="308"/>
      <c r="AQ355" s="308"/>
      <c r="AR355" s="308"/>
      <c r="AS355" s="308"/>
      <c r="AT355" s="308"/>
      <c r="AU355" s="308"/>
      <c r="AV355" s="308"/>
      <c r="AW355" s="308"/>
      <c r="AX355" s="308"/>
      <c r="AY355" s="308"/>
      <c r="AZ355" s="308"/>
      <c r="BA355" s="308"/>
      <c r="BB355" s="308"/>
      <c r="BC355" s="308"/>
      <c r="BD355" s="308"/>
      <c r="BE355" s="308"/>
      <c r="BF355" s="308"/>
      <c r="BG355" s="308"/>
      <c r="BH355" s="308"/>
      <c r="BI355" s="308"/>
      <c r="BJ355" s="308"/>
      <c r="BK355" s="308"/>
      <c r="BL355" s="308"/>
      <c r="BM355" s="308"/>
      <c r="BN355" s="308"/>
      <c r="BO355" s="308"/>
      <c r="BP355" s="308"/>
      <c r="BQ355" s="308"/>
      <c r="BR355" s="308"/>
      <c r="BS355" s="308"/>
    </row>
    <row r="356" spans="1:71" ht="15.75" customHeight="1">
      <c r="A356" s="308"/>
      <c r="B356" s="308"/>
      <c r="C356" s="308"/>
      <c r="D356" s="308"/>
      <c r="E356" s="308"/>
      <c r="F356" s="341"/>
      <c r="G356" s="340"/>
      <c r="H356" s="308"/>
      <c r="I356" s="308"/>
      <c r="J356" s="308"/>
      <c r="K356" s="308"/>
      <c r="L356" s="308"/>
      <c r="M356" s="308"/>
      <c r="N356" s="308"/>
      <c r="O356" s="308"/>
      <c r="P356" s="308"/>
      <c r="Q356" s="308"/>
      <c r="R356" s="308"/>
      <c r="S356" s="308"/>
      <c r="T356" s="308"/>
      <c r="U356" s="308"/>
      <c r="V356" s="308"/>
      <c r="W356" s="308"/>
      <c r="X356" s="308"/>
      <c r="Y356" s="308"/>
      <c r="Z356" s="308"/>
      <c r="AA356" s="308"/>
      <c r="AB356" s="308"/>
      <c r="AC356" s="308"/>
      <c r="AD356" s="308"/>
      <c r="AE356" s="308"/>
      <c r="AF356" s="308"/>
      <c r="AG356" s="308"/>
      <c r="AH356" s="308"/>
      <c r="AI356" s="308"/>
      <c r="AJ356" s="308"/>
      <c r="AK356" s="308"/>
      <c r="AL356" s="308"/>
      <c r="AM356" s="308"/>
      <c r="AN356" s="308"/>
      <c r="AO356" s="308"/>
      <c r="AP356" s="308"/>
      <c r="AQ356" s="308"/>
      <c r="AR356" s="308"/>
      <c r="AS356" s="308"/>
      <c r="AT356" s="308"/>
      <c r="AU356" s="308"/>
      <c r="AV356" s="308"/>
      <c r="AW356" s="308"/>
      <c r="AX356" s="308"/>
      <c r="AY356" s="308"/>
      <c r="AZ356" s="308"/>
      <c r="BA356" s="308"/>
      <c r="BB356" s="308"/>
      <c r="BC356" s="308"/>
      <c r="BD356" s="308"/>
      <c r="BE356" s="308"/>
      <c r="BF356" s="308"/>
      <c r="BG356" s="308"/>
      <c r="BH356" s="308"/>
      <c r="BI356" s="308"/>
      <c r="BJ356" s="308"/>
      <c r="BK356" s="308"/>
      <c r="BL356" s="308"/>
      <c r="BM356" s="308"/>
      <c r="BN356" s="308"/>
      <c r="BO356" s="308"/>
      <c r="BP356" s="308"/>
      <c r="BQ356" s="308"/>
      <c r="BR356" s="308"/>
      <c r="BS356" s="308"/>
    </row>
    <row r="357" spans="1:71" ht="15.75" customHeight="1">
      <c r="A357" s="308"/>
      <c r="B357" s="308"/>
      <c r="C357" s="308"/>
      <c r="D357" s="308"/>
      <c r="E357" s="308"/>
      <c r="F357" s="341"/>
      <c r="G357" s="340"/>
      <c r="H357" s="308"/>
      <c r="I357" s="308"/>
      <c r="J357" s="308"/>
      <c r="K357" s="308"/>
      <c r="L357" s="308"/>
      <c r="M357" s="308"/>
      <c r="N357" s="308"/>
      <c r="O357" s="308"/>
      <c r="P357" s="308"/>
      <c r="Q357" s="308"/>
      <c r="R357" s="308"/>
      <c r="S357" s="308"/>
      <c r="T357" s="308"/>
      <c r="U357" s="308"/>
      <c r="V357" s="308"/>
      <c r="W357" s="308"/>
      <c r="X357" s="308"/>
      <c r="Y357" s="308"/>
      <c r="Z357" s="308"/>
      <c r="AA357" s="308"/>
      <c r="AB357" s="308"/>
      <c r="AC357" s="308"/>
      <c r="AD357" s="308"/>
      <c r="AE357" s="308"/>
      <c r="AF357" s="308"/>
      <c r="AG357" s="308"/>
      <c r="AH357" s="308"/>
      <c r="AI357" s="308"/>
      <c r="AJ357" s="308"/>
      <c r="AK357" s="308"/>
      <c r="AL357" s="308"/>
      <c r="AM357" s="308"/>
      <c r="AN357" s="308"/>
      <c r="AO357" s="308"/>
      <c r="AP357" s="308"/>
      <c r="AQ357" s="308"/>
      <c r="AR357" s="308"/>
      <c r="AS357" s="308"/>
      <c r="AT357" s="308"/>
      <c r="AU357" s="308"/>
      <c r="AV357" s="308"/>
      <c r="AW357" s="308"/>
      <c r="AX357" s="308"/>
      <c r="AY357" s="308"/>
      <c r="AZ357" s="308"/>
      <c r="BA357" s="308"/>
      <c r="BB357" s="308"/>
      <c r="BC357" s="308"/>
      <c r="BD357" s="308"/>
      <c r="BE357" s="308"/>
      <c r="BF357" s="308"/>
      <c r="BG357" s="308"/>
      <c r="BH357" s="308"/>
      <c r="BI357" s="308"/>
      <c r="BJ357" s="308"/>
      <c r="BK357" s="308"/>
      <c r="BL357" s="308"/>
      <c r="BM357" s="308"/>
      <c r="BN357" s="308"/>
      <c r="BO357" s="308"/>
      <c r="BP357" s="308"/>
      <c r="BQ357" s="308"/>
      <c r="BR357" s="308"/>
      <c r="BS357" s="308"/>
    </row>
    <row r="358" spans="1:71" ht="15.75" customHeight="1">
      <c r="A358" s="308"/>
      <c r="B358" s="308"/>
      <c r="C358" s="308"/>
      <c r="D358" s="308"/>
      <c r="E358" s="308"/>
      <c r="F358" s="341"/>
      <c r="G358" s="340"/>
      <c r="H358" s="308"/>
      <c r="I358" s="308"/>
      <c r="J358" s="308"/>
      <c r="K358" s="308"/>
      <c r="L358" s="308"/>
      <c r="M358" s="308"/>
      <c r="N358" s="308"/>
      <c r="O358" s="308"/>
      <c r="P358" s="308"/>
      <c r="Q358" s="308"/>
      <c r="R358" s="308"/>
      <c r="S358" s="308"/>
      <c r="T358" s="308"/>
      <c r="U358" s="308"/>
      <c r="V358" s="308"/>
      <c r="W358" s="308"/>
      <c r="X358" s="308"/>
      <c r="Y358" s="308"/>
      <c r="Z358" s="308"/>
      <c r="AA358" s="308"/>
      <c r="AB358" s="308"/>
      <c r="AC358" s="308"/>
      <c r="AD358" s="308"/>
      <c r="AE358" s="308"/>
      <c r="AF358" s="308"/>
      <c r="AG358" s="308"/>
      <c r="AH358" s="308"/>
      <c r="AI358" s="308"/>
      <c r="AJ358" s="308"/>
      <c r="AK358" s="308"/>
      <c r="AL358" s="308"/>
      <c r="AM358" s="308"/>
      <c r="AN358" s="308"/>
      <c r="AO358" s="308"/>
      <c r="AP358" s="308"/>
      <c r="AQ358" s="308"/>
      <c r="AR358" s="308"/>
      <c r="AS358" s="308"/>
      <c r="AT358" s="308"/>
      <c r="AU358" s="308"/>
      <c r="AV358" s="308"/>
      <c r="AW358" s="308"/>
      <c r="AX358" s="308"/>
      <c r="AY358" s="308"/>
      <c r="AZ358" s="308"/>
      <c r="BA358" s="308"/>
      <c r="BB358" s="308"/>
      <c r="BC358" s="308"/>
      <c r="BD358" s="308"/>
      <c r="BE358" s="308"/>
      <c r="BF358" s="308"/>
      <c r="BG358" s="308"/>
      <c r="BH358" s="308"/>
      <c r="BI358" s="308"/>
      <c r="BJ358" s="308"/>
      <c r="BK358" s="308"/>
      <c r="BL358" s="308"/>
      <c r="BM358" s="308"/>
      <c r="BN358" s="308"/>
      <c r="BO358" s="308"/>
      <c r="BP358" s="308"/>
      <c r="BQ358" s="308"/>
      <c r="BR358" s="308"/>
      <c r="BS358" s="308"/>
    </row>
    <row r="359" spans="1:71" ht="15.75" customHeight="1">
      <c r="A359" s="308"/>
      <c r="B359" s="308"/>
      <c r="C359" s="308"/>
      <c r="D359" s="308"/>
      <c r="E359" s="308"/>
      <c r="F359" s="341"/>
      <c r="G359" s="340"/>
      <c r="H359" s="308"/>
      <c r="I359" s="308"/>
      <c r="J359" s="308"/>
      <c r="K359" s="308"/>
      <c r="L359" s="308"/>
      <c r="M359" s="308"/>
      <c r="N359" s="308"/>
      <c r="O359" s="308"/>
      <c r="P359" s="308"/>
      <c r="Q359" s="308"/>
      <c r="R359" s="308"/>
      <c r="S359" s="308"/>
      <c r="T359" s="308"/>
      <c r="U359" s="308"/>
      <c r="V359" s="308"/>
      <c r="W359" s="308"/>
      <c r="X359" s="308"/>
      <c r="Y359" s="308"/>
      <c r="Z359" s="308"/>
      <c r="AA359" s="308"/>
      <c r="AB359" s="308"/>
      <c r="AC359" s="308"/>
      <c r="AD359" s="308"/>
      <c r="AE359" s="308"/>
      <c r="AF359" s="308"/>
      <c r="AG359" s="308"/>
      <c r="AH359" s="308"/>
      <c r="AI359" s="308"/>
      <c r="AJ359" s="308"/>
      <c r="AK359" s="308"/>
      <c r="AL359" s="308"/>
      <c r="AM359" s="308"/>
      <c r="AN359" s="308"/>
      <c r="AO359" s="308"/>
      <c r="AP359" s="308"/>
      <c r="AQ359" s="308"/>
      <c r="AR359" s="308"/>
      <c r="AS359" s="308"/>
      <c r="AT359" s="308"/>
      <c r="AU359" s="308"/>
      <c r="AV359" s="308"/>
      <c r="AW359" s="308"/>
      <c r="AX359" s="308"/>
      <c r="AY359" s="308"/>
      <c r="AZ359" s="308"/>
      <c r="BA359" s="308"/>
      <c r="BB359" s="308"/>
      <c r="BC359" s="308"/>
      <c r="BD359" s="308"/>
      <c r="BE359" s="308"/>
      <c r="BF359" s="308"/>
      <c r="BG359" s="308"/>
      <c r="BH359" s="308"/>
      <c r="BI359" s="308"/>
      <c r="BJ359" s="308"/>
      <c r="BK359" s="308"/>
      <c r="BL359" s="308"/>
      <c r="BM359" s="308"/>
      <c r="BN359" s="308"/>
      <c r="BO359" s="308"/>
      <c r="BP359" s="308"/>
      <c r="BQ359" s="308"/>
      <c r="BR359" s="308"/>
      <c r="BS359" s="308"/>
    </row>
    <row r="360" spans="1:71" ht="15.75" customHeight="1">
      <c r="A360" s="308"/>
      <c r="B360" s="308"/>
      <c r="C360" s="308"/>
      <c r="D360" s="308"/>
      <c r="E360" s="308"/>
      <c r="F360" s="341"/>
      <c r="G360" s="340"/>
      <c r="H360" s="308"/>
      <c r="I360" s="308"/>
      <c r="J360" s="308"/>
      <c r="K360" s="308"/>
      <c r="L360" s="308"/>
      <c r="M360" s="308"/>
      <c r="N360" s="308"/>
      <c r="O360" s="308"/>
      <c r="P360" s="308"/>
      <c r="Q360" s="308"/>
      <c r="R360" s="308"/>
      <c r="S360" s="308"/>
      <c r="T360" s="308"/>
      <c r="U360" s="308"/>
      <c r="V360" s="308"/>
      <c r="W360" s="308"/>
      <c r="X360" s="308"/>
      <c r="Y360" s="308"/>
      <c r="Z360" s="308"/>
      <c r="AA360" s="308"/>
      <c r="AB360" s="308"/>
      <c r="AC360" s="308"/>
      <c r="AD360" s="308"/>
      <c r="AE360" s="308"/>
      <c r="AF360" s="308"/>
      <c r="AG360" s="308"/>
      <c r="AH360" s="308"/>
      <c r="AI360" s="308"/>
      <c r="AJ360" s="308"/>
      <c r="AK360" s="308"/>
      <c r="AL360" s="308"/>
      <c r="AM360" s="308"/>
      <c r="AN360" s="308"/>
      <c r="AO360" s="308"/>
      <c r="AP360" s="308"/>
      <c r="AQ360" s="308"/>
      <c r="AR360" s="308"/>
      <c r="AS360" s="308"/>
      <c r="AT360" s="308"/>
      <c r="AU360" s="308"/>
      <c r="AV360" s="308"/>
      <c r="AW360" s="308"/>
      <c r="AX360" s="308"/>
      <c r="AY360" s="308"/>
      <c r="AZ360" s="308"/>
      <c r="BA360" s="308"/>
      <c r="BB360" s="308"/>
      <c r="BC360" s="308"/>
      <c r="BD360" s="308"/>
      <c r="BE360" s="308"/>
      <c r="BF360" s="308"/>
      <c r="BG360" s="308"/>
      <c r="BH360" s="308"/>
      <c r="BI360" s="308"/>
      <c r="BJ360" s="308"/>
      <c r="BK360" s="308"/>
      <c r="BL360" s="308"/>
      <c r="BM360" s="308"/>
      <c r="BN360" s="308"/>
      <c r="BO360" s="308"/>
      <c r="BP360" s="308"/>
      <c r="BQ360" s="308"/>
      <c r="BR360" s="308"/>
      <c r="BS360" s="308"/>
    </row>
    <row r="361" spans="1:71" ht="15.75" customHeight="1">
      <c r="A361" s="308"/>
      <c r="B361" s="308"/>
      <c r="C361" s="308"/>
      <c r="D361" s="308"/>
      <c r="E361" s="308"/>
      <c r="F361" s="341"/>
      <c r="G361" s="340"/>
      <c r="H361" s="308"/>
      <c r="I361" s="308"/>
      <c r="J361" s="308"/>
      <c r="K361" s="308"/>
      <c r="L361" s="308"/>
      <c r="M361" s="308"/>
      <c r="N361" s="308"/>
      <c r="O361" s="308"/>
      <c r="P361" s="308"/>
      <c r="Q361" s="308"/>
      <c r="R361" s="308"/>
      <c r="S361" s="308"/>
      <c r="T361" s="308"/>
      <c r="U361" s="308"/>
      <c r="V361" s="308"/>
      <c r="W361" s="308"/>
      <c r="X361" s="308"/>
      <c r="Y361" s="308"/>
      <c r="Z361" s="308"/>
      <c r="AA361" s="308"/>
      <c r="AB361" s="308"/>
      <c r="AC361" s="308"/>
      <c r="AD361" s="308"/>
      <c r="AE361" s="308"/>
      <c r="AF361" s="308"/>
      <c r="AG361" s="308"/>
      <c r="AH361" s="308"/>
      <c r="AI361" s="308"/>
      <c r="AJ361" s="308"/>
      <c r="AK361" s="308"/>
      <c r="AL361" s="308"/>
      <c r="AM361" s="308"/>
      <c r="AN361" s="308"/>
      <c r="AO361" s="308"/>
      <c r="AP361" s="308"/>
      <c r="AQ361" s="308"/>
      <c r="AR361" s="308"/>
      <c r="AS361" s="308"/>
      <c r="AT361" s="308"/>
      <c r="AU361" s="308"/>
      <c r="AV361" s="308"/>
      <c r="AW361" s="308"/>
      <c r="AX361" s="308"/>
      <c r="AY361" s="308"/>
      <c r="AZ361" s="308"/>
      <c r="BA361" s="308"/>
      <c r="BB361" s="308"/>
      <c r="BC361" s="308"/>
      <c r="BD361" s="308"/>
      <c r="BE361" s="308"/>
      <c r="BF361" s="308"/>
      <c r="BG361" s="308"/>
      <c r="BH361" s="308"/>
      <c r="BI361" s="308"/>
      <c r="BJ361" s="308"/>
      <c r="BK361" s="308"/>
      <c r="BL361" s="308"/>
      <c r="BM361" s="308"/>
      <c r="BN361" s="308"/>
      <c r="BO361" s="308"/>
      <c r="BP361" s="308"/>
      <c r="BQ361" s="308"/>
      <c r="BR361" s="308"/>
      <c r="BS361" s="308"/>
    </row>
    <row r="362" spans="1:71" ht="15.75" customHeight="1">
      <c r="A362" s="308"/>
      <c r="B362" s="308"/>
      <c r="C362" s="308"/>
      <c r="D362" s="308"/>
      <c r="E362" s="308"/>
      <c r="F362" s="341"/>
      <c r="G362" s="340"/>
      <c r="H362" s="308"/>
      <c r="I362" s="308"/>
      <c r="J362" s="308"/>
      <c r="K362" s="308"/>
      <c r="L362" s="308"/>
      <c r="M362" s="308"/>
      <c r="N362" s="308"/>
      <c r="O362" s="308"/>
      <c r="P362" s="308"/>
      <c r="Q362" s="308"/>
      <c r="R362" s="308"/>
      <c r="S362" s="308"/>
      <c r="T362" s="308"/>
      <c r="U362" s="308"/>
      <c r="V362" s="308"/>
      <c r="W362" s="308"/>
      <c r="X362" s="308"/>
      <c r="Y362" s="308"/>
      <c r="Z362" s="308"/>
      <c r="AA362" s="308"/>
      <c r="AB362" s="308"/>
      <c r="AC362" s="308"/>
      <c r="AD362" s="308"/>
      <c r="AE362" s="308"/>
      <c r="AF362" s="308"/>
      <c r="AG362" s="308"/>
      <c r="AH362" s="308"/>
      <c r="AI362" s="308"/>
      <c r="AJ362" s="308"/>
      <c r="AK362" s="308"/>
      <c r="AL362" s="308"/>
      <c r="AM362" s="308"/>
      <c r="AN362" s="308"/>
      <c r="AO362" s="308"/>
      <c r="AP362" s="308"/>
      <c r="AQ362" s="308"/>
      <c r="AR362" s="308"/>
      <c r="AS362" s="308"/>
      <c r="AT362" s="308"/>
      <c r="AU362" s="308"/>
      <c r="AV362" s="308"/>
      <c r="AW362" s="308"/>
      <c r="AX362" s="308"/>
      <c r="AY362" s="308"/>
      <c r="AZ362" s="308"/>
      <c r="BA362" s="308"/>
      <c r="BB362" s="308"/>
      <c r="BC362" s="308"/>
      <c r="BD362" s="308"/>
      <c r="BE362" s="308"/>
      <c r="BF362" s="308"/>
      <c r="BG362" s="308"/>
      <c r="BH362" s="308"/>
      <c r="BI362" s="308"/>
      <c r="BJ362" s="308"/>
      <c r="BK362" s="308"/>
      <c r="BL362" s="308"/>
      <c r="BM362" s="308"/>
      <c r="BN362" s="308"/>
      <c r="BO362" s="308"/>
      <c r="BP362" s="308"/>
      <c r="BQ362" s="308"/>
      <c r="BR362" s="308"/>
      <c r="BS362" s="308"/>
    </row>
    <row r="363" spans="1:71" ht="15.75" customHeight="1">
      <c r="A363" s="308"/>
      <c r="B363" s="308"/>
      <c r="C363" s="308"/>
      <c r="D363" s="308"/>
      <c r="E363" s="308"/>
      <c r="F363" s="341"/>
      <c r="G363" s="340"/>
      <c r="H363" s="308"/>
      <c r="I363" s="308"/>
      <c r="J363" s="308"/>
      <c r="K363" s="308"/>
      <c r="L363" s="308"/>
      <c r="M363" s="308"/>
      <c r="N363" s="308"/>
      <c r="O363" s="308"/>
      <c r="P363" s="308"/>
      <c r="Q363" s="308"/>
      <c r="R363" s="308"/>
      <c r="S363" s="308"/>
      <c r="T363" s="308"/>
      <c r="U363" s="308"/>
      <c r="V363" s="308"/>
      <c r="W363" s="308"/>
      <c r="X363" s="308"/>
      <c r="Y363" s="308"/>
      <c r="Z363" s="308"/>
      <c r="AA363" s="308"/>
      <c r="AB363" s="308"/>
      <c r="AC363" s="308"/>
      <c r="AD363" s="308"/>
      <c r="AE363" s="308"/>
      <c r="AF363" s="308"/>
      <c r="AG363" s="308"/>
      <c r="AH363" s="308"/>
      <c r="AI363" s="308"/>
      <c r="AJ363" s="308"/>
      <c r="AK363" s="308"/>
      <c r="AL363" s="308"/>
      <c r="AM363" s="308"/>
      <c r="AN363" s="308"/>
      <c r="AO363" s="308"/>
      <c r="AP363" s="308"/>
      <c r="AQ363" s="308"/>
      <c r="AR363" s="308"/>
      <c r="AS363" s="308"/>
      <c r="AT363" s="308"/>
      <c r="AU363" s="308"/>
      <c r="AV363" s="308"/>
      <c r="AW363" s="308"/>
      <c r="AX363" s="308"/>
      <c r="AY363" s="308"/>
      <c r="AZ363" s="308"/>
      <c r="BA363" s="308"/>
      <c r="BB363" s="308"/>
      <c r="BC363" s="308"/>
      <c r="BD363" s="308"/>
      <c r="BE363" s="308"/>
      <c r="BF363" s="308"/>
      <c r="BG363" s="308"/>
      <c r="BH363" s="308"/>
      <c r="BI363" s="308"/>
      <c r="BJ363" s="308"/>
      <c r="BK363" s="308"/>
      <c r="BL363" s="308"/>
      <c r="BM363" s="308"/>
      <c r="BN363" s="308"/>
      <c r="BO363" s="308"/>
      <c r="BP363" s="308"/>
      <c r="BQ363" s="308"/>
      <c r="BR363" s="308"/>
      <c r="BS363" s="308"/>
    </row>
    <row r="364" spans="1:71" ht="15.75" customHeight="1">
      <c r="A364" s="308"/>
      <c r="B364" s="308"/>
      <c r="C364" s="308"/>
      <c r="D364" s="308"/>
      <c r="E364" s="308"/>
      <c r="F364" s="341"/>
      <c r="G364" s="340"/>
      <c r="H364" s="308"/>
      <c r="I364" s="308"/>
      <c r="J364" s="308"/>
      <c r="K364" s="308"/>
      <c r="L364" s="308"/>
      <c r="M364" s="308"/>
      <c r="N364" s="308"/>
      <c r="O364" s="308"/>
      <c r="P364" s="308"/>
      <c r="Q364" s="308"/>
      <c r="R364" s="308"/>
      <c r="S364" s="308"/>
      <c r="T364" s="308"/>
      <c r="U364" s="308"/>
      <c r="V364" s="308"/>
      <c r="W364" s="308"/>
      <c r="X364" s="308"/>
      <c r="Y364" s="308"/>
      <c r="Z364" s="308"/>
      <c r="AA364" s="308"/>
      <c r="AB364" s="308"/>
      <c r="AC364" s="308"/>
      <c r="AD364" s="308"/>
      <c r="AE364" s="308"/>
      <c r="AF364" s="308"/>
      <c r="AG364" s="308"/>
      <c r="AH364" s="308"/>
      <c r="AI364" s="308"/>
      <c r="AJ364" s="308"/>
      <c r="AK364" s="308"/>
      <c r="AL364" s="308"/>
      <c r="AM364" s="308"/>
      <c r="AN364" s="308"/>
      <c r="AO364" s="308"/>
      <c r="AP364" s="308"/>
      <c r="AQ364" s="308"/>
      <c r="AR364" s="308"/>
      <c r="AS364" s="308"/>
      <c r="AT364" s="308"/>
      <c r="AU364" s="308"/>
      <c r="AV364" s="308"/>
      <c r="AW364" s="308"/>
      <c r="AX364" s="308"/>
      <c r="AY364" s="308"/>
      <c r="AZ364" s="308"/>
      <c r="BA364" s="308"/>
      <c r="BB364" s="308"/>
      <c r="BC364" s="308"/>
      <c r="BD364" s="308"/>
      <c r="BE364" s="308"/>
      <c r="BF364" s="308"/>
      <c r="BG364" s="308"/>
      <c r="BH364" s="308"/>
      <c r="BI364" s="308"/>
      <c r="BJ364" s="308"/>
      <c r="BK364" s="308"/>
      <c r="BL364" s="308"/>
      <c r="BM364" s="308"/>
      <c r="BN364" s="308"/>
      <c r="BO364" s="308"/>
      <c r="BP364" s="308"/>
      <c r="BQ364" s="308"/>
      <c r="BR364" s="308"/>
      <c r="BS364" s="308"/>
    </row>
    <row r="365" spans="1:71" ht="15.75" customHeight="1">
      <c r="A365" s="308"/>
      <c r="B365" s="308"/>
      <c r="C365" s="308"/>
      <c r="D365" s="308"/>
      <c r="E365" s="308"/>
      <c r="F365" s="341"/>
      <c r="G365" s="340"/>
      <c r="H365" s="308"/>
      <c r="I365" s="308"/>
      <c r="J365" s="308"/>
      <c r="K365" s="308"/>
      <c r="L365" s="308"/>
      <c r="M365" s="308"/>
      <c r="N365" s="308"/>
      <c r="O365" s="308"/>
      <c r="P365" s="308"/>
      <c r="Q365" s="308"/>
      <c r="R365" s="308"/>
      <c r="S365" s="308"/>
      <c r="T365" s="308"/>
      <c r="U365" s="308"/>
      <c r="V365" s="308"/>
      <c r="W365" s="308"/>
      <c r="X365" s="308"/>
      <c r="Y365" s="308"/>
      <c r="Z365" s="308"/>
      <c r="AA365" s="308"/>
      <c r="AB365" s="308"/>
      <c r="AC365" s="308"/>
      <c r="AD365" s="308"/>
      <c r="AE365" s="308"/>
      <c r="AF365" s="308"/>
      <c r="AG365" s="308"/>
      <c r="AH365" s="308"/>
      <c r="AI365" s="308"/>
      <c r="AJ365" s="308"/>
      <c r="AK365" s="308"/>
      <c r="AL365" s="308"/>
      <c r="AM365" s="308"/>
      <c r="AN365" s="308"/>
      <c r="AO365" s="308"/>
      <c r="AP365" s="308"/>
      <c r="AQ365" s="308"/>
      <c r="AR365" s="308"/>
      <c r="AS365" s="308"/>
      <c r="AT365" s="308"/>
      <c r="AU365" s="308"/>
      <c r="AV365" s="308"/>
      <c r="AW365" s="308"/>
      <c r="AX365" s="308"/>
      <c r="AY365" s="308"/>
      <c r="AZ365" s="308"/>
      <c r="BA365" s="308"/>
      <c r="BB365" s="308"/>
      <c r="BC365" s="308"/>
      <c r="BD365" s="308"/>
      <c r="BE365" s="308"/>
      <c r="BF365" s="308"/>
      <c r="BG365" s="308"/>
      <c r="BH365" s="308"/>
      <c r="BI365" s="308"/>
      <c r="BJ365" s="308"/>
      <c r="BK365" s="308"/>
      <c r="BL365" s="308"/>
      <c r="BM365" s="308"/>
      <c r="BN365" s="308"/>
      <c r="BO365" s="308"/>
      <c r="BP365" s="308"/>
      <c r="BQ365" s="308"/>
      <c r="BR365" s="308"/>
      <c r="BS365" s="308"/>
    </row>
    <row r="366" spans="1:71" ht="15.75" customHeight="1">
      <c r="A366" s="308"/>
      <c r="B366" s="308"/>
      <c r="C366" s="308"/>
      <c r="D366" s="308"/>
      <c r="E366" s="308"/>
      <c r="F366" s="341"/>
      <c r="G366" s="340"/>
      <c r="H366" s="308"/>
      <c r="I366" s="308"/>
      <c r="J366" s="308"/>
      <c r="K366" s="308"/>
      <c r="L366" s="308"/>
      <c r="M366" s="308"/>
      <c r="N366" s="308"/>
      <c r="O366" s="308"/>
      <c r="P366" s="308"/>
      <c r="Q366" s="308"/>
      <c r="R366" s="308"/>
      <c r="S366" s="308"/>
      <c r="T366" s="308"/>
      <c r="U366" s="308"/>
      <c r="V366" s="308"/>
      <c r="W366" s="308"/>
      <c r="X366" s="308"/>
      <c r="Y366" s="308"/>
      <c r="Z366" s="308"/>
      <c r="AA366" s="308"/>
      <c r="AB366" s="308"/>
      <c r="AC366" s="308"/>
      <c r="AD366" s="308"/>
      <c r="AE366" s="308"/>
      <c r="AF366" s="308"/>
      <c r="AG366" s="308"/>
      <c r="AH366" s="308"/>
      <c r="AI366" s="308"/>
      <c r="AJ366" s="308"/>
      <c r="AK366" s="308"/>
      <c r="AL366" s="308"/>
      <c r="AM366" s="308"/>
      <c r="AN366" s="308"/>
      <c r="AO366" s="308"/>
      <c r="AP366" s="308"/>
      <c r="AQ366" s="308"/>
      <c r="AR366" s="308"/>
      <c r="AS366" s="308"/>
      <c r="AT366" s="308"/>
      <c r="AU366" s="308"/>
      <c r="AV366" s="308"/>
      <c r="AW366" s="308"/>
      <c r="AX366" s="308"/>
      <c r="AY366" s="308"/>
      <c r="AZ366" s="308"/>
      <c r="BA366" s="308"/>
      <c r="BB366" s="308"/>
      <c r="BC366" s="308"/>
      <c r="BD366" s="308"/>
      <c r="BE366" s="308"/>
      <c r="BF366" s="308"/>
      <c r="BG366" s="308"/>
      <c r="BH366" s="308"/>
      <c r="BI366" s="308"/>
      <c r="BJ366" s="308"/>
      <c r="BK366" s="308"/>
      <c r="BL366" s="308"/>
      <c r="BM366" s="308"/>
      <c r="BN366" s="308"/>
      <c r="BO366" s="308"/>
      <c r="BP366" s="308"/>
      <c r="BQ366" s="308"/>
      <c r="BR366" s="308"/>
      <c r="BS366" s="308"/>
    </row>
    <row r="367" spans="1:71" ht="15.75" customHeight="1">
      <c r="A367" s="308"/>
      <c r="B367" s="308"/>
      <c r="C367" s="308"/>
      <c r="D367" s="308"/>
      <c r="E367" s="308"/>
      <c r="F367" s="341"/>
      <c r="G367" s="340"/>
      <c r="H367" s="308"/>
      <c r="I367" s="308"/>
      <c r="J367" s="308"/>
      <c r="K367" s="308"/>
      <c r="L367" s="308"/>
      <c r="M367" s="308"/>
      <c r="N367" s="308"/>
      <c r="O367" s="308"/>
      <c r="P367" s="308"/>
      <c r="Q367" s="308"/>
      <c r="R367" s="308"/>
      <c r="S367" s="308"/>
      <c r="T367" s="308"/>
      <c r="U367" s="308"/>
      <c r="V367" s="308"/>
      <c r="W367" s="308"/>
      <c r="X367" s="308"/>
      <c r="Y367" s="308"/>
      <c r="Z367" s="308"/>
      <c r="AA367" s="308"/>
      <c r="AB367" s="308"/>
      <c r="AC367" s="308"/>
      <c r="AD367" s="308"/>
      <c r="AE367" s="308"/>
      <c r="AF367" s="308"/>
      <c r="AG367" s="308"/>
      <c r="AH367" s="308"/>
      <c r="AI367" s="308"/>
      <c r="AJ367" s="308"/>
      <c r="AK367" s="308"/>
      <c r="AL367" s="308"/>
      <c r="AM367" s="308"/>
      <c r="AN367" s="308"/>
      <c r="AO367" s="308"/>
      <c r="AP367" s="308"/>
      <c r="AQ367" s="308"/>
      <c r="AR367" s="308"/>
      <c r="AS367" s="308"/>
      <c r="AT367" s="308"/>
      <c r="AU367" s="308"/>
      <c r="AV367" s="308"/>
      <c r="AW367" s="308"/>
      <c r="AX367" s="308"/>
      <c r="AY367" s="308"/>
      <c r="AZ367" s="308"/>
      <c r="BA367" s="308"/>
      <c r="BB367" s="308"/>
      <c r="BC367" s="308"/>
      <c r="BD367" s="308"/>
      <c r="BE367" s="308"/>
      <c r="BF367" s="308"/>
      <c r="BG367" s="308"/>
      <c r="BH367" s="308"/>
      <c r="BI367" s="308"/>
      <c r="BJ367" s="308"/>
      <c r="BK367" s="308"/>
      <c r="BL367" s="308"/>
      <c r="BM367" s="308"/>
      <c r="BN367" s="308"/>
      <c r="BO367" s="308"/>
      <c r="BP367" s="308"/>
      <c r="BQ367" s="308"/>
      <c r="BR367" s="308"/>
      <c r="BS367" s="308"/>
    </row>
    <row r="368" spans="1:71" ht="15.75" customHeight="1">
      <c r="A368" s="308"/>
      <c r="B368" s="308"/>
      <c r="C368" s="308"/>
      <c r="D368" s="308"/>
      <c r="E368" s="308"/>
      <c r="F368" s="341"/>
      <c r="G368" s="340"/>
      <c r="H368" s="308"/>
      <c r="I368" s="308"/>
      <c r="J368" s="308"/>
      <c r="K368" s="308"/>
      <c r="L368" s="308"/>
      <c r="M368" s="308"/>
      <c r="N368" s="308"/>
      <c r="O368" s="308"/>
      <c r="P368" s="308"/>
      <c r="Q368" s="308"/>
      <c r="R368" s="308"/>
      <c r="S368" s="308"/>
      <c r="T368" s="308"/>
      <c r="U368" s="308"/>
      <c r="V368" s="308"/>
      <c r="W368" s="308"/>
      <c r="X368" s="308"/>
      <c r="Y368" s="308"/>
      <c r="Z368" s="308"/>
      <c r="AA368" s="308"/>
      <c r="AB368" s="308"/>
      <c r="AC368" s="308"/>
      <c r="AD368" s="308"/>
      <c r="AE368" s="308"/>
      <c r="AF368" s="308"/>
      <c r="AG368" s="308"/>
      <c r="AH368" s="308"/>
      <c r="AI368" s="308"/>
      <c r="AJ368" s="308"/>
      <c r="AK368" s="308"/>
      <c r="AL368" s="308"/>
      <c r="AM368" s="308"/>
      <c r="AN368" s="308"/>
      <c r="AO368" s="308"/>
      <c r="AP368" s="308"/>
      <c r="AQ368" s="308"/>
      <c r="AR368" s="308"/>
      <c r="AS368" s="308"/>
      <c r="AT368" s="308"/>
      <c r="AU368" s="308"/>
      <c r="AV368" s="308"/>
      <c r="AW368" s="308"/>
      <c r="AX368" s="308"/>
      <c r="AY368" s="308"/>
      <c r="AZ368" s="308"/>
      <c r="BA368" s="308"/>
      <c r="BB368" s="308"/>
      <c r="BC368" s="308"/>
      <c r="BD368" s="308"/>
      <c r="BE368" s="308"/>
      <c r="BF368" s="308"/>
      <c r="BG368" s="308"/>
      <c r="BH368" s="308"/>
      <c r="BI368" s="308"/>
      <c r="BJ368" s="308"/>
      <c r="BK368" s="308"/>
      <c r="BL368" s="308"/>
      <c r="BM368" s="308"/>
      <c r="BN368" s="308"/>
      <c r="BO368" s="308"/>
      <c r="BP368" s="308"/>
      <c r="BQ368" s="308"/>
      <c r="BR368" s="308"/>
      <c r="BS368" s="308"/>
    </row>
  </sheetData>
  <mergeCells count="4">
    <mergeCell ref="B1:E1"/>
    <mergeCell ref="B13:D13"/>
    <mergeCell ref="E13:I13"/>
    <mergeCell ref="J13:R13"/>
  </mergeCells>
  <phoneticPr fontId="91" type="noConversion"/>
  <conditionalFormatting sqref="G15:G142">
    <cfRule type="containsText" dxfId="2" priority="1" operator="containsText" text="TBC">
      <formula>NOT(ISERROR(SEARCH(("TBC"),(G15))))</formula>
    </cfRule>
  </conditionalFormatting>
  <hyperlinks>
    <hyperlink ref="B2" location="'(勿動)組件目錄表'!15:15" display="頁面背景底色" xr:uid="{00000000-0004-0000-0900-000000000000}"/>
    <hyperlink ref="C2" location="'(勿動)組件目錄表'!32:40" display="優惠券_真券" xr:uid="{00000000-0004-0000-0900-000001000000}"/>
    <hyperlink ref="D2" location="'(勿動)組件目錄表'!122:123" display="VoucherGroup" xr:uid="{00000000-0004-0000-0900-000002000000}"/>
    <hyperlink ref="E2" location="'(勿動)組件目錄表'!140:141" display="BackToTop" xr:uid="{00000000-0004-0000-0900-000003000000}"/>
    <hyperlink ref="G2" r:id="rId1" location="slide=id.g1026e68fc13_7_56" xr:uid="{00000000-0004-0000-0900-000004000000}"/>
    <hyperlink ref="B3" location="'(勿動)組件目錄表'!16:16" display="Product label" xr:uid="{00000000-0004-0000-0900-000005000000}"/>
    <hyperlink ref="C3" location="'(勿動)組件目錄表'!41:53" display="優惠券_GD模版" xr:uid="{00000000-0004-0000-0900-000006000000}"/>
    <hyperlink ref="D3" location="'(勿動)組件目錄表'!124:125" display="限時特賣" xr:uid="{00000000-0004-0000-0900-000007000000}"/>
    <hyperlink ref="E3" location="'(勿動)組件目錄表'!142:142" display="短影音" xr:uid="{00000000-0004-0000-0900-000008000000}"/>
    <hyperlink ref="B4" location="'(勿動)組件目錄表'!17:17" display="頭巾" xr:uid="{00000000-0004-0000-0900-000009000000}"/>
    <hyperlink ref="C4" location="'(勿動)組件目錄表'!54:60" display="品" xr:uid="{00000000-0004-0000-0900-00000A000000}"/>
    <hyperlink ref="D4" location="'(勿動)組件目錄表'!126:126" display="CTA button" xr:uid="{00000000-0004-0000-0900-00000B000000}"/>
    <hyperlink ref="B5" location="'(勿動)組件目錄表'!18:18" display="錨點" xr:uid="{00000000-0004-0000-0900-00000C000000}"/>
    <hyperlink ref="C5" location="'(勿動)組件目錄表'!61:61" display="店" xr:uid="{00000000-0004-0000-0900-00000D000000}"/>
    <hyperlink ref="D5" location="'(勿動)組件目錄表'!127:127" display="iframe" xr:uid="{00000000-0004-0000-0900-00000E000000}"/>
    <hyperlink ref="B6" location="'(勿動)組件目錄表'!19:19" display="mission計時器" xr:uid="{00000000-0004-0000-0900-00000F000000}"/>
    <hyperlink ref="C6" location="'(勿動)組件目錄表'!62:91" display="圖_MSBN" xr:uid="{00000000-0004-0000-0900-000010000000}"/>
    <hyperlink ref="D6" location="'(勿動)組件目錄表'!128:128" display="FavouriteGame" xr:uid="{00000000-0004-0000-0900-000011000000}"/>
    <hyperlink ref="B7" location="'(勿動)組件目錄表'!20:21" display="KV" xr:uid="{00000000-0004-0000-0900-000012000000}"/>
    <hyperlink ref="C7" location="'(勿動)組件目錄表'!92:92" display="圖_ImageCollection" xr:uid="{00000000-0004-0000-0900-000013000000}"/>
    <hyperlink ref="D7" location="'(勿動)組件目錄表'!129:129" display="直播間" xr:uid="{00000000-0004-0000-0900-000014000000}"/>
    <hyperlink ref="B8" location="'(勿動)組件目錄表'!22:22" display="活動倒數計時器" xr:uid="{00000000-0004-0000-0900-000015000000}"/>
    <hyperlink ref="C8" location="'(勿動)組件目錄表'!93:106" display="圖_GD模版_MKT_Camp公版" xr:uid="{00000000-0004-0000-0900-000016000000}"/>
    <hyperlink ref="D8" location="'(勿動)組件目錄表'!130:131" display="Gap" xr:uid="{00000000-0004-0000-0900-000017000000}"/>
    <hyperlink ref="B9" location="'(勿動)組件目錄表'!23:23" display="三大保證" xr:uid="{00000000-0004-0000-0900-000018000000}"/>
    <hyperlink ref="C9" location="'(勿動)組件目錄表'!107:113" display="圖_GD模版_通用公版" xr:uid="{00000000-0004-0000-0900-000019000000}"/>
    <hyperlink ref="D9" location="'(勿動)組件目錄表'!132:133" display="版權商標" xr:uid="{00000000-0004-0000-0900-00001A000000}"/>
    <hyperlink ref="B10" location="'(勿動)組件目錄表'!24:27" display="標題" xr:uid="{00000000-0004-0000-0900-00001B000000}"/>
    <hyperlink ref="C10" location="'(勿動)組件目錄表'!114:120" display="圖_GD模版_MKT_LS公版" xr:uid="{00000000-0004-0000-0900-00001C000000}"/>
    <hyperlink ref="D10" location="'(勿動)組件目錄表'!134:135" display="FloatingIcon" xr:uid="{00000000-0004-0000-0900-00001D000000}"/>
    <hyperlink ref="B11" location="'(勿動)組件目錄表'!28:31" display="文字" xr:uid="{00000000-0004-0000-0900-00001E000000}"/>
    <hyperlink ref="C11" location="'(勿動)組件目錄表'!121:121" display="CollecionGroup" xr:uid="{00000000-0004-0000-0900-00001F000000}"/>
    <hyperlink ref="D11" location="'(勿動)組件目錄表'!136:139" display="吸底圖" xr:uid="{00000000-0004-0000-0900-000020000000}"/>
    <hyperlink ref="I134" r:id="rId2" location="slide=id.g283857bf82b_0_1" xr:uid="{00000000-0004-0000-0900-000021000000}"/>
    <hyperlink ref="I135" r:id="rId3" location="slide=id.g283857bf82b_0_1" xr:uid="{00000000-0004-0000-0900-000022000000}"/>
  </hyperlinks>
  <pageMargins left="0.7" right="0.7" top="0.75" bottom="0.75" header="0" footer="0"/>
  <pageSetup orientation="landscape"/>
  <drawing r:id="rId4"/>
  <legacyDrawing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  <outlinePr summaryBelow="0" summaryRight="0"/>
  </sheetPr>
  <dimension ref="A1:A1000"/>
  <sheetViews>
    <sheetView workbookViewId="0"/>
  </sheetViews>
  <sheetFormatPr defaultColWidth="12.5703125" defaultRowHeight="15" customHeight="1"/>
  <cols>
    <col min="1" max="6" width="9.5703125" customWidth="1"/>
    <col min="7" max="26" width="11" customWidth="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91" type="noConversion"/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G100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1" width="17.42578125" customWidth="1"/>
    <col min="2" max="2" width="27" customWidth="1"/>
    <col min="3" max="7" width="17.42578125" customWidth="1"/>
    <col min="8" max="26" width="11" customWidth="1"/>
  </cols>
  <sheetData>
    <row r="1" spans="1:7" ht="15.75" customHeight="1">
      <c r="A1" s="342" t="s">
        <v>1364</v>
      </c>
      <c r="B1" s="343" t="s">
        <v>1365</v>
      </c>
      <c r="C1" s="343" t="s">
        <v>1366</v>
      </c>
      <c r="D1" s="343" t="s">
        <v>1367</v>
      </c>
      <c r="E1" s="343" t="s">
        <v>1368</v>
      </c>
      <c r="F1" s="343" t="s">
        <v>1369</v>
      </c>
      <c r="G1" s="343" t="s">
        <v>1370</v>
      </c>
    </row>
    <row r="2" spans="1:7" ht="15.75" customHeight="1">
      <c r="A2" s="344" t="s">
        <v>932</v>
      </c>
      <c r="B2" s="345" t="s">
        <v>1371</v>
      </c>
      <c r="C2" s="345" t="s">
        <v>107</v>
      </c>
      <c r="D2" s="345" t="s">
        <v>106</v>
      </c>
      <c r="E2" s="345" t="s">
        <v>106</v>
      </c>
      <c r="F2" s="345" t="s">
        <v>106</v>
      </c>
      <c r="G2" s="345" t="s">
        <v>106</v>
      </c>
    </row>
    <row r="3" spans="1:7" ht="15.75" customHeight="1">
      <c r="A3" s="132" t="str">
        <f ca="1">IFERROR(__xludf.DUMMYFUNCTION("FILTER('MS section版配(Old)'!AN:AN, 
   ('MS section版配(Old)'!BF:BF=""請入稿優惠券_提醒我入稿表"") + 
   ('MS section版配(Old)'!BG:BG=""請入稿優惠券_提醒我入稿表"") + 
   ('MS section版配(Old)'!BH:BH=""請入稿優惠券_提醒我入稿表"") + 
   ('MS section版配(Old)'!BI:BI=""請入稿優惠券_提醒我入稿表"") + 
   ('MS sect"&amp;"ion版配(Old)'!BJ:BJ=""請入稿優惠券_提醒我入稿表""))
"),"#N/A")</f>
        <v>#N/A</v>
      </c>
      <c r="D3" s="132"/>
    </row>
    <row r="4" spans="1:7" ht="15.75" customHeight="1">
      <c r="D4" s="132"/>
    </row>
    <row r="5" spans="1:7" ht="15.75" customHeight="1">
      <c r="D5" s="132"/>
    </row>
    <row r="6" spans="1:7" ht="15.75" customHeight="1">
      <c r="D6" s="132"/>
    </row>
    <row r="7" spans="1:7" ht="15.75" customHeight="1">
      <c r="D7" s="132"/>
    </row>
    <row r="8" spans="1:7" ht="15.75" customHeight="1">
      <c r="D8" s="132"/>
    </row>
    <row r="9" spans="1:7" ht="15.75" customHeight="1">
      <c r="D9" s="132"/>
    </row>
    <row r="10" spans="1:7" ht="15.75" customHeight="1">
      <c r="D10" s="132"/>
    </row>
    <row r="11" spans="1:7" ht="15.75" customHeight="1">
      <c r="D11" s="132"/>
    </row>
    <row r="12" spans="1:7" ht="15.75" customHeight="1">
      <c r="D12" s="132"/>
    </row>
    <row r="13" spans="1:7" ht="15.75" customHeight="1">
      <c r="D13" s="132"/>
    </row>
    <row r="14" spans="1:7" ht="15.75" customHeight="1">
      <c r="D14" s="132"/>
    </row>
    <row r="15" spans="1:7" ht="15.75" customHeight="1">
      <c r="D15" s="132"/>
    </row>
    <row r="16" spans="1:7" ht="15.75" customHeight="1">
      <c r="D16" s="132"/>
    </row>
    <row r="17" spans="4:4" ht="15.75" customHeight="1">
      <c r="D17" s="132"/>
    </row>
    <row r="18" spans="4:4" ht="15.75" customHeight="1">
      <c r="D18" s="132"/>
    </row>
    <row r="19" spans="4:4" ht="15.75" customHeight="1">
      <c r="D19" s="132"/>
    </row>
    <row r="20" spans="4:4" ht="15.75" customHeight="1">
      <c r="D20" s="132"/>
    </row>
    <row r="21" spans="4:4" ht="15.75" customHeight="1">
      <c r="D21" s="132"/>
    </row>
    <row r="22" spans="4:4" ht="15.75" customHeight="1">
      <c r="D22" s="132"/>
    </row>
    <row r="23" spans="4:4" ht="15.75" customHeight="1">
      <c r="D23" s="132"/>
    </row>
    <row r="24" spans="4:4" ht="15.75" customHeight="1">
      <c r="D24" s="132"/>
    </row>
    <row r="25" spans="4:4" ht="15.75" customHeight="1">
      <c r="D25" s="132"/>
    </row>
    <row r="26" spans="4:4" ht="15.75" customHeight="1">
      <c r="D26" s="132"/>
    </row>
    <row r="27" spans="4:4" ht="15.75" customHeight="1">
      <c r="D27" s="132"/>
    </row>
    <row r="28" spans="4:4" ht="15.75" customHeight="1">
      <c r="D28" s="132"/>
    </row>
    <row r="29" spans="4:4" ht="15.75" customHeight="1">
      <c r="D29" s="132"/>
    </row>
    <row r="30" spans="4:4" ht="15.75" customHeight="1">
      <c r="D30" s="132"/>
    </row>
    <row r="31" spans="4:4" ht="15.75" customHeight="1">
      <c r="D31" s="132"/>
    </row>
    <row r="32" spans="4:4" ht="15.75" customHeight="1">
      <c r="D32" s="132"/>
    </row>
    <row r="33" spans="4:4" ht="15.75" customHeight="1">
      <c r="D33" s="132"/>
    </row>
    <row r="34" spans="4:4" ht="15.75" customHeight="1">
      <c r="D34" s="132"/>
    </row>
    <row r="35" spans="4:4" ht="15.75" customHeight="1">
      <c r="D35" s="132"/>
    </row>
    <row r="36" spans="4:4" ht="15.75" customHeight="1">
      <c r="D36" s="132"/>
    </row>
    <row r="37" spans="4:4" ht="15.75" customHeight="1">
      <c r="D37" s="132"/>
    </row>
    <row r="38" spans="4:4" ht="15.75" customHeight="1">
      <c r="D38" s="132"/>
    </row>
    <row r="39" spans="4:4" ht="15.75" customHeight="1">
      <c r="D39" s="132"/>
    </row>
    <row r="40" spans="4:4" ht="15.75" customHeight="1">
      <c r="D40" s="132"/>
    </row>
    <row r="41" spans="4:4" ht="15.75" customHeight="1">
      <c r="D41" s="132"/>
    </row>
    <row r="42" spans="4:4" ht="15.75" customHeight="1">
      <c r="D42" s="132"/>
    </row>
    <row r="43" spans="4:4" ht="15.75" customHeight="1">
      <c r="D43" s="132"/>
    </row>
    <row r="44" spans="4:4" ht="15.75" customHeight="1">
      <c r="D44" s="132"/>
    </row>
    <row r="45" spans="4:4" ht="15.75" customHeight="1">
      <c r="D45" s="132"/>
    </row>
    <row r="46" spans="4:4" ht="15.75" customHeight="1">
      <c r="D46" s="132"/>
    </row>
    <row r="47" spans="4:4" ht="15.75" customHeight="1">
      <c r="D47" s="132"/>
    </row>
    <row r="48" spans="4:4" ht="15.75" customHeight="1">
      <c r="D48" s="132"/>
    </row>
    <row r="49" spans="4:4" ht="15.75" customHeight="1">
      <c r="D49" s="132"/>
    </row>
    <row r="50" spans="4:4" ht="15.75" customHeight="1">
      <c r="D50" s="132"/>
    </row>
    <row r="51" spans="4:4" ht="15.75" customHeight="1">
      <c r="D51" s="132"/>
    </row>
    <row r="52" spans="4:4" ht="15.75" customHeight="1">
      <c r="D52" s="132"/>
    </row>
    <row r="53" spans="4:4" ht="15.75" customHeight="1">
      <c r="D53" s="132"/>
    </row>
    <row r="54" spans="4:4" ht="15.75" customHeight="1">
      <c r="D54" s="132"/>
    </row>
    <row r="55" spans="4:4" ht="15.75" customHeight="1">
      <c r="D55" s="132"/>
    </row>
    <row r="56" spans="4:4" ht="15.75" customHeight="1">
      <c r="D56" s="132"/>
    </row>
    <row r="57" spans="4:4" ht="15.75" customHeight="1">
      <c r="D57" s="132"/>
    </row>
    <row r="58" spans="4:4" ht="15.75" customHeight="1">
      <c r="D58" s="132"/>
    </row>
    <row r="59" spans="4:4" ht="15.75" customHeight="1">
      <c r="D59" s="132"/>
    </row>
    <row r="60" spans="4:4" ht="15.75" customHeight="1">
      <c r="D60" s="132"/>
    </row>
    <row r="61" spans="4:4" ht="15.75" customHeight="1">
      <c r="D61" s="132"/>
    </row>
    <row r="62" spans="4:4" ht="15.75" customHeight="1">
      <c r="D62" s="132"/>
    </row>
    <row r="63" spans="4:4" ht="15.75" customHeight="1">
      <c r="D63" s="132"/>
    </row>
    <row r="64" spans="4:4" ht="15.75" customHeight="1">
      <c r="D64" s="132"/>
    </row>
    <row r="65" spans="4:4" ht="15.75" customHeight="1">
      <c r="D65" s="132"/>
    </row>
    <row r="66" spans="4:4" ht="15.75" customHeight="1">
      <c r="D66" s="132"/>
    </row>
    <row r="67" spans="4:4" ht="15.75" customHeight="1">
      <c r="D67" s="132"/>
    </row>
    <row r="68" spans="4:4" ht="15.75" customHeight="1">
      <c r="D68" s="132"/>
    </row>
    <row r="69" spans="4:4" ht="15.75" customHeight="1">
      <c r="D69" s="132"/>
    </row>
    <row r="70" spans="4:4" ht="15.75" customHeight="1">
      <c r="D70" s="132"/>
    </row>
    <row r="71" spans="4:4" ht="15.75" customHeight="1">
      <c r="D71" s="132"/>
    </row>
    <row r="72" spans="4:4" ht="15.75" customHeight="1">
      <c r="D72" s="132"/>
    </row>
    <row r="73" spans="4:4" ht="15.75" customHeight="1">
      <c r="D73" s="132"/>
    </row>
    <row r="74" spans="4:4" ht="15.75" customHeight="1">
      <c r="D74" s="132"/>
    </row>
    <row r="75" spans="4:4" ht="15.75" customHeight="1">
      <c r="D75" s="132"/>
    </row>
    <row r="76" spans="4:4" ht="15.75" customHeight="1">
      <c r="D76" s="132"/>
    </row>
    <row r="77" spans="4:4" ht="15.75" customHeight="1">
      <c r="D77" s="132"/>
    </row>
    <row r="78" spans="4:4" ht="15.75" customHeight="1">
      <c r="D78" s="132"/>
    </row>
    <row r="79" spans="4:4" ht="15.75" customHeight="1">
      <c r="D79" s="132"/>
    </row>
    <row r="80" spans="4:4" ht="15.75" customHeight="1">
      <c r="D80" s="132"/>
    </row>
    <row r="81" spans="4:4" ht="15.75" customHeight="1">
      <c r="D81" s="132"/>
    </row>
    <row r="82" spans="4:4" ht="15.75" customHeight="1">
      <c r="D82" s="132"/>
    </row>
    <row r="83" spans="4:4" ht="15.75" customHeight="1">
      <c r="D83" s="132"/>
    </row>
    <row r="84" spans="4:4" ht="15.75" customHeight="1">
      <c r="D84" s="132"/>
    </row>
    <row r="85" spans="4:4" ht="15.75" customHeight="1">
      <c r="D85" s="132"/>
    </row>
    <row r="86" spans="4:4" ht="15.75" customHeight="1">
      <c r="D86" s="132"/>
    </row>
    <row r="87" spans="4:4" ht="15.75" customHeight="1">
      <c r="D87" s="132"/>
    </row>
    <row r="88" spans="4:4" ht="15.75" customHeight="1">
      <c r="D88" s="132"/>
    </row>
    <row r="89" spans="4:4" ht="15.75" customHeight="1">
      <c r="D89" s="132"/>
    </row>
    <row r="90" spans="4:4" ht="15.75" customHeight="1">
      <c r="D90" s="132"/>
    </row>
    <row r="91" spans="4:4" ht="15.75" customHeight="1">
      <c r="D91" s="132"/>
    </row>
    <row r="92" spans="4:4" ht="15.75" customHeight="1">
      <c r="D92" s="132"/>
    </row>
    <row r="93" spans="4:4" ht="15.75" customHeight="1">
      <c r="D93" s="132"/>
    </row>
    <row r="94" spans="4:4" ht="15.75" customHeight="1">
      <c r="D94" s="132"/>
    </row>
    <row r="95" spans="4:4" ht="15.75" customHeight="1">
      <c r="D95" s="132"/>
    </row>
    <row r="96" spans="4:4" ht="15.75" customHeight="1">
      <c r="D96" s="132"/>
    </row>
    <row r="97" spans="4:4" ht="15.75" customHeight="1">
      <c r="D97" s="132"/>
    </row>
    <row r="98" spans="4:4" ht="15.75" customHeight="1">
      <c r="D98" s="132"/>
    </row>
    <row r="99" spans="4:4" ht="15.75" customHeight="1">
      <c r="D99" s="132"/>
    </row>
    <row r="100" spans="4:4" ht="15.75" customHeight="1">
      <c r="D100" s="132"/>
    </row>
    <row r="101" spans="4:4" ht="15.75" customHeight="1">
      <c r="D101" s="132"/>
    </row>
    <row r="102" spans="4:4" ht="15.75" customHeight="1">
      <c r="D102" s="132"/>
    </row>
    <row r="103" spans="4:4" ht="15.75" customHeight="1">
      <c r="D103" s="132"/>
    </row>
    <row r="104" spans="4:4" ht="15.75" customHeight="1">
      <c r="D104" s="132"/>
    </row>
    <row r="105" spans="4:4" ht="15.75" customHeight="1">
      <c r="D105" s="132"/>
    </row>
    <row r="106" spans="4:4" ht="15.75" customHeight="1">
      <c r="D106" s="132"/>
    </row>
    <row r="107" spans="4:4" ht="15.75" customHeight="1">
      <c r="D107" s="132"/>
    </row>
    <row r="108" spans="4:4" ht="15.75" customHeight="1">
      <c r="D108" s="132"/>
    </row>
    <row r="109" spans="4:4" ht="15.75" customHeight="1">
      <c r="D109" s="132"/>
    </row>
    <row r="110" spans="4:4" ht="15.75" customHeight="1">
      <c r="D110" s="132"/>
    </row>
    <row r="111" spans="4:4" ht="15.75" customHeight="1">
      <c r="D111" s="132"/>
    </row>
    <row r="112" spans="4:4" ht="15.75" customHeight="1">
      <c r="D112" s="132"/>
    </row>
    <row r="113" spans="4:4" ht="15.75" customHeight="1">
      <c r="D113" s="132"/>
    </row>
    <row r="114" spans="4:4" ht="15.75" customHeight="1">
      <c r="D114" s="132"/>
    </row>
    <row r="115" spans="4:4" ht="15.75" customHeight="1">
      <c r="D115" s="132"/>
    </row>
    <row r="116" spans="4:4" ht="15.75" customHeight="1">
      <c r="D116" s="132"/>
    </row>
    <row r="117" spans="4:4" ht="15.75" customHeight="1">
      <c r="D117" s="132"/>
    </row>
    <row r="118" spans="4:4" ht="15.75" customHeight="1">
      <c r="D118" s="132"/>
    </row>
    <row r="119" spans="4:4" ht="15.75" customHeight="1">
      <c r="D119" s="132"/>
    </row>
    <row r="120" spans="4:4" ht="15.75" customHeight="1">
      <c r="D120" s="132"/>
    </row>
    <row r="121" spans="4:4" ht="15.75" customHeight="1">
      <c r="D121" s="132"/>
    </row>
    <row r="122" spans="4:4" ht="15.75" customHeight="1">
      <c r="D122" s="132"/>
    </row>
    <row r="123" spans="4:4" ht="15.75" customHeight="1">
      <c r="D123" s="132"/>
    </row>
    <row r="124" spans="4:4" ht="15.75" customHeight="1">
      <c r="D124" s="132"/>
    </row>
    <row r="125" spans="4:4" ht="15.75" customHeight="1">
      <c r="D125" s="132"/>
    </row>
    <row r="126" spans="4:4" ht="15.75" customHeight="1">
      <c r="D126" s="132"/>
    </row>
    <row r="127" spans="4:4" ht="15.75" customHeight="1">
      <c r="D127" s="132"/>
    </row>
    <row r="128" spans="4:4" ht="15.75" customHeight="1">
      <c r="D128" s="132"/>
    </row>
    <row r="129" spans="4:4" ht="15.75" customHeight="1">
      <c r="D129" s="132"/>
    </row>
    <row r="130" spans="4:4" ht="15.75" customHeight="1">
      <c r="D130" s="132"/>
    </row>
    <row r="131" spans="4:4" ht="15.75" customHeight="1">
      <c r="D131" s="132"/>
    </row>
    <row r="132" spans="4:4" ht="15.75" customHeight="1">
      <c r="D132" s="132"/>
    </row>
    <row r="133" spans="4:4" ht="15.75" customHeight="1">
      <c r="D133" s="132"/>
    </row>
    <row r="134" spans="4:4" ht="15.75" customHeight="1">
      <c r="D134" s="132"/>
    </row>
    <row r="135" spans="4:4" ht="15.75" customHeight="1">
      <c r="D135" s="132"/>
    </row>
    <row r="136" spans="4:4" ht="15.75" customHeight="1">
      <c r="D136" s="132"/>
    </row>
    <row r="137" spans="4:4" ht="15.75" customHeight="1">
      <c r="D137" s="132"/>
    </row>
    <row r="138" spans="4:4" ht="15.75" customHeight="1">
      <c r="D138" s="132"/>
    </row>
    <row r="139" spans="4:4" ht="15.75" customHeight="1">
      <c r="D139" s="132"/>
    </row>
    <row r="140" spans="4:4" ht="15.75" customHeight="1">
      <c r="D140" s="132"/>
    </row>
    <row r="141" spans="4:4" ht="15.75" customHeight="1">
      <c r="D141" s="132"/>
    </row>
    <row r="142" spans="4:4" ht="15.75" customHeight="1">
      <c r="D142" s="132"/>
    </row>
    <row r="143" spans="4:4" ht="15.75" customHeight="1">
      <c r="D143" s="132"/>
    </row>
    <row r="144" spans="4:4" ht="15.75" customHeight="1">
      <c r="D144" s="132"/>
    </row>
    <row r="145" spans="4:4" ht="15.75" customHeight="1">
      <c r="D145" s="132"/>
    </row>
    <row r="146" spans="4:4" ht="15.75" customHeight="1">
      <c r="D146" s="132"/>
    </row>
    <row r="147" spans="4:4" ht="15.75" customHeight="1">
      <c r="D147" s="132"/>
    </row>
    <row r="148" spans="4:4" ht="15.75" customHeight="1">
      <c r="D148" s="132"/>
    </row>
    <row r="149" spans="4:4" ht="15.75" customHeight="1">
      <c r="D149" s="132"/>
    </row>
    <row r="150" spans="4:4" ht="15.75" customHeight="1">
      <c r="D150" s="132"/>
    </row>
    <row r="151" spans="4:4" ht="15.75" customHeight="1">
      <c r="D151" s="132"/>
    </row>
    <row r="152" spans="4:4" ht="15.75" customHeight="1">
      <c r="D152" s="132"/>
    </row>
    <row r="153" spans="4:4" ht="15.75" customHeight="1">
      <c r="D153" s="132"/>
    </row>
    <row r="154" spans="4:4" ht="15.75" customHeight="1">
      <c r="D154" s="132"/>
    </row>
    <row r="155" spans="4:4" ht="15.75" customHeight="1">
      <c r="D155" s="132"/>
    </row>
    <row r="156" spans="4:4" ht="15.75" customHeight="1">
      <c r="D156" s="132"/>
    </row>
    <row r="157" spans="4:4" ht="15.75" customHeight="1">
      <c r="D157" s="132"/>
    </row>
    <row r="158" spans="4:4" ht="15.75" customHeight="1">
      <c r="D158" s="132"/>
    </row>
    <row r="159" spans="4:4" ht="15.75" customHeight="1">
      <c r="D159" s="132"/>
    </row>
    <row r="160" spans="4:4" ht="15.75" customHeight="1">
      <c r="D160" s="132"/>
    </row>
    <row r="161" spans="4:4" ht="15.75" customHeight="1">
      <c r="D161" s="132"/>
    </row>
    <row r="162" spans="4:4" ht="15.75" customHeight="1">
      <c r="D162" s="132"/>
    </row>
    <row r="163" spans="4:4" ht="15.75" customHeight="1">
      <c r="D163" s="132"/>
    </row>
    <row r="164" spans="4:4" ht="15.75" customHeight="1">
      <c r="D164" s="132"/>
    </row>
    <row r="165" spans="4:4" ht="15.75" customHeight="1">
      <c r="D165" s="132"/>
    </row>
    <row r="166" spans="4:4" ht="15.75" customHeight="1">
      <c r="D166" s="132"/>
    </row>
    <row r="167" spans="4:4" ht="15.75" customHeight="1">
      <c r="D167" s="132"/>
    </row>
    <row r="168" spans="4:4" ht="15.75" customHeight="1">
      <c r="D168" s="132"/>
    </row>
    <row r="169" spans="4:4" ht="15.75" customHeight="1">
      <c r="D169" s="132"/>
    </row>
    <row r="170" spans="4:4" ht="15.75" customHeight="1">
      <c r="D170" s="132"/>
    </row>
    <row r="171" spans="4:4" ht="15.75" customHeight="1">
      <c r="D171" s="132"/>
    </row>
    <row r="172" spans="4:4" ht="15.75" customHeight="1">
      <c r="D172" s="132"/>
    </row>
    <row r="173" spans="4:4" ht="15.75" customHeight="1">
      <c r="D173" s="132"/>
    </row>
    <row r="174" spans="4:4" ht="15.75" customHeight="1">
      <c r="D174" s="132"/>
    </row>
    <row r="175" spans="4:4" ht="15.75" customHeight="1">
      <c r="D175" s="132"/>
    </row>
    <row r="176" spans="4:4" ht="15.75" customHeight="1">
      <c r="D176" s="132"/>
    </row>
    <row r="177" spans="4:4" ht="15.75" customHeight="1">
      <c r="D177" s="132"/>
    </row>
    <row r="178" spans="4:4" ht="15.75" customHeight="1">
      <c r="D178" s="132"/>
    </row>
    <row r="179" spans="4:4" ht="15.75" customHeight="1">
      <c r="D179" s="132"/>
    </row>
    <row r="180" spans="4:4" ht="15.75" customHeight="1">
      <c r="D180" s="132"/>
    </row>
    <row r="181" spans="4:4" ht="15.75" customHeight="1">
      <c r="D181" s="132"/>
    </row>
    <row r="182" spans="4:4" ht="15.75" customHeight="1">
      <c r="D182" s="132"/>
    </row>
    <row r="183" spans="4:4" ht="15.75" customHeight="1">
      <c r="D183" s="132"/>
    </row>
    <row r="184" spans="4:4" ht="15.75" customHeight="1">
      <c r="D184" s="132"/>
    </row>
    <row r="185" spans="4:4" ht="15.75" customHeight="1">
      <c r="D185" s="132"/>
    </row>
    <row r="186" spans="4:4" ht="15.75" customHeight="1">
      <c r="D186" s="132"/>
    </row>
    <row r="187" spans="4:4" ht="15.75" customHeight="1">
      <c r="D187" s="132"/>
    </row>
    <row r="188" spans="4:4" ht="15.75" customHeight="1">
      <c r="D188" s="132"/>
    </row>
    <row r="189" spans="4:4" ht="15.75" customHeight="1">
      <c r="D189" s="132"/>
    </row>
    <row r="190" spans="4:4" ht="15.75" customHeight="1">
      <c r="D190" s="132"/>
    </row>
    <row r="191" spans="4:4" ht="15.75" customHeight="1">
      <c r="D191" s="132"/>
    </row>
    <row r="192" spans="4:4" ht="15.75" customHeight="1">
      <c r="D192" s="132"/>
    </row>
    <row r="193" spans="4:4" ht="15.75" customHeight="1">
      <c r="D193" s="132"/>
    </row>
    <row r="194" spans="4:4" ht="15.75" customHeight="1">
      <c r="D194" s="132"/>
    </row>
    <row r="195" spans="4:4" ht="15.75" customHeight="1">
      <c r="D195" s="132"/>
    </row>
    <row r="196" spans="4:4" ht="15.75" customHeight="1">
      <c r="D196" s="132"/>
    </row>
    <row r="197" spans="4:4" ht="15.75" customHeight="1">
      <c r="D197" s="132"/>
    </row>
    <row r="198" spans="4:4" ht="15.75" customHeight="1">
      <c r="D198" s="132"/>
    </row>
    <row r="199" spans="4:4" ht="15.75" customHeight="1">
      <c r="D199" s="132"/>
    </row>
    <row r="200" spans="4:4" ht="15.75" customHeight="1">
      <c r="D200" s="132"/>
    </row>
    <row r="201" spans="4:4" ht="15.75" customHeight="1">
      <c r="D201" s="132"/>
    </row>
    <row r="202" spans="4:4" ht="15.75" customHeight="1">
      <c r="D202" s="132"/>
    </row>
    <row r="203" spans="4:4" ht="15.75" customHeight="1">
      <c r="D203" s="132"/>
    </row>
    <row r="204" spans="4:4" ht="15.75" customHeight="1">
      <c r="D204" s="132"/>
    </row>
    <row r="205" spans="4:4" ht="15.75" customHeight="1">
      <c r="D205" s="132"/>
    </row>
    <row r="206" spans="4:4" ht="15.75" customHeight="1">
      <c r="D206" s="132"/>
    </row>
    <row r="207" spans="4:4" ht="15.75" customHeight="1">
      <c r="D207" s="132"/>
    </row>
    <row r="208" spans="4:4" ht="15.75" customHeight="1">
      <c r="D208" s="132"/>
    </row>
    <row r="209" spans="4:4" ht="15.75" customHeight="1">
      <c r="D209" s="132"/>
    </row>
    <row r="210" spans="4:4" ht="15.75" customHeight="1">
      <c r="D210" s="132"/>
    </row>
    <row r="211" spans="4:4" ht="15.75" customHeight="1">
      <c r="D211" s="132"/>
    </row>
    <row r="212" spans="4:4" ht="15.75" customHeight="1">
      <c r="D212" s="132"/>
    </row>
    <row r="213" spans="4:4" ht="15.75" customHeight="1">
      <c r="D213" s="132"/>
    </row>
    <row r="214" spans="4:4" ht="15.75" customHeight="1">
      <c r="D214" s="132"/>
    </row>
    <row r="215" spans="4:4" ht="15.75" customHeight="1">
      <c r="D215" s="132"/>
    </row>
    <row r="216" spans="4:4" ht="15.75" customHeight="1">
      <c r="D216" s="132"/>
    </row>
    <row r="217" spans="4:4" ht="15.75" customHeight="1">
      <c r="D217" s="132"/>
    </row>
    <row r="218" spans="4:4" ht="15.75" customHeight="1">
      <c r="D218" s="132"/>
    </row>
    <row r="219" spans="4:4" ht="15.75" customHeight="1">
      <c r="D219" s="132"/>
    </row>
    <row r="220" spans="4:4" ht="15.75" customHeight="1">
      <c r="D220" s="132"/>
    </row>
    <row r="221" spans="4:4" ht="15.75" customHeight="1">
      <c r="D221" s="346"/>
    </row>
    <row r="222" spans="4:4" ht="15.75" customHeight="1">
      <c r="D222" s="346"/>
    </row>
    <row r="223" spans="4:4" ht="15.75" customHeight="1">
      <c r="D223" s="346"/>
    </row>
    <row r="224" spans="4:4" ht="15.75" customHeight="1">
      <c r="D224" s="346"/>
    </row>
    <row r="225" spans="4:4" ht="15.75" customHeight="1">
      <c r="D225" s="346"/>
    </row>
    <row r="226" spans="4:4" ht="15.75" customHeight="1">
      <c r="D226" s="346"/>
    </row>
    <row r="227" spans="4:4" ht="15.75" customHeight="1">
      <c r="D227" s="346"/>
    </row>
    <row r="228" spans="4:4" ht="15.75" customHeight="1">
      <c r="D228" s="346"/>
    </row>
    <row r="229" spans="4:4" ht="15.75" customHeight="1">
      <c r="D229" s="346"/>
    </row>
    <row r="230" spans="4:4" ht="15.75" customHeight="1">
      <c r="D230" s="346"/>
    </row>
    <row r="231" spans="4:4" ht="15.75" customHeight="1">
      <c r="D231" s="346"/>
    </row>
    <row r="232" spans="4:4" ht="15.75" customHeight="1">
      <c r="D232" s="346"/>
    </row>
    <row r="233" spans="4:4" ht="15.75" customHeight="1">
      <c r="D233" s="346"/>
    </row>
    <row r="234" spans="4:4" ht="15.75" customHeight="1">
      <c r="D234" s="346"/>
    </row>
    <row r="235" spans="4:4" ht="15.75" customHeight="1">
      <c r="D235" s="346"/>
    </row>
    <row r="236" spans="4:4" ht="15.75" customHeight="1">
      <c r="D236" s="346"/>
    </row>
    <row r="237" spans="4:4" ht="15.75" customHeight="1">
      <c r="D237" s="346"/>
    </row>
    <row r="238" spans="4:4" ht="15.75" customHeight="1">
      <c r="D238" s="346"/>
    </row>
    <row r="239" spans="4:4" ht="15.75" customHeight="1">
      <c r="D239" s="346"/>
    </row>
    <row r="240" spans="4:4" ht="15.75" customHeight="1">
      <c r="D240" s="346"/>
    </row>
    <row r="241" spans="4:4" ht="15.75" customHeight="1">
      <c r="D241" s="346"/>
    </row>
    <row r="242" spans="4:4" ht="15.75" customHeight="1">
      <c r="D242" s="346"/>
    </row>
    <row r="243" spans="4:4" ht="15.75" customHeight="1">
      <c r="D243" s="346"/>
    </row>
    <row r="244" spans="4:4" ht="15.75" customHeight="1">
      <c r="D244" s="346"/>
    </row>
    <row r="245" spans="4:4" ht="15.75" customHeight="1">
      <c r="D245" s="346"/>
    </row>
    <row r="246" spans="4:4" ht="15.75" customHeight="1">
      <c r="D246" s="346"/>
    </row>
    <row r="247" spans="4:4" ht="15.75" customHeight="1">
      <c r="D247" s="346"/>
    </row>
    <row r="248" spans="4:4" ht="15.75" customHeight="1">
      <c r="D248" s="346"/>
    </row>
    <row r="249" spans="4:4" ht="15.75" customHeight="1">
      <c r="D249" s="346"/>
    </row>
    <row r="250" spans="4:4" ht="15.75" customHeight="1">
      <c r="D250" s="346"/>
    </row>
    <row r="251" spans="4:4" ht="15.75" customHeight="1">
      <c r="D251" s="346"/>
    </row>
    <row r="252" spans="4:4" ht="15.75" customHeight="1">
      <c r="D252" s="346"/>
    </row>
    <row r="253" spans="4:4" ht="15.75" customHeight="1">
      <c r="D253" s="346"/>
    </row>
    <row r="254" spans="4:4" ht="15.75" customHeight="1">
      <c r="D254" s="346"/>
    </row>
    <row r="255" spans="4:4" ht="15.75" customHeight="1">
      <c r="D255" s="346"/>
    </row>
    <row r="256" spans="4:4" ht="15.75" customHeight="1">
      <c r="D256" s="346"/>
    </row>
    <row r="257" spans="4:4" ht="15.75" customHeight="1">
      <c r="D257" s="346"/>
    </row>
    <row r="258" spans="4:4" ht="15.75" customHeight="1">
      <c r="D258" s="346"/>
    </row>
    <row r="259" spans="4:4" ht="15.75" customHeight="1">
      <c r="D259" s="346"/>
    </row>
    <row r="260" spans="4:4" ht="15.75" customHeight="1">
      <c r="D260" s="346"/>
    </row>
    <row r="261" spans="4:4" ht="15.75" customHeight="1">
      <c r="D261" s="346"/>
    </row>
    <row r="262" spans="4:4" ht="15.75" customHeight="1">
      <c r="D262" s="346"/>
    </row>
    <row r="263" spans="4:4" ht="15.75" customHeight="1">
      <c r="D263" s="346"/>
    </row>
    <row r="264" spans="4:4" ht="15.75" customHeight="1">
      <c r="D264" s="346"/>
    </row>
    <row r="265" spans="4:4" ht="15.75" customHeight="1">
      <c r="D265" s="346"/>
    </row>
    <row r="266" spans="4:4" ht="15.75" customHeight="1">
      <c r="D266" s="346"/>
    </row>
    <row r="267" spans="4:4" ht="15.75" customHeight="1">
      <c r="D267" s="346"/>
    </row>
    <row r="268" spans="4:4" ht="15.75" customHeight="1">
      <c r="D268" s="346"/>
    </row>
    <row r="269" spans="4:4" ht="15.75" customHeight="1">
      <c r="D269" s="346"/>
    </row>
    <row r="270" spans="4:4" ht="15.75" customHeight="1">
      <c r="D270" s="346"/>
    </row>
    <row r="271" spans="4:4" ht="15.75" customHeight="1">
      <c r="D271" s="346"/>
    </row>
    <row r="272" spans="4:4" ht="15.75" customHeight="1">
      <c r="D272" s="346"/>
    </row>
    <row r="273" spans="4:4" ht="15.75" customHeight="1">
      <c r="D273" s="346"/>
    </row>
    <row r="274" spans="4:4" ht="15.75" customHeight="1">
      <c r="D274" s="346"/>
    </row>
    <row r="275" spans="4:4" ht="15.75" customHeight="1">
      <c r="D275" s="346"/>
    </row>
    <row r="276" spans="4:4" ht="15.75" customHeight="1">
      <c r="D276" s="346"/>
    </row>
    <row r="277" spans="4:4" ht="15.75" customHeight="1">
      <c r="D277" s="346"/>
    </row>
    <row r="278" spans="4:4" ht="15.75" customHeight="1">
      <c r="D278" s="346"/>
    </row>
    <row r="279" spans="4:4" ht="15.75" customHeight="1">
      <c r="D279" s="346"/>
    </row>
    <row r="280" spans="4:4" ht="15.75" customHeight="1">
      <c r="D280" s="346"/>
    </row>
    <row r="281" spans="4:4" ht="15.75" customHeight="1">
      <c r="D281" s="346"/>
    </row>
    <row r="282" spans="4:4" ht="15.75" customHeight="1">
      <c r="D282" s="346"/>
    </row>
    <row r="283" spans="4:4" ht="15.75" customHeight="1">
      <c r="D283" s="346"/>
    </row>
    <row r="284" spans="4:4" ht="15.75" customHeight="1">
      <c r="D284" s="346"/>
    </row>
    <row r="285" spans="4:4" ht="15.75" customHeight="1">
      <c r="D285" s="346"/>
    </row>
    <row r="286" spans="4:4" ht="15.75" customHeight="1">
      <c r="D286" s="346"/>
    </row>
    <row r="287" spans="4:4" ht="15.75" customHeight="1">
      <c r="D287" s="346"/>
    </row>
    <row r="288" spans="4:4" ht="15.75" customHeight="1">
      <c r="D288" s="346"/>
    </row>
    <row r="289" spans="4:4" ht="15.75" customHeight="1">
      <c r="D289" s="346"/>
    </row>
    <row r="290" spans="4:4" ht="15.75" customHeight="1">
      <c r="D290" s="346"/>
    </row>
    <row r="291" spans="4:4" ht="15.75" customHeight="1">
      <c r="D291" s="346"/>
    </row>
    <row r="292" spans="4:4" ht="15.75" customHeight="1">
      <c r="D292" s="346"/>
    </row>
    <row r="293" spans="4:4" ht="15.75" customHeight="1">
      <c r="D293" s="346"/>
    </row>
    <row r="294" spans="4:4" ht="15.75" customHeight="1">
      <c r="D294" s="346"/>
    </row>
    <row r="295" spans="4:4" ht="15.75" customHeight="1">
      <c r="D295" s="346"/>
    </row>
    <row r="296" spans="4:4" ht="15.75" customHeight="1">
      <c r="D296" s="346"/>
    </row>
    <row r="297" spans="4:4" ht="15.75" customHeight="1">
      <c r="D297" s="346"/>
    </row>
    <row r="298" spans="4:4" ht="15.75" customHeight="1">
      <c r="D298" s="346"/>
    </row>
    <row r="299" spans="4:4" ht="15.75" customHeight="1">
      <c r="D299" s="346"/>
    </row>
    <row r="300" spans="4:4" ht="15.75" customHeight="1">
      <c r="D300" s="346"/>
    </row>
    <row r="301" spans="4:4" ht="15.75" customHeight="1">
      <c r="D301" s="346"/>
    </row>
    <row r="302" spans="4:4" ht="15.75" customHeight="1">
      <c r="D302" s="346"/>
    </row>
    <row r="303" spans="4:4" ht="15.75" customHeight="1">
      <c r="D303" s="346"/>
    </row>
    <row r="304" spans="4:4" ht="15.75" customHeight="1">
      <c r="D304" s="346"/>
    </row>
    <row r="305" spans="4:4" ht="15.75" customHeight="1">
      <c r="D305" s="346"/>
    </row>
    <row r="306" spans="4:4" ht="15.75" customHeight="1">
      <c r="D306" s="346"/>
    </row>
    <row r="307" spans="4:4" ht="15.75" customHeight="1">
      <c r="D307" s="346"/>
    </row>
    <row r="308" spans="4:4" ht="15.75" customHeight="1">
      <c r="D308" s="346"/>
    </row>
    <row r="309" spans="4:4" ht="15.75" customHeight="1">
      <c r="D309" s="346"/>
    </row>
    <row r="310" spans="4:4" ht="15.75" customHeight="1">
      <c r="D310" s="346"/>
    </row>
    <row r="311" spans="4:4" ht="15.75" customHeight="1">
      <c r="D311" s="346"/>
    </row>
    <row r="312" spans="4:4" ht="15.75" customHeight="1">
      <c r="D312" s="346"/>
    </row>
    <row r="313" spans="4:4" ht="15.75" customHeight="1">
      <c r="D313" s="346"/>
    </row>
    <row r="314" spans="4:4" ht="15.75" customHeight="1">
      <c r="D314" s="346"/>
    </row>
    <row r="315" spans="4:4" ht="15.75" customHeight="1">
      <c r="D315" s="346"/>
    </row>
    <row r="316" spans="4:4" ht="15.75" customHeight="1">
      <c r="D316" s="346"/>
    </row>
    <row r="317" spans="4:4" ht="15.75" customHeight="1">
      <c r="D317" s="346"/>
    </row>
    <row r="318" spans="4:4" ht="15.75" customHeight="1">
      <c r="D318" s="346"/>
    </row>
    <row r="319" spans="4:4" ht="15.75" customHeight="1">
      <c r="D319" s="346"/>
    </row>
    <row r="320" spans="4:4" ht="15.75" customHeight="1">
      <c r="D320" s="346"/>
    </row>
    <row r="321" spans="4:4" ht="15.75" customHeight="1">
      <c r="D321" s="346"/>
    </row>
    <row r="322" spans="4:4" ht="15.75" customHeight="1">
      <c r="D322" s="346"/>
    </row>
    <row r="323" spans="4:4" ht="15.75" customHeight="1">
      <c r="D323" s="346"/>
    </row>
    <row r="324" spans="4:4" ht="15.75" customHeight="1">
      <c r="D324" s="346"/>
    </row>
    <row r="325" spans="4:4" ht="15.75" customHeight="1">
      <c r="D325" s="346"/>
    </row>
    <row r="326" spans="4:4" ht="15.75" customHeight="1">
      <c r="D326" s="346"/>
    </row>
    <row r="327" spans="4:4" ht="15.75" customHeight="1">
      <c r="D327" s="346"/>
    </row>
    <row r="328" spans="4:4" ht="15.75" customHeight="1">
      <c r="D328" s="346"/>
    </row>
    <row r="329" spans="4:4" ht="15.75" customHeight="1">
      <c r="D329" s="346"/>
    </row>
    <row r="330" spans="4:4" ht="15.75" customHeight="1">
      <c r="D330" s="346"/>
    </row>
    <row r="331" spans="4:4" ht="15.75" customHeight="1">
      <c r="D331" s="346"/>
    </row>
    <row r="332" spans="4:4" ht="15.75" customHeight="1">
      <c r="D332" s="346"/>
    </row>
    <row r="333" spans="4:4" ht="15.75" customHeight="1">
      <c r="D333" s="346"/>
    </row>
    <row r="334" spans="4:4" ht="15.75" customHeight="1">
      <c r="D334" s="346"/>
    </row>
    <row r="335" spans="4:4" ht="15.75" customHeight="1">
      <c r="D335" s="346"/>
    </row>
    <row r="336" spans="4:4" ht="15.75" customHeight="1">
      <c r="D336" s="346"/>
    </row>
    <row r="337" spans="4:4" ht="15.75" customHeight="1">
      <c r="D337" s="346"/>
    </row>
    <row r="338" spans="4:4" ht="15.75" customHeight="1">
      <c r="D338" s="346"/>
    </row>
    <row r="339" spans="4:4" ht="15.75" customHeight="1">
      <c r="D339" s="346"/>
    </row>
    <row r="340" spans="4:4" ht="15.75" customHeight="1">
      <c r="D340" s="346"/>
    </row>
    <row r="341" spans="4:4" ht="15.75" customHeight="1">
      <c r="D341" s="346"/>
    </row>
    <row r="342" spans="4:4" ht="15.75" customHeight="1">
      <c r="D342" s="346"/>
    </row>
    <row r="343" spans="4:4" ht="15.75" customHeight="1">
      <c r="D343" s="346"/>
    </row>
    <row r="344" spans="4:4" ht="15.75" customHeight="1">
      <c r="D344" s="346"/>
    </row>
    <row r="345" spans="4:4" ht="15.75" customHeight="1">
      <c r="D345" s="346"/>
    </row>
    <row r="346" spans="4:4" ht="15.75" customHeight="1">
      <c r="D346" s="346"/>
    </row>
    <row r="347" spans="4:4" ht="15.75" customHeight="1">
      <c r="D347" s="346"/>
    </row>
    <row r="348" spans="4:4" ht="15.75" customHeight="1">
      <c r="D348" s="346"/>
    </row>
    <row r="349" spans="4:4" ht="15.75" customHeight="1">
      <c r="D349" s="346"/>
    </row>
    <row r="350" spans="4:4" ht="15.75" customHeight="1">
      <c r="D350" s="346"/>
    </row>
    <row r="351" spans="4:4" ht="15.75" customHeight="1">
      <c r="D351" s="346"/>
    </row>
    <row r="352" spans="4:4" ht="15.75" customHeight="1">
      <c r="D352" s="346"/>
    </row>
    <row r="353" spans="4:4" ht="15.75" customHeight="1">
      <c r="D353" s="346"/>
    </row>
    <row r="354" spans="4:4" ht="15.75" customHeight="1">
      <c r="D354" s="346"/>
    </row>
    <row r="355" spans="4:4" ht="15.75" customHeight="1">
      <c r="D355" s="346"/>
    </row>
    <row r="356" spans="4:4" ht="15.75" customHeight="1">
      <c r="D356" s="346"/>
    </row>
    <row r="357" spans="4:4" ht="15.75" customHeight="1">
      <c r="D357" s="346"/>
    </row>
    <row r="358" spans="4:4" ht="15.75" customHeight="1">
      <c r="D358" s="346"/>
    </row>
    <row r="359" spans="4:4" ht="15.75" customHeight="1">
      <c r="D359" s="346"/>
    </row>
    <row r="360" spans="4:4" ht="15.75" customHeight="1">
      <c r="D360" s="346"/>
    </row>
    <row r="361" spans="4:4" ht="15.75" customHeight="1">
      <c r="D361" s="346"/>
    </row>
    <row r="362" spans="4:4" ht="15.75" customHeight="1">
      <c r="D362" s="346"/>
    </row>
    <row r="363" spans="4:4" ht="15.75" customHeight="1">
      <c r="D363" s="346"/>
    </row>
    <row r="364" spans="4:4" ht="15.75" customHeight="1">
      <c r="D364" s="346"/>
    </row>
    <row r="365" spans="4:4" ht="15.75" customHeight="1">
      <c r="D365" s="346"/>
    </row>
    <row r="366" spans="4:4" ht="15.75" customHeight="1">
      <c r="D366" s="346"/>
    </row>
    <row r="367" spans="4:4" ht="15.75" customHeight="1">
      <c r="D367" s="346"/>
    </row>
    <row r="368" spans="4:4" ht="15.75" customHeight="1">
      <c r="D368" s="346"/>
    </row>
    <row r="369" spans="4:4" ht="15.75" customHeight="1">
      <c r="D369" s="346"/>
    </row>
    <row r="370" spans="4:4" ht="15.75" customHeight="1">
      <c r="D370" s="346"/>
    </row>
    <row r="371" spans="4:4" ht="15.75" customHeight="1">
      <c r="D371" s="346"/>
    </row>
    <row r="372" spans="4:4" ht="15.75" customHeight="1">
      <c r="D372" s="346"/>
    </row>
    <row r="373" spans="4:4" ht="15.75" customHeight="1">
      <c r="D373" s="346"/>
    </row>
    <row r="374" spans="4:4" ht="15.75" customHeight="1">
      <c r="D374" s="346"/>
    </row>
    <row r="375" spans="4:4" ht="15.75" customHeight="1">
      <c r="D375" s="346"/>
    </row>
    <row r="376" spans="4:4" ht="15.75" customHeight="1">
      <c r="D376" s="346"/>
    </row>
    <row r="377" spans="4:4" ht="15.75" customHeight="1">
      <c r="D377" s="346"/>
    </row>
    <row r="378" spans="4:4" ht="15.75" customHeight="1">
      <c r="D378" s="346"/>
    </row>
    <row r="379" spans="4:4" ht="15.75" customHeight="1">
      <c r="D379" s="346"/>
    </row>
    <row r="380" spans="4:4" ht="15.75" customHeight="1">
      <c r="D380" s="346"/>
    </row>
    <row r="381" spans="4:4" ht="15.75" customHeight="1">
      <c r="D381" s="346"/>
    </row>
    <row r="382" spans="4:4" ht="15.75" customHeight="1">
      <c r="D382" s="346"/>
    </row>
    <row r="383" spans="4:4" ht="15.75" customHeight="1">
      <c r="D383" s="346"/>
    </row>
    <row r="384" spans="4:4" ht="15.75" customHeight="1">
      <c r="D384" s="346"/>
    </row>
    <row r="385" spans="4:4" ht="15.75" customHeight="1">
      <c r="D385" s="346"/>
    </row>
    <row r="386" spans="4:4" ht="15.75" customHeight="1">
      <c r="D386" s="346"/>
    </row>
    <row r="387" spans="4:4" ht="15.75" customHeight="1">
      <c r="D387" s="346"/>
    </row>
    <row r="388" spans="4:4" ht="15.75" customHeight="1">
      <c r="D388" s="346"/>
    </row>
    <row r="389" spans="4:4" ht="15.75" customHeight="1">
      <c r="D389" s="346"/>
    </row>
    <row r="390" spans="4:4" ht="15.75" customHeight="1">
      <c r="D390" s="346"/>
    </row>
    <row r="391" spans="4:4" ht="15.75" customHeight="1">
      <c r="D391" s="346"/>
    </row>
    <row r="392" spans="4:4" ht="15.75" customHeight="1">
      <c r="D392" s="346"/>
    </row>
    <row r="393" spans="4:4" ht="15.75" customHeight="1">
      <c r="D393" s="346"/>
    </row>
    <row r="394" spans="4:4" ht="15.75" customHeight="1">
      <c r="D394" s="346"/>
    </row>
    <row r="395" spans="4:4" ht="15.75" customHeight="1">
      <c r="D395" s="346"/>
    </row>
    <row r="396" spans="4:4" ht="15.75" customHeight="1">
      <c r="D396" s="346"/>
    </row>
    <row r="397" spans="4:4" ht="15.75" customHeight="1">
      <c r="D397" s="346"/>
    </row>
    <row r="398" spans="4:4" ht="15.75" customHeight="1">
      <c r="D398" s="346"/>
    </row>
    <row r="399" spans="4:4" ht="15.75" customHeight="1">
      <c r="D399" s="346"/>
    </row>
    <row r="400" spans="4:4" ht="15.75" customHeight="1">
      <c r="D400" s="346"/>
    </row>
    <row r="401" spans="4:4" ht="15.75" customHeight="1">
      <c r="D401" s="346"/>
    </row>
    <row r="402" spans="4:4" ht="15.75" customHeight="1">
      <c r="D402" s="346"/>
    </row>
    <row r="403" spans="4:4" ht="15.75" customHeight="1">
      <c r="D403" s="346"/>
    </row>
    <row r="404" spans="4:4" ht="15.75" customHeight="1">
      <c r="D404" s="346"/>
    </row>
    <row r="405" spans="4:4" ht="15.75" customHeight="1">
      <c r="D405" s="346"/>
    </row>
    <row r="406" spans="4:4" ht="15.75" customHeight="1">
      <c r="D406" s="346"/>
    </row>
    <row r="407" spans="4:4" ht="15.75" customHeight="1">
      <c r="D407" s="346"/>
    </row>
    <row r="408" spans="4:4" ht="15.75" customHeight="1">
      <c r="D408" s="346"/>
    </row>
    <row r="409" spans="4:4" ht="15.75" customHeight="1">
      <c r="D409" s="346"/>
    </row>
    <row r="410" spans="4:4" ht="15.75" customHeight="1">
      <c r="D410" s="346"/>
    </row>
    <row r="411" spans="4:4" ht="15.75" customHeight="1">
      <c r="D411" s="346"/>
    </row>
    <row r="412" spans="4:4" ht="15.75" customHeight="1">
      <c r="D412" s="346"/>
    </row>
    <row r="413" spans="4:4" ht="15.75" customHeight="1">
      <c r="D413" s="346"/>
    </row>
    <row r="414" spans="4:4" ht="15.75" customHeight="1">
      <c r="D414" s="346"/>
    </row>
    <row r="415" spans="4:4" ht="15.75" customHeight="1">
      <c r="D415" s="346"/>
    </row>
    <row r="416" spans="4:4" ht="15.75" customHeight="1">
      <c r="D416" s="346"/>
    </row>
    <row r="417" spans="4:4" ht="15.75" customHeight="1">
      <c r="D417" s="346"/>
    </row>
    <row r="418" spans="4:4" ht="15.75" customHeight="1">
      <c r="D418" s="346"/>
    </row>
    <row r="419" spans="4:4" ht="15.75" customHeight="1">
      <c r="D419" s="346"/>
    </row>
    <row r="420" spans="4:4" ht="15.75" customHeight="1">
      <c r="D420" s="346"/>
    </row>
    <row r="421" spans="4:4" ht="15.75" customHeight="1">
      <c r="D421" s="346"/>
    </row>
    <row r="422" spans="4:4" ht="15.75" customHeight="1">
      <c r="D422" s="346"/>
    </row>
    <row r="423" spans="4:4" ht="15.75" customHeight="1">
      <c r="D423" s="346"/>
    </row>
    <row r="424" spans="4:4" ht="15.75" customHeight="1">
      <c r="D424" s="346"/>
    </row>
    <row r="425" spans="4:4" ht="15.75" customHeight="1">
      <c r="D425" s="346"/>
    </row>
    <row r="426" spans="4:4" ht="15.75" customHeight="1">
      <c r="D426" s="346"/>
    </row>
    <row r="427" spans="4:4" ht="15.75" customHeight="1">
      <c r="D427" s="346"/>
    </row>
    <row r="428" spans="4:4" ht="15.75" customHeight="1">
      <c r="D428" s="346"/>
    </row>
    <row r="429" spans="4:4" ht="15.75" customHeight="1">
      <c r="D429" s="346"/>
    </row>
    <row r="430" spans="4:4" ht="15.75" customHeight="1">
      <c r="D430" s="346"/>
    </row>
    <row r="431" spans="4:4" ht="15.75" customHeight="1">
      <c r="D431" s="346"/>
    </row>
    <row r="432" spans="4:4" ht="15.75" customHeight="1">
      <c r="D432" s="346"/>
    </row>
    <row r="433" spans="4:4" ht="15.75" customHeight="1">
      <c r="D433" s="346"/>
    </row>
    <row r="434" spans="4:4" ht="15.75" customHeight="1">
      <c r="D434" s="346"/>
    </row>
    <row r="435" spans="4:4" ht="15.75" customHeight="1">
      <c r="D435" s="346"/>
    </row>
    <row r="436" spans="4:4" ht="15.75" customHeight="1">
      <c r="D436" s="346"/>
    </row>
    <row r="437" spans="4:4" ht="15.75" customHeight="1">
      <c r="D437" s="346"/>
    </row>
    <row r="438" spans="4:4" ht="15.75" customHeight="1">
      <c r="D438" s="346"/>
    </row>
    <row r="439" spans="4:4" ht="15.75" customHeight="1">
      <c r="D439" s="346"/>
    </row>
    <row r="440" spans="4:4" ht="15.75" customHeight="1">
      <c r="D440" s="346"/>
    </row>
    <row r="441" spans="4:4" ht="15.75" customHeight="1">
      <c r="D441" s="346"/>
    </row>
    <row r="442" spans="4:4" ht="15.75" customHeight="1">
      <c r="D442" s="346"/>
    </row>
    <row r="443" spans="4:4" ht="15.75" customHeight="1">
      <c r="D443" s="346"/>
    </row>
    <row r="444" spans="4:4" ht="15.75" customHeight="1">
      <c r="D444" s="346"/>
    </row>
    <row r="445" spans="4:4" ht="15.75" customHeight="1">
      <c r="D445" s="346"/>
    </row>
    <row r="446" spans="4:4" ht="15.75" customHeight="1">
      <c r="D446" s="346"/>
    </row>
    <row r="447" spans="4:4" ht="15.75" customHeight="1">
      <c r="D447" s="346"/>
    </row>
    <row r="448" spans="4:4" ht="15.75" customHeight="1">
      <c r="D448" s="346"/>
    </row>
    <row r="449" spans="4:4" ht="15.75" customHeight="1">
      <c r="D449" s="346"/>
    </row>
    <row r="450" spans="4:4" ht="15.75" customHeight="1">
      <c r="D450" s="346"/>
    </row>
    <row r="451" spans="4:4" ht="15.75" customHeight="1">
      <c r="D451" s="346"/>
    </row>
    <row r="452" spans="4:4" ht="15.75" customHeight="1">
      <c r="D452" s="346"/>
    </row>
    <row r="453" spans="4:4" ht="15.75" customHeight="1">
      <c r="D453" s="346"/>
    </row>
    <row r="454" spans="4:4" ht="15.75" customHeight="1">
      <c r="D454" s="346"/>
    </row>
    <row r="455" spans="4:4" ht="15.75" customHeight="1">
      <c r="D455" s="346"/>
    </row>
    <row r="456" spans="4:4" ht="15.75" customHeight="1">
      <c r="D456" s="346"/>
    </row>
    <row r="457" spans="4:4" ht="15.75" customHeight="1">
      <c r="D457" s="346"/>
    </row>
    <row r="458" spans="4:4" ht="15.75" customHeight="1">
      <c r="D458" s="346"/>
    </row>
    <row r="459" spans="4:4" ht="15.75" customHeight="1">
      <c r="D459" s="346"/>
    </row>
    <row r="460" spans="4:4" ht="15.75" customHeight="1">
      <c r="D460" s="346"/>
    </row>
    <row r="461" spans="4:4" ht="15.75" customHeight="1">
      <c r="D461" s="346"/>
    </row>
    <row r="462" spans="4:4" ht="15.75" customHeight="1">
      <c r="D462" s="346"/>
    </row>
    <row r="463" spans="4:4" ht="15.75" customHeight="1">
      <c r="D463" s="346"/>
    </row>
    <row r="464" spans="4:4" ht="15.75" customHeight="1">
      <c r="D464" s="346"/>
    </row>
    <row r="465" spans="4:4" ht="15.75" customHeight="1">
      <c r="D465" s="346"/>
    </row>
    <row r="466" spans="4:4" ht="15.75" customHeight="1">
      <c r="D466" s="346"/>
    </row>
    <row r="467" spans="4:4" ht="15.75" customHeight="1">
      <c r="D467" s="346"/>
    </row>
    <row r="468" spans="4:4" ht="15.75" customHeight="1">
      <c r="D468" s="346"/>
    </row>
    <row r="469" spans="4:4" ht="15.75" customHeight="1">
      <c r="D469" s="346"/>
    </row>
    <row r="470" spans="4:4" ht="15.75" customHeight="1">
      <c r="D470" s="346"/>
    </row>
    <row r="471" spans="4:4" ht="15.75" customHeight="1">
      <c r="D471" s="346"/>
    </row>
    <row r="472" spans="4:4" ht="15.75" customHeight="1">
      <c r="D472" s="346"/>
    </row>
    <row r="473" spans="4:4" ht="15.75" customHeight="1">
      <c r="D473" s="346"/>
    </row>
    <row r="474" spans="4:4" ht="15.75" customHeight="1">
      <c r="D474" s="346"/>
    </row>
    <row r="475" spans="4:4" ht="15.75" customHeight="1">
      <c r="D475" s="346"/>
    </row>
    <row r="476" spans="4:4" ht="15.75" customHeight="1">
      <c r="D476" s="346"/>
    </row>
    <row r="477" spans="4:4" ht="15.75" customHeight="1">
      <c r="D477" s="346"/>
    </row>
    <row r="478" spans="4:4" ht="15.75" customHeight="1">
      <c r="D478" s="346"/>
    </row>
    <row r="479" spans="4:4" ht="15.75" customHeight="1">
      <c r="D479" s="346"/>
    </row>
    <row r="480" spans="4:4" ht="15.75" customHeight="1">
      <c r="D480" s="346"/>
    </row>
    <row r="481" spans="4:4" ht="15.75" customHeight="1">
      <c r="D481" s="346"/>
    </row>
    <row r="482" spans="4:4" ht="15.75" customHeight="1">
      <c r="D482" s="346"/>
    </row>
    <row r="483" spans="4:4" ht="15.75" customHeight="1">
      <c r="D483" s="346"/>
    </row>
    <row r="484" spans="4:4" ht="15.75" customHeight="1">
      <c r="D484" s="346"/>
    </row>
    <row r="485" spans="4:4" ht="15.75" customHeight="1">
      <c r="D485" s="346"/>
    </row>
    <row r="486" spans="4:4" ht="15.75" customHeight="1">
      <c r="D486" s="346"/>
    </row>
    <row r="487" spans="4:4" ht="15.75" customHeight="1">
      <c r="D487" s="346"/>
    </row>
    <row r="488" spans="4:4" ht="15.75" customHeight="1">
      <c r="D488" s="346"/>
    </row>
    <row r="489" spans="4:4" ht="15.75" customHeight="1">
      <c r="D489" s="346"/>
    </row>
    <row r="490" spans="4:4" ht="15.75" customHeight="1">
      <c r="D490" s="346"/>
    </row>
    <row r="491" spans="4:4" ht="15.75" customHeight="1">
      <c r="D491" s="346"/>
    </row>
    <row r="492" spans="4:4" ht="15.75" customHeight="1">
      <c r="D492" s="346"/>
    </row>
    <row r="493" spans="4:4" ht="15.75" customHeight="1">
      <c r="D493" s="346"/>
    </row>
    <row r="494" spans="4:4" ht="15.75" customHeight="1">
      <c r="D494" s="346"/>
    </row>
    <row r="495" spans="4:4" ht="15.75" customHeight="1">
      <c r="D495" s="346"/>
    </row>
    <row r="496" spans="4:4" ht="15.75" customHeight="1">
      <c r="D496" s="346"/>
    </row>
    <row r="497" spans="4:4" ht="15.75" customHeight="1">
      <c r="D497" s="346"/>
    </row>
    <row r="498" spans="4:4" ht="15.75" customHeight="1">
      <c r="D498" s="346"/>
    </row>
    <row r="499" spans="4:4" ht="15.75" customHeight="1">
      <c r="D499" s="346"/>
    </row>
    <row r="500" spans="4:4" ht="15.75" customHeight="1">
      <c r="D500" s="346"/>
    </row>
    <row r="501" spans="4:4" ht="15.75" customHeight="1">
      <c r="D501" s="346"/>
    </row>
    <row r="502" spans="4:4" ht="15.75" customHeight="1">
      <c r="D502" s="346"/>
    </row>
    <row r="503" spans="4:4" ht="15.75" customHeight="1">
      <c r="D503" s="346"/>
    </row>
    <row r="504" spans="4:4" ht="15.75" customHeight="1">
      <c r="D504" s="346"/>
    </row>
    <row r="505" spans="4:4" ht="15.75" customHeight="1">
      <c r="D505" s="346"/>
    </row>
    <row r="506" spans="4:4" ht="15.75" customHeight="1">
      <c r="D506" s="346"/>
    </row>
    <row r="507" spans="4:4" ht="15.75" customHeight="1">
      <c r="D507" s="346"/>
    </row>
    <row r="508" spans="4:4" ht="15.75" customHeight="1">
      <c r="D508" s="346"/>
    </row>
    <row r="509" spans="4:4" ht="15.75" customHeight="1">
      <c r="D509" s="346"/>
    </row>
    <row r="510" spans="4:4" ht="15.75" customHeight="1">
      <c r="D510" s="346"/>
    </row>
    <row r="511" spans="4:4" ht="15.75" customHeight="1">
      <c r="D511" s="346"/>
    </row>
    <row r="512" spans="4:4" ht="15.75" customHeight="1">
      <c r="D512" s="346"/>
    </row>
    <row r="513" spans="4:4" ht="15.75" customHeight="1">
      <c r="D513" s="346"/>
    </row>
    <row r="514" spans="4:4" ht="15.75" customHeight="1">
      <c r="D514" s="346"/>
    </row>
    <row r="515" spans="4:4" ht="15.75" customHeight="1">
      <c r="D515" s="346"/>
    </row>
    <row r="516" spans="4:4" ht="15.75" customHeight="1">
      <c r="D516" s="346"/>
    </row>
    <row r="517" spans="4:4" ht="15.75" customHeight="1">
      <c r="D517" s="346"/>
    </row>
    <row r="518" spans="4:4" ht="15.75" customHeight="1">
      <c r="D518" s="346"/>
    </row>
    <row r="519" spans="4:4" ht="15.75" customHeight="1">
      <c r="D519" s="346"/>
    </row>
    <row r="520" spans="4:4" ht="15.75" customHeight="1">
      <c r="D520" s="346"/>
    </row>
    <row r="521" spans="4:4" ht="15.75" customHeight="1">
      <c r="D521" s="346"/>
    </row>
    <row r="522" spans="4:4" ht="15.75" customHeight="1">
      <c r="D522" s="346"/>
    </row>
    <row r="523" spans="4:4" ht="15.75" customHeight="1">
      <c r="D523" s="346"/>
    </row>
    <row r="524" spans="4:4" ht="15.75" customHeight="1">
      <c r="D524" s="346"/>
    </row>
    <row r="525" spans="4:4" ht="15.75" customHeight="1">
      <c r="D525" s="346"/>
    </row>
    <row r="526" spans="4:4" ht="15.75" customHeight="1">
      <c r="D526" s="346"/>
    </row>
    <row r="527" spans="4:4" ht="15.75" customHeight="1">
      <c r="D527" s="346"/>
    </row>
    <row r="528" spans="4:4" ht="15.75" customHeight="1">
      <c r="D528" s="346"/>
    </row>
    <row r="529" spans="4:4" ht="15.75" customHeight="1">
      <c r="D529" s="346"/>
    </row>
    <row r="530" spans="4:4" ht="15.75" customHeight="1">
      <c r="D530" s="346"/>
    </row>
    <row r="531" spans="4:4" ht="15.75" customHeight="1">
      <c r="D531" s="346"/>
    </row>
    <row r="532" spans="4:4" ht="15.75" customHeight="1">
      <c r="D532" s="346"/>
    </row>
    <row r="533" spans="4:4" ht="15.75" customHeight="1">
      <c r="D533" s="346"/>
    </row>
    <row r="534" spans="4:4" ht="15.75" customHeight="1">
      <c r="D534" s="346"/>
    </row>
    <row r="535" spans="4:4" ht="15.75" customHeight="1">
      <c r="D535" s="346"/>
    </row>
    <row r="536" spans="4:4" ht="15.75" customHeight="1">
      <c r="D536" s="346"/>
    </row>
    <row r="537" spans="4:4" ht="15.75" customHeight="1">
      <c r="D537" s="346"/>
    </row>
    <row r="538" spans="4:4" ht="15.75" customHeight="1">
      <c r="D538" s="346"/>
    </row>
    <row r="539" spans="4:4" ht="15.75" customHeight="1">
      <c r="D539" s="346"/>
    </row>
    <row r="540" spans="4:4" ht="15.75" customHeight="1">
      <c r="D540" s="346"/>
    </row>
    <row r="541" spans="4:4" ht="15.75" customHeight="1">
      <c r="D541" s="346"/>
    </row>
    <row r="542" spans="4:4" ht="15.75" customHeight="1">
      <c r="D542" s="346"/>
    </row>
    <row r="543" spans="4:4" ht="15.75" customHeight="1">
      <c r="D543" s="346"/>
    </row>
    <row r="544" spans="4:4" ht="15.75" customHeight="1">
      <c r="D544" s="346"/>
    </row>
    <row r="545" spans="4:4" ht="15.75" customHeight="1">
      <c r="D545" s="346"/>
    </row>
    <row r="546" spans="4:4" ht="15.75" customHeight="1">
      <c r="D546" s="346"/>
    </row>
    <row r="547" spans="4:4" ht="15.75" customHeight="1">
      <c r="D547" s="346"/>
    </row>
    <row r="548" spans="4:4" ht="15.75" customHeight="1">
      <c r="D548" s="346"/>
    </row>
    <row r="549" spans="4:4" ht="15.75" customHeight="1">
      <c r="D549" s="346"/>
    </row>
    <row r="550" spans="4:4" ht="15.75" customHeight="1">
      <c r="D550" s="346"/>
    </row>
    <row r="551" spans="4:4" ht="15.75" customHeight="1">
      <c r="D551" s="346"/>
    </row>
    <row r="552" spans="4:4" ht="15.75" customHeight="1">
      <c r="D552" s="346"/>
    </row>
    <row r="553" spans="4:4" ht="15.75" customHeight="1">
      <c r="D553" s="346"/>
    </row>
    <row r="554" spans="4:4" ht="15.75" customHeight="1">
      <c r="D554" s="346"/>
    </row>
    <row r="555" spans="4:4" ht="15.75" customHeight="1">
      <c r="D555" s="346"/>
    </row>
    <row r="556" spans="4:4" ht="15.75" customHeight="1">
      <c r="D556" s="346"/>
    </row>
    <row r="557" spans="4:4" ht="15.75" customHeight="1">
      <c r="D557" s="346"/>
    </row>
    <row r="558" spans="4:4" ht="15.75" customHeight="1">
      <c r="D558" s="346"/>
    </row>
    <row r="559" spans="4:4" ht="15.75" customHeight="1">
      <c r="D559" s="346"/>
    </row>
    <row r="560" spans="4:4" ht="15.75" customHeight="1">
      <c r="D560" s="346"/>
    </row>
    <row r="561" spans="4:4" ht="15.75" customHeight="1">
      <c r="D561" s="346"/>
    </row>
    <row r="562" spans="4:4" ht="15.75" customHeight="1">
      <c r="D562" s="346"/>
    </row>
    <row r="563" spans="4:4" ht="15.75" customHeight="1">
      <c r="D563" s="346"/>
    </row>
    <row r="564" spans="4:4" ht="15.75" customHeight="1">
      <c r="D564" s="346"/>
    </row>
    <row r="565" spans="4:4" ht="15.75" customHeight="1">
      <c r="D565" s="346"/>
    </row>
    <row r="566" spans="4:4" ht="15.75" customHeight="1">
      <c r="D566" s="346"/>
    </row>
    <row r="567" spans="4:4" ht="15.75" customHeight="1">
      <c r="D567" s="346"/>
    </row>
    <row r="568" spans="4:4" ht="15.75" customHeight="1">
      <c r="D568" s="346"/>
    </row>
    <row r="569" spans="4:4" ht="15.75" customHeight="1">
      <c r="D569" s="346"/>
    </row>
    <row r="570" spans="4:4" ht="15.75" customHeight="1">
      <c r="D570" s="346"/>
    </row>
    <row r="571" spans="4:4" ht="15.75" customHeight="1">
      <c r="D571" s="346"/>
    </row>
    <row r="572" spans="4:4" ht="15.75" customHeight="1">
      <c r="D572" s="346"/>
    </row>
    <row r="573" spans="4:4" ht="15.75" customHeight="1">
      <c r="D573" s="346"/>
    </row>
    <row r="574" spans="4:4" ht="15.75" customHeight="1">
      <c r="D574" s="346"/>
    </row>
    <row r="575" spans="4:4" ht="15.75" customHeight="1">
      <c r="D575" s="346"/>
    </row>
    <row r="576" spans="4:4" ht="15.75" customHeight="1">
      <c r="D576" s="346"/>
    </row>
    <row r="577" spans="4:4" ht="15.75" customHeight="1">
      <c r="D577" s="346"/>
    </row>
    <row r="578" spans="4:4" ht="15.75" customHeight="1">
      <c r="D578" s="346"/>
    </row>
    <row r="579" spans="4:4" ht="15.75" customHeight="1">
      <c r="D579" s="346"/>
    </row>
    <row r="580" spans="4:4" ht="15.75" customHeight="1">
      <c r="D580" s="346"/>
    </row>
    <row r="581" spans="4:4" ht="15.75" customHeight="1">
      <c r="D581" s="346"/>
    </row>
    <row r="582" spans="4:4" ht="15.75" customHeight="1">
      <c r="D582" s="346"/>
    </row>
    <row r="583" spans="4:4" ht="15.75" customHeight="1">
      <c r="D583" s="346"/>
    </row>
    <row r="584" spans="4:4" ht="15.75" customHeight="1">
      <c r="D584" s="346"/>
    </row>
    <row r="585" spans="4:4" ht="15.75" customHeight="1">
      <c r="D585" s="346"/>
    </row>
    <row r="586" spans="4:4" ht="15.75" customHeight="1">
      <c r="D586" s="346"/>
    </row>
    <row r="587" spans="4:4" ht="15.75" customHeight="1">
      <c r="D587" s="346"/>
    </row>
    <row r="588" spans="4:4" ht="15.75" customHeight="1">
      <c r="D588" s="346"/>
    </row>
    <row r="589" spans="4:4" ht="15.75" customHeight="1">
      <c r="D589" s="346"/>
    </row>
    <row r="590" spans="4:4" ht="15.75" customHeight="1">
      <c r="D590" s="346"/>
    </row>
    <row r="591" spans="4:4" ht="15.75" customHeight="1">
      <c r="D591" s="346"/>
    </row>
    <row r="592" spans="4:4" ht="15.75" customHeight="1">
      <c r="D592" s="346"/>
    </row>
    <row r="593" spans="4:4" ht="15.75" customHeight="1">
      <c r="D593" s="346"/>
    </row>
    <row r="594" spans="4:4" ht="15.75" customHeight="1">
      <c r="D594" s="346"/>
    </row>
    <row r="595" spans="4:4" ht="15.75" customHeight="1">
      <c r="D595" s="346"/>
    </row>
    <row r="596" spans="4:4" ht="15.75" customHeight="1">
      <c r="D596" s="346"/>
    </row>
    <row r="597" spans="4:4" ht="15.75" customHeight="1">
      <c r="D597" s="346"/>
    </row>
    <row r="598" spans="4:4" ht="15.75" customHeight="1">
      <c r="D598" s="346"/>
    </row>
    <row r="599" spans="4:4" ht="15.75" customHeight="1">
      <c r="D599" s="346"/>
    </row>
    <row r="600" spans="4:4" ht="15.75" customHeight="1">
      <c r="D600" s="346"/>
    </row>
    <row r="601" spans="4:4" ht="15.75" customHeight="1">
      <c r="D601" s="346"/>
    </row>
    <row r="602" spans="4:4" ht="15.75" customHeight="1">
      <c r="D602" s="346"/>
    </row>
    <row r="603" spans="4:4" ht="15.75" customHeight="1">
      <c r="D603" s="346"/>
    </row>
    <row r="604" spans="4:4" ht="15.75" customHeight="1">
      <c r="D604" s="346"/>
    </row>
    <row r="605" spans="4:4" ht="15.75" customHeight="1">
      <c r="D605" s="346"/>
    </row>
    <row r="606" spans="4:4" ht="15.75" customHeight="1">
      <c r="D606" s="346"/>
    </row>
    <row r="607" spans="4:4" ht="15.75" customHeight="1">
      <c r="D607" s="346"/>
    </row>
    <row r="608" spans="4:4" ht="15.75" customHeight="1">
      <c r="D608" s="346"/>
    </row>
    <row r="609" spans="4:4" ht="15.75" customHeight="1">
      <c r="D609" s="346"/>
    </row>
    <row r="610" spans="4:4" ht="15.75" customHeight="1">
      <c r="D610" s="346"/>
    </row>
    <row r="611" spans="4:4" ht="15.75" customHeight="1">
      <c r="D611" s="346"/>
    </row>
    <row r="612" spans="4:4" ht="15.75" customHeight="1">
      <c r="D612" s="346"/>
    </row>
    <row r="613" spans="4:4" ht="15.75" customHeight="1">
      <c r="D613" s="346"/>
    </row>
    <row r="614" spans="4:4" ht="15.75" customHeight="1">
      <c r="D614" s="346"/>
    </row>
    <row r="615" spans="4:4" ht="15.75" customHeight="1">
      <c r="D615" s="346"/>
    </row>
    <row r="616" spans="4:4" ht="15.75" customHeight="1">
      <c r="D616" s="346"/>
    </row>
    <row r="617" spans="4:4" ht="15.75" customHeight="1">
      <c r="D617" s="346"/>
    </row>
    <row r="618" spans="4:4" ht="15.75" customHeight="1">
      <c r="D618" s="346"/>
    </row>
    <row r="619" spans="4:4" ht="15.75" customHeight="1">
      <c r="D619" s="346"/>
    </row>
    <row r="620" spans="4:4" ht="15.75" customHeight="1">
      <c r="D620" s="346"/>
    </row>
    <row r="621" spans="4:4" ht="15.75" customHeight="1">
      <c r="D621" s="346"/>
    </row>
    <row r="622" spans="4:4" ht="15.75" customHeight="1">
      <c r="D622" s="346"/>
    </row>
    <row r="623" spans="4:4" ht="15.75" customHeight="1">
      <c r="D623" s="346"/>
    </row>
    <row r="624" spans="4:4" ht="15.75" customHeight="1">
      <c r="D624" s="346"/>
    </row>
    <row r="625" spans="4:4" ht="15.75" customHeight="1">
      <c r="D625" s="346"/>
    </row>
    <row r="626" spans="4:4" ht="15.75" customHeight="1">
      <c r="D626" s="346"/>
    </row>
    <row r="627" spans="4:4" ht="15.75" customHeight="1">
      <c r="D627" s="346"/>
    </row>
    <row r="628" spans="4:4" ht="15.75" customHeight="1">
      <c r="D628" s="346"/>
    </row>
    <row r="629" spans="4:4" ht="15.75" customHeight="1">
      <c r="D629" s="346"/>
    </row>
    <row r="630" spans="4:4" ht="15.75" customHeight="1">
      <c r="D630" s="346"/>
    </row>
    <row r="631" spans="4:4" ht="15.75" customHeight="1">
      <c r="D631" s="346"/>
    </row>
    <row r="632" spans="4:4" ht="15.75" customHeight="1">
      <c r="D632" s="346"/>
    </row>
    <row r="633" spans="4:4" ht="15.75" customHeight="1">
      <c r="D633" s="346"/>
    </row>
    <row r="634" spans="4:4" ht="15.75" customHeight="1">
      <c r="D634" s="346"/>
    </row>
    <row r="635" spans="4:4" ht="15.75" customHeight="1">
      <c r="D635" s="346"/>
    </row>
    <row r="636" spans="4:4" ht="15.75" customHeight="1">
      <c r="D636" s="346"/>
    </row>
    <row r="637" spans="4:4" ht="15.75" customHeight="1">
      <c r="D637" s="346"/>
    </row>
    <row r="638" spans="4:4" ht="15.75" customHeight="1">
      <c r="D638" s="346"/>
    </row>
    <row r="639" spans="4:4" ht="15.75" customHeight="1">
      <c r="D639" s="346"/>
    </row>
    <row r="640" spans="4:4" ht="15.75" customHeight="1">
      <c r="D640" s="346"/>
    </row>
    <row r="641" spans="4:4" ht="15.75" customHeight="1">
      <c r="D641" s="346"/>
    </row>
    <row r="642" spans="4:4" ht="15.75" customHeight="1">
      <c r="D642" s="346"/>
    </row>
    <row r="643" spans="4:4" ht="15.75" customHeight="1">
      <c r="D643" s="346"/>
    </row>
    <row r="644" spans="4:4" ht="15.75" customHeight="1">
      <c r="D644" s="346"/>
    </row>
    <row r="645" spans="4:4" ht="15.75" customHeight="1">
      <c r="D645" s="346"/>
    </row>
    <row r="646" spans="4:4" ht="15.75" customHeight="1">
      <c r="D646" s="346"/>
    </row>
    <row r="647" spans="4:4" ht="15.75" customHeight="1">
      <c r="D647" s="346"/>
    </row>
    <row r="648" spans="4:4" ht="15.75" customHeight="1">
      <c r="D648" s="346"/>
    </row>
    <row r="649" spans="4:4" ht="15.75" customHeight="1">
      <c r="D649" s="346"/>
    </row>
    <row r="650" spans="4:4" ht="15.75" customHeight="1">
      <c r="D650" s="346"/>
    </row>
    <row r="651" spans="4:4" ht="15.75" customHeight="1">
      <c r="D651" s="346"/>
    </row>
    <row r="652" spans="4:4" ht="15.75" customHeight="1">
      <c r="D652" s="346"/>
    </row>
    <row r="653" spans="4:4" ht="15.75" customHeight="1">
      <c r="D653" s="346"/>
    </row>
    <row r="654" spans="4:4" ht="15.75" customHeight="1">
      <c r="D654" s="346"/>
    </row>
    <row r="655" spans="4:4" ht="15.75" customHeight="1">
      <c r="D655" s="346"/>
    </row>
    <row r="656" spans="4:4" ht="15.75" customHeight="1">
      <c r="D656" s="346"/>
    </row>
    <row r="657" spans="4:4" ht="15.75" customHeight="1">
      <c r="D657" s="346"/>
    </row>
    <row r="658" spans="4:4" ht="15.75" customHeight="1">
      <c r="D658" s="346"/>
    </row>
    <row r="659" spans="4:4" ht="15.75" customHeight="1">
      <c r="D659" s="346"/>
    </row>
    <row r="660" spans="4:4" ht="15.75" customHeight="1">
      <c r="D660" s="346"/>
    </row>
    <row r="661" spans="4:4" ht="15.75" customHeight="1">
      <c r="D661" s="346"/>
    </row>
    <row r="662" spans="4:4" ht="15.75" customHeight="1">
      <c r="D662" s="346"/>
    </row>
    <row r="663" spans="4:4" ht="15.75" customHeight="1">
      <c r="D663" s="346"/>
    </row>
    <row r="664" spans="4:4" ht="15.75" customHeight="1">
      <c r="D664" s="346"/>
    </row>
    <row r="665" spans="4:4" ht="15.75" customHeight="1">
      <c r="D665" s="346"/>
    </row>
    <row r="666" spans="4:4" ht="15.75" customHeight="1">
      <c r="D666" s="346"/>
    </row>
    <row r="667" spans="4:4" ht="15.75" customHeight="1">
      <c r="D667" s="346"/>
    </row>
    <row r="668" spans="4:4" ht="15.75" customHeight="1">
      <c r="D668" s="346"/>
    </row>
    <row r="669" spans="4:4" ht="15.75" customHeight="1">
      <c r="D669" s="346"/>
    </row>
    <row r="670" spans="4:4" ht="15.75" customHeight="1">
      <c r="D670" s="346"/>
    </row>
    <row r="671" spans="4:4" ht="15.75" customHeight="1">
      <c r="D671" s="346"/>
    </row>
    <row r="672" spans="4:4" ht="15.75" customHeight="1">
      <c r="D672" s="346"/>
    </row>
    <row r="673" spans="4:4" ht="15.75" customHeight="1">
      <c r="D673" s="346"/>
    </row>
    <row r="674" spans="4:4" ht="15.75" customHeight="1">
      <c r="D674" s="346"/>
    </row>
    <row r="675" spans="4:4" ht="15.75" customHeight="1">
      <c r="D675" s="346"/>
    </row>
    <row r="676" spans="4:4" ht="15.75" customHeight="1">
      <c r="D676" s="346"/>
    </row>
    <row r="677" spans="4:4" ht="15.75" customHeight="1">
      <c r="D677" s="346"/>
    </row>
    <row r="678" spans="4:4" ht="15.75" customHeight="1">
      <c r="D678" s="346"/>
    </row>
    <row r="679" spans="4:4" ht="15.75" customHeight="1">
      <c r="D679" s="346"/>
    </row>
    <row r="680" spans="4:4" ht="15.75" customHeight="1">
      <c r="D680" s="346"/>
    </row>
    <row r="681" spans="4:4" ht="15.75" customHeight="1">
      <c r="D681" s="346"/>
    </row>
    <row r="682" spans="4:4" ht="15.75" customHeight="1">
      <c r="D682" s="346"/>
    </row>
    <row r="683" spans="4:4" ht="15.75" customHeight="1">
      <c r="D683" s="346"/>
    </row>
    <row r="684" spans="4:4" ht="15.75" customHeight="1">
      <c r="D684" s="346"/>
    </row>
    <row r="685" spans="4:4" ht="15.75" customHeight="1">
      <c r="D685" s="346"/>
    </row>
    <row r="686" spans="4:4" ht="15.75" customHeight="1">
      <c r="D686" s="346"/>
    </row>
    <row r="687" spans="4:4" ht="15.75" customHeight="1">
      <c r="D687" s="346"/>
    </row>
    <row r="688" spans="4:4" ht="15.75" customHeight="1">
      <c r="D688" s="346"/>
    </row>
    <row r="689" spans="4:4" ht="15.75" customHeight="1">
      <c r="D689" s="346"/>
    </row>
    <row r="690" spans="4:4" ht="15.75" customHeight="1">
      <c r="D690" s="346"/>
    </row>
    <row r="691" spans="4:4" ht="15.75" customHeight="1">
      <c r="D691" s="346"/>
    </row>
    <row r="692" spans="4:4" ht="15.75" customHeight="1">
      <c r="D692" s="346"/>
    </row>
    <row r="693" spans="4:4" ht="15.75" customHeight="1">
      <c r="D693" s="346"/>
    </row>
    <row r="694" spans="4:4" ht="15.75" customHeight="1">
      <c r="D694" s="346"/>
    </row>
    <row r="695" spans="4:4" ht="15.75" customHeight="1">
      <c r="D695" s="346"/>
    </row>
    <row r="696" spans="4:4" ht="15.75" customHeight="1">
      <c r="D696" s="346"/>
    </row>
    <row r="697" spans="4:4" ht="15.75" customHeight="1">
      <c r="D697" s="346"/>
    </row>
    <row r="698" spans="4:4" ht="15.75" customHeight="1">
      <c r="D698" s="346"/>
    </row>
    <row r="699" spans="4:4" ht="15.75" customHeight="1">
      <c r="D699" s="346"/>
    </row>
    <row r="700" spans="4:4" ht="15.75" customHeight="1">
      <c r="D700" s="346"/>
    </row>
    <row r="701" spans="4:4" ht="15.75" customHeight="1">
      <c r="D701" s="346"/>
    </row>
    <row r="702" spans="4:4" ht="15.75" customHeight="1">
      <c r="D702" s="346"/>
    </row>
    <row r="703" spans="4:4" ht="15.75" customHeight="1">
      <c r="D703" s="346"/>
    </row>
    <row r="704" spans="4:4" ht="15.75" customHeight="1">
      <c r="D704" s="346"/>
    </row>
    <row r="705" spans="4:4" ht="15.75" customHeight="1">
      <c r="D705" s="346"/>
    </row>
    <row r="706" spans="4:4" ht="15.75" customHeight="1">
      <c r="D706" s="346"/>
    </row>
    <row r="707" spans="4:4" ht="15.75" customHeight="1">
      <c r="D707" s="346"/>
    </row>
    <row r="708" spans="4:4" ht="15.75" customHeight="1">
      <c r="D708" s="346"/>
    </row>
    <row r="709" spans="4:4" ht="15.75" customHeight="1">
      <c r="D709" s="346"/>
    </row>
    <row r="710" spans="4:4" ht="15.75" customHeight="1">
      <c r="D710" s="346"/>
    </row>
    <row r="711" spans="4:4" ht="15.75" customHeight="1">
      <c r="D711" s="346"/>
    </row>
    <row r="712" spans="4:4" ht="15.75" customHeight="1">
      <c r="D712" s="346"/>
    </row>
    <row r="713" spans="4:4" ht="15.75" customHeight="1">
      <c r="D713" s="346"/>
    </row>
    <row r="714" spans="4:4" ht="15.75" customHeight="1">
      <c r="D714" s="346"/>
    </row>
    <row r="715" spans="4:4" ht="15.75" customHeight="1">
      <c r="D715" s="346"/>
    </row>
    <row r="716" spans="4:4" ht="15.75" customHeight="1">
      <c r="D716" s="346"/>
    </row>
    <row r="717" spans="4:4" ht="15.75" customHeight="1">
      <c r="D717" s="346"/>
    </row>
    <row r="718" spans="4:4" ht="15.75" customHeight="1">
      <c r="D718" s="346"/>
    </row>
    <row r="719" spans="4:4" ht="15.75" customHeight="1">
      <c r="D719" s="346"/>
    </row>
    <row r="720" spans="4:4" ht="15.75" customHeight="1">
      <c r="D720" s="346"/>
    </row>
    <row r="721" spans="4:4" ht="15.75" customHeight="1">
      <c r="D721" s="346"/>
    </row>
    <row r="722" spans="4:4" ht="15.75" customHeight="1">
      <c r="D722" s="346"/>
    </row>
    <row r="723" spans="4:4" ht="15.75" customHeight="1">
      <c r="D723" s="346"/>
    </row>
    <row r="724" spans="4:4" ht="15.75" customHeight="1">
      <c r="D724" s="346"/>
    </row>
    <row r="725" spans="4:4" ht="15.75" customHeight="1">
      <c r="D725" s="346"/>
    </row>
    <row r="726" spans="4:4" ht="15.75" customHeight="1">
      <c r="D726" s="346"/>
    </row>
    <row r="727" spans="4:4" ht="15.75" customHeight="1">
      <c r="D727" s="346"/>
    </row>
    <row r="728" spans="4:4" ht="15.75" customHeight="1">
      <c r="D728" s="346"/>
    </row>
    <row r="729" spans="4:4" ht="15.75" customHeight="1">
      <c r="D729" s="346"/>
    </row>
    <row r="730" spans="4:4" ht="15.75" customHeight="1">
      <c r="D730" s="346"/>
    </row>
    <row r="731" spans="4:4" ht="15.75" customHeight="1">
      <c r="D731" s="346"/>
    </row>
    <row r="732" spans="4:4" ht="15.75" customHeight="1">
      <c r="D732" s="346"/>
    </row>
    <row r="733" spans="4:4" ht="15.75" customHeight="1">
      <c r="D733" s="346"/>
    </row>
    <row r="734" spans="4:4" ht="15.75" customHeight="1">
      <c r="D734" s="346"/>
    </row>
    <row r="735" spans="4:4" ht="15.75" customHeight="1">
      <c r="D735" s="346"/>
    </row>
    <row r="736" spans="4:4" ht="15.75" customHeight="1">
      <c r="D736" s="346"/>
    </row>
    <row r="737" spans="4:4" ht="15.75" customHeight="1">
      <c r="D737" s="346"/>
    </row>
    <row r="738" spans="4:4" ht="15.75" customHeight="1">
      <c r="D738" s="346"/>
    </row>
    <row r="739" spans="4:4" ht="15.75" customHeight="1">
      <c r="D739" s="346"/>
    </row>
    <row r="740" spans="4:4" ht="15.75" customHeight="1">
      <c r="D740" s="346"/>
    </row>
    <row r="741" spans="4:4" ht="15.75" customHeight="1">
      <c r="D741" s="346"/>
    </row>
    <row r="742" spans="4:4" ht="15.75" customHeight="1">
      <c r="D742" s="346"/>
    </row>
    <row r="743" spans="4:4" ht="15.75" customHeight="1">
      <c r="D743" s="346"/>
    </row>
    <row r="744" spans="4:4" ht="15.75" customHeight="1">
      <c r="D744" s="346"/>
    </row>
    <row r="745" spans="4:4" ht="15.75" customHeight="1">
      <c r="D745" s="346"/>
    </row>
    <row r="746" spans="4:4" ht="15.75" customHeight="1">
      <c r="D746" s="346"/>
    </row>
    <row r="747" spans="4:4" ht="15.75" customHeight="1">
      <c r="D747" s="346"/>
    </row>
    <row r="748" spans="4:4" ht="15.75" customHeight="1">
      <c r="D748" s="346"/>
    </row>
    <row r="749" spans="4:4" ht="15.75" customHeight="1">
      <c r="D749" s="346"/>
    </row>
    <row r="750" spans="4:4" ht="15.75" customHeight="1">
      <c r="D750" s="346"/>
    </row>
    <row r="751" spans="4:4" ht="15.75" customHeight="1">
      <c r="D751" s="346"/>
    </row>
    <row r="752" spans="4:4" ht="15.75" customHeight="1">
      <c r="D752" s="346"/>
    </row>
    <row r="753" spans="4:4" ht="15.75" customHeight="1">
      <c r="D753" s="346"/>
    </row>
    <row r="754" spans="4:4" ht="15.75" customHeight="1">
      <c r="D754" s="346"/>
    </row>
    <row r="755" spans="4:4" ht="15.75" customHeight="1">
      <c r="D755" s="346"/>
    </row>
    <row r="756" spans="4:4" ht="15.75" customHeight="1">
      <c r="D756" s="346"/>
    </row>
    <row r="757" spans="4:4" ht="15.75" customHeight="1">
      <c r="D757" s="346"/>
    </row>
    <row r="758" spans="4:4" ht="15.75" customHeight="1">
      <c r="D758" s="346"/>
    </row>
    <row r="759" spans="4:4" ht="15.75" customHeight="1">
      <c r="D759" s="346"/>
    </row>
    <row r="760" spans="4:4" ht="15.75" customHeight="1">
      <c r="D760" s="346"/>
    </row>
    <row r="761" spans="4:4" ht="15.75" customHeight="1">
      <c r="D761" s="346"/>
    </row>
    <row r="762" spans="4:4" ht="15.75" customHeight="1">
      <c r="D762" s="346"/>
    </row>
    <row r="763" spans="4:4" ht="15.75" customHeight="1">
      <c r="D763" s="346"/>
    </row>
    <row r="764" spans="4:4" ht="15.75" customHeight="1">
      <c r="D764" s="346"/>
    </row>
    <row r="765" spans="4:4" ht="15.75" customHeight="1">
      <c r="D765" s="346"/>
    </row>
    <row r="766" spans="4:4" ht="15.75" customHeight="1">
      <c r="D766" s="346"/>
    </row>
    <row r="767" spans="4:4" ht="15.75" customHeight="1">
      <c r="D767" s="346"/>
    </row>
    <row r="768" spans="4:4" ht="15.75" customHeight="1">
      <c r="D768" s="346"/>
    </row>
    <row r="769" spans="4:4" ht="15.75" customHeight="1">
      <c r="D769" s="346"/>
    </row>
    <row r="770" spans="4:4" ht="15.75" customHeight="1">
      <c r="D770" s="346"/>
    </row>
    <row r="771" spans="4:4" ht="15.75" customHeight="1">
      <c r="D771" s="346"/>
    </row>
    <row r="772" spans="4:4" ht="15.75" customHeight="1">
      <c r="D772" s="346"/>
    </row>
    <row r="773" spans="4:4" ht="15.75" customHeight="1">
      <c r="D773" s="346"/>
    </row>
    <row r="774" spans="4:4" ht="15.75" customHeight="1">
      <c r="D774" s="346"/>
    </row>
    <row r="775" spans="4:4" ht="15.75" customHeight="1">
      <c r="D775" s="346"/>
    </row>
    <row r="776" spans="4:4" ht="15.75" customHeight="1">
      <c r="D776" s="346"/>
    </row>
    <row r="777" spans="4:4" ht="15.75" customHeight="1">
      <c r="D777" s="346"/>
    </row>
    <row r="778" spans="4:4" ht="15.75" customHeight="1">
      <c r="D778" s="346"/>
    </row>
    <row r="779" spans="4:4" ht="15.75" customHeight="1">
      <c r="D779" s="346"/>
    </row>
    <row r="780" spans="4:4" ht="15.75" customHeight="1">
      <c r="D780" s="346"/>
    </row>
    <row r="781" spans="4:4" ht="15.75" customHeight="1">
      <c r="D781" s="346"/>
    </row>
    <row r="782" spans="4:4" ht="15.75" customHeight="1">
      <c r="D782" s="346"/>
    </row>
    <row r="783" spans="4:4" ht="15.75" customHeight="1">
      <c r="D783" s="346"/>
    </row>
    <row r="784" spans="4:4" ht="15.75" customHeight="1">
      <c r="D784" s="346"/>
    </row>
    <row r="785" spans="4:4" ht="15.75" customHeight="1">
      <c r="D785" s="346"/>
    </row>
    <row r="786" spans="4:4" ht="15.75" customHeight="1">
      <c r="D786" s="346"/>
    </row>
    <row r="787" spans="4:4" ht="15.75" customHeight="1">
      <c r="D787" s="346"/>
    </row>
    <row r="788" spans="4:4" ht="15.75" customHeight="1">
      <c r="D788" s="346"/>
    </row>
    <row r="789" spans="4:4" ht="15.75" customHeight="1">
      <c r="D789" s="346"/>
    </row>
    <row r="790" spans="4:4" ht="15.75" customHeight="1">
      <c r="D790" s="346"/>
    </row>
    <row r="791" spans="4:4" ht="15.75" customHeight="1">
      <c r="D791" s="346"/>
    </row>
    <row r="792" spans="4:4" ht="15.75" customHeight="1">
      <c r="D792" s="346"/>
    </row>
    <row r="793" spans="4:4" ht="15.75" customHeight="1">
      <c r="D793" s="346"/>
    </row>
    <row r="794" spans="4:4" ht="15.75" customHeight="1">
      <c r="D794" s="346"/>
    </row>
    <row r="795" spans="4:4" ht="15.75" customHeight="1">
      <c r="D795" s="346"/>
    </row>
    <row r="796" spans="4:4" ht="15.75" customHeight="1">
      <c r="D796" s="346"/>
    </row>
    <row r="797" spans="4:4" ht="15.75" customHeight="1">
      <c r="D797" s="346"/>
    </row>
    <row r="798" spans="4:4" ht="15.75" customHeight="1">
      <c r="D798" s="346"/>
    </row>
    <row r="799" spans="4:4" ht="15.75" customHeight="1">
      <c r="D799" s="346"/>
    </row>
    <row r="800" spans="4:4" ht="15.75" customHeight="1">
      <c r="D800" s="346"/>
    </row>
    <row r="801" spans="4:4" ht="15.75" customHeight="1">
      <c r="D801" s="346"/>
    </row>
    <row r="802" spans="4:4" ht="15.75" customHeight="1">
      <c r="D802" s="346"/>
    </row>
    <row r="803" spans="4:4" ht="15.75" customHeight="1">
      <c r="D803" s="346"/>
    </row>
    <row r="804" spans="4:4" ht="15.75" customHeight="1">
      <c r="D804" s="346"/>
    </row>
    <row r="805" spans="4:4" ht="15.75" customHeight="1">
      <c r="D805" s="346"/>
    </row>
    <row r="806" spans="4:4" ht="15.75" customHeight="1">
      <c r="D806" s="346"/>
    </row>
    <row r="807" spans="4:4" ht="15.75" customHeight="1">
      <c r="D807" s="346"/>
    </row>
    <row r="808" spans="4:4" ht="15.75" customHeight="1">
      <c r="D808" s="346"/>
    </row>
    <row r="809" spans="4:4" ht="15.75" customHeight="1">
      <c r="D809" s="346"/>
    </row>
    <row r="810" spans="4:4" ht="15.75" customHeight="1">
      <c r="D810" s="346"/>
    </row>
    <row r="811" spans="4:4" ht="15.75" customHeight="1">
      <c r="D811" s="346"/>
    </row>
    <row r="812" spans="4:4" ht="15.75" customHeight="1">
      <c r="D812" s="346"/>
    </row>
    <row r="813" spans="4:4" ht="15.75" customHeight="1">
      <c r="D813" s="346"/>
    </row>
    <row r="814" spans="4:4" ht="15.75" customHeight="1">
      <c r="D814" s="346"/>
    </row>
    <row r="815" spans="4:4" ht="15.75" customHeight="1">
      <c r="D815" s="346"/>
    </row>
    <row r="816" spans="4:4" ht="15.75" customHeight="1">
      <c r="D816" s="346"/>
    </row>
    <row r="817" spans="4:4" ht="15.75" customHeight="1">
      <c r="D817" s="346"/>
    </row>
    <row r="818" spans="4:4" ht="15.75" customHeight="1">
      <c r="D818" s="346"/>
    </row>
    <row r="819" spans="4:4" ht="15.75" customHeight="1">
      <c r="D819" s="346"/>
    </row>
    <row r="820" spans="4:4" ht="15.75" customHeight="1">
      <c r="D820" s="346"/>
    </row>
    <row r="821" spans="4:4" ht="15.75" customHeight="1">
      <c r="D821" s="346"/>
    </row>
    <row r="822" spans="4:4" ht="15.75" customHeight="1">
      <c r="D822" s="346"/>
    </row>
    <row r="823" spans="4:4" ht="15.75" customHeight="1">
      <c r="D823" s="346"/>
    </row>
    <row r="824" spans="4:4" ht="15.75" customHeight="1">
      <c r="D824" s="346"/>
    </row>
    <row r="825" spans="4:4" ht="15.75" customHeight="1">
      <c r="D825" s="346"/>
    </row>
    <row r="826" spans="4:4" ht="15.75" customHeight="1">
      <c r="D826" s="346"/>
    </row>
    <row r="827" spans="4:4" ht="15.75" customHeight="1">
      <c r="D827" s="346"/>
    </row>
    <row r="828" spans="4:4" ht="15.75" customHeight="1">
      <c r="D828" s="346"/>
    </row>
    <row r="829" spans="4:4" ht="15.75" customHeight="1">
      <c r="D829" s="346"/>
    </row>
    <row r="830" spans="4:4" ht="15.75" customHeight="1">
      <c r="D830" s="346"/>
    </row>
    <row r="831" spans="4:4" ht="15.75" customHeight="1">
      <c r="D831" s="346"/>
    </row>
    <row r="832" spans="4:4" ht="15.75" customHeight="1">
      <c r="D832" s="346"/>
    </row>
    <row r="833" spans="4:4" ht="15.75" customHeight="1">
      <c r="D833" s="346"/>
    </row>
    <row r="834" spans="4:4" ht="15.75" customHeight="1">
      <c r="D834" s="346"/>
    </row>
    <row r="835" spans="4:4" ht="15.75" customHeight="1">
      <c r="D835" s="346"/>
    </row>
    <row r="836" spans="4:4" ht="15.75" customHeight="1">
      <c r="D836" s="346"/>
    </row>
    <row r="837" spans="4:4" ht="15.75" customHeight="1">
      <c r="D837" s="346"/>
    </row>
    <row r="838" spans="4:4" ht="15.75" customHeight="1">
      <c r="D838" s="346"/>
    </row>
    <row r="839" spans="4:4" ht="15.75" customHeight="1">
      <c r="D839" s="346"/>
    </row>
    <row r="840" spans="4:4" ht="15.75" customHeight="1">
      <c r="D840" s="346"/>
    </row>
    <row r="841" spans="4:4" ht="15.75" customHeight="1">
      <c r="D841" s="346"/>
    </row>
    <row r="842" spans="4:4" ht="15.75" customHeight="1">
      <c r="D842" s="346"/>
    </row>
    <row r="843" spans="4:4" ht="15.75" customHeight="1">
      <c r="D843" s="346"/>
    </row>
    <row r="844" spans="4:4" ht="15.75" customHeight="1">
      <c r="D844" s="346"/>
    </row>
    <row r="845" spans="4:4" ht="15.75" customHeight="1">
      <c r="D845" s="346"/>
    </row>
    <row r="846" spans="4:4" ht="15.75" customHeight="1">
      <c r="D846" s="346"/>
    </row>
    <row r="847" spans="4:4" ht="15.75" customHeight="1">
      <c r="D847" s="346"/>
    </row>
    <row r="848" spans="4:4" ht="15.75" customHeight="1">
      <c r="D848" s="346"/>
    </row>
    <row r="849" spans="4:4" ht="15.75" customHeight="1">
      <c r="D849" s="346"/>
    </row>
    <row r="850" spans="4:4" ht="15.75" customHeight="1">
      <c r="D850" s="346"/>
    </row>
    <row r="851" spans="4:4" ht="15.75" customHeight="1">
      <c r="D851" s="346"/>
    </row>
    <row r="852" spans="4:4" ht="15.75" customHeight="1">
      <c r="D852" s="346"/>
    </row>
    <row r="853" spans="4:4" ht="15.75" customHeight="1">
      <c r="D853" s="346"/>
    </row>
    <row r="854" spans="4:4" ht="15.75" customHeight="1">
      <c r="D854" s="346"/>
    </row>
    <row r="855" spans="4:4" ht="15.75" customHeight="1">
      <c r="D855" s="346"/>
    </row>
    <row r="856" spans="4:4" ht="15.75" customHeight="1">
      <c r="D856" s="346"/>
    </row>
    <row r="857" spans="4:4" ht="15.75" customHeight="1">
      <c r="D857" s="346"/>
    </row>
    <row r="858" spans="4:4" ht="15.75" customHeight="1">
      <c r="D858" s="346"/>
    </row>
    <row r="859" spans="4:4" ht="15.75" customHeight="1">
      <c r="D859" s="346"/>
    </row>
    <row r="860" spans="4:4" ht="15.75" customHeight="1">
      <c r="D860" s="346"/>
    </row>
    <row r="861" spans="4:4" ht="15.75" customHeight="1">
      <c r="D861" s="346"/>
    </row>
    <row r="862" spans="4:4" ht="15.75" customHeight="1">
      <c r="D862" s="346"/>
    </row>
    <row r="863" spans="4:4" ht="15.75" customHeight="1">
      <c r="D863" s="346"/>
    </row>
    <row r="864" spans="4:4" ht="15.75" customHeight="1">
      <c r="D864" s="346"/>
    </row>
    <row r="865" spans="4:4" ht="15.75" customHeight="1">
      <c r="D865" s="346"/>
    </row>
    <row r="866" spans="4:4" ht="15.75" customHeight="1">
      <c r="D866" s="346"/>
    </row>
    <row r="867" spans="4:4" ht="15.75" customHeight="1">
      <c r="D867" s="346"/>
    </row>
    <row r="868" spans="4:4" ht="15.75" customHeight="1">
      <c r="D868" s="346"/>
    </row>
    <row r="869" spans="4:4" ht="15.75" customHeight="1">
      <c r="D869" s="346"/>
    </row>
    <row r="870" spans="4:4" ht="15.75" customHeight="1">
      <c r="D870" s="346"/>
    </row>
    <row r="871" spans="4:4" ht="15.75" customHeight="1">
      <c r="D871" s="346"/>
    </row>
    <row r="872" spans="4:4" ht="15.75" customHeight="1">
      <c r="D872" s="346"/>
    </row>
    <row r="873" spans="4:4" ht="15.75" customHeight="1">
      <c r="D873" s="346"/>
    </row>
    <row r="874" spans="4:4" ht="15.75" customHeight="1">
      <c r="D874" s="346"/>
    </row>
    <row r="875" spans="4:4" ht="15.75" customHeight="1">
      <c r="D875" s="346"/>
    </row>
    <row r="876" spans="4:4" ht="15.75" customHeight="1">
      <c r="D876" s="346"/>
    </row>
    <row r="877" spans="4:4" ht="15.75" customHeight="1">
      <c r="D877" s="346"/>
    </row>
    <row r="878" spans="4:4" ht="15.75" customHeight="1">
      <c r="D878" s="346"/>
    </row>
    <row r="879" spans="4:4" ht="15.75" customHeight="1">
      <c r="D879" s="346"/>
    </row>
    <row r="880" spans="4:4" ht="15.75" customHeight="1">
      <c r="D880" s="346"/>
    </row>
    <row r="881" spans="4:4" ht="15.75" customHeight="1">
      <c r="D881" s="346"/>
    </row>
    <row r="882" spans="4:4" ht="15.75" customHeight="1">
      <c r="D882" s="346"/>
    </row>
    <row r="883" spans="4:4" ht="15.75" customHeight="1">
      <c r="D883" s="346"/>
    </row>
    <row r="884" spans="4:4" ht="15.75" customHeight="1">
      <c r="D884" s="346"/>
    </row>
    <row r="885" spans="4:4" ht="15.75" customHeight="1">
      <c r="D885" s="346"/>
    </row>
    <row r="886" spans="4:4" ht="15.75" customHeight="1">
      <c r="D886" s="346"/>
    </row>
    <row r="887" spans="4:4" ht="15.75" customHeight="1">
      <c r="D887" s="346"/>
    </row>
    <row r="888" spans="4:4" ht="15.75" customHeight="1">
      <c r="D888" s="346"/>
    </row>
    <row r="889" spans="4:4" ht="15.75" customHeight="1">
      <c r="D889" s="346"/>
    </row>
    <row r="890" spans="4:4" ht="15.75" customHeight="1">
      <c r="D890" s="346"/>
    </row>
    <row r="891" spans="4:4" ht="15.75" customHeight="1">
      <c r="D891" s="346"/>
    </row>
    <row r="892" spans="4:4" ht="15.75" customHeight="1">
      <c r="D892" s="346"/>
    </row>
    <row r="893" spans="4:4" ht="15.75" customHeight="1">
      <c r="D893" s="346"/>
    </row>
    <row r="894" spans="4:4" ht="15.75" customHeight="1">
      <c r="D894" s="346"/>
    </row>
    <row r="895" spans="4:4" ht="15.75" customHeight="1">
      <c r="D895" s="346"/>
    </row>
    <row r="896" spans="4:4" ht="15.75" customHeight="1">
      <c r="D896" s="346"/>
    </row>
    <row r="897" spans="4:4" ht="15.75" customHeight="1">
      <c r="D897" s="346"/>
    </row>
    <row r="898" spans="4:4" ht="15.75" customHeight="1">
      <c r="D898" s="346"/>
    </row>
    <row r="899" spans="4:4" ht="15.75" customHeight="1">
      <c r="D899" s="346"/>
    </row>
    <row r="900" spans="4:4" ht="15.75" customHeight="1">
      <c r="D900" s="346"/>
    </row>
    <row r="901" spans="4:4" ht="15.75" customHeight="1">
      <c r="D901" s="346"/>
    </row>
    <row r="902" spans="4:4" ht="15.75" customHeight="1">
      <c r="D902" s="346"/>
    </row>
    <row r="903" spans="4:4" ht="15.75" customHeight="1">
      <c r="D903" s="346"/>
    </row>
    <row r="904" spans="4:4" ht="15.75" customHeight="1">
      <c r="D904" s="346"/>
    </row>
    <row r="905" spans="4:4" ht="15.75" customHeight="1">
      <c r="D905" s="346"/>
    </row>
    <row r="906" spans="4:4" ht="15.75" customHeight="1">
      <c r="D906" s="346"/>
    </row>
    <row r="907" spans="4:4" ht="15.75" customHeight="1">
      <c r="D907" s="346"/>
    </row>
    <row r="908" spans="4:4" ht="15.75" customHeight="1">
      <c r="D908" s="346"/>
    </row>
    <row r="909" spans="4:4" ht="15.75" customHeight="1">
      <c r="D909" s="346"/>
    </row>
    <row r="910" spans="4:4" ht="15.75" customHeight="1">
      <c r="D910" s="346"/>
    </row>
    <row r="911" spans="4:4" ht="15.75" customHeight="1">
      <c r="D911" s="346"/>
    </row>
    <row r="912" spans="4:4" ht="15.75" customHeight="1">
      <c r="D912" s="346"/>
    </row>
    <row r="913" spans="4:4" ht="15.75" customHeight="1">
      <c r="D913" s="346"/>
    </row>
    <row r="914" spans="4:4" ht="15.75" customHeight="1">
      <c r="D914" s="346"/>
    </row>
    <row r="915" spans="4:4" ht="15.75" customHeight="1">
      <c r="D915" s="346"/>
    </row>
    <row r="916" spans="4:4" ht="15.75" customHeight="1">
      <c r="D916" s="346"/>
    </row>
    <row r="917" spans="4:4" ht="15.75" customHeight="1">
      <c r="D917" s="346"/>
    </row>
    <row r="918" spans="4:4" ht="15.75" customHeight="1">
      <c r="D918" s="346"/>
    </row>
    <row r="919" spans="4:4" ht="15.75" customHeight="1">
      <c r="D919" s="346"/>
    </row>
    <row r="920" spans="4:4" ht="15.75" customHeight="1">
      <c r="D920" s="346"/>
    </row>
    <row r="921" spans="4:4" ht="15.75" customHeight="1">
      <c r="D921" s="346"/>
    </row>
    <row r="922" spans="4:4" ht="15.75" customHeight="1">
      <c r="D922" s="346"/>
    </row>
    <row r="923" spans="4:4" ht="15.75" customHeight="1">
      <c r="D923" s="346"/>
    </row>
    <row r="924" spans="4:4" ht="15.75" customHeight="1">
      <c r="D924" s="346"/>
    </row>
    <row r="925" spans="4:4" ht="15.75" customHeight="1">
      <c r="D925" s="346"/>
    </row>
    <row r="926" spans="4:4" ht="15.75" customHeight="1">
      <c r="D926" s="346"/>
    </row>
    <row r="927" spans="4:4" ht="15.75" customHeight="1">
      <c r="D927" s="346"/>
    </row>
    <row r="928" spans="4:4" ht="15.75" customHeight="1">
      <c r="D928" s="346"/>
    </row>
    <row r="929" spans="4:4" ht="15.75" customHeight="1">
      <c r="D929" s="346"/>
    </row>
    <row r="930" spans="4:4" ht="15.75" customHeight="1">
      <c r="D930" s="346"/>
    </row>
    <row r="931" spans="4:4" ht="15.75" customHeight="1">
      <c r="D931" s="346"/>
    </row>
    <row r="932" spans="4:4" ht="15.75" customHeight="1">
      <c r="D932" s="346"/>
    </row>
    <row r="933" spans="4:4" ht="15.75" customHeight="1">
      <c r="D933" s="346"/>
    </row>
    <row r="934" spans="4:4" ht="15.75" customHeight="1">
      <c r="D934" s="346"/>
    </row>
    <row r="935" spans="4:4" ht="15.75" customHeight="1">
      <c r="D935" s="346"/>
    </row>
    <row r="936" spans="4:4" ht="15.75" customHeight="1">
      <c r="D936" s="346"/>
    </row>
    <row r="937" spans="4:4" ht="15.75" customHeight="1">
      <c r="D937" s="346"/>
    </row>
    <row r="938" spans="4:4" ht="15.75" customHeight="1">
      <c r="D938" s="346"/>
    </row>
    <row r="939" spans="4:4" ht="15.75" customHeight="1">
      <c r="D939" s="346"/>
    </row>
    <row r="940" spans="4:4" ht="15.75" customHeight="1">
      <c r="D940" s="346"/>
    </row>
    <row r="941" spans="4:4" ht="15.75" customHeight="1">
      <c r="D941" s="346"/>
    </row>
    <row r="942" spans="4:4" ht="15.75" customHeight="1">
      <c r="D942" s="346"/>
    </row>
    <row r="943" spans="4:4" ht="15.75" customHeight="1">
      <c r="D943" s="346"/>
    </row>
    <row r="944" spans="4:4" ht="15.75" customHeight="1">
      <c r="D944" s="346"/>
    </row>
    <row r="945" spans="4:4" ht="15.75" customHeight="1">
      <c r="D945" s="346"/>
    </row>
    <row r="946" spans="4:4" ht="15.75" customHeight="1">
      <c r="D946" s="346"/>
    </row>
    <row r="947" spans="4:4" ht="15.75" customHeight="1">
      <c r="D947" s="346"/>
    </row>
    <row r="948" spans="4:4" ht="15.75" customHeight="1">
      <c r="D948" s="346"/>
    </row>
    <row r="949" spans="4:4" ht="15.75" customHeight="1">
      <c r="D949" s="346"/>
    </row>
    <row r="950" spans="4:4" ht="15.75" customHeight="1">
      <c r="D950" s="346"/>
    </row>
    <row r="951" spans="4:4" ht="15.75" customHeight="1">
      <c r="D951" s="346"/>
    </row>
    <row r="952" spans="4:4" ht="15.75" customHeight="1">
      <c r="D952" s="346"/>
    </row>
    <row r="953" spans="4:4" ht="15.75" customHeight="1">
      <c r="D953" s="346"/>
    </row>
    <row r="954" spans="4:4" ht="15.75" customHeight="1">
      <c r="D954" s="346"/>
    </row>
    <row r="955" spans="4:4" ht="15.75" customHeight="1">
      <c r="D955" s="346"/>
    </row>
    <row r="956" spans="4:4" ht="15.75" customHeight="1">
      <c r="D956" s="346"/>
    </row>
    <row r="957" spans="4:4" ht="15.75" customHeight="1">
      <c r="D957" s="346"/>
    </row>
    <row r="958" spans="4:4" ht="15.75" customHeight="1">
      <c r="D958" s="346"/>
    </row>
    <row r="959" spans="4:4" ht="15.75" customHeight="1">
      <c r="D959" s="346"/>
    </row>
    <row r="960" spans="4:4" ht="15.75" customHeight="1">
      <c r="D960" s="346"/>
    </row>
    <row r="961" spans="4:4" ht="15.75" customHeight="1">
      <c r="D961" s="346"/>
    </row>
    <row r="962" spans="4:4" ht="15.75" customHeight="1">
      <c r="D962" s="346"/>
    </row>
    <row r="963" spans="4:4" ht="15.75" customHeight="1">
      <c r="D963" s="346"/>
    </row>
    <row r="964" spans="4:4" ht="15.75" customHeight="1">
      <c r="D964" s="346"/>
    </row>
    <row r="965" spans="4:4" ht="15.75" customHeight="1">
      <c r="D965" s="346"/>
    </row>
    <row r="966" spans="4:4" ht="15.75" customHeight="1">
      <c r="D966" s="346"/>
    </row>
    <row r="967" spans="4:4" ht="15.75" customHeight="1">
      <c r="D967" s="346"/>
    </row>
    <row r="968" spans="4:4" ht="15.75" customHeight="1">
      <c r="D968" s="346"/>
    </row>
    <row r="969" spans="4:4" ht="15.75" customHeight="1">
      <c r="D969" s="346"/>
    </row>
    <row r="970" spans="4:4" ht="15.75" customHeight="1">
      <c r="D970" s="346"/>
    </row>
    <row r="971" spans="4:4" ht="15.75" customHeight="1">
      <c r="D971" s="346"/>
    </row>
    <row r="972" spans="4:4" ht="15.75" customHeight="1">
      <c r="D972" s="346"/>
    </row>
    <row r="973" spans="4:4" ht="15.75" customHeight="1">
      <c r="D973" s="346"/>
    </row>
    <row r="974" spans="4:4" ht="15.75" customHeight="1">
      <c r="D974" s="346"/>
    </row>
    <row r="975" spans="4:4" ht="15.75" customHeight="1">
      <c r="D975" s="346"/>
    </row>
    <row r="976" spans="4:4" ht="15.75" customHeight="1">
      <c r="D976" s="346"/>
    </row>
    <row r="977" spans="4:4" ht="15.75" customHeight="1">
      <c r="D977" s="346"/>
    </row>
    <row r="978" spans="4:4" ht="15.75" customHeight="1">
      <c r="D978" s="346"/>
    </row>
    <row r="979" spans="4:4" ht="15.75" customHeight="1">
      <c r="D979" s="346"/>
    </row>
    <row r="980" spans="4:4" ht="15.75" customHeight="1">
      <c r="D980" s="346"/>
    </row>
    <row r="981" spans="4:4" ht="15.75" customHeight="1">
      <c r="D981" s="346"/>
    </row>
    <row r="982" spans="4:4" ht="15.75" customHeight="1">
      <c r="D982" s="346"/>
    </row>
    <row r="983" spans="4:4" ht="15.75" customHeight="1">
      <c r="D983" s="346"/>
    </row>
    <row r="984" spans="4:4" ht="15.75" customHeight="1">
      <c r="D984" s="346"/>
    </row>
    <row r="985" spans="4:4" ht="15.75" customHeight="1">
      <c r="D985" s="346"/>
    </row>
    <row r="986" spans="4:4" ht="15.75" customHeight="1">
      <c r="D986" s="346"/>
    </row>
    <row r="987" spans="4:4" ht="15.75" customHeight="1">
      <c r="D987" s="346"/>
    </row>
    <row r="988" spans="4:4" ht="15.75" customHeight="1">
      <c r="D988" s="346"/>
    </row>
    <row r="989" spans="4:4" ht="15.75" customHeight="1">
      <c r="D989" s="346"/>
    </row>
    <row r="990" spans="4:4" ht="15.75" customHeight="1">
      <c r="D990" s="346"/>
    </row>
    <row r="991" spans="4:4" ht="15.75" customHeight="1">
      <c r="D991" s="346"/>
    </row>
    <row r="992" spans="4:4" ht="15.75" customHeight="1">
      <c r="D992" s="346"/>
    </row>
    <row r="993" spans="4:4" ht="15.75" customHeight="1">
      <c r="D993" s="346"/>
    </row>
    <row r="994" spans="4:4" ht="15.75" customHeight="1">
      <c r="D994" s="346"/>
    </row>
    <row r="995" spans="4:4" ht="15.75" customHeight="1">
      <c r="D995" s="346"/>
    </row>
    <row r="996" spans="4:4" ht="15.75" customHeight="1">
      <c r="D996" s="346"/>
    </row>
    <row r="997" spans="4:4" ht="15.75" customHeight="1">
      <c r="D997" s="346"/>
    </row>
    <row r="998" spans="4:4" ht="15.75" customHeight="1">
      <c r="D998" s="346"/>
    </row>
    <row r="999" spans="4:4" ht="15.75" customHeight="1">
      <c r="D999" s="346"/>
    </row>
    <row r="1000" spans="4:4" ht="15.75" customHeight="1">
      <c r="D1000" s="346"/>
    </row>
  </sheetData>
  <phoneticPr fontId="91" type="noConversion"/>
  <dataValidations count="1">
    <dataValidation type="list" allowBlank="1" showErrorMessage="1" sqref="D3:D1000" xr:uid="{00000000-0002-0000-0B00-000000000000}">
      <formula1>"Before Claim,Before Use"</formula1>
    </dataValidation>
  </dataValidations>
  <pageMargins left="0.7" right="0.7" top="0.75" bottom="0.75" header="0" footer="0"/>
  <pageSetup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E100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6" width="9.5703125" customWidth="1"/>
    <col min="7" max="26" width="11" customWidth="1"/>
  </cols>
  <sheetData>
    <row r="1" spans="1:5" ht="15.75" customHeight="1">
      <c r="A1" s="347" t="s">
        <v>1364</v>
      </c>
      <c r="B1" s="343" t="s">
        <v>1372</v>
      </c>
      <c r="C1" s="343" t="s">
        <v>1373</v>
      </c>
      <c r="D1" s="343"/>
      <c r="E1" s="343"/>
    </row>
    <row r="2" spans="1:5" ht="15.75" customHeight="1">
      <c r="A2" s="344" t="s">
        <v>932</v>
      </c>
      <c r="B2" s="348" t="s">
        <v>106</v>
      </c>
      <c r="C2" s="348" t="s">
        <v>106</v>
      </c>
      <c r="D2" s="348"/>
      <c r="E2" s="348"/>
    </row>
    <row r="3" spans="1:5" ht="15.75" customHeight="1">
      <c r="A3" s="132" t="str">
        <f ca="1">IFERROR(__xludf.DUMMYFUNCTION("FILTER('MS section版配(Old)'!AN:AN, 
   ('MS section版配(Old)'!BF:BF=""請入稿multi tabs_入稿表"") + 
   ('MS section版配(Old)'!BG:BG=""請入稿multi tabs_入稿表"") + 
   ('MS section版配(Old)'!BH:BH=""請入稿multi tabs_入稿表"") + 
   ('MS section版配(Old)'!BI:BI=""請入稿multi tabs_入稿表"")"&amp;" + 
   ('MS section版配(Old)'!BJ:BJ=""請入稿multi tabs_入稿表""))
"),"#N/A")</f>
        <v>#N/A</v>
      </c>
      <c r="D3" s="132"/>
      <c r="E3" s="132"/>
    </row>
    <row r="4" spans="1:5" ht="15.75" customHeight="1">
      <c r="D4" s="132"/>
      <c r="E4" s="132"/>
    </row>
    <row r="5" spans="1:5" ht="15.75" customHeight="1">
      <c r="D5" s="132"/>
      <c r="E5" s="132"/>
    </row>
    <row r="6" spans="1:5" ht="15.75" customHeight="1">
      <c r="D6" s="132"/>
      <c r="E6" s="132"/>
    </row>
    <row r="7" spans="1:5" ht="15.75" customHeight="1">
      <c r="D7" s="132"/>
      <c r="E7" s="132"/>
    </row>
    <row r="8" spans="1:5" ht="15.75" customHeight="1">
      <c r="D8" s="132"/>
      <c r="E8" s="132"/>
    </row>
    <row r="9" spans="1:5" ht="15.75" customHeight="1">
      <c r="D9" s="132"/>
      <c r="E9" s="132"/>
    </row>
    <row r="10" spans="1:5" ht="15.75" customHeight="1">
      <c r="D10" s="132"/>
      <c r="E10" s="132"/>
    </row>
    <row r="11" spans="1:5" ht="15.75" customHeight="1">
      <c r="D11" s="132"/>
      <c r="E11" s="132"/>
    </row>
    <row r="12" spans="1:5" ht="15.75" customHeight="1">
      <c r="D12" s="132"/>
      <c r="E12" s="132"/>
    </row>
    <row r="13" spans="1:5" ht="15.75" customHeight="1">
      <c r="D13" s="132"/>
      <c r="E13" s="132"/>
    </row>
    <row r="14" spans="1:5" ht="15.75" customHeight="1">
      <c r="D14" s="132"/>
      <c r="E14" s="132"/>
    </row>
    <row r="15" spans="1:5" ht="15.75" customHeight="1">
      <c r="D15" s="132"/>
      <c r="E15" s="132"/>
    </row>
    <row r="16" spans="1:5" ht="15.75" customHeight="1">
      <c r="D16" s="132"/>
      <c r="E16" s="132"/>
    </row>
    <row r="17" spans="4:5" ht="15.75" customHeight="1">
      <c r="D17" s="132"/>
      <c r="E17" s="132"/>
    </row>
    <row r="18" spans="4:5" ht="15.75" customHeight="1">
      <c r="D18" s="132"/>
      <c r="E18" s="132"/>
    </row>
    <row r="19" spans="4:5" ht="15.75" customHeight="1">
      <c r="D19" s="132"/>
      <c r="E19" s="132"/>
    </row>
    <row r="20" spans="4:5" ht="15.75" customHeight="1">
      <c r="D20" s="132"/>
      <c r="E20" s="132"/>
    </row>
    <row r="21" spans="4:5" ht="15.75" customHeight="1">
      <c r="D21" s="132"/>
      <c r="E21" s="132"/>
    </row>
    <row r="22" spans="4:5" ht="15.75" customHeight="1">
      <c r="D22" s="132"/>
      <c r="E22" s="132"/>
    </row>
    <row r="23" spans="4:5" ht="15.75" customHeight="1">
      <c r="D23" s="132"/>
      <c r="E23" s="132"/>
    </row>
    <row r="24" spans="4:5" ht="15.75" customHeight="1">
      <c r="D24" s="132"/>
      <c r="E24" s="132"/>
    </row>
    <row r="25" spans="4:5" ht="15.75" customHeight="1">
      <c r="D25" s="132"/>
      <c r="E25" s="132"/>
    </row>
    <row r="26" spans="4:5" ht="15.75" customHeight="1">
      <c r="D26" s="132"/>
      <c r="E26" s="132"/>
    </row>
    <row r="27" spans="4:5" ht="15.75" customHeight="1">
      <c r="D27" s="132"/>
      <c r="E27" s="132"/>
    </row>
    <row r="28" spans="4:5" ht="15.75" customHeight="1">
      <c r="D28" s="132"/>
      <c r="E28" s="132"/>
    </row>
    <row r="29" spans="4:5" ht="15.75" customHeight="1">
      <c r="D29" s="132"/>
      <c r="E29" s="132"/>
    </row>
    <row r="30" spans="4:5" ht="15.75" customHeight="1">
      <c r="D30" s="132"/>
      <c r="E30" s="132"/>
    </row>
    <row r="31" spans="4:5" ht="15.75" customHeight="1">
      <c r="D31" s="132"/>
      <c r="E31" s="132"/>
    </row>
    <row r="32" spans="4:5" ht="15.75" customHeight="1">
      <c r="D32" s="132"/>
      <c r="E32" s="132"/>
    </row>
    <row r="33" spans="4:5" ht="15.75" customHeight="1">
      <c r="D33" s="132"/>
      <c r="E33" s="132"/>
    </row>
    <row r="34" spans="4:5" ht="15.75" customHeight="1">
      <c r="D34" s="132"/>
      <c r="E34" s="132"/>
    </row>
    <row r="35" spans="4:5" ht="15.75" customHeight="1">
      <c r="D35" s="132"/>
      <c r="E35" s="132"/>
    </row>
    <row r="36" spans="4:5" ht="15.75" customHeight="1">
      <c r="D36" s="132"/>
      <c r="E36" s="132"/>
    </row>
    <row r="37" spans="4:5" ht="15.75" customHeight="1">
      <c r="D37" s="132"/>
      <c r="E37" s="132"/>
    </row>
    <row r="38" spans="4:5" ht="15.75" customHeight="1">
      <c r="D38" s="132"/>
      <c r="E38" s="132"/>
    </row>
    <row r="39" spans="4:5" ht="15.75" customHeight="1">
      <c r="D39" s="132"/>
      <c r="E39" s="132"/>
    </row>
    <row r="40" spans="4:5" ht="15.75" customHeight="1">
      <c r="D40" s="132"/>
      <c r="E40" s="132"/>
    </row>
    <row r="41" spans="4:5" ht="15.75" customHeight="1">
      <c r="D41" s="132"/>
      <c r="E41" s="132"/>
    </row>
    <row r="42" spans="4:5" ht="15.75" customHeight="1">
      <c r="D42" s="132"/>
      <c r="E42" s="132"/>
    </row>
    <row r="43" spans="4:5" ht="15.75" customHeight="1">
      <c r="D43" s="132"/>
      <c r="E43" s="132"/>
    </row>
    <row r="44" spans="4:5" ht="15.75" customHeight="1">
      <c r="D44" s="132"/>
      <c r="E44" s="132"/>
    </row>
    <row r="45" spans="4:5" ht="15.75" customHeight="1">
      <c r="D45" s="132"/>
      <c r="E45" s="132"/>
    </row>
    <row r="46" spans="4:5" ht="15.75" customHeight="1">
      <c r="D46" s="132"/>
      <c r="E46" s="132"/>
    </row>
    <row r="47" spans="4:5" ht="15.75" customHeight="1">
      <c r="D47" s="132"/>
      <c r="E47" s="132"/>
    </row>
    <row r="48" spans="4:5" ht="15.75" customHeight="1">
      <c r="D48" s="132"/>
      <c r="E48" s="132"/>
    </row>
    <row r="49" spans="4:5" ht="15.75" customHeight="1">
      <c r="D49" s="132"/>
      <c r="E49" s="132"/>
    </row>
    <row r="50" spans="4:5" ht="15.75" customHeight="1">
      <c r="D50" s="132"/>
      <c r="E50" s="132"/>
    </row>
    <row r="51" spans="4:5" ht="15.75" customHeight="1">
      <c r="D51" s="132"/>
      <c r="E51" s="132"/>
    </row>
    <row r="52" spans="4:5" ht="15.75" customHeight="1">
      <c r="D52" s="132"/>
      <c r="E52" s="132"/>
    </row>
    <row r="53" spans="4:5" ht="15.75" customHeight="1">
      <c r="D53" s="132"/>
      <c r="E53" s="132"/>
    </row>
    <row r="54" spans="4:5" ht="15.75" customHeight="1">
      <c r="D54" s="132"/>
      <c r="E54" s="132"/>
    </row>
    <row r="55" spans="4:5" ht="15.75" customHeight="1">
      <c r="D55" s="132"/>
      <c r="E55" s="132"/>
    </row>
    <row r="56" spans="4:5" ht="15.75" customHeight="1">
      <c r="D56" s="132"/>
      <c r="E56" s="132"/>
    </row>
    <row r="57" spans="4:5" ht="15.75" customHeight="1">
      <c r="D57" s="132"/>
      <c r="E57" s="132"/>
    </row>
    <row r="58" spans="4:5" ht="15.75" customHeight="1">
      <c r="D58" s="132"/>
      <c r="E58" s="132"/>
    </row>
    <row r="59" spans="4:5" ht="15.75" customHeight="1">
      <c r="D59" s="132"/>
      <c r="E59" s="132"/>
    </row>
    <row r="60" spans="4:5" ht="15.75" customHeight="1">
      <c r="D60" s="132"/>
      <c r="E60" s="132"/>
    </row>
    <row r="61" spans="4:5" ht="15.75" customHeight="1">
      <c r="D61" s="132"/>
      <c r="E61" s="132"/>
    </row>
    <row r="62" spans="4:5" ht="15.75" customHeight="1">
      <c r="D62" s="132"/>
      <c r="E62" s="132"/>
    </row>
    <row r="63" spans="4:5" ht="15.75" customHeight="1">
      <c r="D63" s="132"/>
      <c r="E63" s="132"/>
    </row>
    <row r="64" spans="4:5" ht="15.75" customHeight="1">
      <c r="D64" s="132"/>
      <c r="E64" s="132"/>
    </row>
    <row r="65" spans="4:5" ht="15.75" customHeight="1">
      <c r="D65" s="132"/>
      <c r="E65" s="132"/>
    </row>
    <row r="66" spans="4:5" ht="15.75" customHeight="1">
      <c r="D66" s="132"/>
      <c r="E66" s="132"/>
    </row>
    <row r="67" spans="4:5" ht="15.75" customHeight="1">
      <c r="D67" s="132"/>
      <c r="E67" s="132"/>
    </row>
    <row r="68" spans="4:5" ht="15.75" customHeight="1">
      <c r="D68" s="132"/>
      <c r="E68" s="132"/>
    </row>
    <row r="69" spans="4:5" ht="15.75" customHeight="1">
      <c r="D69" s="132"/>
      <c r="E69" s="132"/>
    </row>
    <row r="70" spans="4:5" ht="15.75" customHeight="1">
      <c r="D70" s="132"/>
      <c r="E70" s="132"/>
    </row>
    <row r="71" spans="4:5" ht="15.75" customHeight="1">
      <c r="D71" s="132"/>
      <c r="E71" s="132"/>
    </row>
    <row r="72" spans="4:5" ht="15.75" customHeight="1">
      <c r="D72" s="132"/>
      <c r="E72" s="132"/>
    </row>
    <row r="73" spans="4:5" ht="15.75" customHeight="1">
      <c r="D73" s="132"/>
      <c r="E73" s="132"/>
    </row>
    <row r="74" spans="4:5" ht="15.75" customHeight="1">
      <c r="D74" s="132"/>
      <c r="E74" s="132"/>
    </row>
    <row r="75" spans="4:5" ht="15.75" customHeight="1">
      <c r="D75" s="132"/>
      <c r="E75" s="132"/>
    </row>
    <row r="76" spans="4:5" ht="15.75" customHeight="1">
      <c r="D76" s="132"/>
      <c r="E76" s="132"/>
    </row>
    <row r="77" spans="4:5" ht="15.75" customHeight="1">
      <c r="D77" s="132"/>
      <c r="E77" s="132"/>
    </row>
    <row r="78" spans="4:5" ht="15.75" customHeight="1">
      <c r="D78" s="132"/>
      <c r="E78" s="132"/>
    </row>
    <row r="79" spans="4:5" ht="15.75" customHeight="1">
      <c r="D79" s="132"/>
      <c r="E79" s="132"/>
    </row>
    <row r="80" spans="4:5" ht="15.75" customHeight="1">
      <c r="D80" s="132"/>
      <c r="E80" s="132"/>
    </row>
    <row r="81" spans="4:5" ht="15.75" customHeight="1">
      <c r="D81" s="132"/>
      <c r="E81" s="132"/>
    </row>
    <row r="82" spans="4:5" ht="15.75" customHeight="1">
      <c r="D82" s="132"/>
      <c r="E82" s="132"/>
    </row>
    <row r="83" spans="4:5" ht="15.75" customHeight="1">
      <c r="D83" s="132"/>
      <c r="E83" s="132"/>
    </row>
    <row r="84" spans="4:5" ht="15.75" customHeight="1">
      <c r="D84" s="132"/>
      <c r="E84" s="132"/>
    </row>
    <row r="85" spans="4:5" ht="15.75" customHeight="1">
      <c r="D85" s="132"/>
      <c r="E85" s="132"/>
    </row>
    <row r="86" spans="4:5" ht="15.75" customHeight="1">
      <c r="D86" s="132"/>
      <c r="E86" s="132"/>
    </row>
    <row r="87" spans="4:5" ht="15.75" customHeight="1">
      <c r="D87" s="132"/>
      <c r="E87" s="132"/>
    </row>
    <row r="88" spans="4:5" ht="15.75" customHeight="1">
      <c r="D88" s="132"/>
      <c r="E88" s="132"/>
    </row>
    <row r="89" spans="4:5" ht="15.75" customHeight="1">
      <c r="D89" s="132"/>
      <c r="E89" s="132"/>
    </row>
    <row r="90" spans="4:5" ht="15.75" customHeight="1">
      <c r="D90" s="132"/>
      <c r="E90" s="132"/>
    </row>
    <row r="91" spans="4:5" ht="15.75" customHeight="1">
      <c r="D91" s="132"/>
      <c r="E91" s="132"/>
    </row>
    <row r="92" spans="4:5" ht="15.75" customHeight="1">
      <c r="D92" s="132"/>
      <c r="E92" s="132"/>
    </row>
    <row r="93" spans="4:5" ht="15.75" customHeight="1">
      <c r="D93" s="132"/>
      <c r="E93" s="132"/>
    </row>
    <row r="94" spans="4:5" ht="15.75" customHeight="1">
      <c r="D94" s="132"/>
      <c r="E94" s="132"/>
    </row>
    <row r="95" spans="4:5" ht="15.75" customHeight="1">
      <c r="D95" s="132"/>
      <c r="E95" s="132"/>
    </row>
    <row r="96" spans="4:5" ht="15.75" customHeight="1">
      <c r="D96" s="132"/>
      <c r="E96" s="132"/>
    </row>
    <row r="97" spans="4:5" ht="15.75" customHeight="1">
      <c r="D97" s="132"/>
      <c r="E97" s="132"/>
    </row>
    <row r="98" spans="4:5" ht="15.75" customHeight="1">
      <c r="D98" s="132"/>
      <c r="E98" s="132"/>
    </row>
    <row r="99" spans="4:5" ht="15.75" customHeight="1">
      <c r="D99" s="132"/>
      <c r="E99" s="132"/>
    </row>
    <row r="100" spans="4:5" ht="15.75" customHeight="1">
      <c r="D100" s="132"/>
      <c r="E100" s="132"/>
    </row>
    <row r="101" spans="4:5" ht="15.75" customHeight="1">
      <c r="D101" s="132"/>
      <c r="E101" s="132"/>
    </row>
    <row r="102" spans="4:5" ht="15.75" customHeight="1">
      <c r="D102" s="132"/>
      <c r="E102" s="132"/>
    </row>
    <row r="103" spans="4:5" ht="15.75" customHeight="1">
      <c r="D103" s="132"/>
      <c r="E103" s="132"/>
    </row>
    <row r="104" spans="4:5" ht="15.75" customHeight="1">
      <c r="D104" s="132"/>
      <c r="E104" s="132"/>
    </row>
    <row r="105" spans="4:5" ht="15.75" customHeight="1">
      <c r="D105" s="132"/>
      <c r="E105" s="132"/>
    </row>
    <row r="106" spans="4:5" ht="15.75" customHeight="1">
      <c r="D106" s="132"/>
      <c r="E106" s="132"/>
    </row>
    <row r="107" spans="4:5" ht="15.75" customHeight="1">
      <c r="D107" s="132"/>
      <c r="E107" s="132"/>
    </row>
    <row r="108" spans="4:5" ht="15.75" customHeight="1">
      <c r="D108" s="132"/>
      <c r="E108" s="132"/>
    </row>
    <row r="109" spans="4:5" ht="15.75" customHeight="1">
      <c r="D109" s="132"/>
      <c r="E109" s="132"/>
    </row>
    <row r="110" spans="4:5" ht="15.75" customHeight="1">
      <c r="D110" s="132"/>
      <c r="E110" s="132"/>
    </row>
    <row r="111" spans="4:5" ht="15.75" customHeight="1">
      <c r="D111" s="132"/>
      <c r="E111" s="132"/>
    </row>
    <row r="112" spans="4:5" ht="15.75" customHeight="1">
      <c r="D112" s="132"/>
      <c r="E112" s="132"/>
    </row>
    <row r="113" spans="4:5" ht="15.75" customHeight="1">
      <c r="D113" s="132"/>
      <c r="E113" s="132"/>
    </row>
    <row r="114" spans="4:5" ht="15.75" customHeight="1">
      <c r="D114" s="132"/>
      <c r="E114" s="132"/>
    </row>
    <row r="115" spans="4:5" ht="15.75" customHeight="1">
      <c r="D115" s="132"/>
      <c r="E115" s="132"/>
    </row>
    <row r="116" spans="4:5" ht="15.75" customHeight="1">
      <c r="D116" s="132"/>
      <c r="E116" s="132"/>
    </row>
    <row r="117" spans="4:5" ht="15.75" customHeight="1">
      <c r="D117" s="132"/>
      <c r="E117" s="132"/>
    </row>
    <row r="118" spans="4:5" ht="15.75" customHeight="1">
      <c r="D118" s="132"/>
      <c r="E118" s="132"/>
    </row>
    <row r="119" spans="4:5" ht="15.75" customHeight="1">
      <c r="D119" s="132"/>
      <c r="E119" s="132"/>
    </row>
    <row r="120" spans="4:5" ht="15.75" customHeight="1">
      <c r="D120" s="132"/>
      <c r="E120" s="132"/>
    </row>
    <row r="121" spans="4:5" ht="15.75" customHeight="1">
      <c r="D121" s="132"/>
      <c r="E121" s="132"/>
    </row>
    <row r="122" spans="4:5" ht="15.75" customHeight="1">
      <c r="D122" s="132"/>
      <c r="E122" s="132"/>
    </row>
    <row r="123" spans="4:5" ht="15.75" customHeight="1">
      <c r="D123" s="132"/>
      <c r="E123" s="132"/>
    </row>
    <row r="124" spans="4:5" ht="15.75" customHeight="1">
      <c r="D124" s="132"/>
      <c r="E124" s="132"/>
    </row>
    <row r="125" spans="4:5" ht="15.75" customHeight="1">
      <c r="D125" s="132"/>
      <c r="E125" s="132"/>
    </row>
    <row r="126" spans="4:5" ht="15.75" customHeight="1">
      <c r="D126" s="132"/>
      <c r="E126" s="132"/>
    </row>
    <row r="127" spans="4:5" ht="15.75" customHeight="1">
      <c r="D127" s="132"/>
      <c r="E127" s="132"/>
    </row>
    <row r="128" spans="4:5" ht="15.75" customHeight="1">
      <c r="D128" s="132"/>
      <c r="E128" s="132"/>
    </row>
    <row r="129" spans="4:5" ht="15.75" customHeight="1">
      <c r="D129" s="132"/>
      <c r="E129" s="132"/>
    </row>
    <row r="130" spans="4:5" ht="15.75" customHeight="1">
      <c r="D130" s="132"/>
      <c r="E130" s="132"/>
    </row>
    <row r="131" spans="4:5" ht="15.75" customHeight="1">
      <c r="D131" s="132"/>
      <c r="E131" s="132"/>
    </row>
    <row r="132" spans="4:5" ht="15.75" customHeight="1">
      <c r="D132" s="132"/>
      <c r="E132" s="132"/>
    </row>
    <row r="133" spans="4:5" ht="15.75" customHeight="1">
      <c r="D133" s="132"/>
      <c r="E133" s="132"/>
    </row>
    <row r="134" spans="4:5" ht="15.75" customHeight="1">
      <c r="D134" s="132"/>
      <c r="E134" s="132"/>
    </row>
    <row r="135" spans="4:5" ht="15.75" customHeight="1">
      <c r="D135" s="132"/>
      <c r="E135" s="132"/>
    </row>
    <row r="136" spans="4:5" ht="15.75" customHeight="1">
      <c r="D136" s="132"/>
      <c r="E136" s="132"/>
    </row>
    <row r="137" spans="4:5" ht="15.75" customHeight="1">
      <c r="D137" s="132"/>
      <c r="E137" s="132"/>
    </row>
    <row r="138" spans="4:5" ht="15.75" customHeight="1">
      <c r="D138" s="132"/>
      <c r="E138" s="132"/>
    </row>
    <row r="139" spans="4:5" ht="15.75" customHeight="1">
      <c r="D139" s="132"/>
      <c r="E139" s="132"/>
    </row>
    <row r="140" spans="4:5" ht="15.75" customHeight="1">
      <c r="D140" s="132"/>
      <c r="E140" s="132"/>
    </row>
    <row r="141" spans="4:5" ht="15.75" customHeight="1">
      <c r="D141" s="132"/>
      <c r="E141" s="132"/>
    </row>
    <row r="142" spans="4:5" ht="15.75" customHeight="1">
      <c r="D142" s="132"/>
      <c r="E142" s="132"/>
    </row>
    <row r="143" spans="4:5" ht="15.75" customHeight="1">
      <c r="D143" s="132"/>
      <c r="E143" s="132"/>
    </row>
    <row r="144" spans="4:5" ht="15.75" customHeight="1">
      <c r="D144" s="132"/>
      <c r="E144" s="132"/>
    </row>
    <row r="145" spans="4:5" ht="15.75" customHeight="1">
      <c r="D145" s="132"/>
      <c r="E145" s="132"/>
    </row>
    <row r="146" spans="4:5" ht="15.75" customHeight="1">
      <c r="D146" s="132"/>
      <c r="E146" s="132"/>
    </row>
    <row r="147" spans="4:5" ht="15.75" customHeight="1">
      <c r="D147" s="132"/>
      <c r="E147" s="132"/>
    </row>
    <row r="148" spans="4:5" ht="15.75" customHeight="1">
      <c r="D148" s="132"/>
      <c r="E148" s="132"/>
    </row>
    <row r="149" spans="4:5" ht="15.75" customHeight="1">
      <c r="D149" s="132"/>
      <c r="E149" s="132"/>
    </row>
    <row r="150" spans="4:5" ht="15.75" customHeight="1">
      <c r="D150" s="132"/>
      <c r="E150" s="132"/>
    </row>
    <row r="151" spans="4:5" ht="15.75" customHeight="1">
      <c r="D151" s="132"/>
      <c r="E151" s="132"/>
    </row>
    <row r="152" spans="4:5" ht="15.75" customHeight="1">
      <c r="D152" s="132"/>
      <c r="E152" s="132"/>
    </row>
    <row r="153" spans="4:5" ht="15.75" customHeight="1">
      <c r="D153" s="132"/>
      <c r="E153" s="132"/>
    </row>
    <row r="154" spans="4:5" ht="15.75" customHeight="1">
      <c r="D154" s="132"/>
      <c r="E154" s="132"/>
    </row>
    <row r="155" spans="4:5" ht="15.75" customHeight="1">
      <c r="D155" s="132"/>
      <c r="E155" s="132"/>
    </row>
    <row r="156" spans="4:5" ht="15.75" customHeight="1">
      <c r="D156" s="132"/>
      <c r="E156" s="132"/>
    </row>
    <row r="157" spans="4:5" ht="15.75" customHeight="1">
      <c r="D157" s="132"/>
      <c r="E157" s="132"/>
    </row>
    <row r="158" spans="4:5" ht="15.75" customHeight="1">
      <c r="D158" s="132"/>
      <c r="E158" s="132"/>
    </row>
    <row r="159" spans="4:5" ht="15.75" customHeight="1">
      <c r="D159" s="132"/>
      <c r="E159" s="132"/>
    </row>
    <row r="160" spans="4:5" ht="15.75" customHeight="1">
      <c r="D160" s="132"/>
      <c r="E160" s="132"/>
    </row>
    <row r="161" spans="4:5" ht="15.75" customHeight="1">
      <c r="D161" s="132"/>
      <c r="E161" s="132"/>
    </row>
    <row r="162" spans="4:5" ht="15.75" customHeight="1">
      <c r="D162" s="132"/>
      <c r="E162" s="132"/>
    </row>
    <row r="163" spans="4:5" ht="15.75" customHeight="1">
      <c r="D163" s="132"/>
      <c r="E163" s="132"/>
    </row>
    <row r="164" spans="4:5" ht="15.75" customHeight="1">
      <c r="D164" s="132"/>
      <c r="E164" s="132"/>
    </row>
    <row r="165" spans="4:5" ht="15.75" customHeight="1">
      <c r="D165" s="132"/>
      <c r="E165" s="132"/>
    </row>
    <row r="166" spans="4:5" ht="15.75" customHeight="1">
      <c r="D166" s="132"/>
      <c r="E166" s="132"/>
    </row>
    <row r="167" spans="4:5" ht="15.75" customHeight="1">
      <c r="D167" s="132"/>
      <c r="E167" s="132"/>
    </row>
    <row r="168" spans="4:5" ht="15.75" customHeight="1">
      <c r="D168" s="132"/>
      <c r="E168" s="132"/>
    </row>
    <row r="169" spans="4:5" ht="15.75" customHeight="1">
      <c r="D169" s="132"/>
      <c r="E169" s="132"/>
    </row>
    <row r="170" spans="4:5" ht="15.75" customHeight="1">
      <c r="D170" s="132"/>
      <c r="E170" s="132"/>
    </row>
    <row r="171" spans="4:5" ht="15.75" customHeight="1">
      <c r="D171" s="132"/>
      <c r="E171" s="132"/>
    </row>
    <row r="172" spans="4:5" ht="15.75" customHeight="1">
      <c r="D172" s="132"/>
      <c r="E172" s="132"/>
    </row>
    <row r="173" spans="4:5" ht="15.75" customHeight="1">
      <c r="D173" s="132"/>
      <c r="E173" s="132"/>
    </row>
    <row r="174" spans="4:5" ht="15.75" customHeight="1">
      <c r="D174" s="132"/>
      <c r="E174" s="132"/>
    </row>
    <row r="175" spans="4:5" ht="15.75" customHeight="1">
      <c r="D175" s="132"/>
      <c r="E175" s="132"/>
    </row>
    <row r="176" spans="4:5" ht="15.75" customHeight="1">
      <c r="D176" s="132"/>
      <c r="E176" s="132"/>
    </row>
    <row r="177" spans="4:5" ht="15.75" customHeight="1">
      <c r="D177" s="132"/>
      <c r="E177" s="132"/>
    </row>
    <row r="178" spans="4:5" ht="15.75" customHeight="1">
      <c r="D178" s="132"/>
      <c r="E178" s="132"/>
    </row>
    <row r="179" spans="4:5" ht="15.75" customHeight="1">
      <c r="D179" s="132"/>
      <c r="E179" s="132"/>
    </row>
    <row r="180" spans="4:5" ht="15.75" customHeight="1">
      <c r="D180" s="132"/>
      <c r="E180" s="132"/>
    </row>
    <row r="181" spans="4:5" ht="15.75" customHeight="1">
      <c r="D181" s="132"/>
      <c r="E181" s="132"/>
    </row>
    <row r="182" spans="4:5" ht="15.75" customHeight="1">
      <c r="D182" s="132"/>
      <c r="E182" s="132"/>
    </row>
    <row r="183" spans="4:5" ht="15.75" customHeight="1">
      <c r="D183" s="132"/>
      <c r="E183" s="132"/>
    </row>
    <row r="184" spans="4:5" ht="15.75" customHeight="1">
      <c r="D184" s="132"/>
      <c r="E184" s="132"/>
    </row>
    <row r="185" spans="4:5" ht="15.75" customHeight="1">
      <c r="D185" s="132"/>
      <c r="E185" s="132"/>
    </row>
    <row r="186" spans="4:5" ht="15.75" customHeight="1">
      <c r="D186" s="132"/>
      <c r="E186" s="132"/>
    </row>
    <row r="187" spans="4:5" ht="15.75" customHeight="1">
      <c r="D187" s="132"/>
      <c r="E187" s="132"/>
    </row>
    <row r="188" spans="4:5" ht="15.75" customHeight="1">
      <c r="D188" s="132"/>
      <c r="E188" s="132"/>
    </row>
    <row r="189" spans="4:5" ht="15.75" customHeight="1">
      <c r="D189" s="132"/>
      <c r="E189" s="132"/>
    </row>
    <row r="190" spans="4:5" ht="15.75" customHeight="1">
      <c r="D190" s="132"/>
      <c r="E190" s="132"/>
    </row>
    <row r="191" spans="4:5" ht="15.75" customHeight="1">
      <c r="D191" s="132"/>
      <c r="E191" s="132"/>
    </row>
    <row r="192" spans="4:5" ht="15.75" customHeight="1">
      <c r="D192" s="132"/>
      <c r="E192" s="132"/>
    </row>
    <row r="193" spans="4:5" ht="15.75" customHeight="1">
      <c r="D193" s="132"/>
      <c r="E193" s="132"/>
    </row>
    <row r="194" spans="4:5" ht="15.75" customHeight="1">
      <c r="D194" s="132"/>
      <c r="E194" s="132"/>
    </row>
    <row r="195" spans="4:5" ht="15.75" customHeight="1">
      <c r="D195" s="132"/>
      <c r="E195" s="132"/>
    </row>
    <row r="196" spans="4:5" ht="15.75" customHeight="1">
      <c r="D196" s="132"/>
      <c r="E196" s="132"/>
    </row>
    <row r="197" spans="4:5" ht="15.75" customHeight="1">
      <c r="D197" s="132"/>
      <c r="E197" s="132"/>
    </row>
    <row r="198" spans="4:5" ht="15.75" customHeight="1">
      <c r="D198" s="132"/>
      <c r="E198" s="132"/>
    </row>
    <row r="199" spans="4:5" ht="15.75" customHeight="1">
      <c r="D199" s="132"/>
      <c r="E199" s="132"/>
    </row>
    <row r="200" spans="4:5" ht="15.75" customHeight="1">
      <c r="D200" s="132"/>
      <c r="E200" s="132"/>
    </row>
    <row r="201" spans="4:5" ht="15.75" customHeight="1">
      <c r="D201" s="132"/>
      <c r="E201" s="132"/>
    </row>
    <row r="202" spans="4:5" ht="15.75" customHeight="1">
      <c r="D202" s="132"/>
      <c r="E202" s="132"/>
    </row>
    <row r="203" spans="4:5" ht="15.75" customHeight="1">
      <c r="D203" s="132"/>
      <c r="E203" s="132"/>
    </row>
    <row r="204" spans="4:5" ht="15.75" customHeight="1">
      <c r="D204" s="132"/>
      <c r="E204" s="132"/>
    </row>
    <row r="205" spans="4:5" ht="15.75" customHeight="1">
      <c r="D205" s="132"/>
      <c r="E205" s="132"/>
    </row>
    <row r="206" spans="4:5" ht="15.75" customHeight="1">
      <c r="D206" s="132"/>
      <c r="E206" s="132"/>
    </row>
    <row r="207" spans="4:5" ht="15.75" customHeight="1">
      <c r="D207" s="132"/>
      <c r="E207" s="132"/>
    </row>
    <row r="208" spans="4:5" ht="15.75" customHeight="1">
      <c r="D208" s="132"/>
      <c r="E208" s="132"/>
    </row>
    <row r="209" spans="4:5" ht="15.75" customHeight="1">
      <c r="D209" s="132"/>
      <c r="E209" s="132"/>
    </row>
    <row r="210" spans="4:5" ht="15.75" customHeight="1">
      <c r="D210" s="132"/>
      <c r="E210" s="132"/>
    </row>
    <row r="211" spans="4:5" ht="15.75" customHeight="1">
      <c r="D211" s="132"/>
      <c r="E211" s="132"/>
    </row>
    <row r="212" spans="4:5" ht="15.75" customHeight="1">
      <c r="D212" s="132"/>
      <c r="E212" s="132"/>
    </row>
    <row r="213" spans="4:5" ht="15.75" customHeight="1">
      <c r="D213" s="132"/>
      <c r="E213" s="132"/>
    </row>
    <row r="214" spans="4:5" ht="15.75" customHeight="1">
      <c r="D214" s="132"/>
      <c r="E214" s="132"/>
    </row>
    <row r="215" spans="4:5" ht="15.75" customHeight="1">
      <c r="D215" s="132"/>
      <c r="E215" s="132"/>
    </row>
    <row r="216" spans="4:5" ht="15.75" customHeight="1">
      <c r="D216" s="132"/>
      <c r="E216" s="132"/>
    </row>
    <row r="217" spans="4:5" ht="15.75" customHeight="1">
      <c r="D217" s="132"/>
      <c r="E217" s="132"/>
    </row>
    <row r="218" spans="4:5" ht="15.75" customHeight="1">
      <c r="D218" s="132"/>
      <c r="E218" s="132"/>
    </row>
    <row r="219" spans="4:5" ht="15.75" customHeight="1">
      <c r="D219" s="132"/>
      <c r="E219" s="132"/>
    </row>
    <row r="220" spans="4:5" ht="15.75" customHeight="1">
      <c r="D220" s="132"/>
      <c r="E220" s="132"/>
    </row>
    <row r="221" spans="4:5" ht="15.75" customHeight="1"/>
    <row r="222" spans="4:5" ht="15.75" customHeight="1"/>
    <row r="223" spans="4:5" ht="15.75" customHeight="1"/>
    <row r="224" spans="4: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91" type="noConversion"/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G100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2" width="13.28515625" customWidth="1"/>
    <col min="3" max="4" width="19.140625" customWidth="1"/>
    <col min="5" max="7" width="9.5703125" customWidth="1"/>
    <col min="8" max="26" width="11" customWidth="1"/>
  </cols>
  <sheetData>
    <row r="1" spans="1:7" ht="15.75" customHeight="1">
      <c r="A1" s="342" t="s">
        <v>1364</v>
      </c>
      <c r="B1" s="343" t="s">
        <v>1374</v>
      </c>
      <c r="C1" s="343" t="s">
        <v>1375</v>
      </c>
      <c r="D1" s="343" t="s">
        <v>1376</v>
      </c>
      <c r="E1" s="343" t="s">
        <v>1368</v>
      </c>
      <c r="F1" s="343" t="s">
        <v>1369</v>
      </c>
      <c r="G1" s="343" t="s">
        <v>1370</v>
      </c>
    </row>
    <row r="2" spans="1:7" ht="15.75" customHeight="1">
      <c r="A2" s="344" t="s">
        <v>932</v>
      </c>
      <c r="B2" s="349" t="s">
        <v>1377</v>
      </c>
      <c r="C2" s="350" t="s">
        <v>1378</v>
      </c>
      <c r="D2" s="350" t="s">
        <v>1379</v>
      </c>
      <c r="E2" s="348" t="s">
        <v>106</v>
      </c>
      <c r="F2" s="348" t="s">
        <v>106</v>
      </c>
      <c r="G2" s="348" t="s">
        <v>106</v>
      </c>
    </row>
    <row r="3" spans="1:7" ht="15.75" customHeight="1">
      <c r="A3" s="132" t="str">
        <f ca="1">IFERROR(__xludf.DUMMYFUNCTION("FILTER('MS section版配(Old)'!AN:AN, 
   ('MS section版配(Old)'!BF:BF=""請入稿image&gt;5_提醒我入稿表"") + 
   ('MS section版配(Old)'!BG:BG=""請入稿image&gt;5_提醒我入稿表"") + 
   ('MS section版配(Old)'!BH:BH=""請入稿image&gt;5_提醒我入稿表"") + 
   ('MS section版配(Old)'!BI:BI=""請入稿image&gt;5_提醒我入稿表"")"&amp;" + 
   ('MS section版配(Old)'!BJ:BJ=""請入稿image&gt;5_提醒我入稿表""))
"),"#N/A")</f>
        <v>#N/A</v>
      </c>
      <c r="B3" s="349" t="s">
        <v>1380</v>
      </c>
    </row>
    <row r="4" spans="1:7" ht="15.75" customHeight="1">
      <c r="B4" s="349" t="s">
        <v>1381</v>
      </c>
    </row>
    <row r="5" spans="1:7" ht="15.75" customHeight="1">
      <c r="B5" s="349" t="s">
        <v>1382</v>
      </c>
    </row>
    <row r="6" spans="1:7" ht="15.75" customHeight="1">
      <c r="B6" s="349" t="s">
        <v>1383</v>
      </c>
    </row>
    <row r="7" spans="1:7" ht="15.75" customHeight="1">
      <c r="B7" s="349" t="s">
        <v>1384</v>
      </c>
    </row>
    <row r="8" spans="1:7" ht="15.75" customHeight="1">
      <c r="B8" s="349" t="s">
        <v>1385</v>
      </c>
    </row>
    <row r="9" spans="1:7" ht="15.75" customHeight="1"/>
    <row r="10" spans="1:7" ht="15.75" customHeight="1"/>
    <row r="11" spans="1:7" ht="15.75" customHeight="1"/>
    <row r="12" spans="1:7" ht="15.75" customHeight="1"/>
    <row r="13" spans="1:7" ht="15.75" customHeight="1"/>
    <row r="14" spans="1:7" ht="15.75" customHeight="1"/>
    <row r="15" spans="1:7" ht="15.75" customHeight="1"/>
    <row r="16" spans="1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91" type="noConversion"/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Y1000"/>
  <sheetViews>
    <sheetView workbookViewId="0"/>
  </sheetViews>
  <sheetFormatPr defaultColWidth="12.5703125" defaultRowHeight="15" customHeight="1"/>
  <cols>
    <col min="1" max="1" width="9.85546875" customWidth="1"/>
    <col min="2" max="2" width="26" customWidth="1"/>
    <col min="3" max="5" width="17" customWidth="1"/>
    <col min="6" max="25" width="9.5703125" customWidth="1"/>
    <col min="26" max="26" width="11" customWidth="1"/>
  </cols>
  <sheetData>
    <row r="1" spans="1:25" ht="15.75" customHeight="1">
      <c r="A1" s="351" t="s">
        <v>1386</v>
      </c>
      <c r="B1" s="351" t="s">
        <v>1387</v>
      </c>
      <c r="C1" s="351" t="s">
        <v>1388</v>
      </c>
      <c r="D1" s="351" t="s">
        <v>1389</v>
      </c>
      <c r="E1" s="351" t="s">
        <v>1390</v>
      </c>
      <c r="F1" s="352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</row>
    <row r="2" spans="1:25" ht="15.75" customHeight="1">
      <c r="A2" s="353" t="str">
        <f ca="1">IFERROR(__xludf.DUMMYFUNCTION("FILTER('L1_暖正版配'!AF:AF, 'L1_暖正版配'!AE:AE=TRUE)"),"VIP 專屬優惠")</f>
        <v>VIP 專屬優惠</v>
      </c>
      <c r="B2" s="354" t="str">
        <f t="array" aca="1" ref="B2:B101" ca="1">IF(A2:A101="", "", IFERROR(VLOOKUP(A2:A101, L1_暖正版配!AF:AG, 2, FALSE), ""))</f>
        <v>TWVIP</v>
      </c>
      <c r="C2" s="353" t="str">
        <f t="array" ref="C2:C101" ca="1">IF(A2:A101="", "", "(不需提供)")</f>
        <v>(不需提供)</v>
      </c>
      <c r="D2" s="353" t="str">
        <f t="array" ref="D2:D101" ca="1">IF(A2:A101="", "", "(不需提供)")</f>
        <v>(不需提供)</v>
      </c>
      <c r="E2" s="353" t="str">
        <f t="array" ref="E2:E101" ca="1">IF(A2:A101="", "", "(不需提供)")</f>
        <v>(不需提供)</v>
      </c>
      <c r="F2" s="355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spans="1:25" ht="15.75" customHeight="1">
      <c r="A3" s="353" t="str">
        <f ca="1">IFERROR(__xludf.DUMMYFUNCTION("""COMPUTED_VALUE"""),"加入VIP享優惠")</f>
        <v>加入VIP享優惠</v>
      </c>
      <c r="B3" s="354" t="str">
        <f ca="1"/>
        <v>NONVIP</v>
      </c>
      <c r="C3" s="353" t="str">
        <f ca="1"/>
        <v>(不需提供)</v>
      </c>
      <c r="D3" s="353" t="str">
        <f ca="1"/>
        <v>(不需提供)</v>
      </c>
      <c r="E3" s="353" t="str">
        <f ca="1"/>
        <v>(不需提供)</v>
      </c>
      <c r="F3" s="355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</row>
    <row r="4" spans="1:25" ht="15.75" customHeight="1">
      <c r="A4" s="353" t="str">
        <f ca="1">IFERROR(__xludf.DUMMYFUNCTION("""COMPUTED_VALUE"""),"今日限定")</f>
        <v>今日限定</v>
      </c>
      <c r="B4" s="353" t="str">
        <f ca="1"/>
        <v>today</v>
      </c>
      <c r="C4" s="353" t="str">
        <f ca="1"/>
        <v>(不需提供)</v>
      </c>
      <c r="D4" s="353" t="str">
        <f ca="1"/>
        <v>(不需提供)</v>
      </c>
      <c r="E4" s="353" t="str">
        <f ca="1"/>
        <v>(不需提供)</v>
      </c>
      <c r="F4" s="355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</row>
    <row r="5" spans="1:25" ht="15.75" customHeight="1">
      <c r="A5" s="353" t="str">
        <f ca="1">IFERROR(__xludf.DUMMYFUNCTION("""COMPUTED_VALUE"""),"直接領券")</f>
        <v>直接領券</v>
      </c>
      <c r="B5" s="353" t="str">
        <f ca="1"/>
        <v>all</v>
      </c>
      <c r="C5" s="353" t="str">
        <f ca="1"/>
        <v>(不需提供)</v>
      </c>
      <c r="D5" s="353" t="str">
        <f ca="1"/>
        <v>(不需提供)</v>
      </c>
      <c r="E5" s="353" t="str">
        <f ca="1"/>
        <v>(不需提供)</v>
      </c>
      <c r="F5" s="355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</row>
    <row r="6" spans="1:25" ht="15.75" customHeight="1">
      <c r="A6" s="353" t="str">
        <f ca="1">IFERROR(__xludf.DUMMYFUNCTION("""COMPUTED_VALUE"""),"設隱形錨點")</f>
        <v>設隱形錨點</v>
      </c>
      <c r="B6" s="353" t="str">
        <f ca="1"/>
        <v/>
      </c>
      <c r="C6" s="353" t="str">
        <f ca="1"/>
        <v>(不需提供)</v>
      </c>
      <c r="D6" s="353" t="str">
        <f ca="1"/>
        <v>(不需提供)</v>
      </c>
      <c r="E6" s="353" t="str">
        <f ca="1"/>
        <v>(不需提供)</v>
      </c>
      <c r="F6" s="355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</row>
    <row r="7" spans="1:25" ht="15.75" customHeight="1">
      <c r="A7" s="353" t="str">
        <f ca="1">IFERROR(__xludf.DUMMYFUNCTION("""COMPUTED_VALUE"""),"新用戶限定")</f>
        <v>新用戶限定</v>
      </c>
      <c r="B7" s="353" t="str">
        <f ca="1"/>
        <v>-</v>
      </c>
      <c r="C7" s="353" t="str">
        <f ca="1"/>
        <v>(不需提供)</v>
      </c>
      <c r="D7" s="353" t="str">
        <f ca="1"/>
        <v>(不需提供)</v>
      </c>
      <c r="E7" s="353" t="str">
        <f ca="1"/>
        <v>(不需提供)</v>
      </c>
      <c r="F7" s="355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</row>
    <row r="8" spans="1:25" ht="15.75" customHeight="1">
      <c r="A8" s="353" t="str">
        <f ca="1">IFERROR(__xludf.DUMMYFUNCTION("""COMPUTED_VALUE"""),"夜貓18%蝦幣")</f>
        <v>夜貓18%蝦幣</v>
      </c>
      <c r="B8" s="353" t="str">
        <f ca="1"/>
        <v>catccb</v>
      </c>
      <c r="C8" s="353" t="str">
        <f ca="1"/>
        <v>(不需提供)</v>
      </c>
      <c r="D8" s="353" t="str">
        <f ca="1"/>
        <v>(不需提供)</v>
      </c>
      <c r="E8" s="160" t="str">
        <f ca="1"/>
        <v>(不需提供)</v>
      </c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</row>
    <row r="9" spans="1:25" ht="15.75" customHeight="1">
      <c r="A9" s="353" t="str">
        <f ca="1">IFERROR(__xludf.DUMMYFUNCTION("""COMPUTED_VALUE"""),"VIP獨享18%蝦幣")</f>
        <v>VIP獨享18%蝦幣</v>
      </c>
      <c r="B9" s="353" t="str">
        <f ca="1"/>
        <v>ccb</v>
      </c>
      <c r="C9" s="353" t="str">
        <f ca="1"/>
        <v>(不需提供)</v>
      </c>
      <c r="D9" s="353" t="str">
        <f ca="1"/>
        <v>(不需提供)</v>
      </c>
      <c r="E9" s="353" t="str">
        <f ca="1"/>
        <v>(不需提供)</v>
      </c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</row>
    <row r="10" spans="1:25" ht="15.75" customHeight="1">
      <c r="A10" s="356" t="str">
        <f ca="1">IFERROR(__xludf.DUMMYFUNCTION("""COMPUTED_VALUE"""),"全站大免運$99起")</f>
        <v>全站大免運$99起</v>
      </c>
      <c r="B10" s="353" t="str">
        <f ca="1"/>
        <v>-</v>
      </c>
      <c r="C10" s="353" t="str">
        <f ca="1"/>
        <v>(不需提供)</v>
      </c>
      <c r="D10" s="353" t="str">
        <f ca="1"/>
        <v>(不需提供)</v>
      </c>
      <c r="E10" s="353" t="str">
        <f ca="1"/>
        <v>(不需提供)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</row>
    <row r="11" spans="1:25" ht="15.75" customHeight="1">
      <c r="A11" s="353" t="str">
        <f ca="1">IFERROR(__xludf.DUMMYFUNCTION("""COMPUTED_VALUE"""),"蝦皮直營")</f>
        <v>蝦皮直營</v>
      </c>
      <c r="B11" s="353" t="str">
        <f ca="1"/>
        <v>scs</v>
      </c>
      <c r="C11" s="353" t="str">
        <f ca="1"/>
        <v>(不需提供)</v>
      </c>
      <c r="D11" s="353" t="str">
        <f ca="1"/>
        <v>(不需提供)</v>
      </c>
      <c r="E11" s="353" t="str">
        <f ca="1"/>
        <v>(不需提供)</v>
      </c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</row>
    <row r="12" spans="1:25" ht="15.75" customHeight="1">
      <c r="A12" s="353" t="str">
        <f ca="1">IFERROR(__xludf.DUMMYFUNCTION("""COMPUTED_VALUE"""),"搶先寵媽5折起")</f>
        <v>搶先寵媽5折起</v>
      </c>
      <c r="B12" s="353" t="str">
        <f ca="1"/>
        <v>-</v>
      </c>
      <c r="C12" s="353" t="str">
        <f ca="1"/>
        <v>(不需提供)</v>
      </c>
      <c r="D12" s="353" t="str">
        <f ca="1"/>
        <v>(不需提供)</v>
      </c>
      <c r="E12" s="353" t="str">
        <f ca="1"/>
        <v>(不需提供)</v>
      </c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</row>
    <row r="13" spans="1:25" ht="15.75" customHeight="1">
      <c r="A13" s="353" t="str">
        <f ca="1">IFERROR(__xludf.DUMMYFUNCTION("""COMPUTED_VALUE"""),"媽祖一起來保庇 ")</f>
        <v xml:space="preserve">媽祖一起來保庇 </v>
      </c>
      <c r="B13" s="353" t="str">
        <f ca="1"/>
        <v>cluster_1</v>
      </c>
      <c r="C13" s="353" t="str">
        <f ca="1"/>
        <v>(不需提供)</v>
      </c>
      <c r="D13" s="353" t="str">
        <f ca="1"/>
        <v>(不需提供)</v>
      </c>
      <c r="E13" s="353" t="str">
        <f ca="1"/>
        <v>(不需提供)</v>
      </c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</row>
    <row r="14" spans="1:25" ht="15.75" customHeight="1">
      <c r="A14" s="353" t="str">
        <f ca="1">IFERROR(__xludf.DUMMYFUNCTION("""COMPUTED_VALUE"""),"限搶速食$59起")</f>
        <v>限搶速食$59起</v>
      </c>
      <c r="B14" s="353" t="str">
        <f ca="1"/>
        <v>dp</v>
      </c>
      <c r="C14" s="353" t="str">
        <f ca="1"/>
        <v>(不需提供)</v>
      </c>
      <c r="D14" s="353" t="str">
        <f ca="1"/>
        <v>(不需提供)</v>
      </c>
      <c r="E14" s="353" t="str">
        <f ca="1"/>
        <v>(不需提供)</v>
      </c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</row>
    <row r="15" spans="1:25" ht="15.75" customHeight="1">
      <c r="A15" s="353" t="str">
        <f ca="1">IFERROR(__xludf.DUMMYFUNCTION("""COMPUTED_VALUE"""),"蝦皮短影音")</f>
        <v>蝦皮短影音</v>
      </c>
      <c r="B15" s="353" t="str">
        <f ca="1"/>
        <v>-</v>
      </c>
      <c r="C15" s="353" t="str">
        <f ca="1"/>
        <v>(不需提供)</v>
      </c>
      <c r="D15" s="353" t="str">
        <f ca="1"/>
        <v>(不需提供)</v>
      </c>
      <c r="E15" s="353" t="str">
        <f ca="1"/>
        <v>(不需提供)</v>
      </c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</row>
    <row r="16" spans="1:25" ht="15.75" customHeight="1">
      <c r="A16" s="353" t="str">
        <f ca="1">IFERROR(__xludf.DUMMYFUNCTION("""COMPUTED_VALUE"""),"看直播享優惠")</f>
        <v>看直播享優惠</v>
      </c>
      <c r="B16" s="353" t="str">
        <f ca="1"/>
        <v>-</v>
      </c>
      <c r="C16" s="353" t="str">
        <f ca="1"/>
        <v>(不需提供)</v>
      </c>
      <c r="D16" s="353" t="str">
        <f ca="1"/>
        <v>(不需提供)</v>
      </c>
      <c r="E16" s="353" t="str">
        <f ca="1"/>
        <v>(不需提供)</v>
      </c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</row>
    <row r="17" spans="1:25" ht="15.75" customHeight="1">
      <c r="A17" s="353" t="str">
        <f ca="1">IFERROR(__xludf.DUMMYFUNCTION("""COMPUTED_VALUE"""),"超便宜夯品")</f>
        <v>超便宜夯品</v>
      </c>
      <c r="B17" s="353" t="str">
        <f ca="1"/>
        <v>-</v>
      </c>
      <c r="C17" s="353" t="str">
        <f ca="1"/>
        <v>(不需提供)</v>
      </c>
      <c r="D17" s="353" t="str">
        <f ca="1"/>
        <v>(不需提供)</v>
      </c>
      <c r="E17" s="353" t="str">
        <f ca="1"/>
        <v>(不需提供)</v>
      </c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</row>
    <row r="18" spans="1:25" ht="15.75" customHeight="1">
      <c r="A18" s="353" t="str">
        <f ca="1">IFERROR(__xludf.DUMMYFUNCTION("""COMPUTED_VALUE"""),"刷卡享88折券")</f>
        <v>刷卡享88折券</v>
      </c>
      <c r="B18" s="353" t="str">
        <f ca="1"/>
        <v>-</v>
      </c>
      <c r="C18" s="353" t="str">
        <f ca="1"/>
        <v>(不需提供)</v>
      </c>
      <c r="D18" s="353" t="str">
        <f ca="1"/>
        <v>(不需提供)</v>
      </c>
      <c r="E18" s="353" t="str">
        <f ca="1"/>
        <v>(不需提供)</v>
      </c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</row>
    <row r="19" spans="1:25" ht="15.75" customHeight="1">
      <c r="A19" s="353" t="str">
        <f ca="1">IFERROR(__xludf.DUMMYFUNCTION("""COMPUTED_VALUE"""),"玩遊戲拿蝦幣")</f>
        <v>玩遊戲拿蝦幣</v>
      </c>
      <c r="B19" s="353" t="str">
        <f ca="1"/>
        <v>-</v>
      </c>
      <c r="C19" s="353" t="str">
        <f ca="1"/>
        <v>(不需提供)</v>
      </c>
      <c r="D19" s="353" t="str">
        <f ca="1"/>
        <v>(不需提供)</v>
      </c>
      <c r="E19" s="353" t="str">
        <f ca="1"/>
        <v>(不需提供)</v>
      </c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</row>
    <row r="20" spans="1:25" ht="15.75" customHeight="1">
      <c r="A20" s="353" t="str">
        <f ca="1">IFERROR(__xludf.DUMMYFUNCTION("""COMPUTED_VALUE"""),"大牌狂歡慶")</f>
        <v>大牌狂歡慶</v>
      </c>
      <c r="B20" s="353" t="str">
        <f ca="1"/>
        <v>-</v>
      </c>
      <c r="C20" s="353" t="str">
        <f ca="1"/>
        <v>(不需提供)</v>
      </c>
      <c r="D20" s="353" t="str">
        <f ca="1"/>
        <v>(不需提供)</v>
      </c>
      <c r="E20" s="353" t="str">
        <f ca="1"/>
        <v>(不需提供)</v>
      </c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</row>
    <row r="21" spans="1:25" ht="15.75" customHeight="1">
      <c r="A21" s="353" t="str">
        <f ca="1">IFERROR(__xludf.DUMMYFUNCTION("""COMPUTED_VALUE"""),"大牌狂歡慶")</f>
        <v>大牌狂歡慶</v>
      </c>
      <c r="B21" s="353" t="str">
        <f ca="1"/>
        <v>-</v>
      </c>
      <c r="C21" s="353" t="str">
        <f ca="1"/>
        <v>(不需提供)</v>
      </c>
      <c r="D21" s="353" t="str">
        <f ca="1"/>
        <v>(不需提供)</v>
      </c>
      <c r="E21" s="353" t="str">
        <f ca="1"/>
        <v>(不需提供)</v>
      </c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</row>
    <row r="22" spans="1:25" ht="15.75" customHeight="1">
      <c r="A22" s="353" t="str">
        <f ca="1">IFERROR(__xludf.DUMMYFUNCTION("""COMPUTED_VALUE"""),"店家優惠券")</f>
        <v>店家優惠券</v>
      </c>
      <c r="B22" s="353" t="str">
        <f ca="1"/>
        <v>-</v>
      </c>
      <c r="C22" s="353" t="str">
        <f ca="1"/>
        <v>(不需提供)</v>
      </c>
      <c r="D22" s="353" t="str">
        <f ca="1"/>
        <v>(不需提供)</v>
      </c>
      <c r="E22" s="353" t="str">
        <f ca="1"/>
        <v>(不需提供)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</row>
    <row r="23" spans="1:25" ht="15.75" customHeight="1">
      <c r="A23" s="353" t="str">
        <f ca="1">IFERROR(__xludf.DUMMYFUNCTION("""COMPUTED_VALUE"""),"精選品牌")</f>
        <v>精選品牌</v>
      </c>
      <c r="B23" s="353" t="str">
        <f ca="1"/>
        <v>-</v>
      </c>
      <c r="C23" s="353" t="str">
        <f ca="1"/>
        <v>(不需提供)</v>
      </c>
      <c r="D23" s="353" t="str">
        <f ca="1"/>
        <v>(不需提供)</v>
      </c>
      <c r="E23" s="353" t="str">
        <f ca="1"/>
        <v>(不需提供)</v>
      </c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</row>
    <row r="24" spans="1:25" ht="15.75" customHeight="1">
      <c r="A24" s="353" t="str">
        <f ca="1">IFERROR(__xludf.DUMMYFUNCTION("""COMPUTED_VALUE"""),"人氣熱銷")</f>
        <v>人氣熱銷</v>
      </c>
      <c r="B24" s="353" t="str">
        <f ca="1"/>
        <v>-</v>
      </c>
      <c r="C24" s="353" t="str">
        <f ca="1"/>
        <v>(不需提供)</v>
      </c>
      <c r="D24" s="353" t="str">
        <f ca="1"/>
        <v>(不需提供)</v>
      </c>
      <c r="E24" s="353" t="str">
        <f ca="1"/>
        <v>(不需提供)</v>
      </c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</row>
    <row r="25" spans="1:25" ht="15.75" customHeight="1">
      <c r="A25" s="353" t="str">
        <f ca="1">IFERROR(__xludf.DUMMYFUNCTION("""COMPUTED_VALUE"""),"為你推薦")</f>
        <v>為你推薦</v>
      </c>
      <c r="B25" s="353" t="str">
        <f ca="1"/>
        <v>-</v>
      </c>
      <c r="C25" s="353" t="str">
        <f ca="1"/>
        <v>(不需提供)</v>
      </c>
      <c r="D25" s="353" t="str">
        <f ca="1"/>
        <v>(不需提供)</v>
      </c>
      <c r="E25" s="353" t="str">
        <f ca="1"/>
        <v>(不需提供)</v>
      </c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</row>
    <row r="26" spans="1:25" ht="15.75" customHeight="1">
      <c r="A26" s="353" t="str">
        <f ca="1">IFERROR(__xludf.DUMMYFUNCTION("""COMPUTED_VALUE"""),"設隱形錨點")</f>
        <v>設隱形錨點</v>
      </c>
      <c r="B26" s="353" t="str">
        <f ca="1"/>
        <v/>
      </c>
      <c r="C26" s="353" t="str">
        <f ca="1"/>
        <v>(不需提供)</v>
      </c>
      <c r="D26" s="353" t="str">
        <f ca="1"/>
        <v>(不需提供)</v>
      </c>
      <c r="E26" s="353" t="str">
        <f ca="1"/>
        <v>(不需提供)</v>
      </c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</row>
    <row r="27" spans="1:25" ht="15.75" customHeight="1">
      <c r="A27" s="353" t="str">
        <f ca="1">IFERROR(__xludf.DUMMYFUNCTION("""COMPUTED_VALUE"""),"為你推薦")</f>
        <v>為你推薦</v>
      </c>
      <c r="B27" s="353" t="str">
        <f ca="1"/>
        <v>-</v>
      </c>
      <c r="C27" s="353" t="str">
        <f ca="1"/>
        <v>(不需提供)</v>
      </c>
      <c r="D27" s="353" t="str">
        <f ca="1"/>
        <v>(不需提供)</v>
      </c>
      <c r="E27" s="353" t="str">
        <f ca="1"/>
        <v>(不需提供)</v>
      </c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</row>
    <row r="28" spans="1:25" ht="15.75" customHeight="1">
      <c r="A28" s="353"/>
      <c r="B28" s="353" t="str">
        <f ca="1"/>
        <v/>
      </c>
      <c r="C28" s="353" t="str">
        <v/>
      </c>
      <c r="D28" s="353" t="str">
        <v/>
      </c>
      <c r="E28" s="353" t="str">
        <v/>
      </c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</row>
    <row r="29" spans="1:25" ht="15.75" customHeight="1">
      <c r="A29" s="353"/>
      <c r="B29" s="353" t="str">
        <f ca="1"/>
        <v/>
      </c>
      <c r="C29" s="353" t="str">
        <v/>
      </c>
      <c r="D29" s="353" t="str">
        <v/>
      </c>
      <c r="E29" s="353" t="str">
        <v/>
      </c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</row>
    <row r="30" spans="1:25" ht="15.75" customHeight="1">
      <c r="A30" s="353"/>
      <c r="B30" s="353" t="str">
        <f ca="1"/>
        <v/>
      </c>
      <c r="C30" s="353" t="str">
        <v/>
      </c>
      <c r="D30" s="353" t="str">
        <v/>
      </c>
      <c r="E30" s="353" t="str">
        <v/>
      </c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</row>
    <row r="31" spans="1:25" ht="15.75" customHeight="1">
      <c r="A31" s="353"/>
      <c r="B31" s="353" t="str">
        <f ca="1"/>
        <v/>
      </c>
      <c r="C31" s="353" t="str">
        <v/>
      </c>
      <c r="D31" s="353" t="str">
        <v/>
      </c>
      <c r="E31" s="353" t="str">
        <v/>
      </c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</row>
    <row r="32" spans="1:25" ht="15.75" customHeight="1">
      <c r="A32" s="353"/>
      <c r="B32" s="353" t="str">
        <f ca="1"/>
        <v/>
      </c>
      <c r="C32" s="353" t="str">
        <v/>
      </c>
      <c r="D32" s="353" t="str">
        <v/>
      </c>
      <c r="E32" s="353" t="str">
        <v/>
      </c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</row>
    <row r="33" spans="1:25" ht="15.75" customHeight="1">
      <c r="A33" s="353"/>
      <c r="B33" s="353" t="str">
        <f ca="1"/>
        <v/>
      </c>
      <c r="C33" s="353" t="str">
        <v/>
      </c>
      <c r="D33" s="353" t="str">
        <v/>
      </c>
      <c r="E33" s="353" t="str">
        <v/>
      </c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</row>
    <row r="34" spans="1:25" ht="15.75" customHeight="1">
      <c r="A34" s="353"/>
      <c r="B34" s="353" t="str">
        <f ca="1"/>
        <v/>
      </c>
      <c r="C34" s="353" t="str">
        <v/>
      </c>
      <c r="D34" s="353" t="str">
        <v/>
      </c>
      <c r="E34" s="353" t="str">
        <v/>
      </c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</row>
    <row r="35" spans="1:25" ht="15.75" customHeight="1">
      <c r="A35" s="353"/>
      <c r="B35" s="353" t="str">
        <f ca="1"/>
        <v/>
      </c>
      <c r="C35" s="353" t="str">
        <v/>
      </c>
      <c r="D35" s="353" t="str">
        <v/>
      </c>
      <c r="E35" s="353" t="str">
        <v/>
      </c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</row>
    <row r="36" spans="1:25" ht="15.75" customHeight="1">
      <c r="A36" s="353"/>
      <c r="B36" s="353" t="str">
        <f ca="1"/>
        <v/>
      </c>
      <c r="C36" s="353" t="str">
        <v/>
      </c>
      <c r="D36" s="353" t="str">
        <v/>
      </c>
      <c r="E36" s="353" t="str">
        <v/>
      </c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</row>
    <row r="37" spans="1:25" ht="15.75" customHeight="1">
      <c r="A37" s="353"/>
      <c r="B37" s="353" t="str">
        <f ca="1"/>
        <v/>
      </c>
      <c r="C37" s="353" t="str">
        <v/>
      </c>
      <c r="D37" s="353" t="str">
        <v/>
      </c>
      <c r="E37" s="353" t="str">
        <v/>
      </c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</row>
    <row r="38" spans="1:25" ht="15.75" customHeight="1">
      <c r="A38" s="353"/>
      <c r="B38" s="353" t="str">
        <f ca="1"/>
        <v/>
      </c>
      <c r="C38" s="353" t="str">
        <v/>
      </c>
      <c r="D38" s="353" t="str">
        <v/>
      </c>
      <c r="E38" s="353" t="str">
        <v/>
      </c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</row>
    <row r="39" spans="1:25" ht="15.75" customHeight="1">
      <c r="A39" s="353"/>
      <c r="B39" s="353" t="str">
        <f ca="1"/>
        <v/>
      </c>
      <c r="C39" s="353" t="str">
        <v/>
      </c>
      <c r="D39" s="353" t="str">
        <v/>
      </c>
      <c r="E39" s="353" t="str">
        <v/>
      </c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</row>
    <row r="40" spans="1:25" ht="15.75" customHeight="1">
      <c r="A40" s="353"/>
      <c r="B40" s="353" t="str">
        <f ca="1"/>
        <v/>
      </c>
      <c r="C40" s="353" t="str">
        <v/>
      </c>
      <c r="D40" s="353" t="str">
        <v/>
      </c>
      <c r="E40" s="353" t="str">
        <v/>
      </c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</row>
    <row r="41" spans="1:25" ht="15.75" customHeight="1">
      <c r="A41" s="353"/>
      <c r="B41" s="353" t="str">
        <f ca="1"/>
        <v/>
      </c>
      <c r="C41" s="353" t="str">
        <v/>
      </c>
      <c r="D41" s="353" t="str">
        <v/>
      </c>
      <c r="E41" s="353" t="str">
        <v/>
      </c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</row>
    <row r="42" spans="1:25" ht="15.75" customHeight="1">
      <c r="A42" s="353"/>
      <c r="B42" s="353" t="str">
        <f ca="1"/>
        <v/>
      </c>
      <c r="C42" s="353" t="str">
        <v/>
      </c>
      <c r="D42" s="353" t="str">
        <v/>
      </c>
      <c r="E42" s="353" t="str">
        <v/>
      </c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</row>
    <row r="43" spans="1:25" ht="15.75" customHeight="1">
      <c r="A43" s="353"/>
      <c r="B43" s="353" t="str">
        <f ca="1"/>
        <v/>
      </c>
      <c r="C43" s="353" t="str">
        <v/>
      </c>
      <c r="D43" s="353" t="str">
        <v/>
      </c>
      <c r="E43" s="353" t="str">
        <v/>
      </c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</row>
    <row r="44" spans="1:25" ht="15.75" customHeight="1">
      <c r="A44" s="353"/>
      <c r="B44" s="353" t="str">
        <f ca="1"/>
        <v/>
      </c>
      <c r="C44" s="353" t="str">
        <v/>
      </c>
      <c r="D44" s="353" t="str">
        <v/>
      </c>
      <c r="E44" s="353" t="str">
        <v/>
      </c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</row>
    <row r="45" spans="1:25" ht="15.75" customHeight="1">
      <c r="A45" s="353"/>
      <c r="B45" s="353" t="str">
        <f ca="1"/>
        <v/>
      </c>
      <c r="C45" s="353" t="str">
        <v/>
      </c>
      <c r="D45" s="353" t="str">
        <v/>
      </c>
      <c r="E45" s="353" t="str">
        <v/>
      </c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</row>
    <row r="46" spans="1:25" ht="15.75" customHeight="1">
      <c r="A46" s="353"/>
      <c r="B46" s="353" t="str">
        <f ca="1"/>
        <v/>
      </c>
      <c r="C46" s="353" t="str">
        <v/>
      </c>
      <c r="D46" s="353" t="str">
        <v/>
      </c>
      <c r="E46" s="353" t="str">
        <v/>
      </c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</row>
    <row r="47" spans="1:25" ht="15.75" customHeight="1">
      <c r="A47" s="353"/>
      <c r="B47" s="353" t="str">
        <f ca="1"/>
        <v/>
      </c>
      <c r="C47" s="353" t="str">
        <v/>
      </c>
      <c r="D47" s="353" t="str">
        <v/>
      </c>
      <c r="E47" s="353" t="str">
        <v/>
      </c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</row>
    <row r="48" spans="1:25" ht="15.75" customHeight="1">
      <c r="A48" s="353"/>
      <c r="B48" s="353" t="str">
        <f ca="1"/>
        <v/>
      </c>
      <c r="C48" s="353" t="str">
        <v/>
      </c>
      <c r="D48" s="353" t="str">
        <v/>
      </c>
      <c r="E48" s="353" t="str">
        <v/>
      </c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</row>
    <row r="49" spans="1:25" ht="15.75" customHeight="1">
      <c r="A49" s="353"/>
      <c r="B49" s="353" t="str">
        <f ca="1"/>
        <v/>
      </c>
      <c r="C49" s="353" t="str">
        <v/>
      </c>
      <c r="D49" s="353" t="str">
        <v/>
      </c>
      <c r="E49" s="353" t="str">
        <v/>
      </c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</row>
    <row r="50" spans="1:25" ht="15.75" customHeight="1">
      <c r="A50" s="353"/>
      <c r="B50" s="353" t="str">
        <f ca="1"/>
        <v/>
      </c>
      <c r="C50" s="353" t="str">
        <v/>
      </c>
      <c r="D50" s="353" t="str">
        <v/>
      </c>
      <c r="E50" s="353" t="str">
        <v/>
      </c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</row>
    <row r="51" spans="1:25" ht="15.75" customHeight="1">
      <c r="A51" s="353"/>
      <c r="B51" s="353" t="str">
        <f ca="1"/>
        <v/>
      </c>
      <c r="C51" s="353" t="str">
        <v/>
      </c>
      <c r="D51" s="353" t="str">
        <v/>
      </c>
      <c r="E51" s="353" t="str">
        <v/>
      </c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</row>
    <row r="52" spans="1:25" ht="15.75" customHeight="1">
      <c r="A52" s="353"/>
      <c r="B52" s="353" t="str">
        <f ca="1"/>
        <v/>
      </c>
      <c r="C52" s="353" t="str">
        <v/>
      </c>
      <c r="D52" s="353" t="str">
        <v/>
      </c>
      <c r="E52" s="353" t="str">
        <v/>
      </c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</row>
    <row r="53" spans="1:25" ht="15.75" customHeight="1">
      <c r="A53" s="353"/>
      <c r="B53" s="353" t="str">
        <f ca="1"/>
        <v/>
      </c>
      <c r="C53" s="353" t="str">
        <v/>
      </c>
      <c r="D53" s="353" t="str">
        <v/>
      </c>
      <c r="E53" s="353" t="str">
        <v/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</row>
    <row r="54" spans="1:25" ht="15.75" customHeight="1">
      <c r="A54" s="353"/>
      <c r="B54" s="353" t="str">
        <f ca="1"/>
        <v/>
      </c>
      <c r="C54" s="353" t="str">
        <v/>
      </c>
      <c r="D54" s="353" t="str">
        <v/>
      </c>
      <c r="E54" s="353" t="str">
        <v/>
      </c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</row>
    <row r="55" spans="1:25" ht="15.75" customHeight="1">
      <c r="A55" s="353"/>
      <c r="B55" s="353" t="str">
        <f ca="1"/>
        <v/>
      </c>
      <c r="C55" s="353" t="str">
        <v/>
      </c>
      <c r="D55" s="353" t="str">
        <v/>
      </c>
      <c r="E55" s="353" t="str">
        <v/>
      </c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</row>
    <row r="56" spans="1:25" ht="15.75" customHeight="1">
      <c r="A56" s="353"/>
      <c r="B56" s="353" t="str">
        <f ca="1"/>
        <v/>
      </c>
      <c r="C56" s="353" t="str">
        <v/>
      </c>
      <c r="D56" s="353" t="str">
        <v/>
      </c>
      <c r="E56" s="353" t="str">
        <v/>
      </c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</row>
    <row r="57" spans="1:25" ht="15.75" customHeight="1">
      <c r="A57" s="353"/>
      <c r="B57" s="353" t="str">
        <f ca="1"/>
        <v/>
      </c>
      <c r="C57" s="353" t="str">
        <v/>
      </c>
      <c r="D57" s="353" t="str">
        <v/>
      </c>
      <c r="E57" s="353" t="str">
        <v/>
      </c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</row>
    <row r="58" spans="1:25" ht="15.75" customHeight="1">
      <c r="A58" s="353"/>
      <c r="B58" s="353" t="str">
        <f ca="1"/>
        <v/>
      </c>
      <c r="C58" s="353" t="str">
        <v/>
      </c>
      <c r="D58" s="353" t="str">
        <v/>
      </c>
      <c r="E58" s="353" t="str">
        <v/>
      </c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</row>
    <row r="59" spans="1:25" ht="15.75" customHeight="1">
      <c r="A59" s="353"/>
      <c r="B59" s="353" t="str">
        <f ca="1"/>
        <v/>
      </c>
      <c r="C59" s="353" t="str">
        <v/>
      </c>
      <c r="D59" s="353" t="str">
        <v/>
      </c>
      <c r="E59" s="353" t="str">
        <v/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</row>
    <row r="60" spans="1:25" ht="15.75" customHeight="1">
      <c r="A60" s="353"/>
      <c r="B60" s="353" t="str">
        <f ca="1"/>
        <v/>
      </c>
      <c r="C60" s="353" t="str">
        <v/>
      </c>
      <c r="D60" s="353" t="str">
        <v/>
      </c>
      <c r="E60" s="353" t="str">
        <v/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</row>
    <row r="61" spans="1:25" ht="15.75" customHeight="1">
      <c r="A61" s="353"/>
      <c r="B61" s="353" t="str">
        <f ca="1"/>
        <v/>
      </c>
      <c r="C61" s="353" t="str">
        <v/>
      </c>
      <c r="D61" s="353" t="str">
        <v/>
      </c>
      <c r="E61" s="353" t="str">
        <v/>
      </c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</row>
    <row r="62" spans="1:25" ht="15.75" customHeight="1">
      <c r="A62" s="353"/>
      <c r="B62" s="353" t="str">
        <f ca="1"/>
        <v/>
      </c>
      <c r="C62" s="353" t="str">
        <v/>
      </c>
      <c r="D62" s="353" t="str">
        <v/>
      </c>
      <c r="E62" s="353" t="str">
        <v/>
      </c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</row>
    <row r="63" spans="1:25" ht="15.75" customHeight="1">
      <c r="A63" s="353"/>
      <c r="B63" s="353" t="str">
        <f ca="1"/>
        <v/>
      </c>
      <c r="C63" s="353" t="str">
        <v/>
      </c>
      <c r="D63" s="353" t="str">
        <v/>
      </c>
      <c r="E63" s="353" t="str">
        <v/>
      </c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</row>
    <row r="64" spans="1:25" ht="15.75" customHeight="1">
      <c r="A64" s="353"/>
      <c r="B64" s="353" t="str">
        <f ca="1"/>
        <v/>
      </c>
      <c r="C64" s="353" t="str">
        <v/>
      </c>
      <c r="D64" s="353" t="str">
        <v/>
      </c>
      <c r="E64" s="353" t="str">
        <v/>
      </c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</row>
    <row r="65" spans="1:25" ht="15.75" customHeight="1">
      <c r="A65" s="353"/>
      <c r="B65" s="353" t="str">
        <f ca="1"/>
        <v/>
      </c>
      <c r="C65" s="353" t="str">
        <v/>
      </c>
      <c r="D65" s="353" t="str">
        <v/>
      </c>
      <c r="E65" s="353" t="str">
        <v/>
      </c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</row>
    <row r="66" spans="1:25" ht="15.75" customHeight="1">
      <c r="A66" s="353"/>
      <c r="B66" s="353" t="str">
        <f ca="1"/>
        <v/>
      </c>
      <c r="C66" s="353" t="str">
        <v/>
      </c>
      <c r="D66" s="353" t="str">
        <v/>
      </c>
      <c r="E66" s="353" t="str">
        <v/>
      </c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</row>
    <row r="67" spans="1:25" ht="15.75" customHeight="1">
      <c r="A67" s="353"/>
      <c r="B67" s="353" t="str">
        <f ca="1"/>
        <v/>
      </c>
      <c r="C67" s="353" t="str">
        <v/>
      </c>
      <c r="D67" s="353" t="str">
        <v/>
      </c>
      <c r="E67" s="353" t="str">
        <v/>
      </c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</row>
    <row r="68" spans="1:25" ht="15.75" customHeight="1">
      <c r="A68" s="353"/>
      <c r="B68" s="353" t="str">
        <f ca="1"/>
        <v/>
      </c>
      <c r="C68" s="353" t="str">
        <v/>
      </c>
      <c r="D68" s="353" t="str">
        <v/>
      </c>
      <c r="E68" s="353" t="str">
        <v/>
      </c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</row>
    <row r="69" spans="1:25" ht="15.75" customHeight="1">
      <c r="A69" s="353"/>
      <c r="B69" s="353" t="str">
        <f ca="1"/>
        <v/>
      </c>
      <c r="C69" s="353" t="str">
        <v/>
      </c>
      <c r="D69" s="353" t="str">
        <v/>
      </c>
      <c r="E69" s="353" t="str">
        <v/>
      </c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</row>
    <row r="70" spans="1:25" ht="15.75" customHeight="1">
      <c r="A70" s="353"/>
      <c r="B70" s="353" t="str">
        <f ca="1"/>
        <v/>
      </c>
      <c r="C70" s="353" t="str">
        <v/>
      </c>
      <c r="D70" s="353" t="str">
        <v/>
      </c>
      <c r="E70" s="353" t="str">
        <v/>
      </c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</row>
    <row r="71" spans="1:25" ht="15.75" customHeight="1">
      <c r="A71" s="353"/>
      <c r="B71" s="353" t="str">
        <f ca="1"/>
        <v/>
      </c>
      <c r="C71" s="353" t="str">
        <v/>
      </c>
      <c r="D71" s="353" t="str">
        <v/>
      </c>
      <c r="E71" s="353" t="str">
        <v/>
      </c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</row>
    <row r="72" spans="1:25" ht="15.75" customHeight="1">
      <c r="A72" s="353"/>
      <c r="B72" s="353" t="str">
        <f ca="1"/>
        <v/>
      </c>
      <c r="C72" s="353" t="str">
        <v/>
      </c>
      <c r="D72" s="353" t="str">
        <v/>
      </c>
      <c r="E72" s="353" t="str">
        <v/>
      </c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</row>
    <row r="73" spans="1:25" ht="15.75" customHeight="1">
      <c r="A73" s="353"/>
      <c r="B73" s="353" t="str">
        <f ca="1"/>
        <v/>
      </c>
      <c r="C73" s="353" t="str">
        <v/>
      </c>
      <c r="D73" s="353" t="str">
        <v/>
      </c>
      <c r="E73" s="353" t="str">
        <v/>
      </c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</row>
    <row r="74" spans="1:25" ht="15.75" customHeight="1">
      <c r="A74" s="353"/>
      <c r="B74" s="353" t="str">
        <f ca="1"/>
        <v/>
      </c>
      <c r="C74" s="353" t="str">
        <v/>
      </c>
      <c r="D74" s="353" t="str">
        <v/>
      </c>
      <c r="E74" s="353" t="str">
        <v/>
      </c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</row>
    <row r="75" spans="1:25" ht="15.75" customHeight="1">
      <c r="A75" s="353"/>
      <c r="B75" s="353" t="str">
        <f ca="1"/>
        <v/>
      </c>
      <c r="C75" s="353" t="str">
        <v/>
      </c>
      <c r="D75" s="353" t="str">
        <v/>
      </c>
      <c r="E75" s="353" t="str">
        <v/>
      </c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</row>
    <row r="76" spans="1:25" ht="15.75" customHeight="1">
      <c r="A76" s="353"/>
      <c r="B76" s="353" t="str">
        <f ca="1"/>
        <v/>
      </c>
      <c r="C76" s="353" t="str">
        <v/>
      </c>
      <c r="D76" s="353" t="str">
        <v/>
      </c>
      <c r="E76" s="353" t="str">
        <v/>
      </c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</row>
    <row r="77" spans="1:25" ht="15.75" customHeight="1">
      <c r="A77" s="353"/>
      <c r="B77" s="353" t="str">
        <f ca="1"/>
        <v/>
      </c>
      <c r="C77" s="353" t="str">
        <v/>
      </c>
      <c r="D77" s="353" t="str">
        <v/>
      </c>
      <c r="E77" s="353" t="str">
        <v/>
      </c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</row>
    <row r="78" spans="1:25" ht="15.75" customHeight="1">
      <c r="A78" s="353"/>
      <c r="B78" s="353" t="str">
        <f ca="1"/>
        <v/>
      </c>
      <c r="C78" s="353" t="str">
        <v/>
      </c>
      <c r="D78" s="353" t="str">
        <v/>
      </c>
      <c r="E78" s="353" t="str">
        <v/>
      </c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</row>
    <row r="79" spans="1:25" ht="15.75" customHeight="1">
      <c r="A79" s="353"/>
      <c r="B79" s="353" t="str">
        <f ca="1"/>
        <v/>
      </c>
      <c r="C79" s="353" t="str">
        <v/>
      </c>
      <c r="D79" s="353" t="str">
        <v/>
      </c>
      <c r="E79" s="353" t="str">
        <v/>
      </c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</row>
    <row r="80" spans="1:25" ht="15.75" customHeight="1">
      <c r="A80" s="353"/>
      <c r="B80" s="353" t="str">
        <f ca="1"/>
        <v/>
      </c>
      <c r="C80" s="353" t="str">
        <v/>
      </c>
      <c r="D80" s="353" t="str">
        <v/>
      </c>
      <c r="E80" s="353" t="str">
        <v/>
      </c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</row>
    <row r="81" spans="1:25" ht="15.75" customHeight="1">
      <c r="A81" s="353"/>
      <c r="B81" s="353" t="str">
        <f ca="1"/>
        <v/>
      </c>
      <c r="C81" s="353" t="str">
        <v/>
      </c>
      <c r="D81" s="353" t="str">
        <v/>
      </c>
      <c r="E81" s="353" t="str">
        <v/>
      </c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</row>
    <row r="82" spans="1:25" ht="15.75" customHeight="1">
      <c r="A82" s="353"/>
      <c r="B82" s="353" t="str">
        <f ca="1"/>
        <v/>
      </c>
      <c r="C82" s="353" t="str">
        <v/>
      </c>
      <c r="D82" s="353" t="str">
        <v/>
      </c>
      <c r="E82" s="353" t="str">
        <v/>
      </c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</row>
    <row r="83" spans="1:25" ht="15.75" customHeight="1">
      <c r="A83" s="353"/>
      <c r="B83" s="353" t="str">
        <f ca="1"/>
        <v/>
      </c>
      <c r="C83" s="353" t="str">
        <v/>
      </c>
      <c r="D83" s="353" t="str">
        <v/>
      </c>
      <c r="E83" s="353" t="str">
        <v/>
      </c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</row>
    <row r="84" spans="1:25" ht="15.75" customHeight="1">
      <c r="A84" s="353"/>
      <c r="B84" s="353" t="str">
        <f ca="1"/>
        <v/>
      </c>
      <c r="C84" s="353" t="str">
        <v/>
      </c>
      <c r="D84" s="353" t="str">
        <v/>
      </c>
      <c r="E84" s="353" t="str">
        <v/>
      </c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</row>
    <row r="85" spans="1:25" ht="15.75" customHeight="1">
      <c r="A85" s="353"/>
      <c r="B85" s="353" t="str">
        <f ca="1"/>
        <v/>
      </c>
      <c r="C85" s="353" t="str">
        <v/>
      </c>
      <c r="D85" s="353" t="str">
        <v/>
      </c>
      <c r="E85" s="353" t="str">
        <v/>
      </c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</row>
    <row r="86" spans="1:25" ht="15.75" customHeight="1">
      <c r="A86" s="353"/>
      <c r="B86" s="353" t="str">
        <f ca="1"/>
        <v/>
      </c>
      <c r="C86" s="353" t="str">
        <v/>
      </c>
      <c r="D86" s="353" t="str">
        <v/>
      </c>
      <c r="E86" s="353" t="str">
        <v/>
      </c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</row>
    <row r="87" spans="1:25" ht="15.75" customHeight="1">
      <c r="A87" s="353"/>
      <c r="B87" s="353" t="str">
        <f ca="1"/>
        <v/>
      </c>
      <c r="C87" s="353" t="str">
        <v/>
      </c>
      <c r="D87" s="353" t="str">
        <v/>
      </c>
      <c r="E87" s="353" t="str">
        <v/>
      </c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</row>
    <row r="88" spans="1:25" ht="15.75" customHeight="1">
      <c r="A88" s="353"/>
      <c r="B88" s="353" t="str">
        <f ca="1"/>
        <v/>
      </c>
      <c r="C88" s="353" t="str">
        <v/>
      </c>
      <c r="D88" s="353" t="str">
        <v/>
      </c>
      <c r="E88" s="353" t="str">
        <v/>
      </c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</row>
    <row r="89" spans="1:25" ht="15.75" customHeight="1">
      <c r="A89" s="353"/>
      <c r="B89" s="353" t="str">
        <f ca="1"/>
        <v/>
      </c>
      <c r="C89" s="353" t="str">
        <v/>
      </c>
      <c r="D89" s="353" t="str">
        <v/>
      </c>
      <c r="E89" s="353" t="str">
        <v/>
      </c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</row>
    <row r="90" spans="1:25" ht="15.75" customHeight="1">
      <c r="A90" s="353"/>
      <c r="B90" s="353" t="str">
        <f ca="1"/>
        <v/>
      </c>
      <c r="C90" s="353" t="str">
        <v/>
      </c>
      <c r="D90" s="353" t="str">
        <v/>
      </c>
      <c r="E90" s="353" t="str">
        <v/>
      </c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</row>
    <row r="91" spans="1:25" ht="15.75" customHeight="1">
      <c r="A91" s="353"/>
      <c r="B91" s="353" t="str">
        <f ca="1"/>
        <v/>
      </c>
      <c r="C91" s="353" t="str">
        <v/>
      </c>
      <c r="D91" s="353" t="str">
        <v/>
      </c>
      <c r="E91" s="353" t="str">
        <v/>
      </c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</row>
    <row r="92" spans="1:25" ht="15.75" customHeight="1">
      <c r="A92" s="353"/>
      <c r="B92" s="353" t="str">
        <f ca="1"/>
        <v/>
      </c>
      <c r="C92" s="353" t="str">
        <v/>
      </c>
      <c r="D92" s="353" t="str">
        <v/>
      </c>
      <c r="E92" s="353" t="str">
        <v/>
      </c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</row>
    <row r="93" spans="1:25" ht="15.75" customHeight="1">
      <c r="A93" s="353"/>
      <c r="B93" s="353" t="str">
        <f ca="1"/>
        <v/>
      </c>
      <c r="C93" s="353" t="str">
        <v/>
      </c>
      <c r="D93" s="353" t="str">
        <v/>
      </c>
      <c r="E93" s="353" t="str">
        <v/>
      </c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</row>
    <row r="94" spans="1:25" ht="15.75" customHeight="1">
      <c r="A94" s="353"/>
      <c r="B94" s="353" t="str">
        <f ca="1"/>
        <v/>
      </c>
      <c r="C94" s="353" t="str">
        <v/>
      </c>
      <c r="D94" s="353" t="str">
        <v/>
      </c>
      <c r="E94" s="353" t="str">
        <v/>
      </c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</row>
    <row r="95" spans="1:25" ht="15.75" customHeight="1">
      <c r="A95" s="353"/>
      <c r="B95" s="353" t="str">
        <f ca="1"/>
        <v/>
      </c>
      <c r="C95" s="353" t="str">
        <v/>
      </c>
      <c r="D95" s="353" t="str">
        <v/>
      </c>
      <c r="E95" s="353" t="str">
        <v/>
      </c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</row>
    <row r="96" spans="1:25" ht="15.75" customHeight="1">
      <c r="A96" s="353"/>
      <c r="B96" s="353" t="str">
        <f ca="1"/>
        <v/>
      </c>
      <c r="C96" s="353" t="str">
        <v/>
      </c>
      <c r="D96" s="353" t="str">
        <v/>
      </c>
      <c r="E96" s="353" t="str">
        <v/>
      </c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</row>
    <row r="97" spans="1:25" ht="15.75" customHeight="1">
      <c r="A97" s="353"/>
      <c r="B97" s="353" t="str">
        <f ca="1"/>
        <v/>
      </c>
      <c r="C97" s="353" t="str">
        <v/>
      </c>
      <c r="D97" s="353" t="str">
        <v/>
      </c>
      <c r="E97" s="353" t="str">
        <v/>
      </c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</row>
    <row r="98" spans="1:25" ht="15.75" customHeight="1">
      <c r="A98" s="353"/>
      <c r="B98" s="353" t="str">
        <f ca="1"/>
        <v/>
      </c>
      <c r="C98" s="353" t="str">
        <v/>
      </c>
      <c r="D98" s="353" t="str">
        <v/>
      </c>
      <c r="E98" s="353" t="str">
        <v/>
      </c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</row>
    <row r="99" spans="1:25" ht="15.75" customHeight="1">
      <c r="A99" s="353"/>
      <c r="B99" s="353" t="str">
        <f ca="1"/>
        <v/>
      </c>
      <c r="C99" s="353" t="str">
        <v/>
      </c>
      <c r="D99" s="353" t="str">
        <v/>
      </c>
      <c r="E99" s="353" t="str">
        <v/>
      </c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</row>
    <row r="100" spans="1:25" ht="15.75" customHeight="1">
      <c r="A100" s="353"/>
      <c r="B100" s="353" t="str">
        <f ca="1"/>
        <v/>
      </c>
      <c r="C100" s="353" t="str">
        <v/>
      </c>
      <c r="D100" s="353" t="str">
        <v/>
      </c>
      <c r="E100" s="353" t="str">
        <v/>
      </c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</row>
    <row r="101" spans="1:25" ht="15.75" customHeight="1">
      <c r="A101" s="353"/>
      <c r="B101" s="353" t="str">
        <f ca="1"/>
        <v/>
      </c>
      <c r="C101" s="353" t="str">
        <v/>
      </c>
      <c r="D101" s="353" t="str">
        <v/>
      </c>
      <c r="E101" s="353" t="str">
        <v/>
      </c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</row>
    <row r="102" spans="1:25" ht="15.75" customHeight="1"/>
    <row r="103" spans="1:25" ht="15.75" customHeight="1"/>
    <row r="104" spans="1:25" ht="15.75" customHeight="1"/>
    <row r="105" spans="1:25" ht="15.75" customHeight="1"/>
    <row r="106" spans="1:25" ht="15.75" customHeight="1"/>
    <row r="107" spans="1:25" ht="15.75" customHeight="1"/>
    <row r="108" spans="1:25" ht="15.75" customHeight="1"/>
    <row r="109" spans="1:25" ht="15.75" customHeight="1"/>
    <row r="110" spans="1:25" ht="15.75" customHeight="1"/>
    <row r="111" spans="1:25" ht="15.75" customHeight="1"/>
    <row r="112" spans="1:25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91" type="noConversion"/>
  <conditionalFormatting sqref="A1:A101">
    <cfRule type="cellIs" dxfId="1" priority="1" operator="equal">
      <formula>"設隱形錨點"</formula>
    </cfRule>
  </conditionalFormatting>
  <conditionalFormatting sqref="C1:E101">
    <cfRule type="cellIs" dxfId="0" priority="2" operator="equal">
      <formula>"(不需提供)"</formula>
    </cfRule>
  </conditionalFormatting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V1000"/>
  <sheetViews>
    <sheetView workbookViewId="0"/>
  </sheetViews>
  <sheetFormatPr defaultColWidth="12.5703125" defaultRowHeight="15" customHeight="1"/>
  <cols>
    <col min="1" max="3" width="26.140625" customWidth="1"/>
    <col min="4" max="4" width="20.28515625" customWidth="1"/>
    <col min="5" max="5" width="12.85546875" customWidth="1"/>
    <col min="6" max="6" width="16.140625" customWidth="1"/>
    <col min="7" max="8" width="20.28515625" customWidth="1"/>
    <col min="9" max="9" width="21.140625" customWidth="1"/>
    <col min="10" max="22" width="9.5703125" customWidth="1"/>
    <col min="23" max="26" width="11" customWidth="1"/>
  </cols>
  <sheetData>
    <row r="1" spans="1:22" ht="15.75" customHeight="1">
      <c r="A1" s="357" t="s">
        <v>1391</v>
      </c>
      <c r="B1" s="358" t="s">
        <v>1392</v>
      </c>
      <c r="C1" s="359" t="s">
        <v>1393</v>
      </c>
      <c r="D1" s="360" t="str">
        <f ca="1">IFERROR(__xludf.DUMMYFUNCTION("IMPORTRANGE(""https://docs.google.com/spreadsheets/d/1kUmeOl_XQVSwFLJPvbHlW16CThBKCm03PQubqqLRHPU/edit#gid=1462611380"",""Component Label 限內部維護!A:F"")"),"#REF!")</f>
        <v>#REF!</v>
      </c>
      <c r="E1" s="361"/>
      <c r="F1" s="361"/>
      <c r="G1" s="361"/>
      <c r="H1" s="361"/>
      <c r="I1" s="361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</row>
    <row r="2" spans="1:22" ht="15.75" customHeight="1">
      <c r="A2" s="362" t="s">
        <v>1394</v>
      </c>
      <c r="B2" s="363" t="s">
        <v>202</v>
      </c>
      <c r="C2" s="364" t="e">
        <f ca="1">VLOOKUP($B2,'(勿動)Component Label公版'!$D$1:$E$100,2,FALSE)</f>
        <v>#N/A</v>
      </c>
      <c r="D2" s="365"/>
      <c r="E2" s="361"/>
      <c r="F2" s="361"/>
      <c r="G2" s="361"/>
      <c r="H2" s="361"/>
      <c r="I2" s="361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</row>
    <row r="3" spans="1:22" ht="15.75" customHeight="1">
      <c r="A3" s="366"/>
      <c r="B3" s="366"/>
      <c r="C3" s="366"/>
      <c r="D3" s="361"/>
      <c r="E3" s="361"/>
      <c r="F3" s="361"/>
      <c r="G3" s="361"/>
      <c r="H3" s="361"/>
      <c r="I3" s="361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</row>
    <row r="4" spans="1:22" ht="15.75" customHeight="1">
      <c r="A4" s="366"/>
      <c r="B4" s="366"/>
      <c r="C4" s="366"/>
      <c r="D4" s="361"/>
      <c r="E4" s="361"/>
      <c r="F4" s="361"/>
      <c r="G4" s="361"/>
      <c r="H4" s="361"/>
      <c r="I4" s="361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</row>
    <row r="5" spans="1:22" ht="15.75" customHeight="1">
      <c r="A5" s="367"/>
      <c r="B5" s="367"/>
      <c r="C5" s="367"/>
      <c r="D5" s="361"/>
      <c r="E5" s="361"/>
      <c r="F5" s="361"/>
      <c r="G5" s="361"/>
      <c r="H5" s="361"/>
      <c r="I5" s="361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</row>
    <row r="6" spans="1:22" ht="15.75" customHeight="1">
      <c r="A6" s="367"/>
      <c r="B6" s="367"/>
      <c r="C6" s="367"/>
      <c r="D6" s="361"/>
      <c r="E6" s="361"/>
      <c r="F6" s="361"/>
      <c r="G6" s="361"/>
      <c r="H6" s="361"/>
      <c r="I6" s="361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</row>
    <row r="7" spans="1:22" ht="15.75" customHeight="1">
      <c r="A7" s="367"/>
      <c r="B7" s="367"/>
      <c r="C7" s="367"/>
      <c r="D7" s="361"/>
      <c r="E7" s="361"/>
      <c r="F7" s="361"/>
      <c r="G7" s="361"/>
      <c r="H7" s="361"/>
      <c r="I7" s="361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</row>
    <row r="8" spans="1:22" ht="15.75" customHeight="1">
      <c r="A8" s="367"/>
      <c r="B8" s="367"/>
      <c r="C8" s="367"/>
      <c r="D8" s="361"/>
      <c r="E8" s="361"/>
      <c r="F8" s="368"/>
      <c r="G8" s="361"/>
      <c r="H8" s="361"/>
      <c r="I8" s="361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</row>
    <row r="9" spans="1:22" ht="15.75" customHeight="1">
      <c r="A9" s="367"/>
      <c r="B9" s="367"/>
      <c r="C9" s="367"/>
      <c r="D9" s="361"/>
      <c r="E9" s="361"/>
      <c r="F9" s="361"/>
      <c r="G9" s="361"/>
      <c r="H9" s="361"/>
      <c r="I9" s="361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</row>
    <row r="10" spans="1:22" ht="15.75" customHeight="1">
      <c r="A10" s="367"/>
      <c r="B10" s="367"/>
      <c r="C10" s="367"/>
      <c r="D10" s="361"/>
      <c r="E10" s="361"/>
      <c r="F10" s="361"/>
      <c r="G10" s="361"/>
      <c r="H10" s="368"/>
      <c r="I10" s="368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</row>
    <row r="11" spans="1:22" ht="15.75" customHeight="1">
      <c r="A11" s="367"/>
      <c r="B11" s="367"/>
      <c r="C11" s="367"/>
      <c r="D11" s="361"/>
      <c r="E11" s="361"/>
      <c r="F11" s="361"/>
      <c r="G11" s="361"/>
      <c r="H11" s="361"/>
      <c r="I11" s="361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</row>
    <row r="12" spans="1:22" ht="15.75" customHeight="1">
      <c r="A12" s="367"/>
      <c r="B12" s="367"/>
      <c r="C12" s="367"/>
      <c r="D12" s="361"/>
      <c r="E12" s="361"/>
      <c r="F12" s="361"/>
      <c r="G12" s="361"/>
      <c r="H12" s="361"/>
      <c r="I12" s="361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</row>
    <row r="13" spans="1:22" ht="15.75" customHeight="1">
      <c r="A13" s="367"/>
      <c r="B13" s="367"/>
      <c r="C13" s="367"/>
      <c r="D13" s="361"/>
      <c r="E13" s="361"/>
      <c r="F13" s="361"/>
      <c r="G13" s="361"/>
      <c r="H13" s="361"/>
      <c r="I13" s="361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</row>
    <row r="14" spans="1:22" ht="15.75" customHeight="1">
      <c r="A14" s="366"/>
      <c r="B14" s="366"/>
      <c r="C14" s="366"/>
      <c r="D14" s="361"/>
      <c r="E14" s="361"/>
      <c r="F14" s="361"/>
      <c r="G14" s="361"/>
      <c r="H14" s="361"/>
      <c r="I14" s="361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</row>
    <row r="15" spans="1:22" ht="15.75" customHeight="1">
      <c r="A15" s="367"/>
      <c r="B15" s="367"/>
      <c r="C15" s="367"/>
      <c r="D15" s="361"/>
      <c r="E15" s="361"/>
      <c r="F15" s="361"/>
      <c r="G15" s="369"/>
      <c r="H15" s="369"/>
      <c r="I15" s="361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</row>
    <row r="16" spans="1:22" ht="15.75" customHeight="1">
      <c r="A16" s="367"/>
      <c r="B16" s="367"/>
      <c r="C16" s="367"/>
      <c r="D16" s="361"/>
      <c r="E16" s="361"/>
      <c r="F16" s="361"/>
      <c r="G16" s="361"/>
      <c r="H16" s="361"/>
      <c r="I16" s="361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</row>
    <row r="17" spans="1:22" ht="15.75" customHeight="1">
      <c r="A17" s="366"/>
      <c r="B17" s="366"/>
      <c r="C17" s="366"/>
      <c r="D17" s="361"/>
      <c r="E17" s="361"/>
      <c r="F17" s="361"/>
      <c r="G17" s="361"/>
      <c r="H17" s="361"/>
      <c r="I17" s="361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</row>
    <row r="18" spans="1:22" ht="15.75" customHeight="1">
      <c r="A18" s="367"/>
      <c r="B18" s="367"/>
      <c r="C18" s="367"/>
      <c r="D18" s="361"/>
      <c r="E18" s="361"/>
      <c r="F18" s="361"/>
      <c r="G18" s="361"/>
      <c r="H18" s="361"/>
      <c r="I18" s="361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</row>
    <row r="19" spans="1:22" ht="15.75" customHeight="1">
      <c r="A19" s="367"/>
      <c r="B19" s="367"/>
      <c r="C19" s="367"/>
      <c r="D19" s="361"/>
      <c r="E19" s="361"/>
      <c r="F19" s="361"/>
      <c r="G19" s="361"/>
      <c r="H19" s="361"/>
      <c r="I19" s="361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</row>
    <row r="20" spans="1:22" ht="15.75" customHeight="1">
      <c r="A20" s="367"/>
      <c r="B20" s="367"/>
      <c r="C20" s="367"/>
      <c r="D20" s="361"/>
      <c r="E20" s="361"/>
      <c r="F20" s="361"/>
      <c r="G20" s="361"/>
      <c r="H20" s="361"/>
      <c r="I20" s="361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r="21" spans="1:22" ht="15.75" customHeight="1">
      <c r="A21" s="366"/>
      <c r="B21" s="366"/>
      <c r="C21" s="366"/>
      <c r="D21" s="361"/>
      <c r="E21" s="361"/>
      <c r="F21" s="361"/>
      <c r="G21" s="361"/>
      <c r="H21" s="361"/>
      <c r="I21" s="361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</row>
    <row r="22" spans="1:22" ht="15.75" customHeight="1">
      <c r="A22" s="367"/>
      <c r="B22" s="367"/>
      <c r="C22" s="367"/>
      <c r="D22" s="361"/>
      <c r="E22" s="361"/>
      <c r="F22" s="361"/>
      <c r="G22" s="369"/>
      <c r="H22" s="361"/>
      <c r="I22" s="361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r="23" spans="1:22" ht="15.75" customHeight="1">
      <c r="A23" s="367"/>
      <c r="B23" s="367"/>
      <c r="C23" s="367"/>
      <c r="D23" s="361"/>
      <c r="E23" s="361"/>
      <c r="F23" s="361"/>
      <c r="G23" s="369"/>
      <c r="H23" s="369"/>
      <c r="I23" s="36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</row>
    <row r="24" spans="1:22" ht="15.75" customHeight="1">
      <c r="A24" s="367"/>
      <c r="B24" s="367"/>
      <c r="C24" s="367"/>
      <c r="D24" s="361"/>
      <c r="E24" s="361"/>
      <c r="F24" s="361"/>
      <c r="G24" s="361"/>
      <c r="H24" s="361"/>
      <c r="I24" s="361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</row>
    <row r="25" spans="1:22" ht="15.75" customHeight="1">
      <c r="A25" s="367"/>
      <c r="B25" s="367"/>
      <c r="C25" s="367"/>
      <c r="D25" s="361"/>
      <c r="E25" s="361"/>
      <c r="F25" s="361"/>
      <c r="G25" s="361"/>
      <c r="H25" s="361"/>
      <c r="I25" s="361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</row>
    <row r="26" spans="1:22" ht="15.75" customHeight="1">
      <c r="A26" s="367"/>
      <c r="B26" s="367"/>
      <c r="C26" s="367"/>
      <c r="D26" s="361"/>
      <c r="E26" s="361"/>
      <c r="F26" s="361"/>
      <c r="G26" s="361"/>
      <c r="H26" s="361"/>
      <c r="I26" s="361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</row>
    <row r="27" spans="1:22" ht="15.75" customHeight="1">
      <c r="A27" s="366"/>
      <c r="B27" s="366"/>
      <c r="C27" s="366"/>
      <c r="D27" s="361"/>
      <c r="E27" s="361"/>
      <c r="F27" s="361"/>
      <c r="G27" s="361"/>
      <c r="H27" s="361"/>
      <c r="I27" s="36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r="28" spans="1:22" ht="15.75" customHeight="1">
      <c r="A28" s="366"/>
      <c r="B28" s="366"/>
      <c r="C28" s="366"/>
      <c r="D28" s="361"/>
      <c r="E28" s="361"/>
      <c r="F28" s="361"/>
      <c r="G28" s="361"/>
      <c r="H28" s="361"/>
      <c r="I28" s="361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</row>
    <row r="29" spans="1:22" ht="15.75" customHeight="1">
      <c r="A29" s="366"/>
      <c r="B29" s="366"/>
      <c r="C29" s="366"/>
      <c r="D29" s="361"/>
      <c r="E29" s="361"/>
      <c r="F29" s="361"/>
      <c r="G29" s="361"/>
      <c r="H29" s="361"/>
      <c r="I29" s="361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</row>
    <row r="30" spans="1:22" ht="15.75" customHeight="1">
      <c r="A30" s="367"/>
      <c r="B30" s="367"/>
      <c r="C30" s="367"/>
      <c r="D30" s="361"/>
      <c r="E30" s="279"/>
      <c r="F30" s="361"/>
      <c r="G30" s="361"/>
      <c r="H30" s="361"/>
      <c r="I30" s="361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</row>
    <row r="31" spans="1:22" ht="15.75" customHeight="1">
      <c r="A31" s="367"/>
      <c r="B31" s="367"/>
      <c r="C31" s="367"/>
      <c r="D31" s="361"/>
      <c r="E31" s="361"/>
      <c r="F31" s="361"/>
      <c r="G31" s="361"/>
      <c r="H31" s="361"/>
      <c r="I31" s="361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</row>
    <row r="32" spans="1:22" ht="15.75" customHeight="1">
      <c r="A32" s="367"/>
      <c r="B32" s="367"/>
      <c r="C32" s="367"/>
      <c r="D32" s="361"/>
      <c r="E32" s="361"/>
      <c r="F32" s="361"/>
      <c r="G32" s="361"/>
      <c r="H32" s="361"/>
      <c r="I32" s="361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</row>
    <row r="33" spans="1:22" ht="15.75" customHeight="1">
      <c r="A33" s="367"/>
      <c r="B33" s="367"/>
      <c r="C33" s="367"/>
      <c r="D33" s="361"/>
      <c r="E33" s="361"/>
      <c r="F33" s="361"/>
      <c r="G33" s="361"/>
      <c r="H33" s="361"/>
      <c r="I33" s="361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 spans="1:22" ht="15.75" customHeight="1">
      <c r="A34" s="367"/>
      <c r="B34" s="367"/>
      <c r="C34" s="367"/>
      <c r="D34" s="361"/>
      <c r="E34" s="361"/>
      <c r="F34" s="361"/>
      <c r="G34" s="361"/>
      <c r="H34" s="361"/>
      <c r="I34" s="361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r="35" spans="1:22" ht="15.75" customHeight="1">
      <c r="A35" s="367"/>
      <c r="B35" s="367"/>
      <c r="C35" s="367"/>
      <c r="D35" s="361"/>
      <c r="E35" s="361"/>
      <c r="F35" s="361"/>
      <c r="G35" s="361"/>
      <c r="H35" s="361"/>
      <c r="I35" s="361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 spans="1:22" ht="15.75" customHeight="1">
      <c r="A36" s="367"/>
      <c r="B36" s="367"/>
      <c r="C36" s="367"/>
      <c r="D36" s="361"/>
      <c r="E36" s="361"/>
      <c r="F36" s="361"/>
      <c r="G36" s="361"/>
      <c r="H36" s="361"/>
      <c r="I36" s="361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</row>
    <row r="37" spans="1:22" ht="15.75" customHeight="1">
      <c r="A37" s="367"/>
      <c r="B37" s="367"/>
      <c r="C37" s="367"/>
      <c r="D37" s="361"/>
      <c r="E37" s="361"/>
      <c r="F37" s="361"/>
      <c r="G37" s="361"/>
      <c r="H37" s="361"/>
      <c r="I37" s="361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</row>
    <row r="38" spans="1:22" ht="15.75" customHeight="1">
      <c r="A38" s="367"/>
      <c r="B38" s="367"/>
      <c r="C38" s="367"/>
      <c r="D38" s="361"/>
      <c r="E38" s="361"/>
      <c r="F38" s="361"/>
      <c r="G38" s="361"/>
      <c r="H38" s="361"/>
      <c r="I38" s="361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 spans="1:22" ht="15.75" customHeight="1">
      <c r="A39" s="367"/>
      <c r="B39" s="367"/>
      <c r="C39" s="367"/>
      <c r="D39" s="361"/>
      <c r="E39" s="361"/>
      <c r="F39" s="361"/>
      <c r="G39" s="361"/>
      <c r="H39" s="361"/>
      <c r="I39" s="361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r="40" spans="1:22" ht="15.75" customHeight="1">
      <c r="A40" s="367"/>
      <c r="B40" s="367"/>
      <c r="C40" s="367"/>
      <c r="D40" s="361"/>
      <c r="E40" s="361"/>
      <c r="F40" s="361"/>
      <c r="G40" s="361"/>
      <c r="H40" s="361"/>
      <c r="I40" s="361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 spans="1:22" ht="15.75" customHeight="1">
      <c r="A41" s="367"/>
      <c r="B41" s="367"/>
      <c r="C41" s="367"/>
      <c r="D41" s="361"/>
      <c r="E41" s="361"/>
      <c r="F41" s="361"/>
      <c r="G41" s="361"/>
      <c r="H41" s="361"/>
      <c r="I41" s="361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 spans="1:22" ht="15.75" customHeight="1">
      <c r="A42" s="367"/>
      <c r="B42" s="367"/>
      <c r="C42" s="367"/>
      <c r="D42" s="361"/>
      <c r="E42" s="361"/>
      <c r="F42" s="361"/>
      <c r="G42" s="361"/>
      <c r="H42" s="361"/>
      <c r="I42" s="361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r="43" spans="1:22" ht="15.75" customHeight="1">
      <c r="A43" s="367"/>
      <c r="B43" s="367"/>
      <c r="C43" s="367"/>
      <c r="D43" s="361"/>
      <c r="E43" s="361"/>
      <c r="F43" s="361"/>
      <c r="G43" s="361"/>
      <c r="H43" s="361"/>
      <c r="I43" s="361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r="44" spans="1:22" ht="15.75" customHeight="1">
      <c r="A44" s="367"/>
      <c r="B44" s="367"/>
      <c r="C44" s="367"/>
      <c r="D44" s="361"/>
      <c r="E44" s="361"/>
      <c r="F44" s="361"/>
      <c r="G44" s="361"/>
      <c r="H44" s="361"/>
      <c r="I44" s="361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</row>
    <row r="45" spans="1:22" ht="15.75" customHeight="1">
      <c r="A45" s="367"/>
      <c r="B45" s="367"/>
      <c r="C45" s="367"/>
      <c r="D45" s="361"/>
      <c r="E45" s="361"/>
      <c r="F45" s="361"/>
      <c r="G45" s="361"/>
      <c r="H45" s="361"/>
      <c r="I45" s="361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</row>
    <row r="46" spans="1:22" ht="15.75" customHeight="1">
      <c r="A46" s="367"/>
      <c r="B46" s="367"/>
      <c r="C46" s="367"/>
      <c r="D46" s="370"/>
      <c r="E46" s="370"/>
      <c r="F46" s="370"/>
      <c r="G46" s="370"/>
      <c r="H46" s="370"/>
      <c r="I46" s="370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</row>
    <row r="47" spans="1:22" ht="15.75" customHeight="1">
      <c r="A47" s="367"/>
      <c r="B47" s="367"/>
      <c r="C47" s="367"/>
      <c r="D47" s="361"/>
      <c r="E47" s="361"/>
      <c r="F47" s="361"/>
      <c r="G47" s="361"/>
      <c r="H47" s="361"/>
      <c r="I47" s="361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</row>
    <row r="48" spans="1:22" ht="15.75" customHeight="1">
      <c r="A48" s="367"/>
      <c r="B48" s="367"/>
      <c r="C48" s="367"/>
      <c r="D48" s="361"/>
      <c r="E48" s="361"/>
      <c r="F48" s="361"/>
      <c r="G48" s="361"/>
      <c r="H48" s="361"/>
      <c r="I48" s="361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</row>
    <row r="49" spans="1:22" ht="15.75" customHeight="1">
      <c r="A49" s="367"/>
      <c r="B49" s="367"/>
      <c r="C49" s="367"/>
      <c r="D49" s="361"/>
      <c r="E49" s="361"/>
      <c r="F49" s="361"/>
      <c r="G49" s="361"/>
      <c r="H49" s="361"/>
      <c r="I49" s="361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</row>
    <row r="50" spans="1:22" ht="15.75" customHeight="1">
      <c r="A50" s="367"/>
      <c r="B50" s="367"/>
      <c r="C50" s="367"/>
      <c r="D50" s="361"/>
      <c r="E50" s="361"/>
      <c r="F50" s="361"/>
      <c r="G50" s="361"/>
      <c r="H50" s="361"/>
      <c r="I50" s="361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</row>
    <row r="51" spans="1:22" ht="15.75" customHeight="1">
      <c r="A51" s="367"/>
      <c r="B51" s="367"/>
      <c r="C51" s="367"/>
      <c r="D51" s="361"/>
      <c r="E51" s="361"/>
      <c r="F51" s="361"/>
      <c r="G51" s="361"/>
      <c r="H51" s="361"/>
      <c r="I51" s="361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 spans="1:22" ht="15.75" customHeight="1">
      <c r="A52" s="367"/>
      <c r="B52" s="367"/>
      <c r="C52" s="367"/>
      <c r="D52" s="361"/>
      <c r="E52" s="361"/>
      <c r="F52" s="361"/>
      <c r="G52" s="361"/>
      <c r="H52" s="361"/>
      <c r="I52" s="361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</row>
    <row r="53" spans="1:22" ht="15.75" customHeight="1">
      <c r="A53" s="367"/>
      <c r="B53" s="367"/>
      <c r="C53" s="367"/>
      <c r="D53" s="361"/>
      <c r="E53" s="361"/>
      <c r="F53" s="361"/>
      <c r="G53" s="361"/>
      <c r="H53" s="361"/>
      <c r="I53" s="361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</row>
    <row r="54" spans="1:22" ht="15.75" customHeight="1">
      <c r="A54" s="367"/>
      <c r="B54" s="367"/>
      <c r="C54" s="367"/>
      <c r="D54" s="361"/>
      <c r="E54" s="361"/>
      <c r="F54" s="361"/>
      <c r="G54" s="361"/>
      <c r="H54" s="361"/>
      <c r="I54" s="361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</row>
    <row r="55" spans="1:22" ht="15.75" customHeight="1">
      <c r="A55" s="367"/>
      <c r="B55" s="367"/>
      <c r="C55" s="367"/>
      <c r="D55" s="361"/>
      <c r="E55" s="361"/>
      <c r="F55" s="361"/>
      <c r="G55" s="361"/>
      <c r="H55" s="361"/>
      <c r="I55" s="361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</row>
    <row r="56" spans="1:22" ht="15.75" customHeight="1">
      <c r="A56" s="367"/>
      <c r="B56" s="367"/>
      <c r="C56" s="367"/>
      <c r="D56" s="361"/>
      <c r="E56" s="361"/>
      <c r="F56" s="361"/>
      <c r="G56" s="361"/>
      <c r="H56" s="361"/>
      <c r="I56" s="361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</row>
    <row r="57" spans="1:22" ht="15.75" customHeight="1">
      <c r="A57" s="367"/>
      <c r="B57" s="367"/>
      <c r="C57" s="367"/>
      <c r="D57" s="361"/>
      <c r="E57" s="361"/>
      <c r="F57" s="361"/>
      <c r="G57" s="361"/>
      <c r="H57" s="361"/>
      <c r="I57" s="361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</row>
    <row r="58" spans="1:22" ht="15.75" customHeight="1">
      <c r="A58" s="367"/>
      <c r="B58" s="367"/>
      <c r="C58" s="367"/>
      <c r="D58" s="361"/>
      <c r="E58" s="361"/>
      <c r="F58" s="361"/>
      <c r="G58" s="361"/>
      <c r="H58" s="361"/>
      <c r="I58" s="361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</row>
    <row r="59" spans="1:22" ht="15.75" customHeight="1">
      <c r="A59" s="367"/>
      <c r="B59" s="367"/>
      <c r="C59" s="367"/>
      <c r="D59" s="361"/>
      <c r="E59" s="361"/>
      <c r="F59" s="361"/>
      <c r="G59" s="361"/>
      <c r="H59" s="361"/>
      <c r="I59" s="361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 spans="1:22" ht="15.75" customHeight="1">
      <c r="A60" s="367"/>
      <c r="B60" s="367"/>
      <c r="C60" s="367"/>
      <c r="D60" s="361"/>
      <c r="E60" s="361"/>
      <c r="F60" s="361"/>
      <c r="G60" s="361"/>
      <c r="H60" s="361"/>
      <c r="I60" s="361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</row>
    <row r="61" spans="1:22" ht="15.75" customHeight="1">
      <c r="A61" s="367"/>
      <c r="B61" s="367"/>
      <c r="C61" s="367"/>
      <c r="D61" s="361"/>
      <c r="E61" s="361"/>
      <c r="F61" s="361"/>
      <c r="G61" s="361"/>
      <c r="H61" s="361"/>
      <c r="I61" s="361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</row>
    <row r="62" spans="1:22" ht="15.75" customHeight="1">
      <c r="A62" s="367"/>
      <c r="B62" s="367"/>
      <c r="C62" s="367"/>
      <c r="D62" s="361"/>
      <c r="E62" s="361"/>
      <c r="F62" s="361"/>
      <c r="G62" s="361"/>
      <c r="H62" s="361"/>
      <c r="I62" s="361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</row>
    <row r="63" spans="1:22" ht="15.75" customHeight="1">
      <c r="A63" s="367"/>
      <c r="B63" s="367"/>
      <c r="C63" s="367"/>
      <c r="D63" s="361"/>
      <c r="E63" s="361"/>
      <c r="F63" s="361"/>
      <c r="G63" s="361"/>
      <c r="H63" s="361"/>
      <c r="I63" s="361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</row>
    <row r="64" spans="1:22" ht="15.75" customHeight="1">
      <c r="A64" s="367"/>
      <c r="B64" s="367"/>
      <c r="C64" s="367"/>
      <c r="D64" s="361"/>
      <c r="E64" s="361"/>
      <c r="F64" s="361"/>
      <c r="G64" s="361"/>
      <c r="H64" s="361"/>
      <c r="I64" s="361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</row>
    <row r="65" spans="1:22" ht="15.75" customHeight="1">
      <c r="A65" s="367"/>
      <c r="B65" s="367"/>
      <c r="C65" s="367"/>
      <c r="D65" s="361"/>
      <c r="E65" s="361"/>
      <c r="F65" s="361"/>
      <c r="G65" s="361"/>
      <c r="H65" s="361"/>
      <c r="I65" s="361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</row>
    <row r="66" spans="1:22" ht="15.75" customHeight="1">
      <c r="A66" s="366"/>
      <c r="B66" s="366"/>
      <c r="C66" s="366"/>
      <c r="D66" s="361"/>
      <c r="E66" s="361"/>
      <c r="F66" s="361"/>
      <c r="G66" s="361"/>
      <c r="H66" s="361"/>
      <c r="I66" s="361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</row>
    <row r="67" spans="1:22" ht="15.75" customHeight="1">
      <c r="A67" s="366"/>
      <c r="B67" s="366"/>
      <c r="C67" s="366"/>
      <c r="D67" s="361"/>
      <c r="E67" s="361"/>
      <c r="F67" s="361"/>
      <c r="G67" s="361"/>
      <c r="H67" s="361"/>
      <c r="I67" s="361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</row>
    <row r="68" spans="1:22" ht="15.75" customHeight="1">
      <c r="A68" s="366"/>
      <c r="B68" s="366"/>
      <c r="C68" s="366"/>
      <c r="D68" s="361"/>
      <c r="E68" s="361"/>
      <c r="F68" s="361"/>
      <c r="G68" s="361"/>
      <c r="H68" s="361"/>
      <c r="I68" s="361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 spans="1:22" ht="15.75" customHeight="1">
      <c r="A69" s="367"/>
      <c r="B69" s="367"/>
      <c r="C69" s="367"/>
      <c r="D69" s="361"/>
      <c r="E69" s="361"/>
      <c r="F69" s="361"/>
      <c r="G69" s="361"/>
      <c r="H69" s="361"/>
      <c r="I69" s="361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</row>
    <row r="70" spans="1:22" ht="15.75" customHeight="1">
      <c r="A70" s="366"/>
      <c r="B70" s="366"/>
      <c r="C70" s="366"/>
      <c r="D70" s="361"/>
      <c r="E70" s="361"/>
      <c r="F70" s="361"/>
      <c r="G70" s="361"/>
      <c r="H70" s="361"/>
      <c r="I70" s="361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 spans="1:22" ht="15.75" customHeight="1">
      <c r="A71" s="366"/>
      <c r="B71" s="366"/>
      <c r="C71" s="366"/>
      <c r="D71" s="361"/>
      <c r="E71" s="361"/>
      <c r="F71" s="361"/>
      <c r="G71" s="361"/>
      <c r="H71" s="361"/>
      <c r="I71" s="361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</row>
    <row r="72" spans="1:22" ht="15.75" customHeight="1">
      <c r="A72" s="366"/>
      <c r="B72" s="366"/>
      <c r="C72" s="366"/>
      <c r="D72" s="361"/>
      <c r="E72" s="361"/>
      <c r="F72" s="361"/>
      <c r="G72" s="361"/>
      <c r="H72" s="361"/>
      <c r="I72" s="361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</row>
    <row r="73" spans="1:22" ht="15.75" customHeight="1">
      <c r="A73" s="366"/>
      <c r="B73" s="366"/>
      <c r="C73" s="366"/>
      <c r="D73" s="361"/>
      <c r="E73" s="361"/>
      <c r="F73" s="361"/>
      <c r="G73" s="361"/>
      <c r="H73" s="361"/>
      <c r="I73" s="361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</row>
    <row r="74" spans="1:22" ht="15.75" customHeight="1">
      <c r="A74" s="366"/>
      <c r="B74" s="366"/>
      <c r="C74" s="366"/>
      <c r="D74" s="361"/>
      <c r="E74" s="361"/>
      <c r="F74" s="361"/>
      <c r="G74" s="361"/>
      <c r="H74" s="361"/>
      <c r="I74" s="361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r="75" spans="1:22" ht="15.75" customHeight="1">
      <c r="A75" s="371"/>
      <c r="B75" s="371"/>
      <c r="C75" s="371"/>
      <c r="D75" s="361"/>
      <c r="E75" s="361"/>
      <c r="F75" s="361"/>
      <c r="G75" s="361"/>
      <c r="H75" s="361"/>
      <c r="I75" s="361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</row>
    <row r="76" spans="1:22" ht="15.75" customHeight="1">
      <c r="A76" s="371"/>
      <c r="B76" s="371"/>
      <c r="C76" s="371"/>
      <c r="D76" s="361"/>
      <c r="E76" s="372"/>
      <c r="F76" s="361"/>
      <c r="G76" s="361"/>
      <c r="H76" s="361"/>
      <c r="I76" s="361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</row>
    <row r="77" spans="1:22" ht="15.75" customHeight="1">
      <c r="A77" s="371"/>
      <c r="B77" s="371"/>
      <c r="C77" s="371"/>
      <c r="D77" s="361"/>
      <c r="E77" s="372"/>
      <c r="F77" s="693"/>
      <c r="G77" s="361"/>
      <c r="H77" s="361"/>
      <c r="I77" s="361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 spans="1:22" ht="15.75" customHeight="1">
      <c r="A78" s="371"/>
      <c r="B78" s="371"/>
      <c r="C78" s="371"/>
      <c r="D78" s="361"/>
      <c r="E78" s="372"/>
      <c r="F78" s="387"/>
      <c r="G78" s="361"/>
      <c r="H78" s="361"/>
      <c r="I78" s="361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</row>
    <row r="79" spans="1:22" ht="15.75" customHeight="1">
      <c r="A79" s="371"/>
      <c r="B79" s="371"/>
      <c r="C79" s="371"/>
      <c r="D79" s="361"/>
      <c r="E79" s="372"/>
      <c r="F79" s="387"/>
      <c r="G79" s="361"/>
      <c r="H79" s="361"/>
      <c r="I79" s="361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</row>
    <row r="80" spans="1:22" ht="15.75" customHeight="1">
      <c r="A80" s="371"/>
      <c r="B80" s="371"/>
      <c r="C80" s="371"/>
      <c r="D80" s="361"/>
      <c r="E80" s="372"/>
      <c r="F80" s="387"/>
      <c r="G80" s="361"/>
      <c r="H80" s="361"/>
      <c r="I80" s="361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</row>
    <row r="81" spans="1:22" ht="15.75" customHeight="1">
      <c r="A81" s="371"/>
      <c r="B81" s="371"/>
      <c r="C81" s="371"/>
      <c r="D81" s="361"/>
      <c r="E81" s="372"/>
      <c r="F81" s="396"/>
      <c r="G81" s="361"/>
      <c r="H81" s="361"/>
      <c r="I81" s="361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</row>
    <row r="82" spans="1:22" ht="15.75" customHeight="1">
      <c r="A82" s="371"/>
      <c r="B82" s="371"/>
      <c r="C82" s="371"/>
      <c r="D82" s="361"/>
      <c r="E82" s="372"/>
      <c r="F82" s="361"/>
      <c r="G82" s="361"/>
      <c r="H82" s="361"/>
      <c r="I82" s="361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</row>
    <row r="83" spans="1:22" ht="15.75" customHeight="1">
      <c r="A83" s="371"/>
      <c r="B83" s="371"/>
      <c r="C83" s="371"/>
      <c r="D83" s="361"/>
      <c r="E83" s="372"/>
      <c r="F83" s="361"/>
      <c r="G83" s="361"/>
      <c r="H83" s="361"/>
      <c r="I83" s="361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</row>
    <row r="84" spans="1:22" ht="15.75" customHeight="1">
      <c r="A84" s="371"/>
      <c r="B84" s="371"/>
      <c r="C84" s="371"/>
      <c r="D84" s="361"/>
      <c r="E84" s="372"/>
      <c r="F84" s="361"/>
      <c r="G84" s="361"/>
      <c r="H84" s="361"/>
      <c r="I84" s="361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</row>
    <row r="85" spans="1:22" ht="15.75" customHeight="1">
      <c r="A85" s="371"/>
      <c r="B85" s="371"/>
      <c r="C85" s="371"/>
      <c r="D85" s="361"/>
      <c r="E85" s="372"/>
      <c r="F85" s="361"/>
      <c r="G85" s="361"/>
      <c r="H85" s="361"/>
      <c r="I85" s="361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</row>
    <row r="86" spans="1:22" ht="15.75" customHeight="1">
      <c r="A86" s="371"/>
      <c r="B86" s="371"/>
      <c r="C86" s="371"/>
      <c r="D86" s="361"/>
      <c r="E86" s="372"/>
      <c r="F86" s="361"/>
      <c r="G86" s="361"/>
      <c r="H86" s="361"/>
      <c r="I86" s="361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</row>
    <row r="87" spans="1:22" ht="15.75" customHeight="1">
      <c r="A87" s="371"/>
      <c r="B87" s="371"/>
      <c r="C87" s="371"/>
      <c r="D87" s="361"/>
      <c r="E87" s="372"/>
      <c r="F87" s="361"/>
      <c r="G87" s="361"/>
      <c r="H87" s="361"/>
      <c r="I87" s="361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</row>
    <row r="88" spans="1:22" ht="15.75" customHeight="1">
      <c r="A88" s="371"/>
      <c r="B88" s="371"/>
      <c r="C88" s="371"/>
      <c r="D88" s="361"/>
      <c r="E88" s="372"/>
      <c r="F88" s="361"/>
      <c r="G88" s="361"/>
      <c r="H88" s="361"/>
      <c r="I88" s="361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</row>
    <row r="89" spans="1:22" ht="15.75" customHeight="1">
      <c r="A89" s="371"/>
      <c r="B89" s="371"/>
      <c r="C89" s="371"/>
      <c r="D89" s="361"/>
      <c r="E89" s="372"/>
      <c r="F89" s="372"/>
      <c r="G89" s="361"/>
      <c r="H89" s="361"/>
      <c r="I89" s="361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</row>
    <row r="90" spans="1:22" ht="15.75" customHeight="1">
      <c r="A90" s="371"/>
      <c r="B90" s="371"/>
      <c r="C90" s="371"/>
      <c r="D90" s="361"/>
      <c r="E90" s="372"/>
      <c r="F90" s="373"/>
      <c r="G90" s="361"/>
      <c r="H90" s="361"/>
      <c r="I90" s="361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 spans="1:22" ht="15.75" customHeight="1">
      <c r="A91" s="371"/>
      <c r="B91" s="371"/>
      <c r="C91" s="371"/>
      <c r="D91" s="361"/>
      <c r="E91" s="372"/>
      <c r="F91" s="361"/>
      <c r="G91" s="361"/>
      <c r="H91" s="361"/>
      <c r="I91" s="361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</row>
    <row r="92" spans="1:22" ht="15.75" customHeight="1">
      <c r="A92" s="371"/>
      <c r="B92" s="371"/>
      <c r="C92" s="371"/>
      <c r="D92" s="361"/>
      <c r="E92" s="372"/>
      <c r="F92" s="361"/>
      <c r="G92" s="361"/>
      <c r="H92" s="361"/>
      <c r="I92" s="361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</row>
    <row r="93" spans="1:22" ht="15.75" customHeight="1">
      <c r="A93" s="19"/>
      <c r="B93" s="19"/>
      <c r="C93" s="19"/>
      <c r="D93" s="368"/>
      <c r="E93" s="278"/>
      <c r="F93" s="368"/>
      <c r="G93" s="368"/>
      <c r="H93" s="368"/>
      <c r="I93" s="368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 spans="1:22" ht="15.75" customHeight="1">
      <c r="A94" s="371"/>
      <c r="B94" s="371"/>
      <c r="C94" s="371"/>
      <c r="D94" s="368"/>
      <c r="E94" s="278"/>
      <c r="F94" s="368"/>
      <c r="G94" s="368"/>
      <c r="H94" s="368"/>
      <c r="I94" s="368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 spans="1:22" ht="15.75" customHeight="1">
      <c r="A95" s="371"/>
      <c r="B95" s="371"/>
      <c r="C95" s="371"/>
      <c r="D95" s="368"/>
      <c r="E95" s="278"/>
      <c r="F95" s="368"/>
      <c r="G95" s="368"/>
      <c r="H95" s="368"/>
      <c r="I95" s="368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</row>
    <row r="96" spans="1:22" ht="15.75" customHeight="1">
      <c r="A96" s="371"/>
      <c r="B96" s="371"/>
      <c r="C96" s="371"/>
      <c r="D96" s="368"/>
      <c r="E96" s="278"/>
      <c r="F96" s="368"/>
      <c r="G96" s="368"/>
      <c r="H96" s="368"/>
      <c r="I96" s="368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</row>
    <row r="97" spans="1:22" ht="15.75" customHeight="1">
      <c r="A97" s="371"/>
      <c r="B97" s="371"/>
      <c r="C97" s="371"/>
      <c r="D97" s="368"/>
      <c r="E97" s="278"/>
      <c r="F97" s="368"/>
      <c r="G97" s="368"/>
      <c r="H97" s="368"/>
      <c r="I97" s="368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</row>
    <row r="98" spans="1:22" ht="15.75" customHeight="1">
      <c r="A98" s="371"/>
      <c r="B98" s="371"/>
      <c r="C98" s="371"/>
      <c r="D98" s="368"/>
      <c r="E98" s="278"/>
      <c r="F98" s="368"/>
      <c r="G98" s="368"/>
      <c r="H98" s="368"/>
      <c r="I98" s="368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</row>
    <row r="99" spans="1:22" ht="15.75" customHeight="1">
      <c r="A99" s="371"/>
      <c r="B99" s="371"/>
      <c r="C99" s="371"/>
      <c r="D99" s="368"/>
      <c r="E99" s="278"/>
      <c r="F99" s="368"/>
      <c r="G99" s="368"/>
      <c r="H99" s="368"/>
      <c r="I99" s="368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</row>
    <row r="100" spans="1:22" ht="15.75" customHeight="1">
      <c r="A100" s="371"/>
      <c r="B100" s="371"/>
      <c r="C100" s="371"/>
      <c r="D100" s="368"/>
      <c r="E100" s="278"/>
      <c r="F100" s="368"/>
      <c r="G100" s="368"/>
      <c r="H100" s="368"/>
      <c r="I100" s="368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</row>
    <row r="101" spans="1:22" ht="15.75" customHeight="1">
      <c r="A101" s="19"/>
      <c r="B101" s="19"/>
      <c r="C101" s="19"/>
      <c r="D101" s="365"/>
      <c r="E101" s="279"/>
      <c r="F101" s="365"/>
      <c r="G101" s="365"/>
      <c r="H101" s="365"/>
      <c r="I101" s="365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</row>
    <row r="102" spans="1:22" ht="15.75" customHeight="1">
      <c r="A102" s="19"/>
      <c r="B102" s="19"/>
      <c r="C102" s="19"/>
      <c r="D102" s="365"/>
      <c r="E102" s="279"/>
      <c r="F102" s="365"/>
      <c r="G102" s="365"/>
      <c r="H102" s="365"/>
      <c r="I102" s="365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</row>
    <row r="103" spans="1:22" ht="15.75" customHeight="1">
      <c r="A103" s="19"/>
      <c r="B103" s="19"/>
      <c r="C103" s="19"/>
      <c r="D103" s="365"/>
      <c r="E103" s="279"/>
      <c r="F103" s="365"/>
      <c r="G103" s="365"/>
      <c r="H103" s="365"/>
      <c r="I103" s="365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</row>
    <row r="104" spans="1:22" ht="15.75" customHeight="1">
      <c r="A104" s="19"/>
      <c r="B104" s="19"/>
      <c r="C104" s="19"/>
      <c r="D104" s="365"/>
      <c r="E104" s="279"/>
      <c r="F104" s="365"/>
      <c r="G104" s="365"/>
      <c r="H104" s="365"/>
      <c r="I104" s="365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</row>
    <row r="105" spans="1:22" ht="15.75" customHeight="1">
      <c r="A105" s="19"/>
      <c r="B105" s="19"/>
      <c r="C105" s="19"/>
      <c r="D105" s="365"/>
      <c r="E105" s="279"/>
      <c r="F105" s="365"/>
      <c r="G105" s="365"/>
      <c r="H105" s="365"/>
      <c r="I105" s="365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</row>
    <row r="106" spans="1:22" ht="15.75" customHeight="1">
      <c r="A106" s="19"/>
      <c r="B106" s="19"/>
      <c r="C106" s="19"/>
      <c r="D106" s="365"/>
      <c r="E106" s="279"/>
      <c r="F106" s="160"/>
      <c r="G106" s="365"/>
      <c r="H106" s="365"/>
      <c r="I106" s="365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</row>
    <row r="107" spans="1:22" ht="15.75" customHeight="1">
      <c r="A107" s="19"/>
      <c r="B107" s="19"/>
      <c r="C107" s="19"/>
      <c r="D107" s="365"/>
      <c r="E107" s="279"/>
      <c r="F107" s="160"/>
      <c r="G107" s="365"/>
      <c r="H107" s="365"/>
      <c r="I107" s="365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</row>
    <row r="108" spans="1:22" ht="15.75" customHeight="1">
      <c r="A108" s="19"/>
      <c r="B108" s="19"/>
      <c r="C108" s="19"/>
      <c r="D108" s="365"/>
      <c r="E108" s="279"/>
      <c r="F108" s="160"/>
      <c r="G108" s="365"/>
      <c r="H108" s="365"/>
      <c r="I108" s="365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</row>
    <row r="109" spans="1:22" ht="15.75" customHeight="1">
      <c r="A109" s="19"/>
      <c r="B109" s="19"/>
      <c r="C109" s="19"/>
      <c r="D109" s="365"/>
      <c r="E109" s="279"/>
      <c r="F109" s="160"/>
      <c r="G109" s="365"/>
      <c r="H109" s="365"/>
      <c r="I109" s="365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</row>
    <row r="110" spans="1:22" ht="15.75" customHeight="1">
      <c r="A110" s="19"/>
      <c r="B110" s="19"/>
      <c r="C110" s="19"/>
      <c r="D110" s="365"/>
      <c r="E110" s="279"/>
      <c r="F110" s="365"/>
      <c r="G110" s="365"/>
      <c r="H110" s="365"/>
      <c r="I110" s="365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</row>
    <row r="111" spans="1:22" ht="15.75" customHeight="1">
      <c r="A111" s="19"/>
      <c r="B111" s="19"/>
      <c r="C111" s="19"/>
      <c r="D111" s="365"/>
      <c r="E111" s="279"/>
      <c r="F111" s="365"/>
      <c r="G111" s="365"/>
      <c r="H111" s="365"/>
      <c r="I111" s="365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spans="1:22" ht="15.75" customHeight="1">
      <c r="A112" s="19"/>
      <c r="B112" s="19"/>
      <c r="C112" s="19"/>
      <c r="D112" s="365"/>
      <c r="E112" s="279"/>
      <c r="F112" s="365"/>
      <c r="G112" s="365"/>
      <c r="H112" s="365"/>
      <c r="I112" s="365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</row>
    <row r="113" spans="1:22" ht="15.75" customHeight="1">
      <c r="A113" s="19"/>
      <c r="B113" s="19"/>
      <c r="C113" s="19"/>
      <c r="D113" s="365"/>
      <c r="E113" s="279"/>
      <c r="F113" s="365"/>
      <c r="G113" s="365"/>
      <c r="H113" s="365"/>
      <c r="I113" s="365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</row>
    <row r="114" spans="1:22" ht="15.75" customHeight="1">
      <c r="A114" s="19"/>
      <c r="B114" s="19"/>
      <c r="C114" s="19"/>
      <c r="D114" s="365"/>
      <c r="E114" s="279"/>
      <c r="F114" s="365"/>
      <c r="G114" s="365"/>
      <c r="H114" s="365"/>
      <c r="I114" s="365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</row>
    <row r="115" spans="1:22" ht="15.75" customHeight="1">
      <c r="A115" s="19"/>
      <c r="B115" s="19"/>
      <c r="C115" s="19"/>
      <c r="D115" s="160"/>
      <c r="E115" s="160"/>
      <c r="F115" s="160"/>
      <c r="G115" s="160"/>
      <c r="H115" s="160"/>
      <c r="I115" s="160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</row>
    <row r="116" spans="1:22" ht="15.75" customHeight="1">
      <c r="A116" s="19"/>
      <c r="B116" s="19"/>
      <c r="C116" s="19"/>
      <c r="D116" s="160"/>
      <c r="E116" s="160"/>
      <c r="F116" s="160"/>
      <c r="G116" s="160"/>
      <c r="H116" s="160"/>
      <c r="I116" s="160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</row>
    <row r="117" spans="1:22" ht="15.75" customHeight="1">
      <c r="A117" s="19"/>
      <c r="B117" s="19"/>
      <c r="C117" s="19"/>
      <c r="D117" s="160"/>
      <c r="E117" s="160"/>
      <c r="F117" s="160"/>
      <c r="G117" s="160"/>
      <c r="H117" s="160"/>
      <c r="I117" s="160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 spans="1:22" ht="15.75" customHeight="1">
      <c r="A118" s="19"/>
      <c r="B118" s="19"/>
      <c r="C118" s="19"/>
      <c r="D118" s="160"/>
      <c r="E118" s="160"/>
      <c r="F118" s="160"/>
      <c r="G118" s="160"/>
      <c r="H118" s="160"/>
      <c r="I118" s="160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</row>
    <row r="119" spans="1:22" ht="15.75" customHeight="1">
      <c r="A119" s="19"/>
      <c r="B119" s="19"/>
      <c r="C119" s="19"/>
      <c r="D119" s="160"/>
      <c r="E119" s="160"/>
      <c r="F119" s="160"/>
      <c r="G119" s="160"/>
      <c r="H119" s="160"/>
      <c r="I119" s="160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 spans="1:22" ht="15.75" customHeight="1">
      <c r="A120" s="19"/>
      <c r="B120" s="19"/>
      <c r="C120" s="19"/>
      <c r="D120" s="160"/>
      <c r="E120" s="160"/>
      <c r="F120" s="160"/>
      <c r="G120" s="160"/>
      <c r="H120" s="160"/>
      <c r="I120" s="160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</row>
    <row r="121" spans="1:22" ht="15.75" customHeight="1">
      <c r="A121" s="19"/>
      <c r="B121" s="19"/>
      <c r="C121" s="19"/>
      <c r="D121" s="160"/>
      <c r="E121" s="160"/>
      <c r="F121" s="160"/>
      <c r="G121" s="160"/>
      <c r="H121" s="160"/>
      <c r="I121" s="160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</row>
    <row r="122" spans="1:22" ht="15.75" customHeight="1">
      <c r="A122" s="19"/>
      <c r="B122" s="19"/>
      <c r="C122" s="19"/>
      <c r="D122" s="160"/>
      <c r="E122" s="160"/>
      <c r="F122" s="160"/>
      <c r="G122" s="160"/>
      <c r="H122" s="160"/>
      <c r="I122" s="160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</row>
    <row r="123" spans="1:22" ht="15.75" customHeight="1">
      <c r="A123" s="19"/>
      <c r="B123" s="19"/>
      <c r="C123" s="19"/>
      <c r="D123" s="160"/>
      <c r="E123" s="160"/>
      <c r="F123" s="160"/>
      <c r="G123" s="160"/>
      <c r="H123" s="160"/>
      <c r="I123" s="160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</row>
    <row r="124" spans="1:22" ht="15.75" customHeight="1">
      <c r="A124" s="19"/>
      <c r="B124" s="19"/>
      <c r="C124" s="19"/>
      <c r="D124" s="160"/>
      <c r="E124" s="160"/>
      <c r="F124" s="160"/>
      <c r="G124" s="160"/>
      <c r="H124" s="160"/>
      <c r="I124" s="160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</row>
    <row r="125" spans="1:22" ht="15.75" customHeight="1">
      <c r="A125" s="19"/>
      <c r="B125" s="19"/>
      <c r="C125" s="19"/>
      <c r="D125" s="160"/>
      <c r="E125" s="160"/>
      <c r="F125" s="160"/>
      <c r="G125" s="160"/>
      <c r="H125" s="160"/>
      <c r="I125" s="160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</row>
    <row r="126" spans="1:22" ht="15.75" customHeight="1">
      <c r="A126" s="19"/>
      <c r="B126" s="19"/>
      <c r="C126" s="19"/>
      <c r="D126" s="160"/>
      <c r="E126" s="160"/>
      <c r="F126" s="160"/>
      <c r="G126" s="160"/>
      <c r="H126" s="160"/>
      <c r="I126" s="160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</row>
    <row r="127" spans="1:22" ht="15.75" customHeight="1">
      <c r="A127" s="19"/>
      <c r="B127" s="19"/>
      <c r="C127" s="19"/>
      <c r="D127" s="160"/>
      <c r="E127" s="160"/>
      <c r="F127" s="160"/>
      <c r="G127" s="160"/>
      <c r="H127" s="160"/>
      <c r="I127" s="160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</row>
    <row r="128" spans="1:22" ht="15.75" customHeight="1">
      <c r="A128" s="19"/>
      <c r="B128" s="19"/>
      <c r="C128" s="19"/>
      <c r="D128" s="160"/>
      <c r="E128" s="160"/>
      <c r="F128" s="160"/>
      <c r="G128" s="160"/>
      <c r="H128" s="160"/>
      <c r="I128" s="160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</row>
    <row r="129" spans="1:22" ht="15.75" customHeight="1">
      <c r="A129" s="19"/>
      <c r="B129" s="19"/>
      <c r="C129" s="19"/>
      <c r="D129" s="160"/>
      <c r="E129" s="160"/>
      <c r="F129" s="160"/>
      <c r="G129" s="160"/>
      <c r="H129" s="160"/>
      <c r="I129" s="160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</row>
    <row r="130" spans="1:22" ht="15.75" customHeight="1">
      <c r="A130" s="19"/>
      <c r="B130" s="19"/>
      <c r="C130" s="19"/>
      <c r="D130" s="160"/>
      <c r="E130" s="160"/>
      <c r="F130" s="160"/>
      <c r="G130" s="160"/>
      <c r="H130" s="160"/>
      <c r="I130" s="160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</row>
    <row r="131" spans="1:22" ht="15.75" customHeight="1">
      <c r="A131" s="19"/>
      <c r="B131" s="19"/>
      <c r="C131" s="19"/>
      <c r="D131" s="160"/>
      <c r="E131" s="160"/>
      <c r="F131" s="160"/>
      <c r="G131" s="160"/>
      <c r="H131" s="160"/>
      <c r="I131" s="160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</row>
    <row r="132" spans="1:22" ht="15.75" customHeight="1">
      <c r="A132" s="19"/>
      <c r="B132" s="19"/>
      <c r="C132" s="19"/>
      <c r="D132" s="160"/>
      <c r="E132" s="160"/>
      <c r="F132" s="160"/>
      <c r="G132" s="160"/>
      <c r="H132" s="160"/>
      <c r="I132" s="160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</row>
    <row r="133" spans="1:22" ht="15.75" customHeight="1">
      <c r="A133" s="19"/>
      <c r="B133" s="19"/>
      <c r="C133" s="19"/>
      <c r="D133" s="160"/>
      <c r="E133" s="160"/>
      <c r="F133" s="160"/>
      <c r="G133" s="160"/>
      <c r="H133" s="160"/>
      <c r="I133" s="160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</row>
    <row r="134" spans="1:22" ht="15.75" customHeight="1">
      <c r="A134" s="19"/>
      <c r="B134" s="19"/>
      <c r="C134" s="19"/>
      <c r="D134" s="160"/>
      <c r="E134" s="160"/>
      <c r="F134" s="160"/>
      <c r="G134" s="160"/>
      <c r="H134" s="160"/>
      <c r="I134" s="160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</row>
    <row r="135" spans="1:22" ht="15.75" customHeight="1">
      <c r="A135" s="19"/>
      <c r="B135" s="19"/>
      <c r="C135" s="19"/>
      <c r="D135" s="160"/>
      <c r="E135" s="160"/>
      <c r="F135" s="160"/>
      <c r="G135" s="160"/>
      <c r="H135" s="160"/>
      <c r="I135" s="160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</row>
    <row r="136" spans="1:22" ht="15.75" customHeight="1">
      <c r="A136" s="19"/>
      <c r="B136" s="19"/>
      <c r="C136" s="19"/>
      <c r="D136" s="160"/>
      <c r="E136" s="160"/>
      <c r="F136" s="160"/>
      <c r="G136" s="160"/>
      <c r="H136" s="160"/>
      <c r="I136" s="160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</row>
    <row r="137" spans="1:22" ht="15.75" customHeight="1">
      <c r="A137" s="19"/>
      <c r="B137" s="19"/>
      <c r="C137" s="19"/>
      <c r="D137" s="160"/>
      <c r="E137" s="160"/>
      <c r="F137" s="160"/>
      <c r="G137" s="160"/>
      <c r="H137" s="160"/>
      <c r="I137" s="160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</row>
    <row r="138" spans="1:22" ht="15.75" customHeight="1">
      <c r="A138" s="19"/>
      <c r="B138" s="19"/>
      <c r="C138" s="19"/>
      <c r="D138" s="160"/>
      <c r="E138" s="160"/>
      <c r="F138" s="160"/>
      <c r="G138" s="160"/>
      <c r="H138" s="160"/>
      <c r="I138" s="160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</row>
    <row r="139" spans="1:22" ht="15.75" customHeight="1">
      <c r="A139" s="19"/>
      <c r="B139" s="19"/>
      <c r="C139" s="19"/>
      <c r="D139" s="160"/>
      <c r="E139" s="160"/>
      <c r="F139" s="160"/>
      <c r="G139" s="160"/>
      <c r="H139" s="160"/>
      <c r="I139" s="160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</row>
    <row r="140" spans="1:22" ht="15.75" customHeight="1">
      <c r="A140" s="19"/>
      <c r="B140" s="19"/>
      <c r="C140" s="19"/>
      <c r="D140" s="160"/>
      <c r="E140" s="160"/>
      <c r="F140" s="160"/>
      <c r="G140" s="160"/>
      <c r="H140" s="160"/>
      <c r="I140" s="160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</row>
    <row r="141" spans="1:22" ht="15.75" customHeight="1">
      <c r="A141" s="19"/>
      <c r="B141" s="19"/>
      <c r="C141" s="19"/>
      <c r="D141" s="160"/>
      <c r="E141" s="160"/>
      <c r="F141" s="160"/>
      <c r="G141" s="160"/>
      <c r="H141" s="160"/>
      <c r="I141" s="160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</row>
    <row r="142" spans="1:22" ht="15.75" customHeight="1">
      <c r="A142" s="19"/>
      <c r="B142" s="19"/>
      <c r="C142" s="19"/>
      <c r="D142" s="160"/>
      <c r="E142" s="160"/>
      <c r="F142" s="160"/>
      <c r="G142" s="160"/>
      <c r="H142" s="160"/>
      <c r="I142" s="160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</row>
    <row r="143" spans="1:22" ht="15.75" customHeight="1">
      <c r="A143" s="19"/>
      <c r="B143" s="19"/>
      <c r="C143" s="19"/>
      <c r="D143" s="160"/>
      <c r="E143" s="160"/>
      <c r="F143" s="160"/>
      <c r="G143" s="160"/>
      <c r="H143" s="160"/>
      <c r="I143" s="160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</row>
    <row r="144" spans="1:22" ht="15.75" customHeight="1">
      <c r="A144" s="19"/>
      <c r="B144" s="19"/>
      <c r="C144" s="19"/>
      <c r="D144" s="160"/>
      <c r="E144" s="160"/>
      <c r="F144" s="160"/>
      <c r="G144" s="160"/>
      <c r="H144" s="160"/>
      <c r="I144" s="160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</row>
    <row r="145" spans="1:22" ht="15.75" customHeight="1">
      <c r="A145" s="19"/>
      <c r="B145" s="19"/>
      <c r="C145" s="19"/>
      <c r="D145" s="160"/>
      <c r="E145" s="160"/>
      <c r="F145" s="160"/>
      <c r="G145" s="160"/>
      <c r="H145" s="160"/>
      <c r="I145" s="160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</row>
    <row r="146" spans="1:22" ht="15.75" customHeight="1">
      <c r="A146" s="19"/>
      <c r="B146" s="19"/>
      <c r="C146" s="19"/>
      <c r="D146" s="160"/>
      <c r="E146" s="160"/>
      <c r="F146" s="160"/>
      <c r="G146" s="160"/>
      <c r="H146" s="160"/>
      <c r="I146" s="160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</row>
    <row r="147" spans="1:22" ht="15.75" customHeight="1">
      <c r="A147" s="19"/>
      <c r="B147" s="19"/>
      <c r="C147" s="19"/>
      <c r="D147" s="160"/>
      <c r="E147" s="160"/>
      <c r="F147" s="160"/>
      <c r="G147" s="160"/>
      <c r="H147" s="160"/>
      <c r="I147" s="160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</row>
    <row r="148" spans="1:22" ht="15.75" customHeight="1">
      <c r="A148" s="19"/>
      <c r="B148" s="19"/>
      <c r="C148" s="19"/>
      <c r="D148" s="160"/>
      <c r="E148" s="160"/>
      <c r="F148" s="160"/>
      <c r="G148" s="160"/>
      <c r="H148" s="160"/>
      <c r="I148" s="160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</row>
    <row r="149" spans="1:22" ht="15.75" customHeight="1">
      <c r="A149" s="19"/>
      <c r="B149" s="19"/>
      <c r="C149" s="19"/>
      <c r="D149" s="160"/>
      <c r="E149" s="160"/>
      <c r="F149" s="160"/>
      <c r="G149" s="160"/>
      <c r="H149" s="160"/>
      <c r="I149" s="160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</row>
    <row r="150" spans="1:22" ht="15.75" customHeight="1">
      <c r="A150" s="19"/>
      <c r="B150" s="19"/>
      <c r="C150" s="19"/>
      <c r="D150" s="160"/>
      <c r="E150" s="160"/>
      <c r="F150" s="160"/>
      <c r="G150" s="160"/>
      <c r="H150" s="160"/>
      <c r="I150" s="160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</row>
    <row r="151" spans="1:22" ht="15.75" customHeight="1">
      <c r="A151" s="19"/>
      <c r="B151" s="19"/>
      <c r="C151" s="19"/>
      <c r="D151" s="160"/>
      <c r="E151" s="160"/>
      <c r="F151" s="160"/>
      <c r="G151" s="160"/>
      <c r="H151" s="160"/>
      <c r="I151" s="160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</row>
    <row r="152" spans="1:22" ht="15.75" customHeight="1">
      <c r="A152" s="19"/>
      <c r="B152" s="19"/>
      <c r="C152" s="19"/>
      <c r="D152" s="160"/>
      <c r="E152" s="160"/>
      <c r="F152" s="160"/>
      <c r="G152" s="160"/>
      <c r="H152" s="160"/>
      <c r="I152" s="160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</row>
    <row r="153" spans="1:22" ht="15.75" customHeight="1">
      <c r="A153" s="19"/>
      <c r="B153" s="19"/>
      <c r="C153" s="19"/>
      <c r="D153" s="160"/>
      <c r="E153" s="160"/>
      <c r="F153" s="160"/>
      <c r="G153" s="160"/>
      <c r="H153" s="160"/>
      <c r="I153" s="160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</row>
    <row r="154" spans="1:22" ht="15.75" customHeight="1">
      <c r="A154" s="19"/>
      <c r="B154" s="19"/>
      <c r="C154" s="19"/>
      <c r="D154" s="160"/>
      <c r="E154" s="160"/>
      <c r="F154" s="160"/>
      <c r="G154" s="160"/>
      <c r="H154" s="160"/>
      <c r="I154" s="160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</row>
    <row r="155" spans="1:22" ht="15.75" customHeight="1">
      <c r="A155" s="19"/>
      <c r="B155" s="19"/>
      <c r="C155" s="19"/>
      <c r="D155" s="160"/>
      <c r="E155" s="160"/>
      <c r="F155" s="160"/>
      <c r="G155" s="160"/>
      <c r="H155" s="160"/>
      <c r="I155" s="160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</row>
    <row r="156" spans="1:22" ht="15.75" customHeight="1">
      <c r="A156" s="19"/>
      <c r="B156" s="19"/>
      <c r="C156" s="19"/>
      <c r="D156" s="160"/>
      <c r="E156" s="160"/>
      <c r="F156" s="160"/>
      <c r="G156" s="160"/>
      <c r="H156" s="160"/>
      <c r="I156" s="160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</row>
    <row r="157" spans="1:22" ht="15.75" customHeight="1">
      <c r="A157" s="19"/>
      <c r="B157" s="19"/>
      <c r="C157" s="19"/>
      <c r="D157" s="160"/>
      <c r="E157" s="160"/>
      <c r="F157" s="160"/>
      <c r="G157" s="160"/>
      <c r="H157" s="160"/>
      <c r="I157" s="160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</row>
    <row r="158" spans="1:22" ht="15.75" customHeight="1">
      <c r="A158" s="19"/>
      <c r="B158" s="19"/>
      <c r="C158" s="19"/>
      <c r="D158" s="160"/>
      <c r="E158" s="160"/>
      <c r="F158" s="160"/>
      <c r="G158" s="160"/>
      <c r="H158" s="160"/>
      <c r="I158" s="160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</row>
    <row r="159" spans="1:22" ht="15.75" customHeight="1">
      <c r="A159" s="19"/>
      <c r="B159" s="19"/>
      <c r="C159" s="19"/>
      <c r="D159" s="160"/>
      <c r="E159" s="160"/>
      <c r="F159" s="160"/>
      <c r="G159" s="160"/>
      <c r="H159" s="160"/>
      <c r="I159" s="160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</row>
    <row r="160" spans="1:22" ht="15.75" customHeight="1">
      <c r="A160" s="19"/>
      <c r="B160" s="19"/>
      <c r="C160" s="19"/>
      <c r="D160" s="160"/>
      <c r="E160" s="160"/>
      <c r="F160" s="160"/>
      <c r="G160" s="160"/>
      <c r="H160" s="160"/>
      <c r="I160" s="160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</row>
    <row r="161" spans="1:22" ht="15.75" customHeight="1">
      <c r="A161" s="19"/>
      <c r="B161" s="19"/>
      <c r="C161" s="19"/>
      <c r="D161" s="160"/>
      <c r="E161" s="160"/>
      <c r="F161" s="160"/>
      <c r="G161" s="160"/>
      <c r="H161" s="160"/>
      <c r="I161" s="160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</row>
    <row r="162" spans="1:22" ht="15.75" customHeight="1">
      <c r="A162" s="19"/>
      <c r="B162" s="19"/>
      <c r="C162" s="19"/>
      <c r="D162" s="160"/>
      <c r="E162" s="160"/>
      <c r="F162" s="160"/>
      <c r="G162" s="160"/>
      <c r="H162" s="160"/>
      <c r="I162" s="160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</row>
    <row r="163" spans="1:22" ht="15.75" customHeight="1">
      <c r="A163" s="19"/>
      <c r="B163" s="19"/>
      <c r="C163" s="19"/>
      <c r="D163" s="160"/>
      <c r="E163" s="160"/>
      <c r="F163" s="160"/>
      <c r="G163" s="160"/>
      <c r="H163" s="160"/>
      <c r="I163" s="160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</row>
    <row r="164" spans="1:22" ht="15.75" customHeight="1">
      <c r="A164" s="19"/>
      <c r="B164" s="19"/>
      <c r="C164" s="19"/>
      <c r="D164" s="160"/>
      <c r="E164" s="160"/>
      <c r="F164" s="160"/>
      <c r="G164" s="160"/>
      <c r="H164" s="160"/>
      <c r="I164" s="160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</row>
    <row r="165" spans="1:22" ht="15.75" customHeight="1">
      <c r="A165" s="19"/>
      <c r="B165" s="19"/>
      <c r="C165" s="19"/>
      <c r="D165" s="160"/>
      <c r="E165" s="160"/>
      <c r="F165" s="160"/>
      <c r="G165" s="160"/>
      <c r="H165" s="160"/>
      <c r="I165" s="160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</row>
    <row r="166" spans="1:22" ht="15.75" customHeight="1">
      <c r="A166" s="19"/>
      <c r="B166" s="19"/>
      <c r="C166" s="19"/>
      <c r="D166" s="160"/>
      <c r="E166" s="160"/>
      <c r="F166" s="160"/>
      <c r="G166" s="160"/>
      <c r="H166" s="160"/>
      <c r="I166" s="160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</row>
    <row r="167" spans="1:22" ht="15.75" customHeight="1">
      <c r="A167" s="19"/>
      <c r="B167" s="19"/>
      <c r="C167" s="19"/>
      <c r="D167" s="160"/>
      <c r="E167" s="160"/>
      <c r="F167" s="160"/>
      <c r="G167" s="160"/>
      <c r="H167" s="160"/>
      <c r="I167" s="160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</row>
    <row r="168" spans="1:22" ht="15.75" customHeight="1">
      <c r="A168" s="19"/>
      <c r="B168" s="19"/>
      <c r="C168" s="19"/>
      <c r="D168" s="160"/>
      <c r="E168" s="160"/>
      <c r="F168" s="160"/>
      <c r="G168" s="160"/>
      <c r="H168" s="160"/>
      <c r="I168" s="160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</row>
    <row r="169" spans="1:22" ht="15.75" customHeight="1">
      <c r="A169" s="19"/>
      <c r="B169" s="19"/>
      <c r="C169" s="19"/>
      <c r="D169" s="160"/>
      <c r="E169" s="160"/>
      <c r="F169" s="160"/>
      <c r="G169" s="160"/>
      <c r="H169" s="160"/>
      <c r="I169" s="160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</row>
    <row r="170" spans="1:22" ht="15.75" customHeight="1">
      <c r="A170" s="19"/>
      <c r="B170" s="19"/>
      <c r="C170" s="19"/>
      <c r="D170" s="160"/>
      <c r="E170" s="160"/>
      <c r="F170" s="160"/>
      <c r="G170" s="160"/>
      <c r="H170" s="160"/>
      <c r="I170" s="160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</row>
    <row r="171" spans="1:22" ht="15.75" customHeight="1">
      <c r="A171" s="19"/>
      <c r="B171" s="19"/>
      <c r="C171" s="19"/>
      <c r="D171" s="160"/>
      <c r="E171" s="160"/>
      <c r="F171" s="160"/>
      <c r="G171" s="160"/>
      <c r="H171" s="160"/>
      <c r="I171" s="160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</row>
    <row r="172" spans="1:22" ht="15.75" customHeight="1">
      <c r="A172" s="19"/>
      <c r="B172" s="19"/>
      <c r="C172" s="19"/>
      <c r="D172" s="160"/>
      <c r="E172" s="160"/>
      <c r="F172" s="160"/>
      <c r="G172" s="160"/>
      <c r="H172" s="160"/>
      <c r="I172" s="160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</row>
    <row r="173" spans="1:22" ht="15.75" customHeight="1">
      <c r="A173" s="19"/>
      <c r="B173" s="19"/>
      <c r="C173" s="19"/>
      <c r="D173" s="160"/>
      <c r="E173" s="160"/>
      <c r="F173" s="160"/>
      <c r="G173" s="160"/>
      <c r="H173" s="160"/>
      <c r="I173" s="160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</row>
    <row r="174" spans="1:22" ht="15.75" customHeight="1">
      <c r="A174" s="19"/>
      <c r="B174" s="19"/>
      <c r="C174" s="19"/>
      <c r="D174" s="160"/>
      <c r="E174" s="160"/>
      <c r="F174" s="160"/>
      <c r="G174" s="160"/>
      <c r="H174" s="160"/>
      <c r="I174" s="160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</row>
    <row r="175" spans="1:22" ht="15.75" customHeight="1">
      <c r="A175" s="19"/>
      <c r="B175" s="19"/>
      <c r="C175" s="19"/>
      <c r="D175" s="160"/>
      <c r="E175" s="160"/>
      <c r="F175" s="160"/>
      <c r="G175" s="160"/>
      <c r="H175" s="160"/>
      <c r="I175" s="160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</row>
    <row r="176" spans="1:22" ht="15.75" customHeight="1">
      <c r="A176" s="19"/>
      <c r="B176" s="19"/>
      <c r="C176" s="19"/>
      <c r="D176" s="160"/>
      <c r="E176" s="160"/>
      <c r="F176" s="160"/>
      <c r="G176" s="160"/>
      <c r="H176" s="160"/>
      <c r="I176" s="160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</row>
    <row r="177" spans="1:22" ht="15.75" customHeight="1">
      <c r="A177" s="19"/>
      <c r="B177" s="19"/>
      <c r="C177" s="19"/>
      <c r="D177" s="160"/>
      <c r="E177" s="160"/>
      <c r="F177" s="160"/>
      <c r="G177" s="160"/>
      <c r="H177" s="160"/>
      <c r="I177" s="160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</row>
    <row r="178" spans="1:22" ht="15.75" customHeight="1">
      <c r="A178" s="19"/>
      <c r="B178" s="19"/>
      <c r="C178" s="19"/>
      <c r="D178" s="160"/>
      <c r="E178" s="160"/>
      <c r="F178" s="160"/>
      <c r="G178" s="160"/>
      <c r="H178" s="160"/>
      <c r="I178" s="160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</row>
    <row r="179" spans="1:22" ht="15.75" customHeight="1">
      <c r="A179" s="19"/>
      <c r="B179" s="19"/>
      <c r="C179" s="19"/>
      <c r="D179" s="160"/>
      <c r="E179" s="160"/>
      <c r="F179" s="160"/>
      <c r="G179" s="160"/>
      <c r="H179" s="160"/>
      <c r="I179" s="160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</row>
    <row r="180" spans="1:22" ht="15.75" customHeight="1">
      <c r="A180" s="19"/>
      <c r="B180" s="19"/>
      <c r="C180" s="19"/>
      <c r="D180" s="160"/>
      <c r="E180" s="160"/>
      <c r="F180" s="160"/>
      <c r="G180" s="160"/>
      <c r="H180" s="160"/>
      <c r="I180" s="160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</row>
    <row r="181" spans="1:22" ht="15.75" customHeight="1">
      <c r="A181" s="19"/>
      <c r="B181" s="19"/>
      <c r="C181" s="19"/>
      <c r="D181" s="160"/>
      <c r="E181" s="160"/>
      <c r="F181" s="160"/>
      <c r="G181" s="160"/>
      <c r="H181" s="160"/>
      <c r="I181" s="160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</row>
    <row r="182" spans="1:22" ht="15.75" customHeight="1">
      <c r="A182" s="19"/>
      <c r="B182" s="19"/>
      <c r="C182" s="19"/>
      <c r="D182" s="160"/>
      <c r="E182" s="160"/>
      <c r="F182" s="160"/>
      <c r="G182" s="160"/>
      <c r="H182" s="160"/>
      <c r="I182" s="160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</row>
    <row r="183" spans="1:22" ht="15.75" customHeight="1">
      <c r="A183" s="19"/>
      <c r="B183" s="19"/>
      <c r="C183" s="19"/>
      <c r="D183" s="160"/>
      <c r="E183" s="160"/>
      <c r="F183" s="160"/>
      <c r="G183" s="160"/>
      <c r="H183" s="160"/>
      <c r="I183" s="160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</row>
    <row r="184" spans="1:22" ht="15.75" customHeight="1">
      <c r="A184" s="19"/>
      <c r="B184" s="19"/>
      <c r="C184" s="19"/>
      <c r="D184" s="160"/>
      <c r="E184" s="160"/>
      <c r="F184" s="160"/>
      <c r="G184" s="160"/>
      <c r="H184" s="160"/>
      <c r="I184" s="160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</row>
    <row r="185" spans="1:22" ht="15.75" customHeight="1">
      <c r="A185" s="19"/>
      <c r="B185" s="19"/>
      <c r="C185" s="19"/>
      <c r="D185" s="160"/>
      <c r="E185" s="160"/>
      <c r="F185" s="160"/>
      <c r="G185" s="160"/>
      <c r="H185" s="160"/>
      <c r="I185" s="160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</row>
    <row r="186" spans="1:22" ht="15.75" customHeight="1">
      <c r="A186" s="19"/>
      <c r="B186" s="19"/>
      <c r="C186" s="19"/>
      <c r="D186" s="160"/>
      <c r="E186" s="160"/>
      <c r="F186" s="160"/>
      <c r="G186" s="160"/>
      <c r="H186" s="160"/>
      <c r="I186" s="160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</row>
    <row r="187" spans="1:22" ht="15.75" customHeight="1">
      <c r="A187" s="19"/>
      <c r="B187" s="19"/>
      <c r="C187" s="19"/>
      <c r="D187" s="160"/>
      <c r="E187" s="160"/>
      <c r="F187" s="160"/>
      <c r="G187" s="160"/>
      <c r="H187" s="160"/>
      <c r="I187" s="160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</row>
    <row r="188" spans="1:22" ht="15.75" customHeight="1">
      <c r="A188" s="19"/>
      <c r="B188" s="19"/>
      <c r="C188" s="19"/>
      <c r="D188" s="160"/>
      <c r="E188" s="160"/>
      <c r="F188" s="160"/>
      <c r="G188" s="160"/>
      <c r="H188" s="160"/>
      <c r="I188" s="160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</row>
    <row r="189" spans="1:22" ht="15.75" customHeight="1">
      <c r="A189" s="19"/>
      <c r="B189" s="19"/>
      <c r="C189" s="19"/>
      <c r="D189" s="160"/>
      <c r="E189" s="160"/>
      <c r="F189" s="160"/>
      <c r="G189" s="160"/>
      <c r="H189" s="160"/>
      <c r="I189" s="160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</row>
    <row r="190" spans="1:22" ht="15.75" customHeight="1">
      <c r="A190" s="19"/>
      <c r="B190" s="19"/>
      <c r="C190" s="19"/>
      <c r="D190" s="160"/>
      <c r="E190" s="160"/>
      <c r="F190" s="160"/>
      <c r="G190" s="160"/>
      <c r="H190" s="160"/>
      <c r="I190" s="160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</row>
    <row r="191" spans="1:22" ht="15.75" customHeight="1">
      <c r="A191" s="19"/>
      <c r="B191" s="19"/>
      <c r="C191" s="19"/>
      <c r="D191" s="160"/>
      <c r="E191" s="160"/>
      <c r="F191" s="160"/>
      <c r="G191" s="160"/>
      <c r="H191" s="160"/>
      <c r="I191" s="160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</row>
    <row r="192" spans="1:22" ht="15.75" customHeight="1">
      <c r="A192" s="19"/>
      <c r="B192" s="19"/>
      <c r="C192" s="19"/>
      <c r="D192" s="160"/>
      <c r="E192" s="160"/>
      <c r="F192" s="160"/>
      <c r="G192" s="160"/>
      <c r="H192" s="160"/>
      <c r="I192" s="160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</row>
    <row r="193" spans="1:22" ht="15.75" customHeight="1">
      <c r="A193" s="19"/>
      <c r="B193" s="19"/>
      <c r="C193" s="19"/>
      <c r="D193" s="160"/>
      <c r="E193" s="160"/>
      <c r="F193" s="160"/>
      <c r="G193" s="160"/>
      <c r="H193" s="160"/>
      <c r="I193" s="160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</row>
    <row r="194" spans="1:22" ht="15.75" customHeight="1">
      <c r="A194" s="19"/>
      <c r="B194" s="19"/>
      <c r="C194" s="19"/>
      <c r="D194" s="160"/>
      <c r="E194" s="160"/>
      <c r="F194" s="160"/>
      <c r="G194" s="160"/>
      <c r="H194" s="160"/>
      <c r="I194" s="160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</row>
    <row r="195" spans="1:22" ht="15.75" customHeight="1">
      <c r="A195" s="19"/>
      <c r="B195" s="19"/>
      <c r="C195" s="19"/>
      <c r="D195" s="160"/>
      <c r="E195" s="160"/>
      <c r="F195" s="160"/>
      <c r="G195" s="160"/>
      <c r="H195" s="160"/>
      <c r="I195" s="160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</row>
    <row r="196" spans="1:22" ht="15.75" customHeight="1">
      <c r="A196" s="19"/>
      <c r="B196" s="19"/>
      <c r="C196" s="19"/>
      <c r="D196" s="160"/>
      <c r="E196" s="160"/>
      <c r="F196" s="160"/>
      <c r="G196" s="160"/>
      <c r="H196" s="160"/>
      <c r="I196" s="160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</row>
    <row r="197" spans="1:22" ht="15.75" customHeight="1">
      <c r="A197" s="19"/>
      <c r="B197" s="19"/>
      <c r="C197" s="19"/>
      <c r="D197" s="160"/>
      <c r="E197" s="160"/>
      <c r="F197" s="160"/>
      <c r="G197" s="160"/>
      <c r="H197" s="160"/>
      <c r="I197" s="160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</row>
    <row r="198" spans="1:22" ht="15.75" customHeight="1">
      <c r="A198" s="19"/>
      <c r="B198" s="19"/>
      <c r="C198" s="19"/>
      <c r="D198" s="160"/>
      <c r="E198" s="160"/>
      <c r="F198" s="160"/>
      <c r="G198" s="160"/>
      <c r="H198" s="160"/>
      <c r="I198" s="160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</row>
    <row r="199" spans="1:22" ht="15.75" customHeight="1">
      <c r="A199" s="19"/>
      <c r="B199" s="19"/>
      <c r="C199" s="19"/>
      <c r="D199" s="160"/>
      <c r="E199" s="160"/>
      <c r="F199" s="160"/>
      <c r="G199" s="160"/>
      <c r="H199" s="160"/>
      <c r="I199" s="160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</row>
    <row r="200" spans="1:22" ht="15.75" customHeight="1">
      <c r="A200" s="19"/>
      <c r="B200" s="19"/>
      <c r="C200" s="19"/>
      <c r="D200" s="160"/>
      <c r="E200" s="160"/>
      <c r="F200" s="160"/>
      <c r="G200" s="160"/>
      <c r="H200" s="160"/>
      <c r="I200" s="160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</row>
    <row r="201" spans="1:22" ht="15.75" customHeight="1">
      <c r="A201" s="19"/>
      <c r="B201" s="19"/>
      <c r="C201" s="19"/>
      <c r="D201" s="160"/>
      <c r="E201" s="160"/>
      <c r="F201" s="160"/>
      <c r="G201" s="160"/>
      <c r="H201" s="160"/>
      <c r="I201" s="160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</row>
    <row r="202" spans="1:22" ht="15.75" customHeight="1">
      <c r="A202" s="19"/>
      <c r="B202" s="19"/>
      <c r="C202" s="19"/>
      <c r="D202" s="160"/>
      <c r="E202" s="160"/>
      <c r="F202" s="160"/>
      <c r="G202" s="160"/>
      <c r="H202" s="160"/>
      <c r="I202" s="160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</row>
    <row r="203" spans="1:22" ht="15.75" customHeight="1">
      <c r="A203" s="19"/>
      <c r="B203" s="19"/>
      <c r="C203" s="19"/>
      <c r="D203" s="160"/>
      <c r="E203" s="160"/>
      <c r="F203" s="160"/>
      <c r="G203" s="160"/>
      <c r="H203" s="160"/>
      <c r="I203" s="160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</row>
    <row r="204" spans="1:22" ht="15.75" customHeight="1">
      <c r="A204" s="19"/>
      <c r="B204" s="19"/>
      <c r="C204" s="19"/>
      <c r="D204" s="160"/>
      <c r="E204" s="160"/>
      <c r="F204" s="160"/>
      <c r="G204" s="160"/>
      <c r="H204" s="160"/>
      <c r="I204" s="160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</row>
    <row r="205" spans="1:22" ht="15.75" customHeight="1">
      <c r="A205" s="19"/>
      <c r="B205" s="19"/>
      <c r="C205" s="19"/>
      <c r="D205" s="160"/>
      <c r="E205" s="160"/>
      <c r="F205" s="160"/>
      <c r="G205" s="160"/>
      <c r="H205" s="160"/>
      <c r="I205" s="160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</row>
    <row r="206" spans="1:22" ht="15.75" customHeight="1">
      <c r="A206" s="19"/>
      <c r="B206" s="19"/>
      <c r="C206" s="19"/>
      <c r="D206" s="160"/>
      <c r="E206" s="160"/>
      <c r="F206" s="160"/>
      <c r="G206" s="160"/>
      <c r="H206" s="160"/>
      <c r="I206" s="160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</row>
    <row r="207" spans="1:22" ht="15.75" customHeight="1">
      <c r="A207" s="19"/>
      <c r="B207" s="19"/>
      <c r="C207" s="19"/>
      <c r="D207" s="160"/>
      <c r="E207" s="160"/>
      <c r="F207" s="160"/>
      <c r="G207" s="160"/>
      <c r="H207" s="160"/>
      <c r="I207" s="160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</row>
    <row r="208" spans="1:22" ht="15.75" customHeight="1">
      <c r="A208" s="19"/>
      <c r="B208" s="19"/>
      <c r="C208" s="19"/>
      <c r="D208" s="160"/>
      <c r="E208" s="160"/>
      <c r="F208" s="160"/>
      <c r="G208" s="160"/>
      <c r="H208" s="160"/>
      <c r="I208" s="160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</row>
    <row r="209" spans="1:22" ht="15.75" customHeight="1">
      <c r="A209" s="19"/>
      <c r="B209" s="19"/>
      <c r="C209" s="19"/>
      <c r="D209" s="160"/>
      <c r="E209" s="160"/>
      <c r="F209" s="160"/>
      <c r="G209" s="160"/>
      <c r="H209" s="160"/>
      <c r="I209" s="160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</row>
    <row r="210" spans="1:22" ht="15.75" customHeight="1">
      <c r="A210" s="19"/>
      <c r="B210" s="19"/>
      <c r="C210" s="19"/>
      <c r="D210" s="160"/>
      <c r="E210" s="160"/>
      <c r="F210" s="160"/>
      <c r="G210" s="160"/>
      <c r="H210" s="160"/>
      <c r="I210" s="160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</row>
    <row r="211" spans="1:22" ht="15.75" customHeight="1">
      <c r="A211" s="19"/>
      <c r="B211" s="19"/>
      <c r="C211" s="19"/>
      <c r="D211" s="160"/>
      <c r="E211" s="160"/>
      <c r="F211" s="160"/>
      <c r="G211" s="160"/>
      <c r="H211" s="160"/>
      <c r="I211" s="160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</row>
    <row r="212" spans="1:22" ht="15.75" customHeight="1">
      <c r="A212" s="19"/>
      <c r="B212" s="19"/>
      <c r="C212" s="19"/>
      <c r="D212" s="160"/>
      <c r="E212" s="160"/>
      <c r="F212" s="160"/>
      <c r="G212" s="160"/>
      <c r="H212" s="160"/>
      <c r="I212" s="160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</row>
    <row r="213" spans="1:22" ht="15.75" customHeight="1">
      <c r="A213" s="19"/>
      <c r="B213" s="19"/>
      <c r="C213" s="19"/>
      <c r="D213" s="160"/>
      <c r="E213" s="160"/>
      <c r="F213" s="160"/>
      <c r="G213" s="160"/>
      <c r="H213" s="160"/>
      <c r="I213" s="160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</row>
    <row r="214" spans="1:22" ht="15.75" customHeight="1">
      <c r="A214" s="19"/>
      <c r="B214" s="19"/>
      <c r="C214" s="19"/>
      <c r="D214" s="160"/>
      <c r="E214" s="160"/>
      <c r="F214" s="160"/>
      <c r="G214" s="160"/>
      <c r="H214" s="160"/>
      <c r="I214" s="160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</row>
    <row r="215" spans="1:22" ht="15.75" customHeight="1">
      <c r="A215" s="19"/>
      <c r="B215" s="19"/>
      <c r="C215" s="19"/>
      <c r="D215" s="160"/>
      <c r="E215" s="160"/>
      <c r="F215" s="160"/>
      <c r="G215" s="160"/>
      <c r="H215" s="160"/>
      <c r="I215" s="160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</row>
    <row r="216" spans="1:22" ht="15.75" customHeight="1">
      <c r="A216" s="19"/>
      <c r="B216" s="19"/>
      <c r="C216" s="19"/>
      <c r="D216" s="160"/>
      <c r="E216" s="160"/>
      <c r="F216" s="160"/>
      <c r="G216" s="160"/>
      <c r="H216" s="160"/>
      <c r="I216" s="160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</row>
    <row r="217" spans="1:22" ht="15.75" customHeight="1">
      <c r="A217" s="19"/>
      <c r="B217" s="19"/>
      <c r="C217" s="19"/>
      <c r="D217" s="160"/>
      <c r="E217" s="160"/>
      <c r="F217" s="160"/>
      <c r="G217" s="160"/>
      <c r="H217" s="160"/>
      <c r="I217" s="160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</row>
    <row r="218" spans="1:22" ht="15.75" customHeight="1">
      <c r="A218" s="19"/>
      <c r="B218" s="19"/>
      <c r="C218" s="19"/>
      <c r="D218" s="160"/>
      <c r="E218" s="160"/>
      <c r="F218" s="160"/>
      <c r="G218" s="160"/>
      <c r="H218" s="160"/>
      <c r="I218" s="160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</row>
    <row r="219" spans="1:22" ht="15.75" customHeight="1">
      <c r="A219" s="19"/>
      <c r="B219" s="19"/>
      <c r="C219" s="19"/>
      <c r="D219" s="160"/>
      <c r="E219" s="160"/>
      <c r="F219" s="160"/>
      <c r="G219" s="160"/>
      <c r="H219" s="160"/>
      <c r="I219" s="160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</row>
    <row r="220" spans="1:22" ht="15.75" customHeight="1">
      <c r="A220" s="19"/>
      <c r="B220" s="19"/>
      <c r="C220" s="19"/>
      <c r="D220" s="160"/>
      <c r="E220" s="160"/>
      <c r="F220" s="160"/>
      <c r="G220" s="160"/>
      <c r="H220" s="160"/>
      <c r="I220" s="160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</row>
    <row r="221" spans="1:22" ht="15.75" customHeight="1"/>
    <row r="222" spans="1:22" ht="15.75" customHeight="1"/>
    <row r="223" spans="1:22" ht="15.75" customHeight="1"/>
    <row r="224" spans="1:2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F77:F81"/>
  </mergeCells>
  <phoneticPr fontId="91" type="noConversion"/>
  <dataValidations count="1">
    <dataValidation type="list" allowBlank="1" showErrorMessage="1" sqref="B2" xr:uid="{00000000-0002-0000-0F00-000000000000}">
      <formula1>$D$2:$D$92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H1000"/>
  <sheetViews>
    <sheetView workbookViewId="0"/>
  </sheetViews>
  <sheetFormatPr defaultColWidth="12.5703125" defaultRowHeight="15" customHeight="1"/>
  <cols>
    <col min="1" max="8" width="9.5703125" customWidth="1"/>
    <col min="9" max="26" width="11" customWidth="1"/>
  </cols>
  <sheetData>
    <row r="1" spans="1:8" ht="15.75" customHeight="1">
      <c r="A1" s="132" t="s">
        <v>1395</v>
      </c>
      <c r="B1" s="132" t="s">
        <v>1396</v>
      </c>
      <c r="C1" s="132" t="s">
        <v>1397</v>
      </c>
      <c r="D1" s="132" t="s">
        <v>1398</v>
      </c>
      <c r="E1" s="132" t="s">
        <v>1399</v>
      </c>
      <c r="F1" s="132" t="s">
        <v>1400</v>
      </c>
      <c r="G1" s="132" t="s">
        <v>1401</v>
      </c>
      <c r="H1" s="132" t="s">
        <v>1402</v>
      </c>
    </row>
    <row r="2" spans="1:8" ht="15.75" customHeight="1">
      <c r="A2" s="374">
        <v>45782.729791666665</v>
      </c>
      <c r="B2" s="374">
        <v>45782.729791666665</v>
      </c>
      <c r="C2" s="132" t="s">
        <v>1403</v>
      </c>
      <c r="D2" s="132" t="s">
        <v>1404</v>
      </c>
      <c r="E2" s="132" t="s">
        <v>1405</v>
      </c>
      <c r="G2" s="132" t="b">
        <v>0</v>
      </c>
      <c r="H2" s="132">
        <v>0</v>
      </c>
    </row>
    <row r="3" spans="1:8" ht="15.75" customHeight="1">
      <c r="A3" s="374">
        <v>45782.730011574073</v>
      </c>
      <c r="B3" s="374">
        <v>45782.730011574073</v>
      </c>
      <c r="C3" s="132" t="s">
        <v>1403</v>
      </c>
      <c r="D3" s="132" t="s">
        <v>1404</v>
      </c>
      <c r="E3" s="132" t="s">
        <v>1406</v>
      </c>
      <c r="H3" s="132">
        <v>0</v>
      </c>
    </row>
    <row r="4" spans="1:8" ht="15.75" customHeight="1">
      <c r="A4" s="374">
        <v>45782.730405092596</v>
      </c>
      <c r="B4" s="374">
        <v>45782.730405092596</v>
      </c>
      <c r="C4" s="132" t="s">
        <v>1403</v>
      </c>
      <c r="D4" s="132" t="s">
        <v>1404</v>
      </c>
      <c r="E4" s="132" t="s">
        <v>1407</v>
      </c>
      <c r="G4" s="132" t="s">
        <v>1027</v>
      </c>
      <c r="H4" s="132">
        <v>0</v>
      </c>
    </row>
    <row r="5" spans="1:8" ht="15.75" customHeight="1">
      <c r="A5" s="374">
        <v>45782.730416666665</v>
      </c>
      <c r="B5" s="374">
        <v>45782.730416666665</v>
      </c>
      <c r="C5" s="132" t="s">
        <v>1403</v>
      </c>
      <c r="D5" s="132" t="s">
        <v>1404</v>
      </c>
      <c r="E5" s="132" t="s">
        <v>1408</v>
      </c>
      <c r="G5" s="132" t="s">
        <v>113</v>
      </c>
      <c r="H5" s="132">
        <v>0</v>
      </c>
    </row>
    <row r="6" spans="1:8" ht="15.75" customHeight="1">
      <c r="A6" s="374">
        <v>45782.730555555558</v>
      </c>
      <c r="B6" s="374">
        <v>45782.730555555558</v>
      </c>
      <c r="C6" s="132" t="s">
        <v>1403</v>
      </c>
      <c r="D6" s="132" t="s">
        <v>1404</v>
      </c>
      <c r="E6" s="132" t="s">
        <v>1409</v>
      </c>
      <c r="H6" s="132">
        <v>0</v>
      </c>
    </row>
    <row r="7" spans="1:8" ht="15.75" customHeight="1">
      <c r="A7" s="374">
        <v>45783.461446759262</v>
      </c>
      <c r="B7" s="374">
        <v>45783.461446759262</v>
      </c>
      <c r="C7" s="132" t="s">
        <v>1410</v>
      </c>
      <c r="D7" s="132" t="s">
        <v>1404</v>
      </c>
      <c r="E7" s="132" t="s">
        <v>1411</v>
      </c>
      <c r="F7" s="132" t="s">
        <v>1412</v>
      </c>
      <c r="G7" s="132" t="s">
        <v>82</v>
      </c>
      <c r="H7" s="132">
        <v>0</v>
      </c>
    </row>
    <row r="8" spans="1:8" ht="15.75" customHeight="1">
      <c r="A8" s="374">
        <v>45783.462326388886</v>
      </c>
      <c r="B8" s="374">
        <v>45783.462326388886</v>
      </c>
      <c r="C8" s="132" t="s">
        <v>1410</v>
      </c>
      <c r="D8" s="132" t="s">
        <v>1404</v>
      </c>
      <c r="E8" s="132" t="s">
        <v>1413</v>
      </c>
      <c r="G8" s="132" t="s">
        <v>1027</v>
      </c>
      <c r="H8" s="132">
        <v>0</v>
      </c>
    </row>
    <row r="9" spans="1:8" ht="15.75" customHeight="1">
      <c r="A9" s="374">
        <v>45783.462372685186</v>
      </c>
      <c r="B9" s="374">
        <v>45783.462372685186</v>
      </c>
      <c r="C9" s="132" t="s">
        <v>1410</v>
      </c>
      <c r="D9" s="132" t="s">
        <v>1404</v>
      </c>
      <c r="E9" s="132" t="s">
        <v>1413</v>
      </c>
      <c r="F9" s="132" t="s">
        <v>1027</v>
      </c>
      <c r="G9" s="132" t="s">
        <v>153</v>
      </c>
      <c r="H9" s="132">
        <v>0</v>
      </c>
    </row>
    <row r="10" spans="1:8" ht="15.75" customHeight="1">
      <c r="A10" s="374">
        <v>45783.462407407409</v>
      </c>
      <c r="B10" s="374">
        <v>45783.462407407409</v>
      </c>
      <c r="C10" s="132" t="s">
        <v>1410</v>
      </c>
      <c r="D10" s="132" t="s">
        <v>1404</v>
      </c>
      <c r="E10" s="132" t="s">
        <v>1413</v>
      </c>
      <c r="F10" s="132" t="s">
        <v>153</v>
      </c>
      <c r="G10" s="132" t="s">
        <v>159</v>
      </c>
      <c r="H10" s="132">
        <v>0</v>
      </c>
    </row>
    <row r="11" spans="1:8" ht="15.75" customHeight="1">
      <c r="A11" s="374">
        <v>45783.462418981479</v>
      </c>
      <c r="B11" s="374">
        <v>45783.462418981479</v>
      </c>
      <c r="C11" s="132" t="s">
        <v>1410</v>
      </c>
      <c r="D11" s="132" t="s">
        <v>1404</v>
      </c>
      <c r="E11" s="132" t="s">
        <v>1414</v>
      </c>
      <c r="G11" s="132" t="s">
        <v>160</v>
      </c>
      <c r="H11" s="132">
        <v>0</v>
      </c>
    </row>
    <row r="12" spans="1:8" ht="15.75" customHeight="1">
      <c r="A12" s="374">
        <v>45783.616851851853</v>
      </c>
      <c r="B12" s="374">
        <v>45783.616851851853</v>
      </c>
      <c r="C12" s="132" t="s">
        <v>1410</v>
      </c>
      <c r="D12" s="132" t="s">
        <v>1404</v>
      </c>
      <c r="E12" s="132" t="s">
        <v>1415</v>
      </c>
      <c r="H12" s="132">
        <v>0</v>
      </c>
    </row>
    <row r="13" spans="1:8" ht="15.75" customHeight="1">
      <c r="A13" s="374">
        <v>45783.616863425923</v>
      </c>
      <c r="B13" s="374">
        <v>45783.616863425923</v>
      </c>
      <c r="C13" s="132" t="s">
        <v>1410</v>
      </c>
      <c r="D13" s="132" t="s">
        <v>1404</v>
      </c>
      <c r="E13" s="132" t="s">
        <v>1416</v>
      </c>
      <c r="H13" s="132">
        <v>0</v>
      </c>
    </row>
    <row r="14" spans="1:8" ht="15.75" customHeight="1">
      <c r="A14" s="374">
        <v>45783.670717592591</v>
      </c>
      <c r="B14" s="374">
        <v>45783.670717592591</v>
      </c>
      <c r="C14" s="132" t="s">
        <v>1410</v>
      </c>
      <c r="D14" s="132" t="s">
        <v>1404</v>
      </c>
      <c r="E14" s="132" t="s">
        <v>1417</v>
      </c>
      <c r="G14" s="132" t="s">
        <v>1418</v>
      </c>
      <c r="H14" s="132">
        <v>0</v>
      </c>
    </row>
    <row r="15" spans="1:8" ht="15.75" customHeight="1">
      <c r="A15" s="374">
        <v>45783.670775462961</v>
      </c>
      <c r="B15" s="374">
        <v>45783.670775462961</v>
      </c>
      <c r="C15" s="132" t="s">
        <v>1410</v>
      </c>
      <c r="D15" s="132" t="s">
        <v>1404</v>
      </c>
      <c r="E15" s="132" t="s">
        <v>1419</v>
      </c>
      <c r="G15" s="132" t="s">
        <v>118</v>
      </c>
      <c r="H15" s="132">
        <v>0</v>
      </c>
    </row>
    <row r="16" spans="1:8" ht="15.75" customHeight="1">
      <c r="A16" s="374">
        <v>45783.671111111114</v>
      </c>
      <c r="B16" s="374">
        <v>45783.671111111114</v>
      </c>
      <c r="C16" s="132" t="s">
        <v>1410</v>
      </c>
      <c r="D16" s="132" t="s">
        <v>1404</v>
      </c>
      <c r="E16" s="132" t="s">
        <v>1420</v>
      </c>
      <c r="H16" s="132">
        <v>0</v>
      </c>
    </row>
    <row r="17" spans="1:8" ht="15.75" customHeight="1">
      <c r="A17" s="374">
        <v>45783.67114583333</v>
      </c>
      <c r="B17" s="374">
        <v>45783.67114583333</v>
      </c>
      <c r="C17" s="132" t="s">
        <v>1410</v>
      </c>
      <c r="D17" s="132" t="s">
        <v>1404</v>
      </c>
      <c r="E17" s="132" t="s">
        <v>1421</v>
      </c>
      <c r="H17" s="132">
        <v>0</v>
      </c>
    </row>
    <row r="18" spans="1:8" ht="15.75" customHeight="1">
      <c r="A18" s="374">
        <v>45783.671215277776</v>
      </c>
      <c r="B18" s="374">
        <v>45783.671215277776</v>
      </c>
      <c r="C18" s="132" t="s">
        <v>1410</v>
      </c>
      <c r="D18" s="132" t="s">
        <v>1404</v>
      </c>
      <c r="E18" s="132" t="s">
        <v>1421</v>
      </c>
      <c r="G18" s="132" t="s">
        <v>168</v>
      </c>
      <c r="H18" s="132">
        <v>0</v>
      </c>
    </row>
    <row r="19" spans="1:8" ht="15.75" customHeight="1">
      <c r="A19" s="374">
        <v>45783.671238425923</v>
      </c>
      <c r="B19" s="374">
        <v>45783.671238425923</v>
      </c>
      <c r="C19" s="132" t="s">
        <v>1410</v>
      </c>
      <c r="D19" s="132" t="s">
        <v>1404</v>
      </c>
      <c r="E19" s="132" t="s">
        <v>1420</v>
      </c>
      <c r="G19" s="132" t="s">
        <v>1422</v>
      </c>
      <c r="H19" s="132">
        <v>0</v>
      </c>
    </row>
    <row r="20" spans="1:8" ht="15.75" customHeight="1">
      <c r="A20" s="374">
        <v>45783.671678240738</v>
      </c>
      <c r="B20" s="374">
        <v>45783.671678240738</v>
      </c>
      <c r="C20" s="132" t="s">
        <v>1410</v>
      </c>
      <c r="D20" s="132" t="s">
        <v>1404</v>
      </c>
      <c r="E20" s="132" t="s">
        <v>1423</v>
      </c>
      <c r="F20" s="132" t="b">
        <v>0</v>
      </c>
      <c r="G20" s="132" t="b">
        <v>1</v>
      </c>
      <c r="H20" s="132">
        <v>0</v>
      </c>
    </row>
    <row r="21" spans="1:8" ht="15.75" customHeight="1">
      <c r="A21" s="374">
        <v>45783.673796296294</v>
      </c>
      <c r="B21" s="374">
        <v>45783.673796296294</v>
      </c>
      <c r="C21" s="132" t="s">
        <v>1410</v>
      </c>
      <c r="D21" s="132" t="s">
        <v>1404</v>
      </c>
      <c r="E21" s="132" t="s">
        <v>1424</v>
      </c>
      <c r="G21" s="132" t="s">
        <v>1077</v>
      </c>
      <c r="H21" s="132">
        <v>0</v>
      </c>
    </row>
    <row r="22" spans="1:8" ht="15.75" customHeight="1">
      <c r="A22" s="374">
        <v>45783.675821759258</v>
      </c>
      <c r="B22" s="374">
        <v>45783.675821759258</v>
      </c>
      <c r="C22" s="132" t="s">
        <v>1410</v>
      </c>
      <c r="D22" s="132" t="s">
        <v>1404</v>
      </c>
      <c r="E22" s="132" t="s">
        <v>1425</v>
      </c>
      <c r="H22" s="132">
        <v>0</v>
      </c>
    </row>
    <row r="23" spans="1:8" ht="15.75" customHeight="1">
      <c r="A23" s="374">
        <v>45783.67695601852</v>
      </c>
      <c r="B23" s="374">
        <v>45783.67695601852</v>
      </c>
      <c r="C23" s="132" t="s">
        <v>1410</v>
      </c>
      <c r="D23" s="132" t="s">
        <v>1404</v>
      </c>
      <c r="E23" s="132" t="s">
        <v>1426</v>
      </c>
      <c r="H23" s="132">
        <v>0</v>
      </c>
    </row>
    <row r="24" spans="1:8" ht="15.75" customHeight="1">
      <c r="A24" s="374">
        <v>45783.677025462966</v>
      </c>
      <c r="B24" s="374">
        <v>45783.677025462966</v>
      </c>
      <c r="C24" s="132" t="s">
        <v>1410</v>
      </c>
      <c r="D24" s="132" t="s">
        <v>1404</v>
      </c>
      <c r="E24" s="132" t="s">
        <v>1427</v>
      </c>
      <c r="H24" s="132">
        <v>0</v>
      </c>
    </row>
    <row r="25" spans="1:8" ht="15.75" customHeight="1">
      <c r="A25" s="374">
        <v>45783.677060185182</v>
      </c>
      <c r="B25" s="374">
        <v>45783.677060185182</v>
      </c>
      <c r="C25" s="132" t="s">
        <v>1410</v>
      </c>
      <c r="D25" s="132" t="s">
        <v>1404</v>
      </c>
      <c r="E25" s="132" t="s">
        <v>1428</v>
      </c>
      <c r="H25" s="132">
        <v>0</v>
      </c>
    </row>
    <row r="26" spans="1:8" ht="15.75" customHeight="1">
      <c r="A26" s="374">
        <v>45783.679745370369</v>
      </c>
      <c r="B26" s="374">
        <v>45783.679745370369</v>
      </c>
      <c r="C26" s="132" t="s">
        <v>1410</v>
      </c>
      <c r="D26" s="132" t="s">
        <v>1404</v>
      </c>
      <c r="E26" s="132" t="s">
        <v>1429</v>
      </c>
      <c r="H26" s="132">
        <v>0</v>
      </c>
    </row>
    <row r="27" spans="1:8" ht="15.75" customHeight="1">
      <c r="A27" s="374">
        <v>45783.679756944446</v>
      </c>
      <c r="B27" s="374">
        <v>45783.679756944446</v>
      </c>
      <c r="C27" s="132" t="s">
        <v>1410</v>
      </c>
      <c r="D27" s="132" t="s">
        <v>1404</v>
      </c>
      <c r="E27" s="132" t="s">
        <v>1430</v>
      </c>
      <c r="H27" s="132">
        <v>0</v>
      </c>
    </row>
    <row r="28" spans="1:8" ht="15.75" customHeight="1">
      <c r="A28" s="374">
        <v>45783.793877314813</v>
      </c>
      <c r="B28" s="374">
        <v>45783.793877314813</v>
      </c>
      <c r="C28" s="132" t="s">
        <v>1410</v>
      </c>
      <c r="D28" s="132" t="s">
        <v>1404</v>
      </c>
      <c r="E28" s="132" t="s">
        <v>1431</v>
      </c>
      <c r="G28" s="132" t="s">
        <v>691</v>
      </c>
      <c r="H28" s="132">
        <v>0</v>
      </c>
    </row>
    <row r="29" spans="1:8" ht="15.75" customHeight="1">
      <c r="A29" s="374">
        <v>45783.793877314813</v>
      </c>
      <c r="B29" s="374">
        <v>45783.793877314813</v>
      </c>
      <c r="C29" s="132" t="s">
        <v>1410</v>
      </c>
      <c r="D29" s="132" t="s">
        <v>1404</v>
      </c>
      <c r="E29" s="132" t="s">
        <v>1432</v>
      </c>
      <c r="H29" s="132">
        <v>0</v>
      </c>
    </row>
    <row r="30" spans="1:8" ht="15.75" customHeight="1">
      <c r="A30" s="374">
        <v>45783.793888888889</v>
      </c>
      <c r="B30" s="374">
        <v>45783.793888888889</v>
      </c>
      <c r="C30" s="132" t="s">
        <v>1410</v>
      </c>
      <c r="D30" s="132" t="s">
        <v>1404</v>
      </c>
      <c r="E30" s="132" t="s">
        <v>1431</v>
      </c>
      <c r="H30" s="132">
        <v>0</v>
      </c>
    </row>
    <row r="31" spans="1:8" ht="15.75" customHeight="1">
      <c r="A31" s="374">
        <v>45783.794131944444</v>
      </c>
      <c r="B31" s="374">
        <v>45783.794131944444</v>
      </c>
      <c r="C31" s="132" t="s">
        <v>1410</v>
      </c>
      <c r="D31" s="132" t="s">
        <v>1404</v>
      </c>
      <c r="E31" s="132" t="s">
        <v>1433</v>
      </c>
      <c r="G31" s="132" t="s">
        <v>116</v>
      </c>
      <c r="H31" s="132">
        <v>0</v>
      </c>
    </row>
    <row r="32" spans="1:8" ht="15.75" customHeight="1">
      <c r="A32" s="374">
        <v>45783.795752314814</v>
      </c>
      <c r="B32" s="374">
        <v>45783.795752314814</v>
      </c>
      <c r="C32" s="132" t="s">
        <v>1410</v>
      </c>
      <c r="D32" s="132" t="s">
        <v>1404</v>
      </c>
      <c r="E32" s="132" t="s">
        <v>1434</v>
      </c>
      <c r="G32" s="132" t="s">
        <v>113</v>
      </c>
      <c r="H32" s="132">
        <v>0</v>
      </c>
    </row>
    <row r="33" spans="1:8" ht="15.75" customHeight="1">
      <c r="A33" s="374">
        <v>45783.79583333333</v>
      </c>
      <c r="B33" s="374">
        <v>45783.79583333333</v>
      </c>
      <c r="C33" s="132" t="s">
        <v>1410</v>
      </c>
      <c r="D33" s="132" t="s">
        <v>1404</v>
      </c>
      <c r="E33" s="132" t="s">
        <v>1434</v>
      </c>
      <c r="F33" s="132" t="s">
        <v>113</v>
      </c>
      <c r="H33" s="132">
        <v>0</v>
      </c>
    </row>
    <row r="34" spans="1:8" ht="15.75" customHeight="1">
      <c r="A34" s="374">
        <v>45783.795844907407</v>
      </c>
      <c r="B34" s="374">
        <v>45783.795844907407</v>
      </c>
      <c r="C34" s="132" t="s">
        <v>1410</v>
      </c>
      <c r="D34" s="132" t="s">
        <v>1404</v>
      </c>
      <c r="E34" s="132" t="s">
        <v>1433</v>
      </c>
      <c r="F34" s="132" t="s">
        <v>116</v>
      </c>
      <c r="H34" s="132">
        <v>0</v>
      </c>
    </row>
    <row r="35" spans="1:8" ht="15.75" customHeight="1">
      <c r="A35" s="374">
        <v>45784.494097222225</v>
      </c>
      <c r="B35" s="374">
        <v>45784.494097222225</v>
      </c>
      <c r="C35" s="132" t="s">
        <v>1410</v>
      </c>
      <c r="D35" s="132" t="s">
        <v>1404</v>
      </c>
      <c r="E35" s="132" t="s">
        <v>1435</v>
      </c>
      <c r="H35" s="132">
        <v>0</v>
      </c>
    </row>
    <row r="36" spans="1:8" ht="15.75" customHeight="1">
      <c r="A36" s="374">
        <v>45784.494166666664</v>
      </c>
      <c r="B36" s="374">
        <v>45784.494166666664</v>
      </c>
      <c r="C36" s="132" t="s">
        <v>1410</v>
      </c>
      <c r="D36" s="132" t="s">
        <v>1404</v>
      </c>
      <c r="E36" s="132" t="s">
        <v>1436</v>
      </c>
      <c r="G36" s="132" t="s">
        <v>168</v>
      </c>
      <c r="H36" s="132">
        <v>0</v>
      </c>
    </row>
    <row r="37" spans="1:8" ht="15.75" customHeight="1">
      <c r="A37" s="374">
        <v>45784.494201388887</v>
      </c>
      <c r="B37" s="374">
        <v>45784.494201388887</v>
      </c>
      <c r="C37" s="132" t="s">
        <v>1410</v>
      </c>
      <c r="D37" s="132" t="s">
        <v>1404</v>
      </c>
      <c r="E37" s="132" t="s">
        <v>1437</v>
      </c>
      <c r="G37" s="132" t="s">
        <v>168</v>
      </c>
      <c r="H37" s="132">
        <v>0</v>
      </c>
    </row>
    <row r="38" spans="1:8" ht="15.75" customHeight="1">
      <c r="A38" s="374">
        <v>45784.494201388887</v>
      </c>
      <c r="B38" s="374">
        <v>45784.494201388887</v>
      </c>
      <c r="C38" s="132" t="s">
        <v>1410</v>
      </c>
      <c r="D38" s="132" t="s">
        <v>1404</v>
      </c>
      <c r="E38" s="132" t="s">
        <v>1438</v>
      </c>
      <c r="G38" s="132" t="s">
        <v>1439</v>
      </c>
      <c r="H38" s="132">
        <v>0</v>
      </c>
    </row>
    <row r="39" spans="1:8" ht="15.75" customHeight="1">
      <c r="A39" s="374">
        <v>45784.494212962964</v>
      </c>
      <c r="B39" s="374">
        <v>45784.494212962964</v>
      </c>
      <c r="C39" s="132" t="s">
        <v>1410</v>
      </c>
      <c r="D39" s="132" t="s">
        <v>1404</v>
      </c>
      <c r="E39" s="132" t="s">
        <v>1440</v>
      </c>
      <c r="G39" s="132" t="s">
        <v>1422</v>
      </c>
      <c r="H39" s="132">
        <v>0</v>
      </c>
    </row>
    <row r="40" spans="1:8" ht="15.75" customHeight="1">
      <c r="A40" s="374">
        <v>45784.506203703706</v>
      </c>
      <c r="B40" s="374">
        <v>45784.506203703706</v>
      </c>
      <c r="C40" s="132" t="s">
        <v>1410</v>
      </c>
      <c r="D40" s="132" t="s">
        <v>1404</v>
      </c>
      <c r="E40" s="132" t="s">
        <v>1433</v>
      </c>
      <c r="G40" s="132" t="s">
        <v>149</v>
      </c>
      <c r="H40" s="132">
        <v>0</v>
      </c>
    </row>
    <row r="41" spans="1:8" ht="15.75" customHeight="1">
      <c r="A41" s="374">
        <v>45784.506215277775</v>
      </c>
      <c r="B41" s="374">
        <v>45784.506215277775</v>
      </c>
      <c r="C41" s="132" t="s">
        <v>1410</v>
      </c>
      <c r="D41" s="132" t="s">
        <v>1404</v>
      </c>
      <c r="E41" s="132" t="s">
        <v>1434</v>
      </c>
      <c r="G41" s="132" t="s">
        <v>113</v>
      </c>
      <c r="H41" s="132">
        <v>0</v>
      </c>
    </row>
    <row r="42" spans="1:8" ht="15.75" customHeight="1">
      <c r="A42" s="374">
        <v>45784.512199074074</v>
      </c>
      <c r="B42" s="374">
        <v>45784.512199074074</v>
      </c>
      <c r="C42" s="132" t="s">
        <v>1410</v>
      </c>
      <c r="D42" s="132" t="s">
        <v>1404</v>
      </c>
      <c r="E42" s="132" t="s">
        <v>1441</v>
      </c>
      <c r="G42" s="132" t="b">
        <v>0</v>
      </c>
      <c r="H42" s="132">
        <v>0</v>
      </c>
    </row>
    <row r="43" spans="1:8" ht="15.75" customHeight="1">
      <c r="A43" s="374">
        <v>45785.476724537039</v>
      </c>
      <c r="B43" s="374">
        <v>45785.476724537039</v>
      </c>
      <c r="C43" s="132" t="s">
        <v>1410</v>
      </c>
      <c r="D43" s="132" t="s">
        <v>1404</v>
      </c>
      <c r="E43" s="132" t="s">
        <v>1442</v>
      </c>
      <c r="H43" s="132">
        <v>0</v>
      </c>
    </row>
    <row r="44" spans="1:8" ht="15.75" customHeight="1">
      <c r="A44" s="374">
        <v>45785.4768287037</v>
      </c>
      <c r="B44" s="374">
        <v>45785.4768287037</v>
      </c>
      <c r="C44" s="132" t="s">
        <v>1410</v>
      </c>
      <c r="D44" s="132" t="s">
        <v>1404</v>
      </c>
      <c r="E44" s="132" t="s">
        <v>1443</v>
      </c>
      <c r="H44" s="132">
        <v>0</v>
      </c>
    </row>
    <row r="45" spans="1:8" ht="15.75" customHeight="1">
      <c r="A45" s="374">
        <v>45785.477037037039</v>
      </c>
      <c r="B45" s="374">
        <v>45785.477037037039</v>
      </c>
      <c r="C45" s="132" t="s">
        <v>1410</v>
      </c>
      <c r="D45" s="132" t="s">
        <v>1404</v>
      </c>
      <c r="E45" s="132" t="s">
        <v>1444</v>
      </c>
      <c r="G45" s="132" t="b">
        <v>0</v>
      </c>
      <c r="H45" s="132">
        <v>0</v>
      </c>
    </row>
    <row r="46" spans="1:8" ht="15.75" customHeight="1">
      <c r="A46" s="374">
        <v>45785.477048611108</v>
      </c>
      <c r="B46" s="374">
        <v>45785.477048611108</v>
      </c>
      <c r="C46" s="132" t="s">
        <v>1410</v>
      </c>
      <c r="D46" s="132" t="s">
        <v>1404</v>
      </c>
      <c r="E46" s="132" t="s">
        <v>1445</v>
      </c>
      <c r="H46" s="132">
        <v>0</v>
      </c>
    </row>
    <row r="47" spans="1:8" ht="15.75" customHeight="1">
      <c r="A47" s="374">
        <v>45785.629374999997</v>
      </c>
      <c r="B47" s="374">
        <v>45785.629374999997</v>
      </c>
      <c r="C47" s="132" t="s">
        <v>1410</v>
      </c>
      <c r="D47" s="132" t="s">
        <v>1404</v>
      </c>
      <c r="E47" s="132" t="s">
        <v>1446</v>
      </c>
      <c r="G47" s="132" t="s">
        <v>1447</v>
      </c>
      <c r="H47" s="132">
        <v>0</v>
      </c>
    </row>
    <row r="48" spans="1:8" ht="15.75" customHeight="1">
      <c r="A48" s="374">
        <v>45786.562291666669</v>
      </c>
      <c r="B48" s="374">
        <v>45786.562291666669</v>
      </c>
      <c r="C48" s="132" t="s">
        <v>1410</v>
      </c>
      <c r="D48" s="132" t="s">
        <v>1404</v>
      </c>
      <c r="E48" s="132" t="s">
        <v>1448</v>
      </c>
      <c r="G48" s="132" t="s">
        <v>1449</v>
      </c>
      <c r="H48" s="132">
        <v>0</v>
      </c>
    </row>
    <row r="49" spans="1:8" ht="15.75" customHeight="1">
      <c r="A49" s="374">
        <v>45786.563020833331</v>
      </c>
      <c r="B49" s="374">
        <v>45786.563020833331</v>
      </c>
      <c r="C49" s="132" t="s">
        <v>1410</v>
      </c>
      <c r="D49" s="132" t="s">
        <v>1404</v>
      </c>
      <c r="E49" s="132" t="s">
        <v>1448</v>
      </c>
      <c r="G49" s="132" t="s">
        <v>1449</v>
      </c>
      <c r="H49" s="132">
        <v>0</v>
      </c>
    </row>
    <row r="50" spans="1:8" ht="15.75" customHeight="1">
      <c r="A50" s="374">
        <v>45786.563194444447</v>
      </c>
      <c r="B50" s="374">
        <v>45786.563194444447</v>
      </c>
      <c r="C50" s="132" t="s">
        <v>1410</v>
      </c>
      <c r="D50" s="132" t="s">
        <v>1404</v>
      </c>
      <c r="E50" s="132" t="s">
        <v>1448</v>
      </c>
      <c r="G50" s="132" t="s">
        <v>1449</v>
      </c>
      <c r="H50" s="132">
        <v>0</v>
      </c>
    </row>
    <row r="51" spans="1:8" ht="15.75" customHeight="1">
      <c r="A51" s="374">
        <v>45786.563252314816</v>
      </c>
      <c r="B51" s="374">
        <v>45786.563252314816</v>
      </c>
      <c r="C51" s="132" t="s">
        <v>1410</v>
      </c>
      <c r="D51" s="132" t="s">
        <v>1404</v>
      </c>
      <c r="E51" s="132" t="s">
        <v>1414</v>
      </c>
      <c r="F51" s="132" t="s">
        <v>160</v>
      </c>
      <c r="G51" s="132" t="s">
        <v>157</v>
      </c>
      <c r="H51" s="132">
        <v>0</v>
      </c>
    </row>
    <row r="52" spans="1:8" ht="15.75" customHeight="1">
      <c r="A52" s="374">
        <v>45786.563483796293</v>
      </c>
      <c r="B52" s="374">
        <v>45786.563483796293</v>
      </c>
      <c r="C52" s="132" t="s">
        <v>1410</v>
      </c>
      <c r="D52" s="132" t="s">
        <v>1404</v>
      </c>
      <c r="E52" s="132" t="s">
        <v>1414</v>
      </c>
      <c r="F52" s="132" t="s">
        <v>157</v>
      </c>
      <c r="G52" s="132" t="s">
        <v>157</v>
      </c>
      <c r="H52" s="132">
        <v>0</v>
      </c>
    </row>
    <row r="53" spans="1:8" ht="15.75" customHeight="1">
      <c r="A53" s="374">
        <v>45786.56349537037</v>
      </c>
      <c r="B53" s="374">
        <v>45786.56349537037</v>
      </c>
      <c r="C53" s="132" t="s">
        <v>1410</v>
      </c>
      <c r="D53" s="132" t="s">
        <v>1404</v>
      </c>
      <c r="E53" s="132" t="s">
        <v>1414</v>
      </c>
      <c r="F53" s="132" t="s">
        <v>160</v>
      </c>
      <c r="G53" s="132" t="s">
        <v>157</v>
      </c>
      <c r="H53" s="132">
        <v>0</v>
      </c>
    </row>
    <row r="54" spans="1:8" ht="15.75" customHeight="1">
      <c r="A54" s="374">
        <v>45786.564849537041</v>
      </c>
      <c r="B54" s="374">
        <v>45786.564849537041</v>
      </c>
      <c r="C54" s="132" t="s">
        <v>1410</v>
      </c>
      <c r="D54" s="132" t="s">
        <v>1404</v>
      </c>
      <c r="E54" s="132" t="s">
        <v>1448</v>
      </c>
      <c r="G54" s="132" t="s">
        <v>1449</v>
      </c>
      <c r="H54" s="132">
        <v>0</v>
      </c>
    </row>
    <row r="55" spans="1:8" ht="15.75" customHeight="1">
      <c r="A55" s="374">
        <v>45786.564953703702</v>
      </c>
      <c r="B55" s="374">
        <v>45786.564953703702</v>
      </c>
      <c r="C55" s="132" t="s">
        <v>1410</v>
      </c>
      <c r="D55" s="132" t="s">
        <v>1404</v>
      </c>
      <c r="E55" s="132" t="s">
        <v>1414</v>
      </c>
      <c r="F55" s="132" t="s">
        <v>157</v>
      </c>
      <c r="G55" s="132" t="s">
        <v>160</v>
      </c>
      <c r="H55" s="132">
        <v>0</v>
      </c>
    </row>
    <row r="56" spans="1:8" ht="15.75" customHeight="1">
      <c r="A56" s="374">
        <v>45786.568032407406</v>
      </c>
      <c r="B56" s="374">
        <v>45786.568032407406</v>
      </c>
      <c r="C56" s="132" t="s">
        <v>1410</v>
      </c>
      <c r="D56" s="132" t="s">
        <v>1404</v>
      </c>
      <c r="E56" s="132" t="s">
        <v>1448</v>
      </c>
      <c r="G56" s="132" t="s">
        <v>1449</v>
      </c>
      <c r="H56" s="132">
        <v>0</v>
      </c>
    </row>
    <row r="57" spans="1:8" ht="15.75" customHeight="1">
      <c r="A57" s="374">
        <v>45786.572129629632</v>
      </c>
      <c r="B57" s="374">
        <v>45786.572129629632</v>
      </c>
      <c r="C57" s="132" t="s">
        <v>1410</v>
      </c>
      <c r="D57" s="132" t="s">
        <v>1404</v>
      </c>
      <c r="E57" s="132" t="s">
        <v>1414</v>
      </c>
      <c r="F57" s="132" t="s">
        <v>160</v>
      </c>
      <c r="G57" s="132" t="s">
        <v>157</v>
      </c>
      <c r="H57" s="132">
        <v>0</v>
      </c>
    </row>
    <row r="58" spans="1:8" ht="15.75" customHeight="1">
      <c r="A58" s="374">
        <v>45786.572222222225</v>
      </c>
      <c r="B58" s="374">
        <v>45786.572222222225</v>
      </c>
      <c r="C58" s="132" t="s">
        <v>1410</v>
      </c>
      <c r="D58" s="132" t="s">
        <v>1404</v>
      </c>
      <c r="E58" s="132" t="s">
        <v>1407</v>
      </c>
      <c r="G58" s="132" t="s">
        <v>159</v>
      </c>
      <c r="H58" s="132">
        <v>0</v>
      </c>
    </row>
    <row r="59" spans="1:8" ht="15.75" customHeight="1">
      <c r="A59" s="374">
        <v>45786.572256944448</v>
      </c>
      <c r="B59" s="374">
        <v>45786.572256944448</v>
      </c>
      <c r="C59" s="132" t="s">
        <v>1410</v>
      </c>
      <c r="D59" s="132" t="s">
        <v>1404</v>
      </c>
      <c r="E59" s="132" t="s">
        <v>1408</v>
      </c>
      <c r="G59" s="132" t="s">
        <v>157</v>
      </c>
      <c r="H59" s="132">
        <v>0</v>
      </c>
    </row>
    <row r="60" spans="1:8" ht="15.75" customHeight="1">
      <c r="A60" s="374">
        <v>45786.577673611115</v>
      </c>
      <c r="B60" s="374">
        <v>45786.577673611115</v>
      </c>
      <c r="C60" s="132" t="s">
        <v>1410</v>
      </c>
      <c r="D60" s="132" t="s">
        <v>1404</v>
      </c>
      <c r="E60" s="132" t="s">
        <v>1421</v>
      </c>
      <c r="G60" s="132" t="s">
        <v>159</v>
      </c>
      <c r="H60" s="132">
        <v>0</v>
      </c>
    </row>
    <row r="61" spans="1:8" ht="15.75" customHeight="1">
      <c r="A61" s="374">
        <v>45786.577685185184</v>
      </c>
      <c r="B61" s="374">
        <v>45786.577685185184</v>
      </c>
      <c r="C61" s="132" t="s">
        <v>1410</v>
      </c>
      <c r="D61" s="132" t="s">
        <v>1404</v>
      </c>
      <c r="E61" s="132" t="s">
        <v>1420</v>
      </c>
      <c r="G61" s="132" t="s">
        <v>160</v>
      </c>
      <c r="H61" s="132">
        <v>0</v>
      </c>
    </row>
    <row r="62" spans="1:8" ht="15.75" customHeight="1">
      <c r="A62" s="374">
        <v>45786.604224537034</v>
      </c>
      <c r="B62" s="374">
        <v>45786.604224537034</v>
      </c>
      <c r="C62" s="132" t="s">
        <v>1410</v>
      </c>
      <c r="D62" s="132" t="s">
        <v>1404</v>
      </c>
      <c r="E62" s="132" t="s">
        <v>1413</v>
      </c>
      <c r="F62" s="132" t="s">
        <v>159</v>
      </c>
      <c r="G62" s="132" t="s">
        <v>153</v>
      </c>
      <c r="H62" s="132">
        <v>0</v>
      </c>
    </row>
    <row r="63" spans="1:8" ht="15.75" customHeight="1">
      <c r="A63" s="374">
        <v>45786.604247685187</v>
      </c>
      <c r="B63" s="374">
        <v>45786.604247685187</v>
      </c>
      <c r="C63" s="132" t="s">
        <v>1410</v>
      </c>
      <c r="D63" s="132" t="s">
        <v>1404</v>
      </c>
      <c r="E63" s="132" t="s">
        <v>1414</v>
      </c>
      <c r="F63" s="132" t="s">
        <v>157</v>
      </c>
      <c r="G63" s="132" t="s">
        <v>113</v>
      </c>
      <c r="H63" s="132">
        <v>0</v>
      </c>
    </row>
    <row r="64" spans="1:8" ht="15.75" customHeight="1">
      <c r="A64" s="374">
        <v>45786.60429398148</v>
      </c>
      <c r="B64" s="374">
        <v>45786.60429398148</v>
      </c>
      <c r="C64" s="132" t="s">
        <v>1410</v>
      </c>
      <c r="D64" s="132" t="s">
        <v>1404</v>
      </c>
      <c r="E64" s="132" t="s">
        <v>1450</v>
      </c>
      <c r="F64" s="132" t="s">
        <v>153</v>
      </c>
      <c r="G64" s="132" t="s">
        <v>112</v>
      </c>
      <c r="H64" s="132">
        <v>0</v>
      </c>
    </row>
    <row r="65" spans="1:8" ht="15.75" customHeight="1">
      <c r="A65" s="374">
        <v>45786.605787037035</v>
      </c>
      <c r="B65" s="374">
        <v>45786.605787037035</v>
      </c>
      <c r="C65" s="132" t="s">
        <v>1410</v>
      </c>
      <c r="D65" s="132" t="s">
        <v>1404</v>
      </c>
      <c r="E65" s="132" t="s">
        <v>1451</v>
      </c>
      <c r="G65" s="132" t="s">
        <v>100</v>
      </c>
      <c r="H65" s="132">
        <v>0</v>
      </c>
    </row>
    <row r="66" spans="1:8" ht="15.75" customHeight="1">
      <c r="A66" s="374">
        <v>45786.609155092592</v>
      </c>
      <c r="B66" s="374">
        <v>45786.609155092592</v>
      </c>
      <c r="C66" s="132" t="s">
        <v>1410</v>
      </c>
      <c r="D66" s="132" t="s">
        <v>1404</v>
      </c>
      <c r="E66" s="132" t="s">
        <v>1452</v>
      </c>
      <c r="G66" s="132" t="s">
        <v>1453</v>
      </c>
      <c r="H66" s="132">
        <v>0</v>
      </c>
    </row>
    <row r="67" spans="1:8" ht="15.75" customHeight="1">
      <c r="A67" s="374">
        <v>45786.609247685185</v>
      </c>
      <c r="B67" s="374">
        <v>45786.609247685185</v>
      </c>
      <c r="C67" s="132" t="s">
        <v>1410</v>
      </c>
      <c r="D67" s="132" t="s">
        <v>1404</v>
      </c>
      <c r="E67" s="132" t="s">
        <v>1454</v>
      </c>
      <c r="F67" s="374">
        <v>45795.625</v>
      </c>
      <c r="G67" s="375">
        <v>45795.625</v>
      </c>
      <c r="H67" s="132">
        <v>0</v>
      </c>
    </row>
    <row r="68" spans="1:8" ht="15.75" customHeight="1">
      <c r="A68" s="374">
        <v>45786.609942129631</v>
      </c>
      <c r="B68" s="374">
        <v>45786.609942129631</v>
      </c>
      <c r="C68" s="132" t="s">
        <v>1410</v>
      </c>
      <c r="D68" s="132" t="s">
        <v>1404</v>
      </c>
      <c r="E68" s="132" t="s">
        <v>1455</v>
      </c>
      <c r="F68" s="132">
        <v>0</v>
      </c>
      <c r="G68" s="132">
        <v>0</v>
      </c>
      <c r="H68" s="132">
        <v>0</v>
      </c>
    </row>
    <row r="69" spans="1:8" ht="15.75" customHeight="1">
      <c r="A69" s="374">
        <v>45786.610011574077</v>
      </c>
      <c r="B69" s="374">
        <v>45786.610011574077</v>
      </c>
      <c r="C69" s="132" t="s">
        <v>1410</v>
      </c>
      <c r="D69" s="132" t="s">
        <v>1404</v>
      </c>
      <c r="E69" s="132" t="s">
        <v>1454</v>
      </c>
      <c r="G69" s="132" t="s">
        <v>1456</v>
      </c>
      <c r="H69" s="132">
        <v>0</v>
      </c>
    </row>
    <row r="70" spans="1:8" ht="15.75" customHeight="1">
      <c r="A70" s="374">
        <v>45786.610115740739</v>
      </c>
      <c r="B70" s="374">
        <v>45786.610115740739</v>
      </c>
      <c r="C70" s="132" t="s">
        <v>1410</v>
      </c>
      <c r="D70" s="132" t="s">
        <v>1404</v>
      </c>
      <c r="E70" s="132" t="s">
        <v>1457</v>
      </c>
      <c r="F70" s="132" t="s">
        <v>1453</v>
      </c>
      <c r="G70" s="132" t="s">
        <v>1458</v>
      </c>
      <c r="H70" s="132">
        <v>0</v>
      </c>
    </row>
    <row r="71" spans="1:8" ht="15.75" customHeight="1">
      <c r="A71" s="374">
        <v>45786.610231481478</v>
      </c>
      <c r="B71" s="374">
        <v>45786.610231481478</v>
      </c>
      <c r="C71" s="132" t="s">
        <v>1410</v>
      </c>
      <c r="D71" s="132" t="s">
        <v>1404</v>
      </c>
      <c r="E71" s="132" t="s">
        <v>1459</v>
      </c>
      <c r="F71" s="132" t="s">
        <v>1460</v>
      </c>
      <c r="G71" s="374">
        <v>45795.749988425923</v>
      </c>
      <c r="H71" s="132">
        <v>0</v>
      </c>
    </row>
    <row r="72" spans="1:8" ht="15.75" customHeight="1">
      <c r="A72" s="374">
        <v>45786.610266203701</v>
      </c>
      <c r="B72" s="374">
        <v>45786.610266203701</v>
      </c>
      <c r="C72" s="132" t="s">
        <v>1410</v>
      </c>
      <c r="D72" s="132" t="s">
        <v>1404</v>
      </c>
      <c r="E72" s="132" t="s">
        <v>1459</v>
      </c>
      <c r="G72" s="132" t="e">
        <v>#VALUE!</v>
      </c>
      <c r="H72" s="132">
        <v>0</v>
      </c>
    </row>
    <row r="73" spans="1:8" ht="15.75" customHeight="1">
      <c r="A73" s="374">
        <v>45786.610601851855</v>
      </c>
      <c r="B73" s="374">
        <v>45786.610601851855</v>
      </c>
      <c r="C73" s="132" t="s">
        <v>1410</v>
      </c>
      <c r="D73" s="132" t="s">
        <v>1404</v>
      </c>
      <c r="E73" s="132" t="s">
        <v>1459</v>
      </c>
      <c r="F73" s="132" t="s">
        <v>1461</v>
      </c>
      <c r="G73" s="374">
        <v>45795.749988425923</v>
      </c>
      <c r="H73" s="132">
        <v>0</v>
      </c>
    </row>
    <row r="74" spans="1:8" ht="15.75" customHeight="1">
      <c r="A74" s="374">
        <v>45786.612534722219</v>
      </c>
      <c r="B74" s="374">
        <v>45786.612534722219</v>
      </c>
      <c r="C74" s="132" t="s">
        <v>1410</v>
      </c>
      <c r="D74" s="132" t="s">
        <v>1404</v>
      </c>
      <c r="E74" s="132" t="s">
        <v>1462</v>
      </c>
      <c r="G74" s="132" t="s">
        <v>1460</v>
      </c>
      <c r="H74" s="132">
        <v>0</v>
      </c>
    </row>
    <row r="75" spans="1:8" ht="15.75" customHeight="1">
      <c r="A75" s="374">
        <v>45786.612546296295</v>
      </c>
      <c r="B75" s="374">
        <v>45786.612546296295</v>
      </c>
      <c r="C75" s="132" t="s">
        <v>1410</v>
      </c>
      <c r="D75" s="132" t="s">
        <v>1404</v>
      </c>
      <c r="E75" s="132" t="s">
        <v>1462</v>
      </c>
      <c r="G75" s="132" t="s">
        <v>1460</v>
      </c>
      <c r="H75" s="132">
        <v>0</v>
      </c>
    </row>
    <row r="76" spans="1:8" ht="15.75" customHeight="1">
      <c r="A76" s="374">
        <v>45786.613402777781</v>
      </c>
      <c r="B76" s="374">
        <v>45786.613402777781</v>
      </c>
      <c r="C76" s="132" t="s">
        <v>1410</v>
      </c>
      <c r="D76" s="132" t="s">
        <v>1404</v>
      </c>
      <c r="E76" s="132" t="s">
        <v>1463</v>
      </c>
      <c r="H76" s="132">
        <v>0</v>
      </c>
    </row>
    <row r="77" spans="1:8" ht="15.75" customHeight="1">
      <c r="A77" s="374">
        <v>45786.613437499997</v>
      </c>
      <c r="B77" s="374">
        <v>45786.613437499997</v>
      </c>
      <c r="C77" s="132" t="s">
        <v>1410</v>
      </c>
      <c r="D77" s="132" t="s">
        <v>1404</v>
      </c>
      <c r="E77" s="132" t="s">
        <v>1464</v>
      </c>
      <c r="G77" s="132" t="s">
        <v>1458</v>
      </c>
      <c r="H77" s="132">
        <v>0</v>
      </c>
    </row>
    <row r="78" spans="1:8" ht="15.75" customHeight="1">
      <c r="A78" s="374">
        <v>45786.613495370373</v>
      </c>
      <c r="B78" s="374">
        <v>45786.613495370373</v>
      </c>
      <c r="C78" s="132" t="s">
        <v>1410</v>
      </c>
      <c r="D78" s="132" t="s">
        <v>1404</v>
      </c>
      <c r="E78" s="132" t="s">
        <v>1464</v>
      </c>
      <c r="F78" s="132" t="s">
        <v>1458</v>
      </c>
      <c r="G78" s="132" t="s">
        <v>1465</v>
      </c>
      <c r="H78" s="132">
        <v>0</v>
      </c>
    </row>
    <row r="79" spans="1:8" ht="15.75" customHeight="1">
      <c r="A79" s="374">
        <v>45786.613518518519</v>
      </c>
      <c r="B79" s="374">
        <v>45786.613518518519</v>
      </c>
      <c r="C79" s="132" t="s">
        <v>1410</v>
      </c>
      <c r="D79" s="132" t="s">
        <v>1404</v>
      </c>
      <c r="E79" s="132" t="s">
        <v>1466</v>
      </c>
      <c r="G79" s="132" t="s">
        <v>1456</v>
      </c>
      <c r="H79" s="132">
        <v>0</v>
      </c>
    </row>
    <row r="80" spans="1:8" ht="15.75" customHeight="1">
      <c r="A80" s="374">
        <v>45786.613553240742</v>
      </c>
      <c r="B80" s="374">
        <v>45786.613553240742</v>
      </c>
      <c r="C80" s="132" t="s">
        <v>1410</v>
      </c>
      <c r="D80" s="132" t="s">
        <v>1404</v>
      </c>
      <c r="E80" s="132" t="s">
        <v>1466</v>
      </c>
      <c r="F80" s="132" t="s">
        <v>1456</v>
      </c>
      <c r="G80" s="132" t="s">
        <v>1467</v>
      </c>
      <c r="H80" s="132">
        <v>0</v>
      </c>
    </row>
    <row r="81" spans="1:8" ht="15.75" customHeight="1">
      <c r="A81" s="374">
        <v>45786.613692129627</v>
      </c>
      <c r="B81" s="374">
        <v>45786.613692129627</v>
      </c>
      <c r="C81" s="132" t="s">
        <v>1410</v>
      </c>
      <c r="D81" s="132" t="s">
        <v>1404</v>
      </c>
      <c r="E81" s="132" t="s">
        <v>1468</v>
      </c>
      <c r="G81" s="376">
        <v>45789</v>
      </c>
      <c r="H81" s="132">
        <v>0</v>
      </c>
    </row>
    <row r="82" spans="1:8" ht="15.75" customHeight="1">
      <c r="A82" s="374">
        <v>45786.613749999997</v>
      </c>
      <c r="B82" s="374">
        <v>45786.613749999997</v>
      </c>
      <c r="C82" s="132" t="s">
        <v>1410</v>
      </c>
      <c r="D82" s="132" t="s">
        <v>1404</v>
      </c>
      <c r="E82" s="132" t="s">
        <v>1469</v>
      </c>
      <c r="G82" s="376">
        <v>45789</v>
      </c>
      <c r="H82" s="132">
        <v>0</v>
      </c>
    </row>
    <row r="83" spans="1:8" ht="15.75" customHeight="1">
      <c r="A83" s="374">
        <v>45786.613761574074</v>
      </c>
      <c r="B83" s="374">
        <v>45786.613761574074</v>
      </c>
      <c r="C83" s="132" t="s">
        <v>1410</v>
      </c>
      <c r="D83" s="132" t="s">
        <v>1404</v>
      </c>
      <c r="E83" s="132" t="s">
        <v>1469</v>
      </c>
      <c r="F83" s="376">
        <v>45789</v>
      </c>
      <c r="G83" s="376">
        <v>45790</v>
      </c>
      <c r="H83" s="132">
        <v>0</v>
      </c>
    </row>
    <row r="84" spans="1:8" ht="15.75" customHeight="1">
      <c r="A84" s="374">
        <v>45786.613807870373</v>
      </c>
      <c r="B84" s="374">
        <v>45786.613807870373</v>
      </c>
      <c r="C84" s="132" t="s">
        <v>1410</v>
      </c>
      <c r="D84" s="132" t="s">
        <v>1404</v>
      </c>
      <c r="E84" s="132" t="s">
        <v>1470</v>
      </c>
      <c r="H84" s="132">
        <v>0</v>
      </c>
    </row>
    <row r="85" spans="1:8" ht="15.75" customHeight="1">
      <c r="A85" s="374">
        <v>45786.61383101852</v>
      </c>
      <c r="B85" s="374">
        <v>45786.61383101852</v>
      </c>
      <c r="C85" s="132" t="s">
        <v>1410</v>
      </c>
      <c r="D85" s="132" t="s">
        <v>1404</v>
      </c>
      <c r="E85" s="132" t="s">
        <v>1471</v>
      </c>
      <c r="H85" s="132">
        <v>0</v>
      </c>
    </row>
    <row r="86" spans="1:8" ht="15.75" customHeight="1">
      <c r="A86" s="374">
        <v>45786.613842592589</v>
      </c>
      <c r="B86" s="374">
        <v>45786.613842592589</v>
      </c>
      <c r="C86" s="132" t="s">
        <v>1410</v>
      </c>
      <c r="D86" s="132" t="s">
        <v>1404</v>
      </c>
      <c r="E86" s="132" t="s">
        <v>1472</v>
      </c>
      <c r="G86" s="132" t="e">
        <v>#VALUE!</v>
      </c>
      <c r="H86" s="132">
        <v>0</v>
      </c>
    </row>
    <row r="87" spans="1:8" ht="15.75" customHeight="1">
      <c r="A87" s="374">
        <v>45786.613842592589</v>
      </c>
      <c r="B87" s="374">
        <v>45786.613842592589</v>
      </c>
      <c r="C87" s="132" t="s">
        <v>1410</v>
      </c>
      <c r="D87" s="132" t="s">
        <v>1404</v>
      </c>
      <c r="E87" s="132" t="s">
        <v>1473</v>
      </c>
      <c r="H87" s="132">
        <v>0</v>
      </c>
    </row>
    <row r="88" spans="1:8" ht="15.75" customHeight="1">
      <c r="A88" s="374">
        <v>45786.613854166666</v>
      </c>
      <c r="B88" s="374">
        <v>45786.613854166666</v>
      </c>
      <c r="C88" s="132" t="s">
        <v>1410</v>
      </c>
      <c r="D88" s="132" t="s">
        <v>1404</v>
      </c>
      <c r="E88" s="132" t="s">
        <v>1474</v>
      </c>
      <c r="H88" s="132">
        <v>0</v>
      </c>
    </row>
    <row r="89" spans="1:8" ht="15.75" customHeight="1">
      <c r="A89" s="374">
        <v>45786.613865740743</v>
      </c>
      <c r="B89" s="374">
        <v>45786.613865740743</v>
      </c>
      <c r="C89" s="132" t="s">
        <v>1410</v>
      </c>
      <c r="D89" s="132" t="s">
        <v>1404</v>
      </c>
      <c r="E89" s="132" t="s">
        <v>1475</v>
      </c>
      <c r="H89" s="132">
        <v>0</v>
      </c>
    </row>
    <row r="90" spans="1:8" ht="15.75" customHeight="1">
      <c r="A90" s="374">
        <v>45786.613969907405</v>
      </c>
      <c r="B90" s="374">
        <v>45786.613969907405</v>
      </c>
      <c r="C90" s="132" t="s">
        <v>1410</v>
      </c>
      <c r="D90" s="132" t="s">
        <v>1404</v>
      </c>
      <c r="E90" s="132" t="s">
        <v>1468</v>
      </c>
      <c r="F90" s="376">
        <v>45789</v>
      </c>
      <c r="G90" s="132" t="s">
        <v>1476</v>
      </c>
      <c r="H90" s="132">
        <v>0</v>
      </c>
    </row>
    <row r="91" spans="1:8" ht="15.75" customHeight="1">
      <c r="A91" s="374">
        <v>45786.613993055558</v>
      </c>
      <c r="B91" s="374">
        <v>45786.613993055558</v>
      </c>
      <c r="C91" s="132" t="s">
        <v>1410</v>
      </c>
      <c r="D91" s="132" t="s">
        <v>1404</v>
      </c>
      <c r="E91" s="132" t="s">
        <v>1469</v>
      </c>
      <c r="F91" s="376">
        <v>45790</v>
      </c>
      <c r="G91" s="132" t="s">
        <v>1477</v>
      </c>
      <c r="H91" s="132">
        <v>0</v>
      </c>
    </row>
    <row r="92" spans="1:8" ht="15.75" customHeight="1">
      <c r="A92" s="374">
        <v>45786.614386574074</v>
      </c>
      <c r="B92" s="374">
        <v>45786.614386574074</v>
      </c>
      <c r="C92" s="132" t="s">
        <v>1410</v>
      </c>
      <c r="D92" s="132" t="s">
        <v>1404</v>
      </c>
      <c r="E92" s="132" t="s">
        <v>1469</v>
      </c>
      <c r="F92" s="132" t="s">
        <v>1477</v>
      </c>
      <c r="G92" s="132" t="s">
        <v>1478</v>
      </c>
      <c r="H92" s="132">
        <v>0</v>
      </c>
    </row>
    <row r="93" spans="1:8" ht="15.75" customHeight="1">
      <c r="A93" s="374">
        <v>45786.615046296298</v>
      </c>
      <c r="B93" s="374">
        <v>45786.615046296298</v>
      </c>
      <c r="C93" s="132" t="s">
        <v>1410</v>
      </c>
      <c r="D93" s="132" t="s">
        <v>1404</v>
      </c>
      <c r="E93" s="132" t="s">
        <v>1479</v>
      </c>
      <c r="F93" s="374">
        <v>45790.166655092595</v>
      </c>
      <c r="G93" s="374">
        <v>45790.166655092595</v>
      </c>
      <c r="H93" s="132">
        <v>0</v>
      </c>
    </row>
    <row r="94" spans="1:8" ht="15.75" customHeight="1">
      <c r="A94" s="374">
        <v>45786.615046296298</v>
      </c>
      <c r="B94" s="374">
        <v>45786.615046296298</v>
      </c>
      <c r="C94" s="132" t="s">
        <v>1410</v>
      </c>
      <c r="D94" s="132" t="s">
        <v>1404</v>
      </c>
      <c r="E94" s="132" t="s">
        <v>1479</v>
      </c>
      <c r="G94" s="374">
        <v>45790.166655092595</v>
      </c>
      <c r="H94" s="132">
        <v>0</v>
      </c>
    </row>
    <row r="95" spans="1:8" ht="15.75" customHeight="1">
      <c r="A95" s="374">
        <v>45786.615486111114</v>
      </c>
      <c r="B95" s="374">
        <v>45786.615486111114</v>
      </c>
      <c r="C95" s="132" t="s">
        <v>1410</v>
      </c>
      <c r="D95" s="132" t="s">
        <v>1404</v>
      </c>
      <c r="E95" s="132" t="s">
        <v>1469</v>
      </c>
      <c r="F95" s="132" t="s">
        <v>1478</v>
      </c>
      <c r="G95" s="132" t="s">
        <v>1480</v>
      </c>
      <c r="H95" s="132">
        <v>0</v>
      </c>
    </row>
    <row r="96" spans="1:8" ht="15.75" customHeight="1">
      <c r="A96" s="374">
        <v>45786.615532407406</v>
      </c>
      <c r="B96" s="374">
        <v>45786.615532407406</v>
      </c>
      <c r="C96" s="132" t="s">
        <v>1410</v>
      </c>
      <c r="D96" s="132" t="s">
        <v>1404</v>
      </c>
      <c r="E96" s="132" t="s">
        <v>1479</v>
      </c>
      <c r="G96" s="374">
        <v>45790.541655092595</v>
      </c>
      <c r="H96" s="132">
        <v>0</v>
      </c>
    </row>
    <row r="97" spans="1:8" ht="15.75" customHeight="1">
      <c r="A97" s="374">
        <v>45786.615671296298</v>
      </c>
      <c r="B97" s="374">
        <v>45786.615671296298</v>
      </c>
      <c r="C97" s="132" t="s">
        <v>1410</v>
      </c>
      <c r="D97" s="132" t="s">
        <v>1404</v>
      </c>
      <c r="E97" s="132" t="s">
        <v>1469</v>
      </c>
      <c r="F97" s="132" t="s">
        <v>1480</v>
      </c>
      <c r="G97" s="132" t="s">
        <v>1481</v>
      </c>
      <c r="H97" s="132">
        <v>0</v>
      </c>
    </row>
    <row r="98" spans="1:8" ht="15.75" customHeight="1">
      <c r="A98" s="374">
        <v>45786.615740740737</v>
      </c>
      <c r="B98" s="374">
        <v>45786.615740740737</v>
      </c>
      <c r="C98" s="132" t="s">
        <v>1410</v>
      </c>
      <c r="D98" s="132" t="s">
        <v>1404</v>
      </c>
      <c r="E98" s="132" t="s">
        <v>1468</v>
      </c>
      <c r="F98" s="132" t="s">
        <v>1476</v>
      </c>
      <c r="G98" s="132" t="s">
        <v>1482</v>
      </c>
      <c r="H98" s="132">
        <v>0</v>
      </c>
    </row>
    <row r="99" spans="1:8" ht="15.75" customHeight="1">
      <c r="A99" s="374">
        <v>45786.615787037037</v>
      </c>
      <c r="B99" s="374">
        <v>45786.615787037037</v>
      </c>
      <c r="C99" s="132" t="s">
        <v>1410</v>
      </c>
      <c r="D99" s="132" t="s">
        <v>1404</v>
      </c>
      <c r="E99" s="132" t="s">
        <v>1469</v>
      </c>
      <c r="F99" s="132" t="s">
        <v>1481</v>
      </c>
      <c r="G99" s="132" t="s">
        <v>1483</v>
      </c>
      <c r="H99" s="132">
        <v>0</v>
      </c>
    </row>
    <row r="100" spans="1:8" ht="15.75" customHeight="1">
      <c r="A100" s="374">
        <v>45786.658842592595</v>
      </c>
      <c r="B100" s="374">
        <v>45786.658842592595</v>
      </c>
      <c r="C100" s="132" t="s">
        <v>1410</v>
      </c>
      <c r="D100" s="132" t="s">
        <v>1404</v>
      </c>
      <c r="E100" s="132" t="s">
        <v>1484</v>
      </c>
      <c r="H100" s="132">
        <v>0</v>
      </c>
    </row>
    <row r="101" spans="1:8" ht="15.75" customHeight="1">
      <c r="A101" s="374">
        <v>45786.658993055556</v>
      </c>
      <c r="B101" s="374">
        <v>45786.658993055556</v>
      </c>
      <c r="C101" s="132" t="s">
        <v>1410</v>
      </c>
      <c r="D101" s="132" t="s">
        <v>1404</v>
      </c>
      <c r="E101" s="132" t="s">
        <v>1457</v>
      </c>
      <c r="H101" s="132">
        <v>0</v>
      </c>
    </row>
    <row r="102" spans="1:8" ht="15.75" customHeight="1">
      <c r="A102" s="374">
        <v>45786.659629629627</v>
      </c>
      <c r="B102" s="374">
        <v>45786.659629629627</v>
      </c>
      <c r="C102" s="132" t="s">
        <v>1410</v>
      </c>
      <c r="D102" s="132" t="s">
        <v>1404</v>
      </c>
      <c r="E102" s="132" t="s">
        <v>1457</v>
      </c>
      <c r="G102" s="132" t="e">
        <v>#VALUE!</v>
      </c>
      <c r="H102" s="132">
        <v>0</v>
      </c>
    </row>
    <row r="103" spans="1:8" ht="15.75" customHeight="1">
      <c r="A103" s="374">
        <v>45786.660682870373</v>
      </c>
      <c r="B103" s="374">
        <v>45786.660682870373</v>
      </c>
      <c r="C103" s="132" t="s">
        <v>1410</v>
      </c>
      <c r="D103" s="132" t="s">
        <v>1404</v>
      </c>
      <c r="E103" s="132" t="s">
        <v>1454</v>
      </c>
      <c r="G103" s="132" t="e">
        <v>#VALUE!</v>
      </c>
      <c r="H103" s="132">
        <v>0</v>
      </c>
    </row>
    <row r="104" spans="1:8" ht="15.75" customHeight="1">
      <c r="A104" s="374">
        <v>45786.661203703705</v>
      </c>
      <c r="B104" s="374">
        <v>45786.661203703705</v>
      </c>
      <c r="C104" s="132" t="s">
        <v>1410</v>
      </c>
      <c r="D104" s="132" t="s">
        <v>1404</v>
      </c>
      <c r="E104" s="132" t="s">
        <v>1454</v>
      </c>
      <c r="F104" s="132" t="s">
        <v>1485</v>
      </c>
      <c r="G104" s="132" t="e">
        <v>#VALUE!</v>
      </c>
      <c r="H104" s="132">
        <v>0</v>
      </c>
    </row>
    <row r="105" spans="1:8" ht="15.75" customHeight="1">
      <c r="A105" s="374">
        <v>45786.66165509259</v>
      </c>
      <c r="B105" s="374">
        <v>45786.66165509259</v>
      </c>
      <c r="C105" s="132" t="s">
        <v>1410</v>
      </c>
      <c r="D105" s="132" t="s">
        <v>1404</v>
      </c>
      <c r="E105" s="132" t="s">
        <v>1486</v>
      </c>
      <c r="H105" s="132">
        <v>0</v>
      </c>
    </row>
    <row r="106" spans="1:8" ht="15.75" customHeight="1">
      <c r="A106" s="374">
        <v>45786.662766203706</v>
      </c>
      <c r="B106" s="374">
        <v>45786.662766203706</v>
      </c>
      <c r="C106" s="132" t="s">
        <v>1410</v>
      </c>
      <c r="D106" s="132" t="s">
        <v>1404</v>
      </c>
      <c r="E106" s="132" t="s">
        <v>1451</v>
      </c>
      <c r="F106" s="132" t="s">
        <v>100</v>
      </c>
      <c r="G106" s="132" t="s">
        <v>1487</v>
      </c>
      <c r="H106" s="132">
        <v>0</v>
      </c>
    </row>
    <row r="107" spans="1:8" ht="15.75" customHeight="1">
      <c r="A107" s="374">
        <v>45786.662835648145</v>
      </c>
      <c r="B107" s="374">
        <v>45786.662835648145</v>
      </c>
      <c r="C107" s="132" t="s">
        <v>1410</v>
      </c>
      <c r="D107" s="132" t="s">
        <v>1404</v>
      </c>
      <c r="E107" s="132" t="s">
        <v>1451</v>
      </c>
      <c r="F107" s="132" t="s">
        <v>1487</v>
      </c>
      <c r="G107" s="132" t="s">
        <v>1488</v>
      </c>
      <c r="H107" s="132">
        <v>0</v>
      </c>
    </row>
    <row r="108" spans="1:8" ht="15.75" customHeight="1">
      <c r="A108" s="374">
        <v>45786.662928240738</v>
      </c>
      <c r="B108" s="374">
        <v>45786.662928240738</v>
      </c>
      <c r="C108" s="132" t="s">
        <v>1410</v>
      </c>
      <c r="D108" s="132" t="s">
        <v>1404</v>
      </c>
      <c r="E108" s="132" t="s">
        <v>1489</v>
      </c>
      <c r="G108" s="132" t="s">
        <v>108</v>
      </c>
      <c r="H108" s="132">
        <v>0</v>
      </c>
    </row>
    <row r="109" spans="1:8" ht="15.75" customHeight="1">
      <c r="A109" s="374">
        <v>45786.662939814814</v>
      </c>
      <c r="B109" s="374">
        <v>45786.662939814814</v>
      </c>
      <c r="C109" s="132" t="s">
        <v>1410</v>
      </c>
      <c r="D109" s="132" t="s">
        <v>1404</v>
      </c>
      <c r="E109" s="132" t="s">
        <v>1490</v>
      </c>
      <c r="G109" s="132" t="s">
        <v>108</v>
      </c>
      <c r="H109" s="132">
        <v>0</v>
      </c>
    </row>
    <row r="110" spans="1:8" ht="15.75" customHeight="1">
      <c r="A110" s="374">
        <v>45786.662962962961</v>
      </c>
      <c r="B110" s="374">
        <v>45786.662962962961</v>
      </c>
      <c r="C110" s="132" t="s">
        <v>1410</v>
      </c>
      <c r="D110" s="132" t="s">
        <v>1404</v>
      </c>
      <c r="E110" s="132" t="s">
        <v>1491</v>
      </c>
      <c r="G110" s="132" t="s">
        <v>1488</v>
      </c>
      <c r="H110" s="132">
        <v>0</v>
      </c>
    </row>
    <row r="111" spans="1:8" ht="15.75" customHeight="1">
      <c r="A111" s="374">
        <v>45786.663055555553</v>
      </c>
      <c r="B111" s="374">
        <v>45786.663055555553</v>
      </c>
      <c r="C111" s="132" t="s">
        <v>1410</v>
      </c>
      <c r="D111" s="132" t="s">
        <v>1404</v>
      </c>
      <c r="E111" s="132" t="s">
        <v>1451</v>
      </c>
      <c r="F111" s="132" t="s">
        <v>1488</v>
      </c>
      <c r="G111" s="132" t="s">
        <v>1492</v>
      </c>
      <c r="H111" s="132">
        <v>0</v>
      </c>
    </row>
    <row r="112" spans="1:8" ht="15.75" customHeight="1">
      <c r="A112" s="374">
        <v>45786.663078703707</v>
      </c>
      <c r="B112" s="374">
        <v>45786.663078703707</v>
      </c>
      <c r="C112" s="132" t="s">
        <v>1410</v>
      </c>
      <c r="D112" s="132" t="s">
        <v>1404</v>
      </c>
      <c r="E112" s="132" t="s">
        <v>1491</v>
      </c>
      <c r="G112" s="132" t="s">
        <v>1492</v>
      </c>
      <c r="H112" s="132">
        <v>0</v>
      </c>
    </row>
    <row r="113" spans="1:8" ht="15.75" customHeight="1">
      <c r="A113" s="374">
        <v>45786.663263888891</v>
      </c>
      <c r="B113" s="374">
        <v>45786.663263888891</v>
      </c>
      <c r="C113" s="132" t="s">
        <v>1410</v>
      </c>
      <c r="D113" s="132" t="s">
        <v>1404</v>
      </c>
      <c r="E113" s="132" t="s">
        <v>1451</v>
      </c>
      <c r="F113" s="132" t="s">
        <v>1492</v>
      </c>
      <c r="G113" s="132" t="s">
        <v>1493</v>
      </c>
      <c r="H113" s="132">
        <v>0</v>
      </c>
    </row>
    <row r="114" spans="1:8" ht="15.75" customHeight="1">
      <c r="A114" s="374">
        <v>45786.663287037038</v>
      </c>
      <c r="B114" s="374">
        <v>45786.663287037038</v>
      </c>
      <c r="C114" s="132" t="s">
        <v>1410</v>
      </c>
      <c r="D114" s="132" t="s">
        <v>1404</v>
      </c>
      <c r="E114" s="132" t="s">
        <v>1491</v>
      </c>
      <c r="F114" s="132" t="s">
        <v>1492</v>
      </c>
      <c r="G114" s="132" t="s">
        <v>1493</v>
      </c>
      <c r="H114" s="132">
        <v>0</v>
      </c>
    </row>
    <row r="115" spans="1:8" ht="15.75" customHeight="1">
      <c r="A115" s="374">
        <v>45786.663483796299</v>
      </c>
      <c r="B115" s="374">
        <v>45786.663483796299</v>
      </c>
      <c r="C115" s="132" t="s">
        <v>1410</v>
      </c>
      <c r="D115" s="132" t="s">
        <v>1404</v>
      </c>
      <c r="E115" s="132" t="s">
        <v>1494</v>
      </c>
      <c r="G115" s="132" t="e">
        <v>#VALUE!</v>
      </c>
      <c r="H115" s="132">
        <v>0</v>
      </c>
    </row>
    <row r="116" spans="1:8" ht="15.75" customHeight="1">
      <c r="A116" s="374">
        <v>45786.663587962961</v>
      </c>
      <c r="B116" s="374">
        <v>45786.663587962961</v>
      </c>
      <c r="C116" s="132" t="s">
        <v>1410</v>
      </c>
      <c r="D116" s="132" t="s">
        <v>1404</v>
      </c>
      <c r="E116" s="132" t="s">
        <v>1495</v>
      </c>
      <c r="G116" s="132" t="s">
        <v>1465</v>
      </c>
      <c r="H116" s="132">
        <v>0</v>
      </c>
    </row>
    <row r="117" spans="1:8" ht="15.75" customHeight="1">
      <c r="A117" s="374">
        <v>45786.66369212963</v>
      </c>
      <c r="B117" s="374">
        <v>45786.66369212963</v>
      </c>
      <c r="C117" s="132" t="s">
        <v>1410</v>
      </c>
      <c r="D117" s="132" t="s">
        <v>1404</v>
      </c>
      <c r="E117" s="132" t="s">
        <v>1495</v>
      </c>
      <c r="F117" s="377" t="s">
        <v>1496</v>
      </c>
      <c r="G117" s="132" t="s">
        <v>1465</v>
      </c>
      <c r="H117" s="132">
        <v>0</v>
      </c>
    </row>
    <row r="118" spans="1:8" ht="15.75" customHeight="1">
      <c r="A118" s="374">
        <v>45786.66375</v>
      </c>
      <c r="B118" s="374">
        <v>45786.66375</v>
      </c>
      <c r="C118" s="132" t="s">
        <v>1410</v>
      </c>
      <c r="D118" s="132" t="s">
        <v>1404</v>
      </c>
      <c r="E118" s="132" t="s">
        <v>1497</v>
      </c>
      <c r="G118" s="132" t="s">
        <v>1498</v>
      </c>
      <c r="H118" s="132">
        <v>0</v>
      </c>
    </row>
    <row r="119" spans="1:8" ht="15.75" customHeight="1">
      <c r="A119" s="374">
        <v>45786.663819444446</v>
      </c>
      <c r="B119" s="374">
        <v>45786.663819444446</v>
      </c>
      <c r="C119" s="132" t="s">
        <v>1410</v>
      </c>
      <c r="D119" s="132" t="s">
        <v>1404</v>
      </c>
      <c r="E119" s="132" t="s">
        <v>1499</v>
      </c>
      <c r="H119" s="132">
        <v>0</v>
      </c>
    </row>
    <row r="120" spans="1:8" ht="15.75" customHeight="1">
      <c r="A120" s="374">
        <v>45786.664965277778</v>
      </c>
      <c r="B120" s="374">
        <v>45786.664965277778</v>
      </c>
      <c r="C120" s="132" t="s">
        <v>1410</v>
      </c>
      <c r="D120" s="132" t="s">
        <v>1404</v>
      </c>
      <c r="E120" s="132" t="s">
        <v>1500</v>
      </c>
      <c r="G120" s="132" t="s">
        <v>95</v>
      </c>
      <c r="H120" s="132">
        <v>0</v>
      </c>
    </row>
    <row r="121" spans="1:8" ht="15.75" customHeight="1">
      <c r="A121" s="374">
        <v>45786.667372685188</v>
      </c>
      <c r="B121" s="374">
        <v>45786.667372685188</v>
      </c>
      <c r="C121" s="132" t="s">
        <v>1410</v>
      </c>
      <c r="D121" s="132" t="s">
        <v>1404</v>
      </c>
      <c r="E121" s="132" t="s">
        <v>1501</v>
      </c>
      <c r="G121" s="132" t="s">
        <v>99</v>
      </c>
      <c r="H121" s="132">
        <v>0</v>
      </c>
    </row>
    <row r="122" spans="1:8" ht="15.75" customHeight="1">
      <c r="A122" s="374">
        <v>45786.697013888886</v>
      </c>
      <c r="B122" s="374">
        <v>45786.697013888886</v>
      </c>
      <c r="C122" s="132" t="s">
        <v>1410</v>
      </c>
      <c r="D122" s="132" t="s">
        <v>1404</v>
      </c>
      <c r="E122" s="132" t="s">
        <v>1502</v>
      </c>
      <c r="F122" s="132">
        <v>4</v>
      </c>
      <c r="G122" s="132"/>
      <c r="H122" s="132">
        <v>0</v>
      </c>
    </row>
    <row r="123" spans="1:8" ht="15.75" customHeight="1">
      <c r="A123" s="374">
        <v>45786.697615740741</v>
      </c>
      <c r="B123" s="374">
        <v>45786.697615740741</v>
      </c>
      <c r="C123" s="132" t="s">
        <v>1410</v>
      </c>
      <c r="D123" s="132" t="s">
        <v>1404</v>
      </c>
      <c r="E123" s="132" t="s">
        <v>1455</v>
      </c>
      <c r="F123" s="132">
        <v>0</v>
      </c>
      <c r="G123" s="132">
        <v>0</v>
      </c>
      <c r="H123" s="132">
        <v>0</v>
      </c>
    </row>
    <row r="124" spans="1:8" ht="15.75" customHeight="1">
      <c r="A124" s="374">
        <v>45786.697847222225</v>
      </c>
      <c r="B124" s="374">
        <v>45786.697847222225</v>
      </c>
      <c r="C124" s="132" t="s">
        <v>1410</v>
      </c>
      <c r="D124" s="132" t="s">
        <v>1404</v>
      </c>
      <c r="E124" s="132" t="s">
        <v>1502</v>
      </c>
      <c r="G124" s="132">
        <v>4</v>
      </c>
      <c r="H124" s="132">
        <v>0</v>
      </c>
    </row>
    <row r="125" spans="1:8" ht="15.75" customHeight="1">
      <c r="A125" s="374">
        <v>45786.697928240741</v>
      </c>
      <c r="B125" s="374">
        <v>45786.697928240741</v>
      </c>
      <c r="C125" s="132" t="s">
        <v>1410</v>
      </c>
      <c r="D125" s="132" t="s">
        <v>1404</v>
      </c>
      <c r="E125" s="132" t="s">
        <v>1414</v>
      </c>
      <c r="F125" s="132" t="s">
        <v>113</v>
      </c>
      <c r="G125" s="132" t="s">
        <v>154</v>
      </c>
      <c r="H125" s="132">
        <v>0</v>
      </c>
    </row>
    <row r="126" spans="1:8" ht="15.75" customHeight="1">
      <c r="A126" s="374">
        <v>45786.704421296294</v>
      </c>
      <c r="B126" s="374">
        <v>45786.704421296294</v>
      </c>
      <c r="C126" s="132" t="s">
        <v>1410</v>
      </c>
      <c r="D126" s="132" t="s">
        <v>1404</v>
      </c>
      <c r="E126" s="132" t="s">
        <v>1414</v>
      </c>
      <c r="F126" s="132" t="s">
        <v>154</v>
      </c>
      <c r="G126" s="132" t="s">
        <v>152</v>
      </c>
      <c r="H126" s="132">
        <v>0</v>
      </c>
    </row>
    <row r="127" spans="1:8" ht="15.75" customHeight="1">
      <c r="A127" s="374">
        <v>45786.70453703704</v>
      </c>
      <c r="B127" s="374">
        <v>45786.70453703704</v>
      </c>
      <c r="C127" s="132" t="s">
        <v>1410</v>
      </c>
      <c r="D127" s="132" t="s">
        <v>1404</v>
      </c>
      <c r="E127" s="132" t="s">
        <v>1413</v>
      </c>
      <c r="F127" s="132" t="s">
        <v>153</v>
      </c>
      <c r="G127" s="132" t="s">
        <v>116</v>
      </c>
      <c r="H127" s="132">
        <v>0</v>
      </c>
    </row>
    <row r="128" spans="1:8" ht="15.75" customHeight="1">
      <c r="A128" s="374">
        <v>45786.704560185186</v>
      </c>
      <c r="B128" s="374">
        <v>45786.704560185186</v>
      </c>
      <c r="C128" s="132" t="s">
        <v>1410</v>
      </c>
      <c r="D128" s="132" t="s">
        <v>1404</v>
      </c>
      <c r="E128" s="132" t="s">
        <v>1414</v>
      </c>
      <c r="F128" s="132" t="s">
        <v>152</v>
      </c>
      <c r="G128" s="132" t="s">
        <v>113</v>
      </c>
      <c r="H128" s="132">
        <v>0</v>
      </c>
    </row>
    <row r="129" spans="1:8" ht="15.75" customHeight="1">
      <c r="A129" s="374">
        <v>45786.70484953704</v>
      </c>
      <c r="B129" s="374">
        <v>45786.70484953704</v>
      </c>
      <c r="C129" s="132" t="s">
        <v>1410</v>
      </c>
      <c r="D129" s="132" t="s">
        <v>1404</v>
      </c>
      <c r="E129" s="132" t="s">
        <v>1459</v>
      </c>
      <c r="G129" s="132" t="s">
        <v>1046</v>
      </c>
      <c r="H129" s="132">
        <v>0</v>
      </c>
    </row>
    <row r="130" spans="1:8" ht="15.75" customHeight="1">
      <c r="A130" s="374">
        <v>45786.707418981481</v>
      </c>
      <c r="B130" s="374">
        <v>45786.707418981481</v>
      </c>
      <c r="C130" s="132" t="s">
        <v>1410</v>
      </c>
      <c r="D130" s="132" t="s">
        <v>1404</v>
      </c>
      <c r="E130" s="132" t="s">
        <v>1462</v>
      </c>
      <c r="G130" s="132" t="s">
        <v>1046</v>
      </c>
      <c r="H130" s="132">
        <v>0</v>
      </c>
    </row>
    <row r="131" spans="1:8" ht="15.75" customHeight="1">
      <c r="A131" s="374">
        <v>45786.707569444443</v>
      </c>
      <c r="B131" s="374">
        <v>45786.707569444443</v>
      </c>
      <c r="C131" s="132" t="s">
        <v>1410</v>
      </c>
      <c r="D131" s="132" t="s">
        <v>1404</v>
      </c>
      <c r="E131" s="132" t="s">
        <v>1503</v>
      </c>
      <c r="G131" s="132">
        <v>4</v>
      </c>
      <c r="H131" s="132">
        <v>0</v>
      </c>
    </row>
    <row r="132" spans="1:8" ht="15.75" customHeight="1">
      <c r="A132" s="374">
        <v>45791.403692129628</v>
      </c>
      <c r="B132" s="374">
        <v>45791.403692129628</v>
      </c>
      <c r="C132" s="132" t="s">
        <v>1403</v>
      </c>
      <c r="D132" s="132" t="s">
        <v>1404</v>
      </c>
      <c r="E132" s="132" t="s">
        <v>1406</v>
      </c>
      <c r="G132" s="132">
        <v>1</v>
      </c>
      <c r="H132" s="132">
        <v>0</v>
      </c>
    </row>
    <row r="133" spans="1:8" ht="15.75" customHeight="1">
      <c r="A133" s="374">
        <v>45791.420914351853</v>
      </c>
      <c r="B133" s="374">
        <v>45791.420914351853</v>
      </c>
      <c r="C133" s="132" t="s">
        <v>1403</v>
      </c>
      <c r="D133" s="132" t="s">
        <v>1404</v>
      </c>
      <c r="E133" s="132" t="s">
        <v>1504</v>
      </c>
      <c r="G133" s="132" t="s">
        <v>89</v>
      </c>
      <c r="H133" s="132">
        <v>0</v>
      </c>
    </row>
    <row r="134" spans="1:8" ht="15.75" customHeight="1">
      <c r="A134" s="374">
        <v>45791.421111111114</v>
      </c>
      <c r="B134" s="374">
        <v>45791.421111111114</v>
      </c>
      <c r="C134" s="132" t="s">
        <v>1403</v>
      </c>
      <c r="D134" s="132" t="s">
        <v>1404</v>
      </c>
      <c r="E134" s="132" t="s">
        <v>1505</v>
      </c>
      <c r="H134" s="132">
        <v>0</v>
      </c>
    </row>
    <row r="135" spans="1:8" ht="15.75" customHeight="1">
      <c r="A135" s="374">
        <v>45791.518819444442</v>
      </c>
      <c r="B135" s="374">
        <v>45791.518819444442</v>
      </c>
      <c r="C135" s="132" t="s">
        <v>1403</v>
      </c>
      <c r="D135" s="132" t="s">
        <v>1404</v>
      </c>
      <c r="E135" s="132" t="s">
        <v>1406</v>
      </c>
      <c r="F135" s="132">
        <v>1</v>
      </c>
      <c r="G135" s="132">
        <v>0.1111111111111111</v>
      </c>
      <c r="H135" s="132">
        <v>0</v>
      </c>
    </row>
    <row r="136" spans="1:8" ht="15.75" customHeight="1">
      <c r="A136" s="374">
        <v>45791.592106481483</v>
      </c>
      <c r="B136" s="374">
        <v>45791.592106481483</v>
      </c>
      <c r="C136" s="132" t="s">
        <v>1410</v>
      </c>
      <c r="D136" s="132" t="s">
        <v>1404</v>
      </c>
      <c r="E136" s="132" t="s">
        <v>1506</v>
      </c>
      <c r="H136" s="132">
        <v>0</v>
      </c>
    </row>
    <row r="137" spans="1:8" ht="15.75" customHeight="1">
      <c r="A137" s="374">
        <v>45791.592187499999</v>
      </c>
      <c r="B137" s="374">
        <v>45791.592187499999</v>
      </c>
      <c r="C137" s="132" t="s">
        <v>1410</v>
      </c>
      <c r="D137" s="132" t="s">
        <v>1404</v>
      </c>
      <c r="E137" s="132" t="s">
        <v>1457</v>
      </c>
      <c r="H137" s="132">
        <v>0</v>
      </c>
    </row>
    <row r="138" spans="1:8" ht="15.75" customHeight="1">
      <c r="A138" s="374">
        <v>45791.592326388891</v>
      </c>
      <c r="B138" s="374">
        <v>45791.592326388891</v>
      </c>
      <c r="C138" s="132" t="s">
        <v>1410</v>
      </c>
      <c r="D138" s="132" t="s">
        <v>1404</v>
      </c>
      <c r="E138" s="132" t="s">
        <v>1507</v>
      </c>
      <c r="H138" s="132">
        <v>0</v>
      </c>
    </row>
    <row r="139" spans="1:8" ht="15.75" customHeight="1">
      <c r="A139" s="374">
        <v>45791.592511574076</v>
      </c>
      <c r="B139" s="374">
        <v>45791.592511574076</v>
      </c>
      <c r="C139" s="132" t="s">
        <v>1410</v>
      </c>
      <c r="D139" s="132" t="s">
        <v>1404</v>
      </c>
      <c r="E139" s="132" t="s">
        <v>1457</v>
      </c>
      <c r="H139" s="132">
        <v>0</v>
      </c>
    </row>
    <row r="140" spans="1:8" ht="15.75" customHeight="1">
      <c r="A140" s="374">
        <v>45791.592534722222</v>
      </c>
      <c r="B140" s="374">
        <v>45791.592534722222</v>
      </c>
      <c r="C140" s="132" t="s">
        <v>1410</v>
      </c>
      <c r="D140" s="132" t="s">
        <v>1404</v>
      </c>
      <c r="E140" s="132" t="s">
        <v>1454</v>
      </c>
      <c r="H140" s="132">
        <v>0</v>
      </c>
    </row>
    <row r="141" spans="1:8" ht="15.75" customHeight="1">
      <c r="A141" s="374">
        <v>45791.592777777776</v>
      </c>
      <c r="B141" s="374">
        <v>45791.592777777776</v>
      </c>
      <c r="C141" s="132" t="s">
        <v>1410</v>
      </c>
      <c r="D141" s="132" t="s">
        <v>1404</v>
      </c>
      <c r="E141" s="132" t="s">
        <v>1508</v>
      </c>
      <c r="G141" s="132" t="s">
        <v>1046</v>
      </c>
      <c r="H141" s="132">
        <v>0</v>
      </c>
    </row>
    <row r="142" spans="1:8" ht="15.75" customHeight="1">
      <c r="A142" s="374">
        <v>45791.592847222222</v>
      </c>
      <c r="B142" s="374">
        <v>45791.592847222222</v>
      </c>
      <c r="C142" s="132" t="s">
        <v>1410</v>
      </c>
      <c r="D142" s="132" t="s">
        <v>1404</v>
      </c>
      <c r="E142" s="132" t="s">
        <v>1509</v>
      </c>
      <c r="H142" s="132">
        <v>0</v>
      </c>
    </row>
    <row r="143" spans="1:8" ht="15.75" customHeight="1">
      <c r="A143" s="374">
        <v>45791.592939814815</v>
      </c>
      <c r="B143" s="374">
        <v>45791.592939814815</v>
      </c>
      <c r="C143" s="132" t="s">
        <v>1410</v>
      </c>
      <c r="D143" s="132" t="s">
        <v>1404</v>
      </c>
      <c r="E143" s="132" t="s">
        <v>1510</v>
      </c>
      <c r="H143" s="132">
        <v>0</v>
      </c>
    </row>
    <row r="144" spans="1:8" ht="15.75" customHeight="1">
      <c r="A144" s="374">
        <v>45791.745752314811</v>
      </c>
      <c r="B144" s="374">
        <v>45791.745752314811</v>
      </c>
      <c r="C144" s="132" t="s">
        <v>1410</v>
      </c>
      <c r="D144" s="132" t="s">
        <v>1404</v>
      </c>
      <c r="E144" s="132" t="s">
        <v>1511</v>
      </c>
      <c r="G144" s="132" t="s">
        <v>1418</v>
      </c>
      <c r="H144" s="132">
        <v>0</v>
      </c>
    </row>
    <row r="145" spans="1:8" ht="15.75" customHeight="1">
      <c r="A145" s="374">
        <v>45791.746018518519</v>
      </c>
      <c r="B145" s="374">
        <v>45791.746018518519</v>
      </c>
      <c r="C145" s="132" t="s">
        <v>1410</v>
      </c>
      <c r="D145" s="132" t="s">
        <v>1404</v>
      </c>
      <c r="E145" s="132" t="s">
        <v>1512</v>
      </c>
      <c r="H145" s="132">
        <v>0</v>
      </c>
    </row>
    <row r="146" spans="1:8" ht="15.75" customHeight="1">
      <c r="A146" s="374">
        <v>45791.746747685182</v>
      </c>
      <c r="B146" s="374">
        <v>45791.746747685182</v>
      </c>
      <c r="C146" s="132" t="s">
        <v>1410</v>
      </c>
      <c r="D146" s="132" t="s">
        <v>1404</v>
      </c>
      <c r="E146" s="132" t="s">
        <v>1511</v>
      </c>
      <c r="G146" s="132" t="s">
        <v>1418</v>
      </c>
      <c r="H146" s="132">
        <v>0</v>
      </c>
    </row>
    <row r="147" spans="1:8" ht="15.75" customHeight="1">
      <c r="A147" s="374">
        <v>45791.746874999997</v>
      </c>
      <c r="B147" s="374">
        <v>45791.746874999997</v>
      </c>
      <c r="C147" s="132" t="s">
        <v>1410</v>
      </c>
      <c r="D147" s="132" t="s">
        <v>1404</v>
      </c>
      <c r="E147" s="132" t="s">
        <v>1511</v>
      </c>
      <c r="F147" s="132" t="s">
        <v>1418</v>
      </c>
      <c r="H147" s="132">
        <v>0</v>
      </c>
    </row>
    <row r="148" spans="1:8" ht="15.75" customHeight="1">
      <c r="A148" s="374">
        <v>45791.746944444443</v>
      </c>
      <c r="B148" s="374">
        <v>45791.746944444443</v>
      </c>
      <c r="C148" s="132" t="s">
        <v>1410</v>
      </c>
      <c r="D148" s="132" t="s">
        <v>1404</v>
      </c>
      <c r="E148" s="132" t="s">
        <v>1513</v>
      </c>
      <c r="G148" s="132" t="s">
        <v>1418</v>
      </c>
      <c r="H148" s="132">
        <v>0</v>
      </c>
    </row>
    <row r="149" spans="1:8" ht="15.75" customHeight="1">
      <c r="A149" s="374">
        <v>45791.747025462966</v>
      </c>
      <c r="B149" s="374">
        <v>45791.747025462966</v>
      </c>
      <c r="C149" s="132" t="s">
        <v>1410</v>
      </c>
      <c r="D149" s="132" t="s">
        <v>1404</v>
      </c>
      <c r="E149" s="132" t="s">
        <v>1514</v>
      </c>
      <c r="G149" s="132" t="s">
        <v>1515</v>
      </c>
      <c r="H149" s="132">
        <v>0</v>
      </c>
    </row>
    <row r="150" spans="1:8" ht="15.75" customHeight="1">
      <c r="A150" s="374">
        <v>45791.750821759262</v>
      </c>
      <c r="B150" s="374">
        <v>45791.750821759262</v>
      </c>
      <c r="C150" s="132" t="s">
        <v>1410</v>
      </c>
      <c r="D150" s="132" t="s">
        <v>1404</v>
      </c>
      <c r="E150" s="132" t="s">
        <v>1516</v>
      </c>
      <c r="H150" s="132">
        <v>0</v>
      </c>
    </row>
    <row r="151" spans="1:8" ht="15.75" customHeight="1">
      <c r="A151" s="374">
        <v>45796.485856481479</v>
      </c>
      <c r="B151" s="374">
        <v>45796.485856481479</v>
      </c>
      <c r="C151" s="132" t="s">
        <v>1410</v>
      </c>
      <c r="D151" s="132" t="s">
        <v>1404</v>
      </c>
      <c r="E151" s="132" t="s">
        <v>1517</v>
      </c>
      <c r="G151" s="132" t="s">
        <v>608</v>
      </c>
      <c r="H151" s="132">
        <v>0</v>
      </c>
    </row>
    <row r="152" spans="1:8" ht="15.75" customHeight="1">
      <c r="A152" s="374">
        <v>45796.486261574071</v>
      </c>
      <c r="B152" s="374">
        <v>45796.486261574071</v>
      </c>
      <c r="C152" s="132" t="s">
        <v>1410</v>
      </c>
      <c r="D152" s="132" t="s">
        <v>1404</v>
      </c>
      <c r="E152" s="132" t="s">
        <v>1518</v>
      </c>
      <c r="G152" s="132" t="s">
        <v>609</v>
      </c>
      <c r="H152" s="132">
        <v>0</v>
      </c>
    </row>
    <row r="153" spans="1:8" ht="15.75" customHeight="1">
      <c r="A153" s="374">
        <v>45796.760775462964</v>
      </c>
      <c r="B153" s="374">
        <v>45796.760775462964</v>
      </c>
      <c r="C153" s="132" t="s">
        <v>1410</v>
      </c>
      <c r="D153" s="132" t="s">
        <v>1404</v>
      </c>
      <c r="E153" s="132" t="s">
        <v>1519</v>
      </c>
      <c r="G153" s="132" t="s">
        <v>1520</v>
      </c>
      <c r="H153" s="132">
        <v>0</v>
      </c>
    </row>
    <row r="154" spans="1:8" ht="15.75" customHeight="1">
      <c r="A154" s="374">
        <v>45796.760810185187</v>
      </c>
      <c r="B154" s="374">
        <v>45796.760810185187</v>
      </c>
      <c r="C154" s="132" t="s">
        <v>1410</v>
      </c>
      <c r="D154" s="132" t="s">
        <v>1404</v>
      </c>
      <c r="E154" s="132" t="s">
        <v>1521</v>
      </c>
      <c r="H154" s="132">
        <v>0</v>
      </c>
    </row>
    <row r="155" spans="1:8" ht="15.75" customHeight="1">
      <c r="A155" s="374">
        <v>45796.764247685183</v>
      </c>
      <c r="B155" s="374">
        <v>45796.764247685183</v>
      </c>
      <c r="C155" s="132" t="s">
        <v>1410</v>
      </c>
      <c r="D155" s="132" t="s">
        <v>1404</v>
      </c>
      <c r="E155" s="132" t="s">
        <v>1517</v>
      </c>
      <c r="G155" s="132" t="s">
        <v>159</v>
      </c>
      <c r="H155" s="132">
        <v>0</v>
      </c>
    </row>
    <row r="156" spans="1:8" ht="15.75" customHeight="1">
      <c r="A156" s="374">
        <v>45796.764351851853</v>
      </c>
      <c r="B156" s="374">
        <v>45796.764351851853</v>
      </c>
      <c r="C156" s="132" t="s">
        <v>1410</v>
      </c>
      <c r="D156" s="132" t="s">
        <v>1404</v>
      </c>
      <c r="E156" s="132" t="s">
        <v>1518</v>
      </c>
      <c r="G156" s="132" t="s">
        <v>160</v>
      </c>
      <c r="H156" s="132">
        <v>0</v>
      </c>
    </row>
    <row r="157" spans="1:8" ht="15.75" customHeight="1">
      <c r="A157" s="374">
        <v>45796.764398148145</v>
      </c>
      <c r="B157" s="374">
        <v>45796.764398148145</v>
      </c>
      <c r="C157" s="132" t="s">
        <v>1410</v>
      </c>
      <c r="D157" s="132" t="s">
        <v>1404</v>
      </c>
      <c r="E157" s="132" t="s">
        <v>1522</v>
      </c>
      <c r="G157" s="132" t="s">
        <v>159</v>
      </c>
      <c r="H157" s="132">
        <v>0</v>
      </c>
    </row>
    <row r="158" spans="1:8" ht="15.75" customHeight="1">
      <c r="A158" s="374">
        <v>45796.764421296299</v>
      </c>
      <c r="B158" s="374">
        <v>45796.764421296299</v>
      </c>
      <c r="C158" s="132" t="s">
        <v>1410</v>
      </c>
      <c r="D158" s="132" t="s">
        <v>1404</v>
      </c>
      <c r="E158" s="132" t="s">
        <v>1523</v>
      </c>
      <c r="G158" s="132" t="s">
        <v>157</v>
      </c>
      <c r="H158" s="132">
        <v>0</v>
      </c>
    </row>
    <row r="159" spans="1:8" ht="15.75" customHeight="1">
      <c r="A159" s="374">
        <v>45796.765034722222</v>
      </c>
      <c r="B159" s="374">
        <v>45796.765034722222</v>
      </c>
      <c r="C159" s="132" t="s">
        <v>1410</v>
      </c>
      <c r="D159" s="132" t="s">
        <v>1404</v>
      </c>
      <c r="E159" s="132" t="s">
        <v>1524</v>
      </c>
      <c r="F159" s="132" t="s">
        <v>209</v>
      </c>
      <c r="G159" s="132" t="s">
        <v>159</v>
      </c>
      <c r="H159" s="132">
        <v>0</v>
      </c>
    </row>
    <row r="160" spans="1:8" ht="15.75" customHeight="1">
      <c r="A160" s="374">
        <v>45796.765057870369</v>
      </c>
      <c r="B160" s="374">
        <v>45796.765057870369</v>
      </c>
      <c r="C160" s="132" t="s">
        <v>1410</v>
      </c>
      <c r="D160" s="132" t="s">
        <v>1404</v>
      </c>
      <c r="E160" s="132" t="s">
        <v>1525</v>
      </c>
      <c r="F160" s="132" t="s">
        <v>113</v>
      </c>
      <c r="G160" s="132" t="s">
        <v>160</v>
      </c>
      <c r="H160" s="132">
        <v>0</v>
      </c>
    </row>
    <row r="161" spans="1:8" ht="15.75" customHeight="1">
      <c r="A161" s="374">
        <v>45796.765092592592</v>
      </c>
      <c r="B161" s="374">
        <v>45796.765092592592</v>
      </c>
      <c r="C161" s="132" t="s">
        <v>1410</v>
      </c>
      <c r="D161" s="132" t="s">
        <v>1404</v>
      </c>
      <c r="E161" s="132" t="s">
        <v>1526</v>
      </c>
      <c r="G161" s="132" t="s">
        <v>159</v>
      </c>
      <c r="H161" s="132">
        <v>0</v>
      </c>
    </row>
    <row r="162" spans="1:8" ht="15.75" customHeight="1">
      <c r="A162" s="374">
        <v>45796.766655092593</v>
      </c>
      <c r="B162" s="374">
        <v>45796.766655092593</v>
      </c>
      <c r="C162" s="132" t="s">
        <v>1410</v>
      </c>
      <c r="D162" s="132" t="s">
        <v>1404</v>
      </c>
      <c r="E162" s="132" t="s">
        <v>1527</v>
      </c>
      <c r="G162" s="132" t="s">
        <v>159</v>
      </c>
      <c r="H162" s="132">
        <v>0</v>
      </c>
    </row>
    <row r="163" spans="1:8" ht="15.75" customHeight="1">
      <c r="A163" s="374">
        <v>45797.459664351853</v>
      </c>
      <c r="B163" s="374">
        <v>45797.459664351853</v>
      </c>
      <c r="C163" s="132" t="s">
        <v>1410</v>
      </c>
      <c r="D163" s="132" t="s">
        <v>1404</v>
      </c>
      <c r="E163" s="132" t="s">
        <v>1528</v>
      </c>
      <c r="H163" s="132">
        <v>0</v>
      </c>
    </row>
    <row r="164" spans="1:8" ht="15.75" customHeight="1">
      <c r="A164" s="374">
        <v>45797.459710648145</v>
      </c>
      <c r="B164" s="374">
        <v>45797.459710648145</v>
      </c>
      <c r="C164" s="132" t="s">
        <v>1410</v>
      </c>
      <c r="D164" s="132" t="s">
        <v>1404</v>
      </c>
      <c r="E164" s="132" t="s">
        <v>1529</v>
      </c>
      <c r="G164" s="132" t="s">
        <v>160</v>
      </c>
      <c r="H164" s="132">
        <v>0</v>
      </c>
    </row>
    <row r="165" spans="1:8" ht="15.75" customHeight="1">
      <c r="A165" s="374">
        <v>45797.459780092591</v>
      </c>
      <c r="B165" s="374">
        <v>45797.459780092591</v>
      </c>
      <c r="C165" s="132" t="s">
        <v>1410</v>
      </c>
      <c r="D165" s="132" t="s">
        <v>1404</v>
      </c>
      <c r="E165" s="132" t="s">
        <v>1530</v>
      </c>
      <c r="H165" s="132">
        <v>0</v>
      </c>
    </row>
    <row r="166" spans="1:8" ht="15.75" customHeight="1">
      <c r="A166" s="374">
        <v>45797.459837962961</v>
      </c>
      <c r="B166" s="374">
        <v>45797.459837962961</v>
      </c>
      <c r="C166" s="132" t="s">
        <v>1410</v>
      </c>
      <c r="D166" s="132" t="s">
        <v>1404</v>
      </c>
      <c r="E166" s="132" t="s">
        <v>1531</v>
      </c>
      <c r="G166" s="132" t="s">
        <v>159</v>
      </c>
      <c r="H166" s="132">
        <v>0</v>
      </c>
    </row>
    <row r="167" spans="1:8" ht="15.75" customHeight="1">
      <c r="A167" s="374">
        <v>45797.460127314815</v>
      </c>
      <c r="B167" s="374">
        <v>45797.460127314815</v>
      </c>
      <c r="C167" s="132" t="s">
        <v>1410</v>
      </c>
      <c r="D167" s="132" t="s">
        <v>1404</v>
      </c>
      <c r="E167" s="132" t="s">
        <v>1532</v>
      </c>
      <c r="H167" s="132">
        <v>0</v>
      </c>
    </row>
    <row r="168" spans="1:8" ht="15.75" customHeight="1">
      <c r="A168" s="374">
        <v>45797.460173611114</v>
      </c>
      <c r="B168" s="374">
        <v>45797.460173611114</v>
      </c>
      <c r="C168" s="132" t="s">
        <v>1410</v>
      </c>
      <c r="D168" s="132" t="s">
        <v>1404</v>
      </c>
      <c r="E168" s="132" t="s">
        <v>1433</v>
      </c>
      <c r="G168" s="132" t="s">
        <v>159</v>
      </c>
      <c r="H168" s="132">
        <v>0</v>
      </c>
    </row>
    <row r="169" spans="1:8" ht="15.75" customHeight="1">
      <c r="A169" s="374">
        <v>45797.478159722225</v>
      </c>
      <c r="B169" s="374">
        <v>45797.478159722225</v>
      </c>
      <c r="C169" s="132" t="s">
        <v>1410</v>
      </c>
      <c r="D169" s="132" t="s">
        <v>1404</v>
      </c>
      <c r="E169" s="132" t="s">
        <v>1436</v>
      </c>
      <c r="F169" s="132" t="s">
        <v>168</v>
      </c>
      <c r="G169" s="132" t="s">
        <v>159</v>
      </c>
      <c r="H169" s="132">
        <v>0</v>
      </c>
    </row>
    <row r="170" spans="1:8" ht="15.75" customHeight="1">
      <c r="A170" s="374">
        <v>45797.478182870371</v>
      </c>
      <c r="B170" s="374">
        <v>45797.478182870371</v>
      </c>
      <c r="C170" s="132" t="s">
        <v>1410</v>
      </c>
      <c r="D170" s="132" t="s">
        <v>1404</v>
      </c>
      <c r="E170" s="132" t="s">
        <v>1440</v>
      </c>
      <c r="F170" s="132" t="s">
        <v>1422</v>
      </c>
      <c r="G170" s="132" t="s">
        <v>160</v>
      </c>
      <c r="H170" s="132">
        <v>0</v>
      </c>
    </row>
    <row r="171" spans="1:8" ht="15.75" customHeight="1">
      <c r="A171" s="374">
        <v>45797.478252314817</v>
      </c>
      <c r="B171" s="374">
        <v>45797.478252314817</v>
      </c>
      <c r="C171" s="132" t="s">
        <v>1410</v>
      </c>
      <c r="D171" s="132" t="s">
        <v>1404</v>
      </c>
      <c r="E171" s="132" t="s">
        <v>1437</v>
      </c>
      <c r="G171" s="132" t="s">
        <v>168</v>
      </c>
      <c r="H171" s="132">
        <v>0</v>
      </c>
    </row>
    <row r="172" spans="1:8" ht="15.75" customHeight="1">
      <c r="A172" s="374">
        <v>45797.478298611109</v>
      </c>
      <c r="B172" s="374">
        <v>45797.478298611109</v>
      </c>
      <c r="C172" s="132" t="s">
        <v>1410</v>
      </c>
      <c r="D172" s="132" t="s">
        <v>1404</v>
      </c>
      <c r="E172" s="132" t="s">
        <v>1437</v>
      </c>
      <c r="F172" s="132" t="s">
        <v>168</v>
      </c>
      <c r="G172" s="132" t="s">
        <v>159</v>
      </c>
      <c r="H172" s="132">
        <v>0</v>
      </c>
    </row>
    <row r="173" spans="1:8" ht="15.75" customHeight="1">
      <c r="A173" s="374">
        <v>45797.478321759256</v>
      </c>
      <c r="B173" s="374">
        <v>45797.478321759256</v>
      </c>
      <c r="C173" s="132" t="s">
        <v>1410</v>
      </c>
      <c r="D173" s="132" t="s">
        <v>1404</v>
      </c>
      <c r="E173" s="132" t="s">
        <v>1437</v>
      </c>
      <c r="G173" s="132" t="s">
        <v>168</v>
      </c>
      <c r="H173" s="132">
        <v>0</v>
      </c>
    </row>
    <row r="174" spans="1:8" ht="15.75" customHeight="1">
      <c r="A174" s="374">
        <v>45797.478993055556</v>
      </c>
      <c r="B174" s="374">
        <v>45797.478993055556</v>
      </c>
      <c r="C174" s="132" t="s">
        <v>1410</v>
      </c>
      <c r="D174" s="132" t="s">
        <v>1404</v>
      </c>
      <c r="E174" s="132" t="s">
        <v>1433</v>
      </c>
      <c r="F174" s="132" t="s">
        <v>159</v>
      </c>
      <c r="H174" s="132">
        <v>0</v>
      </c>
    </row>
    <row r="175" spans="1:8" ht="15.75" customHeight="1">
      <c r="A175" s="374">
        <v>45797.479039351849</v>
      </c>
      <c r="B175" s="374">
        <v>45797.479039351849</v>
      </c>
      <c r="C175" s="132" t="s">
        <v>1410</v>
      </c>
      <c r="D175" s="132" t="s">
        <v>1404</v>
      </c>
      <c r="E175" s="132" t="s">
        <v>1437</v>
      </c>
      <c r="G175" s="132" t="s">
        <v>168</v>
      </c>
      <c r="H175" s="132">
        <v>0</v>
      </c>
    </row>
    <row r="176" spans="1:8" ht="15.75" customHeight="1">
      <c r="A176" s="374">
        <v>45797.484710648147</v>
      </c>
      <c r="B176" s="374">
        <v>45797.484710648147</v>
      </c>
      <c r="C176" s="132" t="s">
        <v>1410</v>
      </c>
      <c r="D176" s="132" t="s">
        <v>1404</v>
      </c>
      <c r="E176" s="132" t="s">
        <v>1533</v>
      </c>
      <c r="F176" s="132" t="s">
        <v>1534</v>
      </c>
      <c r="G176" s="132" t="s">
        <v>109</v>
      </c>
      <c r="H176" s="132">
        <v>0</v>
      </c>
    </row>
    <row r="177" spans="1:8" ht="15.75" customHeight="1">
      <c r="A177" s="374">
        <v>45797.503784722219</v>
      </c>
      <c r="B177" s="374">
        <v>45797.503784722219</v>
      </c>
      <c r="C177" s="132" t="s">
        <v>1410</v>
      </c>
      <c r="D177" s="132" t="s">
        <v>1404</v>
      </c>
      <c r="E177" s="132" t="s">
        <v>1535</v>
      </c>
      <c r="H177" s="132">
        <v>0</v>
      </c>
    </row>
    <row r="178" spans="1:8" ht="15.75" customHeight="1">
      <c r="A178" s="374">
        <v>45797.503935185188</v>
      </c>
      <c r="B178" s="374">
        <v>45797.503935185188</v>
      </c>
      <c r="C178" s="132" t="s">
        <v>1410</v>
      </c>
      <c r="D178" s="132" t="s">
        <v>1404</v>
      </c>
      <c r="E178" s="132" t="s">
        <v>1536</v>
      </c>
      <c r="H178" s="132">
        <v>0</v>
      </c>
    </row>
    <row r="179" spans="1:8" ht="15.75" customHeight="1">
      <c r="A179" s="374">
        <v>45797.510844907411</v>
      </c>
      <c r="B179" s="374">
        <v>45797.510844907411</v>
      </c>
      <c r="C179" s="132" t="s">
        <v>1410</v>
      </c>
      <c r="D179" s="132" t="s">
        <v>1404</v>
      </c>
      <c r="E179" s="132" t="s">
        <v>1433</v>
      </c>
      <c r="G179" s="132" t="s">
        <v>159</v>
      </c>
      <c r="H179" s="132">
        <v>0</v>
      </c>
    </row>
    <row r="180" spans="1:8" ht="15.75" customHeight="1">
      <c r="A180" s="374">
        <v>45797.511018518519</v>
      </c>
      <c r="B180" s="374">
        <v>45797.511018518519</v>
      </c>
      <c r="C180" s="132" t="s">
        <v>1410</v>
      </c>
      <c r="D180" s="132" t="s">
        <v>1404</v>
      </c>
      <c r="E180" s="132" t="s">
        <v>1517</v>
      </c>
      <c r="G180" s="132" t="s">
        <v>159</v>
      </c>
      <c r="H180" s="132">
        <v>0</v>
      </c>
    </row>
    <row r="181" spans="1:8" ht="15.75" customHeight="1">
      <c r="A181" s="374">
        <v>45797.512094907404</v>
      </c>
      <c r="B181" s="374">
        <v>45797.512094907404</v>
      </c>
      <c r="C181" s="132" t="s">
        <v>1410</v>
      </c>
      <c r="D181" s="132" t="s">
        <v>1404</v>
      </c>
      <c r="E181" s="132" t="s">
        <v>1537</v>
      </c>
      <c r="G181" s="132" t="s">
        <v>159</v>
      </c>
      <c r="H181" s="132">
        <v>0</v>
      </c>
    </row>
    <row r="182" spans="1:8" ht="15.75" customHeight="1">
      <c r="A182" s="374">
        <v>45797.512314814812</v>
      </c>
      <c r="B182" s="374">
        <v>45797.512314814812</v>
      </c>
      <c r="C182" s="132" t="s">
        <v>1410</v>
      </c>
      <c r="D182" s="132" t="s">
        <v>1404</v>
      </c>
      <c r="E182" s="132" t="s">
        <v>1538</v>
      </c>
      <c r="G182" s="132" t="s">
        <v>159</v>
      </c>
      <c r="H182" s="132">
        <v>0</v>
      </c>
    </row>
    <row r="183" spans="1:8" ht="15.75" customHeight="1">
      <c r="A183" s="374">
        <v>45797.512314814812</v>
      </c>
      <c r="B183" s="374">
        <v>45797.512314814812</v>
      </c>
      <c r="C183" s="132" t="s">
        <v>1410</v>
      </c>
      <c r="D183" s="132" t="s">
        <v>1404</v>
      </c>
      <c r="E183" s="132" t="s">
        <v>1522</v>
      </c>
      <c r="G183" s="132" t="s">
        <v>159</v>
      </c>
      <c r="H183" s="132">
        <v>0</v>
      </c>
    </row>
    <row r="184" spans="1:8" ht="15.75" customHeight="1">
      <c r="A184" s="374">
        <v>45797.512349537035</v>
      </c>
      <c r="B184" s="374">
        <v>45797.512349537035</v>
      </c>
      <c r="C184" s="132" t="s">
        <v>1410</v>
      </c>
      <c r="D184" s="132" t="s">
        <v>1404</v>
      </c>
      <c r="E184" s="132" t="s">
        <v>1539</v>
      </c>
      <c r="G184" s="132" t="s">
        <v>159</v>
      </c>
      <c r="H184" s="132">
        <v>0</v>
      </c>
    </row>
    <row r="185" spans="1:8" ht="15.75" customHeight="1">
      <c r="A185" s="374">
        <v>45797.512407407405</v>
      </c>
      <c r="B185" s="374">
        <v>45797.512407407405</v>
      </c>
      <c r="C185" s="132" t="s">
        <v>1410</v>
      </c>
      <c r="D185" s="132" t="s">
        <v>1404</v>
      </c>
      <c r="E185" s="132" t="s">
        <v>1540</v>
      </c>
      <c r="H185" s="132">
        <v>0</v>
      </c>
    </row>
    <row r="186" spans="1:8" ht="15.75" customHeight="1">
      <c r="A186" s="374">
        <v>45797.599317129629</v>
      </c>
      <c r="B186" s="374">
        <v>45797.599317129629</v>
      </c>
      <c r="C186" s="132" t="s">
        <v>1410</v>
      </c>
      <c r="D186" s="132" t="s">
        <v>1404</v>
      </c>
      <c r="E186" s="132" t="s">
        <v>1436</v>
      </c>
      <c r="G186" s="132" t="s">
        <v>159</v>
      </c>
      <c r="H186" s="132">
        <v>0</v>
      </c>
    </row>
    <row r="187" spans="1:8" ht="15.75" customHeight="1">
      <c r="A187" s="374">
        <v>45797.599340277775</v>
      </c>
      <c r="B187" s="374">
        <v>45797.599340277775</v>
      </c>
      <c r="C187" s="132" t="s">
        <v>1410</v>
      </c>
      <c r="D187" s="132" t="s">
        <v>1404</v>
      </c>
      <c r="E187" s="132" t="s">
        <v>1440</v>
      </c>
      <c r="G187" s="132" t="s">
        <v>160</v>
      </c>
      <c r="H187" s="132">
        <v>0</v>
      </c>
    </row>
    <row r="188" spans="1:8" ht="15.75" customHeight="1">
      <c r="A188" s="374">
        <v>45797.599351851852</v>
      </c>
      <c r="B188" s="374">
        <v>45797.599351851852</v>
      </c>
      <c r="C188" s="132" t="s">
        <v>1410</v>
      </c>
      <c r="D188" s="132" t="s">
        <v>1404</v>
      </c>
      <c r="E188" s="132" t="s">
        <v>1437</v>
      </c>
      <c r="G188" s="132" t="s">
        <v>159</v>
      </c>
      <c r="H188" s="132">
        <v>0</v>
      </c>
    </row>
    <row r="189" spans="1:8" ht="15.75" customHeight="1">
      <c r="A189" s="374">
        <v>45797.599374999998</v>
      </c>
      <c r="B189" s="374">
        <v>45797.599374999998</v>
      </c>
      <c r="C189" s="132" t="s">
        <v>1410</v>
      </c>
      <c r="D189" s="132" t="s">
        <v>1404</v>
      </c>
      <c r="E189" s="132" t="s">
        <v>1438</v>
      </c>
      <c r="G189" s="132" t="s">
        <v>157</v>
      </c>
      <c r="H189" s="132">
        <v>0</v>
      </c>
    </row>
    <row r="190" spans="1:8" ht="15.75" customHeight="1">
      <c r="A190" s="374">
        <v>45797.599398148152</v>
      </c>
      <c r="B190" s="374">
        <v>45797.599398148152</v>
      </c>
      <c r="C190" s="132" t="s">
        <v>1410</v>
      </c>
      <c r="D190" s="132" t="s">
        <v>1404</v>
      </c>
      <c r="E190" s="132" t="s">
        <v>1421</v>
      </c>
      <c r="G190" s="132" t="s">
        <v>149</v>
      </c>
      <c r="H190" s="132">
        <v>0</v>
      </c>
    </row>
    <row r="191" spans="1:8" ht="15.75" customHeight="1">
      <c r="A191" s="374">
        <v>45797.599409722221</v>
      </c>
      <c r="B191" s="374">
        <v>45797.599409722221</v>
      </c>
      <c r="C191" s="132" t="s">
        <v>1410</v>
      </c>
      <c r="D191" s="132" t="s">
        <v>1404</v>
      </c>
      <c r="E191" s="132" t="s">
        <v>1420</v>
      </c>
      <c r="G191" s="132" t="s">
        <v>113</v>
      </c>
      <c r="H191" s="132">
        <v>0</v>
      </c>
    </row>
    <row r="192" spans="1:8" ht="15.75" customHeight="1">
      <c r="A192" s="374">
        <v>45797.599479166667</v>
      </c>
      <c r="B192" s="374">
        <v>45797.599479166667</v>
      </c>
      <c r="C192" s="132" t="s">
        <v>1410</v>
      </c>
      <c r="D192" s="132" t="s">
        <v>1404</v>
      </c>
      <c r="E192" s="132" t="s">
        <v>1407</v>
      </c>
      <c r="G192" s="132" t="s">
        <v>153</v>
      </c>
      <c r="H192" s="132">
        <v>0</v>
      </c>
    </row>
    <row r="193" spans="1:8" ht="15.75" customHeight="1">
      <c r="A193" s="374">
        <v>45797.599502314813</v>
      </c>
      <c r="B193" s="374">
        <v>45797.599502314813</v>
      </c>
      <c r="C193" s="132" t="s">
        <v>1410</v>
      </c>
      <c r="D193" s="132" t="s">
        <v>1404</v>
      </c>
      <c r="E193" s="132" t="s">
        <v>1408</v>
      </c>
      <c r="G193" s="132" t="s">
        <v>154</v>
      </c>
      <c r="H193" s="132">
        <v>0</v>
      </c>
    </row>
    <row r="194" spans="1:8" ht="15.75" customHeight="1">
      <c r="A194" s="374">
        <v>45797.59952546296</v>
      </c>
      <c r="B194" s="374">
        <v>45797.59952546296</v>
      </c>
      <c r="C194" s="132" t="s">
        <v>1410</v>
      </c>
      <c r="D194" s="132" t="s">
        <v>1404</v>
      </c>
      <c r="E194" s="132" t="s">
        <v>1408</v>
      </c>
      <c r="F194" s="132" t="s">
        <v>154</v>
      </c>
      <c r="G194" s="132" t="s">
        <v>152</v>
      </c>
      <c r="H194" s="132">
        <v>0</v>
      </c>
    </row>
    <row r="195" spans="1:8" ht="15.75" customHeight="1">
      <c r="A195" s="374">
        <v>45797.599537037036</v>
      </c>
      <c r="B195" s="374">
        <v>45797.599537037036</v>
      </c>
      <c r="C195" s="132" t="s">
        <v>1410</v>
      </c>
      <c r="D195" s="132" t="s">
        <v>1404</v>
      </c>
      <c r="E195" s="132" t="s">
        <v>1408</v>
      </c>
      <c r="F195" s="132" t="s">
        <v>152</v>
      </c>
      <c r="G195" s="132" t="s">
        <v>154</v>
      </c>
      <c r="H195" s="132">
        <v>0</v>
      </c>
    </row>
    <row r="196" spans="1:8" ht="15.75" customHeight="1">
      <c r="A196" s="374">
        <v>45797.599560185183</v>
      </c>
      <c r="B196" s="374">
        <v>45797.599560185183</v>
      </c>
      <c r="C196" s="132" t="s">
        <v>1410</v>
      </c>
      <c r="D196" s="132" t="s">
        <v>1404</v>
      </c>
      <c r="E196" s="132" t="s">
        <v>1408</v>
      </c>
      <c r="F196" s="132" t="s">
        <v>154</v>
      </c>
      <c r="G196" s="132" t="s">
        <v>152</v>
      </c>
      <c r="H196" s="132">
        <v>0</v>
      </c>
    </row>
    <row r="197" spans="1:8" ht="15.75" customHeight="1">
      <c r="A197" s="374">
        <v>45797.599583333336</v>
      </c>
      <c r="B197" s="374">
        <v>45797.599583333336</v>
      </c>
      <c r="C197" s="132" t="s">
        <v>1410</v>
      </c>
      <c r="D197" s="132" t="s">
        <v>1404</v>
      </c>
      <c r="E197" s="132" t="s">
        <v>1408</v>
      </c>
      <c r="F197" s="132" t="s">
        <v>152</v>
      </c>
      <c r="G197" s="132" t="s">
        <v>154</v>
      </c>
      <c r="H197" s="132">
        <v>0</v>
      </c>
    </row>
    <row r="198" spans="1:8" ht="15.75" customHeight="1">
      <c r="A198" s="374">
        <v>45797.599675925929</v>
      </c>
      <c r="B198" s="374">
        <v>45797.599675925929</v>
      </c>
      <c r="C198" s="132" t="s">
        <v>1410</v>
      </c>
      <c r="D198" s="132" t="s">
        <v>1404</v>
      </c>
      <c r="E198" s="132" t="s">
        <v>1433</v>
      </c>
      <c r="G198" s="132" t="s">
        <v>1418</v>
      </c>
      <c r="H198" s="132">
        <v>0</v>
      </c>
    </row>
    <row r="199" spans="1:8" ht="15.75" customHeight="1">
      <c r="A199" s="374">
        <v>45797.599756944444</v>
      </c>
      <c r="B199" s="374">
        <v>45797.599756944444</v>
      </c>
      <c r="C199" s="132" t="s">
        <v>1410</v>
      </c>
      <c r="D199" s="132" t="s">
        <v>1404</v>
      </c>
      <c r="E199" s="132" t="s">
        <v>1434</v>
      </c>
      <c r="H199" s="132">
        <v>0</v>
      </c>
    </row>
    <row r="200" spans="1:8" ht="15.75" customHeight="1">
      <c r="A200" s="374">
        <v>45797.599814814814</v>
      </c>
      <c r="B200" s="374">
        <v>45797.599814814814</v>
      </c>
      <c r="C200" s="132" t="s">
        <v>1410</v>
      </c>
      <c r="D200" s="132" t="s">
        <v>1404</v>
      </c>
      <c r="E200" s="132" t="s">
        <v>1434</v>
      </c>
      <c r="G200" s="132" t="s">
        <v>1541</v>
      </c>
      <c r="H200" s="132">
        <v>0</v>
      </c>
    </row>
    <row r="201" spans="1:8" ht="15.75" customHeight="1">
      <c r="A201" s="374">
        <v>45798.507997685185</v>
      </c>
      <c r="B201" s="374">
        <v>45798.507997685185</v>
      </c>
      <c r="C201" s="132" t="s">
        <v>1410</v>
      </c>
      <c r="D201" s="132" t="s">
        <v>1404</v>
      </c>
      <c r="E201" s="132" t="s">
        <v>1542</v>
      </c>
      <c r="F201" s="132" t="s">
        <v>1543</v>
      </c>
      <c r="G201" s="132" t="s">
        <v>98</v>
      </c>
      <c r="H201" s="132">
        <v>0</v>
      </c>
    </row>
    <row r="202" spans="1:8" ht="15.75" customHeight="1">
      <c r="A202" s="374">
        <v>45798.566666666666</v>
      </c>
      <c r="B202" s="374">
        <v>45798.566666666666</v>
      </c>
      <c r="C202" s="132" t="s">
        <v>1410</v>
      </c>
      <c r="D202" s="132" t="s">
        <v>1404</v>
      </c>
      <c r="E202" s="132" t="s">
        <v>1544</v>
      </c>
      <c r="H202" s="132">
        <v>0</v>
      </c>
    </row>
    <row r="203" spans="1:8" ht="15.75" customHeight="1">
      <c r="A203" s="374">
        <v>45798.566712962966</v>
      </c>
      <c r="B203" s="374">
        <v>45798.566712962966</v>
      </c>
      <c r="C203" s="132" t="s">
        <v>1410</v>
      </c>
      <c r="D203" s="132" t="s">
        <v>1404</v>
      </c>
      <c r="E203" s="132" t="s">
        <v>1545</v>
      </c>
      <c r="G203" s="132" t="s">
        <v>214</v>
      </c>
      <c r="H203" s="132">
        <v>0</v>
      </c>
    </row>
    <row r="204" spans="1:8" ht="15.75" customHeight="1">
      <c r="A204" s="374">
        <v>45798.566724537035</v>
      </c>
      <c r="B204" s="374">
        <v>45798.566724537035</v>
      </c>
      <c r="C204" s="132" t="s">
        <v>1410</v>
      </c>
      <c r="D204" s="132" t="s">
        <v>1404</v>
      </c>
      <c r="E204" s="132" t="s">
        <v>1546</v>
      </c>
      <c r="G204" s="132" t="s">
        <v>214</v>
      </c>
      <c r="H204" s="132">
        <v>0</v>
      </c>
    </row>
    <row r="205" spans="1:8" ht="15.75" customHeight="1">
      <c r="A205" s="374">
        <v>45798.566736111112</v>
      </c>
      <c r="B205" s="374">
        <v>45798.566736111112</v>
      </c>
      <c r="C205" s="132" t="s">
        <v>1410</v>
      </c>
      <c r="D205" s="132" t="s">
        <v>1404</v>
      </c>
      <c r="E205" s="132" t="s">
        <v>1547</v>
      </c>
      <c r="F205" s="132" t="b">
        <v>0</v>
      </c>
      <c r="G205" s="132" t="b">
        <v>1</v>
      </c>
      <c r="H205" s="132">
        <v>0</v>
      </c>
    </row>
    <row r="206" spans="1:8" ht="15.75" customHeight="1">
      <c r="A206" s="374">
        <v>45798.566747685189</v>
      </c>
      <c r="B206" s="374">
        <v>45798.566747685189</v>
      </c>
      <c r="C206" s="132" t="s">
        <v>1410</v>
      </c>
      <c r="D206" s="132" t="s">
        <v>1404</v>
      </c>
      <c r="E206" s="132" t="s">
        <v>1548</v>
      </c>
      <c r="F206" s="132" t="b">
        <v>0</v>
      </c>
      <c r="G206" s="132" t="b">
        <v>1</v>
      </c>
      <c r="H206" s="132">
        <v>0</v>
      </c>
    </row>
    <row r="207" spans="1:8" ht="15.75" customHeight="1">
      <c r="A207" s="374">
        <v>45798.567071759258</v>
      </c>
      <c r="B207" s="374">
        <v>45798.567071759258</v>
      </c>
      <c r="C207" s="132" t="s">
        <v>1410</v>
      </c>
      <c r="D207" s="132" t="s">
        <v>1404</v>
      </c>
      <c r="E207" s="132" t="s">
        <v>1549</v>
      </c>
      <c r="G207" s="132" t="s">
        <v>1550</v>
      </c>
      <c r="H207" s="132">
        <v>0</v>
      </c>
    </row>
    <row r="208" spans="1:8" ht="15.75" customHeight="1">
      <c r="A208" s="374">
        <v>45798.568530092591</v>
      </c>
      <c r="B208" s="374">
        <v>45798.568530092591</v>
      </c>
      <c r="C208" s="132" t="s">
        <v>1410</v>
      </c>
      <c r="D208" s="132" t="s">
        <v>1404</v>
      </c>
      <c r="E208" s="132" t="s">
        <v>1551</v>
      </c>
      <c r="G208" s="132" t="s">
        <v>204</v>
      </c>
      <c r="H208" s="132">
        <v>0</v>
      </c>
    </row>
    <row r="209" spans="1:8" ht="15.75" customHeight="1">
      <c r="A209" s="374">
        <v>45798.568564814814</v>
      </c>
      <c r="B209" s="374">
        <v>45798.568564814814</v>
      </c>
      <c r="C209" s="132" t="s">
        <v>1410</v>
      </c>
      <c r="D209" s="132" t="s">
        <v>1404</v>
      </c>
      <c r="E209" s="132" t="s">
        <v>1552</v>
      </c>
      <c r="G209" s="132" t="s">
        <v>204</v>
      </c>
      <c r="H209" s="132">
        <v>0</v>
      </c>
    </row>
    <row r="210" spans="1:8" ht="15.75" customHeight="1">
      <c r="A210" s="374">
        <v>45798.568564814814</v>
      </c>
      <c r="B210" s="374">
        <v>45798.568564814814</v>
      </c>
      <c r="C210" s="132" t="s">
        <v>1410</v>
      </c>
      <c r="D210" s="132" t="s">
        <v>1404</v>
      </c>
      <c r="E210" s="132" t="s">
        <v>1553</v>
      </c>
      <c r="F210" s="132" t="b">
        <v>0</v>
      </c>
      <c r="G210" s="132" t="b">
        <v>1</v>
      </c>
      <c r="H210" s="132">
        <v>0</v>
      </c>
    </row>
    <row r="211" spans="1:8" ht="15.75" customHeight="1">
      <c r="A211" s="374">
        <v>45798.568576388891</v>
      </c>
      <c r="B211" s="374">
        <v>45798.568576388891</v>
      </c>
      <c r="C211" s="132" t="s">
        <v>1410</v>
      </c>
      <c r="D211" s="132" t="s">
        <v>1404</v>
      </c>
      <c r="E211" s="132" t="s">
        <v>1554</v>
      </c>
      <c r="F211" s="132" t="b">
        <v>0</v>
      </c>
      <c r="G211" s="132" t="b">
        <v>1</v>
      </c>
      <c r="H211" s="132">
        <v>0</v>
      </c>
    </row>
    <row r="212" spans="1:8" ht="15.75" customHeight="1">
      <c r="A212" s="374">
        <v>45798.568622685183</v>
      </c>
      <c r="B212" s="374">
        <v>45798.568622685183</v>
      </c>
      <c r="C212" s="132" t="s">
        <v>1410</v>
      </c>
      <c r="D212" s="132" t="s">
        <v>1404</v>
      </c>
      <c r="E212" s="132" t="s">
        <v>1555</v>
      </c>
      <c r="H212" s="132">
        <v>0</v>
      </c>
    </row>
    <row r="213" spans="1:8" ht="15.75" customHeight="1">
      <c r="A213" s="374">
        <v>45798.568645833337</v>
      </c>
      <c r="B213" s="374">
        <v>45798.568645833337</v>
      </c>
      <c r="C213" s="132" t="s">
        <v>1410</v>
      </c>
      <c r="D213" s="132" t="s">
        <v>1404</v>
      </c>
      <c r="E213" s="132" t="s">
        <v>1555</v>
      </c>
      <c r="G213" s="132" t="b">
        <v>1</v>
      </c>
      <c r="H213" s="132">
        <v>0</v>
      </c>
    </row>
    <row r="214" spans="1:8" ht="15.75" customHeight="1">
      <c r="A214" s="374">
        <v>45798.568680555552</v>
      </c>
      <c r="B214" s="374">
        <v>45798.568680555552</v>
      </c>
      <c r="C214" s="132" t="s">
        <v>1410</v>
      </c>
      <c r="D214" s="132" t="s">
        <v>1404</v>
      </c>
      <c r="E214" s="132" t="s">
        <v>1555</v>
      </c>
      <c r="G214" s="132" t="b">
        <v>0</v>
      </c>
      <c r="H214" s="132">
        <v>0</v>
      </c>
    </row>
    <row r="215" spans="1:8" ht="15.75" customHeight="1">
      <c r="A215" s="374">
        <v>45798.568703703706</v>
      </c>
      <c r="B215" s="374">
        <v>45798.568703703706</v>
      </c>
      <c r="C215" s="132" t="s">
        <v>1410</v>
      </c>
      <c r="D215" s="132" t="s">
        <v>1404</v>
      </c>
      <c r="E215" s="132" t="s">
        <v>1556</v>
      </c>
      <c r="H215" s="132">
        <v>0</v>
      </c>
    </row>
    <row r="216" spans="1:8" ht="15.75" customHeight="1">
      <c r="A216" s="374">
        <v>45799.633217592593</v>
      </c>
      <c r="B216" s="374">
        <v>45799.633217592593</v>
      </c>
      <c r="C216" s="132" t="s">
        <v>1410</v>
      </c>
      <c r="D216" s="132" t="s">
        <v>1404</v>
      </c>
      <c r="E216" s="132" t="s">
        <v>1441</v>
      </c>
      <c r="G216" s="132" t="b">
        <v>0</v>
      </c>
      <c r="H216" s="132">
        <v>0</v>
      </c>
    </row>
    <row r="217" spans="1:8" ht="15.75" customHeight="1">
      <c r="A217" s="374">
        <v>45799.633321759262</v>
      </c>
      <c r="B217" s="374">
        <v>45799.633321759262</v>
      </c>
      <c r="C217" s="132" t="s">
        <v>1410</v>
      </c>
      <c r="D217" s="132" t="s">
        <v>1404</v>
      </c>
      <c r="E217" s="132" t="s">
        <v>1557</v>
      </c>
      <c r="G217" s="132">
        <v>5</v>
      </c>
      <c r="H217" s="132">
        <v>0</v>
      </c>
    </row>
    <row r="218" spans="1:8" ht="15.75" customHeight="1">
      <c r="A218" s="374">
        <v>45799.637673611112</v>
      </c>
      <c r="B218" s="374">
        <v>45799.637673611112</v>
      </c>
      <c r="C218" s="132" t="s">
        <v>1410</v>
      </c>
      <c r="D218" s="132" t="s">
        <v>1404</v>
      </c>
      <c r="E218" s="132" t="s">
        <v>1558</v>
      </c>
      <c r="G218" s="132" t="s">
        <v>1050</v>
      </c>
      <c r="H218" s="132">
        <v>0</v>
      </c>
    </row>
    <row r="219" spans="1:8" ht="15.75" customHeight="1">
      <c r="A219" s="374">
        <v>45799.637673611112</v>
      </c>
      <c r="B219" s="374">
        <v>45799.637673611112</v>
      </c>
      <c r="C219" s="132" t="s">
        <v>1410</v>
      </c>
      <c r="D219" s="132" t="s">
        <v>1404</v>
      </c>
      <c r="E219" s="132" t="s">
        <v>1559</v>
      </c>
      <c r="G219" s="132" t="s">
        <v>1047</v>
      </c>
      <c r="H219" s="132">
        <v>0</v>
      </c>
    </row>
    <row r="220" spans="1:8" ht="15.75" customHeight="1"/>
    <row r="221" spans="1:8" ht="15.75" customHeight="1">
      <c r="A221" s="374">
        <v>45799.638159722221</v>
      </c>
      <c r="B221" s="374">
        <v>45799.638159722221</v>
      </c>
      <c r="C221" s="132" t="s">
        <v>1410</v>
      </c>
      <c r="D221" s="132" t="s">
        <v>1404</v>
      </c>
      <c r="E221" s="132" t="s">
        <v>1560</v>
      </c>
      <c r="H221" s="132">
        <v>0</v>
      </c>
    </row>
    <row r="222" spans="1:8" ht="15.75" customHeight="1">
      <c r="A222" s="374">
        <v>45799.638171296298</v>
      </c>
      <c r="B222" s="374">
        <v>45799.638171296298</v>
      </c>
      <c r="C222" s="132" t="s">
        <v>1410</v>
      </c>
      <c r="D222" s="132" t="s">
        <v>1404</v>
      </c>
      <c r="E222" s="132" t="s">
        <v>1560</v>
      </c>
      <c r="H222" s="132">
        <v>0</v>
      </c>
    </row>
    <row r="223" spans="1:8" ht="15.75" customHeight="1">
      <c r="A223" s="374">
        <v>45799.757268518515</v>
      </c>
      <c r="B223" s="374">
        <v>45799.757268518515</v>
      </c>
      <c r="C223" s="132" t="s">
        <v>1410</v>
      </c>
      <c r="D223" s="132" t="s">
        <v>1404</v>
      </c>
      <c r="E223" s="132" t="s">
        <v>1561</v>
      </c>
      <c r="H223" s="132">
        <v>0</v>
      </c>
    </row>
    <row r="224" spans="1:8" ht="15.75" customHeight="1">
      <c r="A224" s="374">
        <v>45799.758171296293</v>
      </c>
      <c r="B224" s="374">
        <v>45799.758171296293</v>
      </c>
      <c r="C224" s="132" t="s">
        <v>1410</v>
      </c>
      <c r="D224" s="132" t="s">
        <v>1404</v>
      </c>
      <c r="E224" s="132" t="s">
        <v>1562</v>
      </c>
      <c r="F224" s="132" t="s">
        <v>1563</v>
      </c>
      <c r="G224" s="132" t="s">
        <v>1564</v>
      </c>
      <c r="H224" s="132">
        <v>0</v>
      </c>
    </row>
    <row r="225" spans="1:8" ht="15.75" customHeight="1">
      <c r="A225" s="374">
        <v>45803.714537037034</v>
      </c>
      <c r="B225" s="374">
        <v>45803.714537037034</v>
      </c>
      <c r="C225" s="132" t="s">
        <v>1410</v>
      </c>
      <c r="D225" s="132" t="s">
        <v>1404</v>
      </c>
      <c r="E225" s="132" t="s">
        <v>1565</v>
      </c>
      <c r="G225" s="132" t="s">
        <v>168</v>
      </c>
      <c r="H225" s="132">
        <v>0</v>
      </c>
    </row>
    <row r="226" spans="1:8" ht="15.75" customHeight="1">
      <c r="A226" s="374">
        <v>45803.714560185188</v>
      </c>
      <c r="B226" s="374">
        <v>45803.714560185188</v>
      </c>
      <c r="C226" s="132" t="s">
        <v>1410</v>
      </c>
      <c r="D226" s="132" t="s">
        <v>1404</v>
      </c>
      <c r="E226" s="132" t="s">
        <v>1566</v>
      </c>
      <c r="G226" s="132" t="s">
        <v>1567</v>
      </c>
      <c r="H226" s="132">
        <v>0</v>
      </c>
    </row>
    <row r="227" spans="1:8" ht="15.75" customHeight="1">
      <c r="A227" s="374">
        <v>45803.714594907404</v>
      </c>
      <c r="B227" s="374">
        <v>45803.714594907404</v>
      </c>
      <c r="C227" s="132" t="s">
        <v>1410</v>
      </c>
      <c r="D227" s="132" t="s">
        <v>1404</v>
      </c>
      <c r="E227" s="132" t="s">
        <v>1446</v>
      </c>
      <c r="G227" s="132" t="s">
        <v>1418</v>
      </c>
      <c r="H227" s="132">
        <v>0</v>
      </c>
    </row>
    <row r="228" spans="1:8" ht="15.75" customHeight="1">
      <c r="A228" s="374">
        <v>45803.714629629627</v>
      </c>
      <c r="B228" s="374">
        <v>45803.714629629627</v>
      </c>
      <c r="C228" s="132" t="s">
        <v>1410</v>
      </c>
      <c r="D228" s="132" t="s">
        <v>1404</v>
      </c>
      <c r="E228" s="132" t="s">
        <v>1446</v>
      </c>
      <c r="F228" s="132" t="s">
        <v>1418</v>
      </c>
      <c r="G228" s="132" t="s">
        <v>168</v>
      </c>
      <c r="H228" s="132">
        <v>0</v>
      </c>
    </row>
    <row r="229" spans="1:8" ht="15.75" customHeight="1">
      <c r="A229" s="374">
        <v>45803.714641203704</v>
      </c>
      <c r="B229" s="374">
        <v>45803.714641203704</v>
      </c>
      <c r="C229" s="132" t="s">
        <v>1410</v>
      </c>
      <c r="D229" s="132" t="s">
        <v>1404</v>
      </c>
      <c r="E229" s="132" t="s">
        <v>1519</v>
      </c>
      <c r="G229" s="132" t="s">
        <v>1568</v>
      </c>
      <c r="H229" s="132">
        <v>0</v>
      </c>
    </row>
    <row r="230" spans="1:8" ht="15.75" customHeight="1">
      <c r="A230" s="374">
        <v>45803.71466435185</v>
      </c>
      <c r="B230" s="374">
        <v>45803.71466435185</v>
      </c>
      <c r="C230" s="132" t="s">
        <v>1410</v>
      </c>
      <c r="D230" s="132" t="s">
        <v>1404</v>
      </c>
      <c r="E230" s="132" t="s">
        <v>1517</v>
      </c>
      <c r="G230" s="132" t="s">
        <v>1418</v>
      </c>
      <c r="H230" s="132">
        <v>0</v>
      </c>
    </row>
    <row r="231" spans="1:8" ht="15.75" customHeight="1">
      <c r="A231" s="374">
        <v>45803.714745370373</v>
      </c>
      <c r="B231" s="374">
        <v>45803.714745370373</v>
      </c>
      <c r="C231" s="132" t="s">
        <v>1410</v>
      </c>
      <c r="D231" s="132" t="s">
        <v>1404</v>
      </c>
      <c r="E231" s="132" t="s">
        <v>1518</v>
      </c>
      <c r="G231" s="132" t="s">
        <v>1569</v>
      </c>
      <c r="H231" s="132">
        <v>0</v>
      </c>
    </row>
    <row r="232" spans="1:8" ht="15.75" customHeight="1">
      <c r="A232" s="374">
        <v>45803.715416666666</v>
      </c>
      <c r="B232" s="374">
        <v>45803.715416666666</v>
      </c>
      <c r="C232" s="132" t="s">
        <v>1410</v>
      </c>
      <c r="D232" s="132" t="s">
        <v>1404</v>
      </c>
      <c r="E232" s="132" t="s">
        <v>1537</v>
      </c>
      <c r="G232" s="132" t="s">
        <v>1447</v>
      </c>
      <c r="H232" s="132">
        <v>0</v>
      </c>
    </row>
    <row r="233" spans="1:8" ht="15.75" customHeight="1">
      <c r="A233" s="374">
        <v>45803.715590277781</v>
      </c>
      <c r="B233" s="374">
        <v>45803.715590277781</v>
      </c>
      <c r="C233" s="132" t="s">
        <v>1410</v>
      </c>
      <c r="D233" s="132" t="s">
        <v>1404</v>
      </c>
      <c r="E233" s="132" t="s">
        <v>1570</v>
      </c>
      <c r="G233" s="132" t="s">
        <v>1571</v>
      </c>
      <c r="H233" s="132">
        <v>0</v>
      </c>
    </row>
    <row r="234" spans="1:8" ht="15.75" customHeight="1">
      <c r="A234" s="374">
        <v>45804.69935185185</v>
      </c>
      <c r="B234" s="374">
        <v>45804.69935185185</v>
      </c>
      <c r="C234" s="132" t="s">
        <v>1403</v>
      </c>
      <c r="D234" s="132" t="s">
        <v>1404</v>
      </c>
      <c r="E234" s="132" t="s">
        <v>1572</v>
      </c>
      <c r="F234" s="132" t="b">
        <v>0</v>
      </c>
      <c r="G234" s="132" t="b">
        <v>1</v>
      </c>
      <c r="H234" s="132">
        <v>0</v>
      </c>
    </row>
    <row r="235" spans="1:8" ht="15.75" customHeight="1">
      <c r="A235" s="374">
        <v>45804.699386574073</v>
      </c>
      <c r="B235" s="374">
        <v>45804.699386574073</v>
      </c>
      <c r="C235" s="132" t="s">
        <v>1403</v>
      </c>
      <c r="D235" s="132" t="s">
        <v>1404</v>
      </c>
      <c r="E235" s="132" t="s">
        <v>1573</v>
      </c>
      <c r="F235" s="132" t="b">
        <v>0</v>
      </c>
      <c r="G235" s="132" t="b">
        <v>1</v>
      </c>
      <c r="H235" s="132">
        <v>0</v>
      </c>
    </row>
    <row r="236" spans="1:8" ht="15.75" customHeight="1">
      <c r="A236" s="374">
        <v>45804.699618055558</v>
      </c>
      <c r="B236" s="374">
        <v>45804.699618055558</v>
      </c>
      <c r="C236" s="132" t="s">
        <v>1403</v>
      </c>
      <c r="D236" s="132" t="s">
        <v>1404</v>
      </c>
      <c r="E236" s="132" t="s">
        <v>1572</v>
      </c>
      <c r="F236" s="132" t="b">
        <v>1</v>
      </c>
      <c r="G236" s="132" t="b">
        <v>0</v>
      </c>
      <c r="H236" s="132">
        <v>0</v>
      </c>
    </row>
    <row r="237" spans="1:8" ht="15.75" customHeight="1">
      <c r="A237" s="374">
        <v>45804.699618055558</v>
      </c>
      <c r="B237" s="374">
        <v>45804.699618055558</v>
      </c>
      <c r="C237" s="132" t="s">
        <v>1403</v>
      </c>
      <c r="D237" s="132" t="s">
        <v>1404</v>
      </c>
      <c r="E237" s="132" t="s">
        <v>1573</v>
      </c>
      <c r="F237" s="132" t="b">
        <v>1</v>
      </c>
      <c r="G237" s="132" t="b">
        <v>0</v>
      </c>
      <c r="H237" s="132">
        <v>0</v>
      </c>
    </row>
    <row r="238" spans="1:8" ht="15.75" customHeight="1">
      <c r="A238" s="374">
        <v>45804.699664351851</v>
      </c>
      <c r="B238" s="374">
        <v>45804.699664351851</v>
      </c>
      <c r="C238" s="132" t="s">
        <v>1403</v>
      </c>
      <c r="D238" s="132" t="s">
        <v>1404</v>
      </c>
      <c r="E238" s="132" t="s">
        <v>1574</v>
      </c>
      <c r="F238" s="132" t="b">
        <v>0</v>
      </c>
      <c r="G238" s="132" t="b">
        <v>1</v>
      </c>
      <c r="H238" s="132">
        <v>0</v>
      </c>
    </row>
    <row r="239" spans="1:8" ht="15.75" customHeight="1">
      <c r="A239" s="374">
        <v>45804.699675925927</v>
      </c>
      <c r="B239" s="374">
        <v>45804.699675925927</v>
      </c>
      <c r="C239" s="132" t="s">
        <v>1403</v>
      </c>
      <c r="D239" s="132" t="s">
        <v>1404</v>
      </c>
      <c r="E239" s="132" t="s">
        <v>1575</v>
      </c>
      <c r="F239" s="132" t="b">
        <v>0</v>
      </c>
      <c r="G239" s="132" t="b">
        <v>1</v>
      </c>
      <c r="H239" s="132">
        <v>0</v>
      </c>
    </row>
    <row r="240" spans="1:8" ht="15.75" customHeight="1">
      <c r="A240" s="374">
        <v>45804.699930555558</v>
      </c>
      <c r="B240" s="374">
        <v>45804.699930555558</v>
      </c>
      <c r="C240" s="132" t="s">
        <v>1403</v>
      </c>
      <c r="D240" s="132" t="s">
        <v>1404</v>
      </c>
      <c r="E240" s="132" t="s">
        <v>1576</v>
      </c>
      <c r="F240" s="132" t="b">
        <v>1</v>
      </c>
      <c r="G240" s="132" t="b">
        <v>0</v>
      </c>
      <c r="H240" s="132">
        <v>0</v>
      </c>
    </row>
    <row r="241" spans="1:8" ht="15.75" customHeight="1">
      <c r="A241" s="374">
        <v>45804.699942129628</v>
      </c>
      <c r="B241" s="374">
        <v>45804.699942129628</v>
      </c>
      <c r="C241" s="132" t="s">
        <v>1403</v>
      </c>
      <c r="D241" s="132" t="s">
        <v>1404</v>
      </c>
      <c r="E241" s="132" t="s">
        <v>1423</v>
      </c>
      <c r="F241" s="132" t="b">
        <v>1</v>
      </c>
      <c r="G241" s="132" t="b">
        <v>0</v>
      </c>
      <c r="H241" s="132">
        <v>0</v>
      </c>
    </row>
    <row r="242" spans="1:8" ht="15.75" customHeight="1">
      <c r="A242" s="374">
        <v>45804.699965277781</v>
      </c>
      <c r="B242" s="374">
        <v>45804.699965277781</v>
      </c>
      <c r="C242" s="132" t="s">
        <v>1403</v>
      </c>
      <c r="D242" s="132" t="s">
        <v>1404</v>
      </c>
      <c r="E242" s="132" t="s">
        <v>1575</v>
      </c>
      <c r="F242" s="132" t="b">
        <v>1</v>
      </c>
      <c r="G242" s="132" t="b">
        <v>0</v>
      </c>
      <c r="H242" s="132">
        <v>0</v>
      </c>
    </row>
    <row r="243" spans="1:8" ht="15.75" customHeight="1">
      <c r="A243" s="374">
        <v>45804.699976851851</v>
      </c>
      <c r="B243" s="374">
        <v>45804.699976851851</v>
      </c>
      <c r="C243" s="132" t="s">
        <v>1403</v>
      </c>
      <c r="D243" s="132" t="s">
        <v>1404</v>
      </c>
      <c r="E243" s="132" t="s">
        <v>1574</v>
      </c>
      <c r="F243" s="132" t="b">
        <v>1</v>
      </c>
      <c r="G243" s="132" t="b">
        <v>0</v>
      </c>
      <c r="H243" s="132">
        <v>0</v>
      </c>
    </row>
    <row r="244" spans="1:8" ht="15.75" customHeight="1">
      <c r="A244" s="374">
        <v>45804.700011574074</v>
      </c>
      <c r="B244" s="374">
        <v>45804.700011574074</v>
      </c>
      <c r="C244" s="132" t="s">
        <v>1403</v>
      </c>
      <c r="D244" s="132" t="s">
        <v>1404</v>
      </c>
      <c r="E244" s="132" t="s">
        <v>1423</v>
      </c>
      <c r="F244" s="132" t="b">
        <v>0</v>
      </c>
      <c r="G244" s="132" t="b">
        <v>1</v>
      </c>
      <c r="H244" s="132">
        <v>0</v>
      </c>
    </row>
    <row r="245" spans="1:8" ht="15.75" customHeight="1">
      <c r="A245" s="374">
        <v>45804.700185185182</v>
      </c>
      <c r="B245" s="374">
        <v>45804.700185185182</v>
      </c>
      <c r="C245" s="132" t="s">
        <v>1403</v>
      </c>
      <c r="D245" s="132" t="s">
        <v>1404</v>
      </c>
      <c r="E245" s="132" t="s">
        <v>1423</v>
      </c>
      <c r="F245" s="132" t="b">
        <v>1</v>
      </c>
      <c r="G245" s="132" t="b">
        <v>0</v>
      </c>
      <c r="H245" s="132">
        <v>0</v>
      </c>
    </row>
    <row r="246" spans="1:8" ht="15.75" customHeight="1">
      <c r="A246" s="374">
        <v>45804.700231481482</v>
      </c>
      <c r="B246" s="374">
        <v>45804.700231481482</v>
      </c>
      <c r="C246" s="132" t="s">
        <v>1403</v>
      </c>
      <c r="D246" s="132" t="s">
        <v>1404</v>
      </c>
      <c r="E246" s="132" t="s">
        <v>1423</v>
      </c>
      <c r="F246" s="132" t="b">
        <v>0</v>
      </c>
      <c r="G246" s="132" t="b">
        <v>1</v>
      </c>
      <c r="H246" s="132">
        <v>0</v>
      </c>
    </row>
    <row r="247" spans="1:8" ht="15.75" customHeight="1">
      <c r="A247" s="374">
        <v>45804.70034722222</v>
      </c>
      <c r="B247" s="374">
        <v>45804.70034722222</v>
      </c>
      <c r="C247" s="132" t="s">
        <v>1403</v>
      </c>
      <c r="D247" s="132" t="s">
        <v>1404</v>
      </c>
      <c r="E247" s="132" t="s">
        <v>1577</v>
      </c>
      <c r="G247" s="132" t="b">
        <v>0</v>
      </c>
      <c r="H247" s="132">
        <v>0</v>
      </c>
    </row>
    <row r="248" spans="1:8" ht="15.75" customHeight="1">
      <c r="A248" s="374">
        <v>45804.700474537036</v>
      </c>
      <c r="B248" s="374">
        <v>45804.700474537036</v>
      </c>
      <c r="C248" s="132" t="s">
        <v>1403</v>
      </c>
      <c r="D248" s="132" t="s">
        <v>1404</v>
      </c>
      <c r="E248" s="132" t="s">
        <v>1578</v>
      </c>
      <c r="F248" s="132" t="s">
        <v>1153</v>
      </c>
      <c r="G248" s="132" t="s">
        <v>1579</v>
      </c>
      <c r="H248" s="132">
        <v>0</v>
      </c>
    </row>
    <row r="249" spans="1:8" ht="15.75" customHeight="1">
      <c r="A249" s="374">
        <v>45804.700520833336</v>
      </c>
      <c r="B249" s="374">
        <v>45804.700520833336</v>
      </c>
      <c r="C249" s="132" t="s">
        <v>1403</v>
      </c>
      <c r="D249" s="132" t="s">
        <v>1404</v>
      </c>
      <c r="E249" s="132" t="s">
        <v>1580</v>
      </c>
      <c r="G249" s="132" t="s">
        <v>1579</v>
      </c>
      <c r="H249" s="132">
        <v>0</v>
      </c>
    </row>
    <row r="250" spans="1:8" ht="15.75" customHeight="1">
      <c r="A250" s="374">
        <v>45804.700520833336</v>
      </c>
      <c r="B250" s="374">
        <v>45804.700520833336</v>
      </c>
      <c r="C250" s="132" t="s">
        <v>1403</v>
      </c>
      <c r="D250" s="132" t="s">
        <v>1404</v>
      </c>
      <c r="E250" s="132" t="s">
        <v>1581</v>
      </c>
      <c r="G250" s="132" t="s">
        <v>1579</v>
      </c>
      <c r="H250" s="132">
        <v>0</v>
      </c>
    </row>
    <row r="251" spans="1:8" ht="15.75" customHeight="1">
      <c r="A251" s="374">
        <v>45804.700520833336</v>
      </c>
      <c r="B251" s="374">
        <v>45804.700520833336</v>
      </c>
      <c r="C251" s="132" t="s">
        <v>1403</v>
      </c>
      <c r="D251" s="132" t="s">
        <v>1404</v>
      </c>
      <c r="E251" s="132" t="s">
        <v>1582</v>
      </c>
      <c r="G251" s="132" t="s">
        <v>1579</v>
      </c>
      <c r="H251" s="132">
        <v>0</v>
      </c>
    </row>
    <row r="252" spans="1:8" ht="15.75" customHeight="1">
      <c r="A252" s="374">
        <v>45804.700520833336</v>
      </c>
      <c r="B252" s="374">
        <v>45804.700520833336</v>
      </c>
      <c r="C252" s="132" t="s">
        <v>1403</v>
      </c>
      <c r="D252" s="132" t="s">
        <v>1404</v>
      </c>
      <c r="E252" s="132" t="s">
        <v>1583</v>
      </c>
      <c r="G252" s="132" t="s">
        <v>1579</v>
      </c>
      <c r="H252" s="132">
        <v>0</v>
      </c>
    </row>
    <row r="253" spans="1:8" ht="15.75" customHeight="1">
      <c r="A253" s="374">
        <v>45804.700601851851</v>
      </c>
      <c r="B253" s="374">
        <v>45804.700601851851</v>
      </c>
      <c r="C253" s="132" t="s">
        <v>1403</v>
      </c>
      <c r="D253" s="132" t="s">
        <v>1404</v>
      </c>
      <c r="E253" s="132" t="s">
        <v>1584</v>
      </c>
      <c r="G253" s="132" t="s">
        <v>1579</v>
      </c>
      <c r="H253" s="132">
        <v>0</v>
      </c>
    </row>
    <row r="254" spans="1:8" ht="15.75" customHeight="1">
      <c r="A254" s="374">
        <v>45804.700601851851</v>
      </c>
      <c r="B254" s="374">
        <v>45804.700601851851</v>
      </c>
      <c r="C254" s="132" t="s">
        <v>1403</v>
      </c>
      <c r="D254" s="132" t="s">
        <v>1404</v>
      </c>
      <c r="E254" s="132" t="s">
        <v>1585</v>
      </c>
      <c r="G254" s="132" t="s">
        <v>1579</v>
      </c>
      <c r="H254" s="132">
        <v>0</v>
      </c>
    </row>
    <row r="255" spans="1:8" ht="15.75" customHeight="1">
      <c r="A255" s="374">
        <v>45804.700648148151</v>
      </c>
      <c r="B255" s="374">
        <v>45804.700648148151</v>
      </c>
      <c r="C255" s="132" t="s">
        <v>1403</v>
      </c>
      <c r="D255" s="132" t="s">
        <v>1404</v>
      </c>
      <c r="E255" s="132" t="s">
        <v>1585</v>
      </c>
      <c r="F255" s="132" t="s">
        <v>1579</v>
      </c>
      <c r="G255" s="132" t="s">
        <v>1586</v>
      </c>
      <c r="H255" s="132">
        <v>0</v>
      </c>
    </row>
    <row r="256" spans="1:8" ht="15.75" customHeight="1">
      <c r="A256" s="374">
        <v>45804.700648148151</v>
      </c>
      <c r="B256" s="374">
        <v>45804.700648148151</v>
      </c>
      <c r="C256" s="132" t="s">
        <v>1403</v>
      </c>
      <c r="D256" s="132" t="s">
        <v>1404</v>
      </c>
      <c r="E256" s="132" t="s">
        <v>1587</v>
      </c>
      <c r="F256" s="132" t="b">
        <v>0</v>
      </c>
      <c r="G256" s="132" t="b">
        <v>1</v>
      </c>
      <c r="H256" s="132">
        <v>0</v>
      </c>
    </row>
    <row r="257" spans="1:8" ht="15.75" customHeight="1">
      <c r="A257" s="374">
        <v>45804.709189814814</v>
      </c>
      <c r="B257" s="374">
        <v>45804.709189814814</v>
      </c>
      <c r="C257" s="132" t="s">
        <v>1403</v>
      </c>
      <c r="D257" s="132" t="s">
        <v>1404</v>
      </c>
      <c r="E257" s="132" t="s">
        <v>1423</v>
      </c>
      <c r="F257" s="132" t="b">
        <v>0</v>
      </c>
      <c r="G257" s="132" t="b">
        <v>1</v>
      </c>
      <c r="H257" s="132">
        <v>0</v>
      </c>
    </row>
    <row r="258" spans="1:8" ht="15.75" customHeight="1">
      <c r="A258" s="374">
        <v>45804.709189814814</v>
      </c>
      <c r="B258" s="374">
        <v>45804.709189814814</v>
      </c>
      <c r="C258" s="132" t="s">
        <v>1403</v>
      </c>
      <c r="D258" s="132" t="s">
        <v>1404</v>
      </c>
      <c r="E258" s="132" t="s">
        <v>1587</v>
      </c>
      <c r="F258" s="132" t="b">
        <v>1</v>
      </c>
      <c r="G258" s="132" t="b">
        <v>0</v>
      </c>
      <c r="H258" s="132">
        <v>0</v>
      </c>
    </row>
    <row r="259" spans="1:8" ht="15.75" customHeight="1">
      <c r="A259" s="374">
        <v>45804.709236111114</v>
      </c>
      <c r="B259" s="374">
        <v>45804.709236111114</v>
      </c>
      <c r="C259" s="132" t="s">
        <v>1403</v>
      </c>
      <c r="D259" s="132" t="s">
        <v>1404</v>
      </c>
      <c r="E259" s="132" t="s">
        <v>1587</v>
      </c>
      <c r="F259" s="132" t="b">
        <v>0</v>
      </c>
      <c r="G259" s="132" t="b">
        <v>1</v>
      </c>
      <c r="H259" s="132">
        <v>0</v>
      </c>
    </row>
    <row r="260" spans="1:8" ht="15.75" customHeight="1">
      <c r="A260" s="374">
        <v>45804.709363425929</v>
      </c>
      <c r="B260" s="374">
        <v>45804.709363425929</v>
      </c>
      <c r="C260" s="132" t="s">
        <v>1403</v>
      </c>
      <c r="D260" s="132" t="s">
        <v>1404</v>
      </c>
      <c r="E260" s="132" t="s">
        <v>1585</v>
      </c>
      <c r="F260" s="132" t="s">
        <v>1586</v>
      </c>
      <c r="G260" s="132" t="s">
        <v>1588</v>
      </c>
      <c r="H260" s="132">
        <v>0</v>
      </c>
    </row>
    <row r="261" spans="1:8" ht="15.75" customHeight="1">
      <c r="A261" s="374">
        <v>45804.709791666668</v>
      </c>
      <c r="B261" s="374">
        <v>45804.709791666668</v>
      </c>
      <c r="C261" s="132" t="s">
        <v>1403</v>
      </c>
      <c r="D261" s="132" t="s">
        <v>1404</v>
      </c>
      <c r="E261" s="132" t="s">
        <v>1589</v>
      </c>
      <c r="F261" s="132" t="b">
        <v>0</v>
      </c>
      <c r="G261" s="132" t="b">
        <v>1</v>
      </c>
      <c r="H261" s="132">
        <v>0</v>
      </c>
    </row>
    <row r="262" spans="1:8" ht="15.75" customHeight="1">
      <c r="A262" s="374">
        <v>45804.70988425926</v>
      </c>
      <c r="B262" s="374">
        <v>45804.70988425926</v>
      </c>
      <c r="C262" s="132" t="s">
        <v>1403</v>
      </c>
      <c r="D262" s="132" t="s">
        <v>1404</v>
      </c>
      <c r="E262" s="132" t="s">
        <v>1589</v>
      </c>
      <c r="F262" s="132" t="b">
        <v>1</v>
      </c>
      <c r="G262" s="132" t="b">
        <v>0</v>
      </c>
      <c r="H262" s="132">
        <v>0</v>
      </c>
    </row>
    <row r="263" spans="1:8" ht="15.75" customHeight="1">
      <c r="A263" s="374">
        <v>45804.709907407407</v>
      </c>
      <c r="B263" s="374">
        <v>45804.709907407407</v>
      </c>
      <c r="C263" s="132" t="s">
        <v>1403</v>
      </c>
      <c r="D263" s="132" t="s">
        <v>1404</v>
      </c>
      <c r="E263" s="132" t="s">
        <v>1587</v>
      </c>
      <c r="F263" s="132" t="b">
        <v>1</v>
      </c>
      <c r="G263" s="132" t="b">
        <v>0</v>
      </c>
      <c r="H263" s="132">
        <v>0</v>
      </c>
    </row>
    <row r="264" spans="1:8" ht="15.75" customHeight="1">
      <c r="A264" s="374">
        <v>45804.709907407407</v>
      </c>
      <c r="B264" s="374">
        <v>45804.709907407407</v>
      </c>
      <c r="C264" s="132" t="s">
        <v>1403</v>
      </c>
      <c r="D264" s="132" t="s">
        <v>1404</v>
      </c>
      <c r="E264" s="132" t="s">
        <v>1423</v>
      </c>
      <c r="F264" s="132" t="b">
        <v>1</v>
      </c>
      <c r="G264" s="132" t="b">
        <v>0</v>
      </c>
      <c r="H264" s="132">
        <v>0</v>
      </c>
    </row>
    <row r="265" spans="1:8" ht="15.75" customHeight="1">
      <c r="A265" s="374">
        <v>45804.710138888891</v>
      </c>
      <c r="B265" s="374">
        <v>45804.710138888891</v>
      </c>
      <c r="C265" s="132" t="s">
        <v>1403</v>
      </c>
      <c r="D265" s="132" t="s">
        <v>1404</v>
      </c>
      <c r="E265" s="132" t="s">
        <v>1590</v>
      </c>
      <c r="H265" s="132">
        <v>0</v>
      </c>
    </row>
    <row r="266" spans="1:8" ht="15.75" customHeight="1">
      <c r="A266" s="374">
        <v>45804.710173611114</v>
      </c>
      <c r="B266" s="374">
        <v>45804.710173611114</v>
      </c>
      <c r="C266" s="132" t="s">
        <v>1403</v>
      </c>
      <c r="D266" s="132" t="s">
        <v>1404</v>
      </c>
      <c r="E266" s="132" t="s">
        <v>1423</v>
      </c>
      <c r="F266" s="132" t="b">
        <v>0</v>
      </c>
      <c r="G266" s="132" t="b">
        <v>1</v>
      </c>
      <c r="H266" s="132">
        <v>0</v>
      </c>
    </row>
    <row r="267" spans="1:8" ht="15.75" customHeight="1">
      <c r="A267" s="374">
        <v>45804.710798611108</v>
      </c>
      <c r="B267" s="374">
        <v>45804.710798611108</v>
      </c>
      <c r="C267" s="132" t="s">
        <v>1403</v>
      </c>
      <c r="D267" s="132" t="s">
        <v>1404</v>
      </c>
      <c r="E267" s="132" t="s">
        <v>1578</v>
      </c>
      <c r="F267" s="132" t="s">
        <v>1591</v>
      </c>
      <c r="G267" s="132" t="s">
        <v>1153</v>
      </c>
      <c r="H267" s="132">
        <v>0</v>
      </c>
    </row>
    <row r="268" spans="1:8" ht="15.75" customHeight="1">
      <c r="A268" s="374">
        <v>45804.710844907408</v>
      </c>
      <c r="B268" s="374">
        <v>45804.710844907408</v>
      </c>
      <c r="C268" s="132" t="s">
        <v>1403</v>
      </c>
      <c r="D268" s="132" t="s">
        <v>1404</v>
      </c>
      <c r="E268" s="132" t="s">
        <v>1592</v>
      </c>
      <c r="H268" s="132">
        <v>0</v>
      </c>
    </row>
    <row r="269" spans="1:8" ht="15.75" customHeight="1">
      <c r="A269" s="374">
        <v>45804.7109837963</v>
      </c>
      <c r="B269" s="374">
        <v>45804.7109837963</v>
      </c>
      <c r="C269" s="132" t="s">
        <v>1403</v>
      </c>
      <c r="D269" s="132" t="s">
        <v>1404</v>
      </c>
      <c r="E269" s="132" t="s">
        <v>1593</v>
      </c>
      <c r="G269" s="132">
        <v>3</v>
      </c>
      <c r="H269" s="132">
        <v>0</v>
      </c>
    </row>
    <row r="270" spans="1:8" ht="15.75" customHeight="1">
      <c r="A270" s="374">
        <v>45804.727314814816</v>
      </c>
      <c r="B270" s="374">
        <v>45804.727314814816</v>
      </c>
      <c r="C270" s="132" t="s">
        <v>1410</v>
      </c>
      <c r="D270" s="132" t="s">
        <v>1404</v>
      </c>
      <c r="E270" s="132" t="s">
        <v>1539</v>
      </c>
      <c r="G270" s="132" t="s">
        <v>1418</v>
      </c>
      <c r="H270" s="132">
        <v>0</v>
      </c>
    </row>
    <row r="271" spans="1:8" ht="15.75" customHeight="1">
      <c r="A271" s="374">
        <v>45804.727407407408</v>
      </c>
      <c r="B271" s="374">
        <v>45804.727407407408</v>
      </c>
      <c r="C271" s="132" t="s">
        <v>1410</v>
      </c>
      <c r="D271" s="132" t="s">
        <v>1404</v>
      </c>
      <c r="E271" s="132" t="s">
        <v>1594</v>
      </c>
      <c r="G271" s="132" t="s">
        <v>1595</v>
      </c>
      <c r="H271" s="132">
        <v>0</v>
      </c>
    </row>
    <row r="272" spans="1:8" ht="15.75" customHeight="1">
      <c r="A272" s="374">
        <v>45804.727453703701</v>
      </c>
      <c r="B272" s="374">
        <v>45804.727453703701</v>
      </c>
      <c r="C272" s="132" t="s">
        <v>1410</v>
      </c>
      <c r="D272" s="132" t="s">
        <v>1404</v>
      </c>
      <c r="E272" s="132" t="s">
        <v>1594</v>
      </c>
      <c r="F272" s="132" t="s">
        <v>1595</v>
      </c>
      <c r="G272" s="132" t="s">
        <v>118</v>
      </c>
      <c r="H272" s="132">
        <v>0</v>
      </c>
    </row>
    <row r="273" spans="1:8" ht="15.75" customHeight="1">
      <c r="A273" s="374">
        <v>45804.727569444447</v>
      </c>
      <c r="B273" s="374">
        <v>45804.727569444447</v>
      </c>
      <c r="C273" s="132" t="s">
        <v>1410</v>
      </c>
      <c r="D273" s="132" t="s">
        <v>1404</v>
      </c>
      <c r="E273" s="132" t="s">
        <v>1594</v>
      </c>
      <c r="F273" s="132" t="s">
        <v>118</v>
      </c>
      <c r="G273" s="132" t="s">
        <v>1596</v>
      </c>
      <c r="H273" s="132">
        <v>0</v>
      </c>
    </row>
    <row r="274" spans="1:8" ht="15.75" customHeight="1">
      <c r="A274" s="374">
        <v>45804.727650462963</v>
      </c>
      <c r="B274" s="374">
        <v>45804.727650462963</v>
      </c>
      <c r="C274" s="132" t="s">
        <v>1410</v>
      </c>
      <c r="D274" s="132" t="s">
        <v>1404</v>
      </c>
      <c r="E274" s="132" t="s">
        <v>1597</v>
      </c>
      <c r="G274" s="132" t="s">
        <v>1418</v>
      </c>
      <c r="H274" s="132">
        <v>0</v>
      </c>
    </row>
    <row r="275" spans="1:8" ht="15.75" customHeight="1">
      <c r="A275" s="374">
        <v>45804.727673611109</v>
      </c>
      <c r="B275" s="374">
        <v>45804.727673611109</v>
      </c>
      <c r="C275" s="132" t="s">
        <v>1410</v>
      </c>
      <c r="D275" s="132" t="s">
        <v>1404</v>
      </c>
      <c r="E275" s="132" t="s">
        <v>1598</v>
      </c>
      <c r="G275" s="132" t="s">
        <v>154</v>
      </c>
      <c r="H275" s="132">
        <v>0</v>
      </c>
    </row>
    <row r="276" spans="1:8" ht="15.75" customHeight="1">
      <c r="A276" s="374">
        <v>45804.727800925924</v>
      </c>
      <c r="B276" s="374">
        <v>45804.727800925924</v>
      </c>
      <c r="C276" s="132" t="s">
        <v>1410</v>
      </c>
      <c r="D276" s="132" t="s">
        <v>1404</v>
      </c>
      <c r="E276" s="132" t="s">
        <v>1599</v>
      </c>
      <c r="G276" s="132" t="s">
        <v>1600</v>
      </c>
      <c r="H276" s="132">
        <v>0</v>
      </c>
    </row>
    <row r="277" spans="1:8" ht="15.75" customHeight="1">
      <c r="A277" s="374">
        <v>45804.727986111109</v>
      </c>
      <c r="B277" s="374">
        <v>45804.727986111109</v>
      </c>
      <c r="C277" s="132" t="s">
        <v>1410</v>
      </c>
      <c r="D277" s="132" t="s">
        <v>1404</v>
      </c>
      <c r="E277" s="132" t="s">
        <v>1601</v>
      </c>
      <c r="F277" s="132" t="b">
        <v>0</v>
      </c>
      <c r="G277" s="132" t="b">
        <v>1</v>
      </c>
      <c r="H277" s="132">
        <v>0</v>
      </c>
    </row>
    <row r="278" spans="1:8" ht="15.75" customHeight="1">
      <c r="A278" s="374">
        <v>45804.727986111109</v>
      </c>
      <c r="B278" s="374">
        <v>45804.727986111109</v>
      </c>
      <c r="C278" s="132" t="s">
        <v>1410</v>
      </c>
      <c r="D278" s="132" t="s">
        <v>1404</v>
      </c>
      <c r="E278" s="132" t="s">
        <v>1575</v>
      </c>
      <c r="F278" s="132" t="b">
        <v>0</v>
      </c>
      <c r="G278" s="132" t="b">
        <v>1</v>
      </c>
      <c r="H278" s="132">
        <v>0</v>
      </c>
    </row>
    <row r="279" spans="1:8" ht="15.75" customHeight="1">
      <c r="A279" s="374">
        <v>45804.728055555555</v>
      </c>
      <c r="B279" s="374">
        <v>45804.728055555555</v>
      </c>
      <c r="C279" s="132" t="s">
        <v>1410</v>
      </c>
      <c r="D279" s="132" t="s">
        <v>1404</v>
      </c>
      <c r="E279" s="132" t="s">
        <v>1602</v>
      </c>
      <c r="F279" s="132" t="b">
        <v>0</v>
      </c>
      <c r="G279" s="132" t="b">
        <v>1</v>
      </c>
      <c r="H279" s="132">
        <v>0</v>
      </c>
    </row>
    <row r="280" spans="1:8" ht="15.75" customHeight="1">
      <c r="A280" s="374">
        <v>45804.728055555555</v>
      </c>
      <c r="B280" s="374">
        <v>45804.728055555555</v>
      </c>
      <c r="C280" s="132" t="s">
        <v>1410</v>
      </c>
      <c r="D280" s="132" t="s">
        <v>1404</v>
      </c>
      <c r="E280" s="132" t="s">
        <v>1603</v>
      </c>
      <c r="F280" s="132" t="b">
        <v>0</v>
      </c>
      <c r="G280" s="132" t="b">
        <v>1</v>
      </c>
      <c r="H280" s="132">
        <v>0</v>
      </c>
    </row>
    <row r="281" spans="1:8" ht="15.75" customHeight="1">
      <c r="A281" s="374">
        <v>45804.732928240737</v>
      </c>
      <c r="B281" s="374">
        <v>45804.732928240737</v>
      </c>
      <c r="C281" s="132" t="s">
        <v>1410</v>
      </c>
      <c r="D281" s="132" t="s">
        <v>1404</v>
      </c>
      <c r="E281" s="132" t="s">
        <v>1604</v>
      </c>
      <c r="H281" s="132">
        <v>0</v>
      </c>
    </row>
    <row r="282" spans="1:8" ht="15.75" customHeight="1">
      <c r="A282" s="374">
        <v>45804.732974537037</v>
      </c>
      <c r="B282" s="374">
        <v>45804.732974537037</v>
      </c>
      <c r="C282" s="132" t="s">
        <v>1410</v>
      </c>
      <c r="D282" s="132" t="s">
        <v>1404</v>
      </c>
      <c r="E282" s="132" t="s">
        <v>1604</v>
      </c>
      <c r="G282" s="132" t="b">
        <v>0</v>
      </c>
      <c r="H282" s="132">
        <v>0</v>
      </c>
    </row>
    <row r="283" spans="1:8" ht="15.75" customHeight="1">
      <c r="A283" s="374">
        <v>45804.732986111114</v>
      </c>
      <c r="B283" s="374">
        <v>45804.732986111114</v>
      </c>
      <c r="C283" s="132" t="s">
        <v>1410</v>
      </c>
      <c r="D283" s="132" t="s">
        <v>1404</v>
      </c>
      <c r="E283" s="132" t="s">
        <v>1604</v>
      </c>
      <c r="G283" s="132" t="b">
        <v>0</v>
      </c>
      <c r="H283" s="132">
        <v>0</v>
      </c>
    </row>
    <row r="284" spans="1:8" ht="15.75" customHeight="1">
      <c r="A284" s="374">
        <v>45804.73300925926</v>
      </c>
      <c r="B284" s="374">
        <v>45804.73300925926</v>
      </c>
      <c r="C284" s="132" t="s">
        <v>1410</v>
      </c>
      <c r="D284" s="132" t="s">
        <v>1404</v>
      </c>
      <c r="E284" s="132" t="s">
        <v>1605</v>
      </c>
      <c r="H284" s="132">
        <v>0</v>
      </c>
    </row>
    <row r="285" spans="1:8" ht="15.75" customHeight="1">
      <c r="A285" s="374">
        <v>45804.733055555553</v>
      </c>
      <c r="B285" s="374">
        <v>45804.733055555553</v>
      </c>
      <c r="C285" s="132" t="s">
        <v>1410</v>
      </c>
      <c r="D285" s="132" t="s">
        <v>1404</v>
      </c>
      <c r="E285" s="132" t="s">
        <v>1599</v>
      </c>
      <c r="H285" s="132">
        <v>0</v>
      </c>
    </row>
    <row r="286" spans="1:8" ht="15.75" customHeight="1">
      <c r="A286" s="374">
        <v>45804.733368055553</v>
      </c>
      <c r="B286" s="374">
        <v>45804.733368055553</v>
      </c>
      <c r="C286" s="132" t="s">
        <v>1410</v>
      </c>
      <c r="D286" s="132" t="s">
        <v>1404</v>
      </c>
      <c r="E286" s="132" t="s">
        <v>1606</v>
      </c>
      <c r="F286" s="132" t="b">
        <v>1</v>
      </c>
      <c r="G286" s="132" t="b">
        <v>0</v>
      </c>
      <c r="H286" s="132">
        <v>0</v>
      </c>
    </row>
    <row r="287" spans="1:8" ht="15.75" customHeight="1">
      <c r="A287" s="374">
        <v>45804.734502314815</v>
      </c>
      <c r="B287" s="374">
        <v>45804.734502314815</v>
      </c>
      <c r="C287" s="132" t="s">
        <v>1410</v>
      </c>
      <c r="D287" s="132" t="s">
        <v>1404</v>
      </c>
      <c r="E287" s="132" t="s">
        <v>1566</v>
      </c>
      <c r="F287" s="132" t="s">
        <v>1567</v>
      </c>
      <c r="G287" s="132" t="s">
        <v>166</v>
      </c>
      <c r="H287" s="132">
        <v>0</v>
      </c>
    </row>
    <row r="288" spans="1:8" ht="15.75" customHeight="1">
      <c r="A288" s="374">
        <v>45804.734525462962</v>
      </c>
      <c r="B288" s="374">
        <v>45804.734525462962</v>
      </c>
      <c r="C288" s="132" t="s">
        <v>1410</v>
      </c>
      <c r="D288" s="132" t="s">
        <v>1404</v>
      </c>
      <c r="E288" s="132" t="s">
        <v>1519</v>
      </c>
      <c r="F288" s="132" t="s">
        <v>1568</v>
      </c>
      <c r="G288" s="132" t="s">
        <v>167</v>
      </c>
      <c r="H288" s="132">
        <v>0</v>
      </c>
    </row>
    <row r="289" spans="1:8" ht="15.75" customHeight="1">
      <c r="A289" s="374">
        <v>45805.618587962963</v>
      </c>
      <c r="B289" s="374">
        <v>45805.618587962963</v>
      </c>
      <c r="C289" s="132" t="s">
        <v>1410</v>
      </c>
      <c r="D289" s="132" t="s">
        <v>1404</v>
      </c>
      <c r="E289" s="132" t="s">
        <v>1607</v>
      </c>
      <c r="G289" s="132" t="s">
        <v>1418</v>
      </c>
      <c r="H289" s="132">
        <v>0</v>
      </c>
    </row>
    <row r="290" spans="1:8" ht="15.75" customHeight="1">
      <c r="A290" s="374">
        <v>45805.618680555555</v>
      </c>
      <c r="B290" s="374">
        <v>45805.618680555555</v>
      </c>
      <c r="C290" s="132" t="s">
        <v>1410</v>
      </c>
      <c r="D290" s="132" t="s">
        <v>1404</v>
      </c>
      <c r="E290" s="132" t="s">
        <v>1608</v>
      </c>
      <c r="G290" s="132" t="s">
        <v>1609</v>
      </c>
      <c r="H290" s="132">
        <v>0</v>
      </c>
    </row>
    <row r="291" spans="1:8" ht="15.75" customHeight="1">
      <c r="A291" s="374">
        <v>45805.61917824074</v>
      </c>
      <c r="B291" s="374">
        <v>45805.61917824074</v>
      </c>
      <c r="C291" s="132" t="s">
        <v>1410</v>
      </c>
      <c r="D291" s="132" t="s">
        <v>1404</v>
      </c>
      <c r="E291" s="132" t="s">
        <v>1610</v>
      </c>
      <c r="H291" s="132">
        <v>0</v>
      </c>
    </row>
    <row r="292" spans="1:8" ht="15.75" customHeight="1">
      <c r="A292" s="374">
        <v>45805.64770833333</v>
      </c>
      <c r="B292" s="374">
        <v>45805.64770833333</v>
      </c>
      <c r="C292" s="132" t="s">
        <v>1410</v>
      </c>
      <c r="D292" s="132" t="s">
        <v>1404</v>
      </c>
      <c r="E292" s="132" t="s">
        <v>1522</v>
      </c>
      <c r="G292" s="132" t="s">
        <v>1418</v>
      </c>
      <c r="H292" s="132">
        <v>0</v>
      </c>
    </row>
    <row r="293" spans="1:8" ht="15.75" customHeight="1">
      <c r="A293" s="374">
        <v>45805.647777777776</v>
      </c>
      <c r="B293" s="374">
        <v>45805.647777777776</v>
      </c>
      <c r="C293" s="132" t="s">
        <v>1410</v>
      </c>
      <c r="D293" s="132" t="s">
        <v>1404</v>
      </c>
      <c r="E293" s="132" t="s">
        <v>1523</v>
      </c>
      <c r="G293" s="132" t="s">
        <v>1611</v>
      </c>
      <c r="H293" s="132">
        <v>0</v>
      </c>
    </row>
    <row r="294" spans="1:8" ht="15.75" customHeight="1">
      <c r="A294" s="374">
        <v>45805.647858796299</v>
      </c>
      <c r="B294" s="374">
        <v>45805.647858796299</v>
      </c>
      <c r="C294" s="132" t="s">
        <v>1410</v>
      </c>
      <c r="D294" s="132" t="s">
        <v>1404</v>
      </c>
      <c r="E294" s="132" t="s">
        <v>1539</v>
      </c>
      <c r="G294" s="132" t="s">
        <v>1418</v>
      </c>
      <c r="H294" s="132">
        <v>0</v>
      </c>
    </row>
    <row r="295" spans="1:8" ht="15.75" customHeight="1">
      <c r="A295" s="374">
        <v>45805.647928240738</v>
      </c>
      <c r="B295" s="374">
        <v>45805.647928240738</v>
      </c>
      <c r="C295" s="132" t="s">
        <v>1410</v>
      </c>
      <c r="D295" s="132" t="s">
        <v>1404</v>
      </c>
      <c r="E295" s="132" t="s">
        <v>1594</v>
      </c>
      <c r="G295" s="132" t="s">
        <v>1596</v>
      </c>
      <c r="H295" s="132">
        <v>0</v>
      </c>
    </row>
    <row r="296" spans="1:8" ht="15.75" customHeight="1">
      <c r="A296" s="374">
        <v>45805.649872685186</v>
      </c>
      <c r="B296" s="374">
        <v>45805.649872685186</v>
      </c>
      <c r="C296" s="132" t="s">
        <v>1410</v>
      </c>
      <c r="D296" s="132" t="s">
        <v>1404</v>
      </c>
      <c r="E296" s="132" t="s">
        <v>1612</v>
      </c>
      <c r="H296" s="132">
        <v>0</v>
      </c>
    </row>
    <row r="297" spans="1:8" ht="15.75" customHeight="1">
      <c r="A297" s="374">
        <v>45805.66609953704</v>
      </c>
      <c r="B297" s="374">
        <v>45805.66609953704</v>
      </c>
      <c r="C297" s="132" t="s">
        <v>1410</v>
      </c>
      <c r="D297" s="132" t="s">
        <v>1404</v>
      </c>
      <c r="E297" s="132" t="s">
        <v>1518</v>
      </c>
      <c r="F297" s="132" t="s">
        <v>1569</v>
      </c>
      <c r="G297" s="132" t="s">
        <v>1613</v>
      </c>
      <c r="H297" s="132">
        <v>0</v>
      </c>
    </row>
    <row r="298" spans="1:8" ht="15.75" customHeight="1">
      <c r="A298" s="374">
        <v>45805.66615740741</v>
      </c>
      <c r="B298" s="374">
        <v>45805.66615740741</v>
      </c>
      <c r="C298" s="132" t="s">
        <v>1410</v>
      </c>
      <c r="D298" s="132" t="s">
        <v>1404</v>
      </c>
      <c r="E298" s="132" t="s">
        <v>1570</v>
      </c>
      <c r="F298" s="132" t="s">
        <v>1571</v>
      </c>
      <c r="G298" s="132" t="s">
        <v>183</v>
      </c>
      <c r="H298" s="132">
        <v>0</v>
      </c>
    </row>
    <row r="299" spans="1:8" ht="15.75" customHeight="1">
      <c r="A299" s="374">
        <v>45805.731400462966</v>
      </c>
      <c r="B299" s="374">
        <v>45805.731400462966</v>
      </c>
      <c r="C299" s="132" t="s">
        <v>1410</v>
      </c>
      <c r="D299" s="132" t="s">
        <v>1404</v>
      </c>
      <c r="E299" s="132" t="s">
        <v>1614</v>
      </c>
      <c r="G299" s="132" t="s">
        <v>1418</v>
      </c>
      <c r="H299" s="132">
        <v>0</v>
      </c>
    </row>
    <row r="300" spans="1:8" ht="15.75" customHeight="1">
      <c r="A300" s="374">
        <v>45805.737557870372</v>
      </c>
      <c r="B300" s="374">
        <v>45805.737557870372</v>
      </c>
      <c r="C300" s="132" t="s">
        <v>1410</v>
      </c>
      <c r="D300" s="132" t="s">
        <v>1404</v>
      </c>
      <c r="E300" s="132" t="s">
        <v>1614</v>
      </c>
      <c r="F300" s="132" t="s">
        <v>1418</v>
      </c>
      <c r="H300" s="132">
        <v>0</v>
      </c>
    </row>
    <row r="301" spans="1:8" ht="15.75" customHeight="1">
      <c r="A301" s="374">
        <v>45806.726307870369</v>
      </c>
      <c r="B301" s="374">
        <v>45806.726307870369</v>
      </c>
      <c r="C301" s="132" t="s">
        <v>1410</v>
      </c>
      <c r="D301" s="132" t="s">
        <v>1404</v>
      </c>
      <c r="E301" s="132" t="s">
        <v>1615</v>
      </c>
      <c r="G301" s="132" t="s">
        <v>1073</v>
      </c>
      <c r="H301" s="132">
        <v>0</v>
      </c>
    </row>
    <row r="302" spans="1:8" ht="15.75" customHeight="1">
      <c r="A302" s="374">
        <v>45806.726307870369</v>
      </c>
      <c r="B302" s="374">
        <v>45806.726307870369</v>
      </c>
      <c r="C302" s="132" t="s">
        <v>1410</v>
      </c>
      <c r="D302" s="132" t="s">
        <v>1404</v>
      </c>
      <c r="E302" s="132" t="s">
        <v>1616</v>
      </c>
      <c r="G302" s="132" t="s">
        <v>1072</v>
      </c>
      <c r="H302" s="132">
        <v>0</v>
      </c>
    </row>
    <row r="303" spans="1:8" ht="15.75" customHeight="1">
      <c r="A303" s="374">
        <v>45806.726412037038</v>
      </c>
      <c r="B303" s="374">
        <v>45806.726412037038</v>
      </c>
      <c r="C303" s="132" t="s">
        <v>1410</v>
      </c>
      <c r="D303" s="132" t="s">
        <v>1404</v>
      </c>
      <c r="E303" s="132" t="s">
        <v>1617</v>
      </c>
      <c r="G303" s="132" t="s">
        <v>1046</v>
      </c>
      <c r="H303" s="132">
        <v>0</v>
      </c>
    </row>
    <row r="304" spans="1:8" ht="15.75" customHeight="1">
      <c r="A304" s="374">
        <v>45811.434363425928</v>
      </c>
      <c r="B304" s="374">
        <v>45811.434363425928</v>
      </c>
      <c r="C304" s="132" t="s">
        <v>1410</v>
      </c>
      <c r="D304" s="132" t="s">
        <v>1404</v>
      </c>
      <c r="E304" s="132" t="s">
        <v>1562</v>
      </c>
      <c r="F304" s="132" t="s">
        <v>1564</v>
      </c>
      <c r="G304" s="132" t="s">
        <v>1618</v>
      </c>
      <c r="H304" s="132">
        <v>0</v>
      </c>
    </row>
    <row r="305" spans="1:8" ht="15.75" customHeight="1">
      <c r="A305" s="374">
        <v>45811.470358796294</v>
      </c>
      <c r="B305" s="374">
        <v>45811.470358796294</v>
      </c>
      <c r="C305" s="132" t="s">
        <v>1410</v>
      </c>
      <c r="D305" s="132" t="s">
        <v>1404</v>
      </c>
      <c r="E305" s="132" t="s">
        <v>1545</v>
      </c>
      <c r="H305" s="132">
        <v>0</v>
      </c>
    </row>
    <row r="306" spans="1:8" ht="15.75" customHeight="1">
      <c r="A306" s="374">
        <v>45819.755335648151</v>
      </c>
      <c r="B306" s="374">
        <v>45819.755335648151</v>
      </c>
      <c r="C306" s="132" t="s">
        <v>1410</v>
      </c>
      <c r="D306" s="132" t="s">
        <v>1404</v>
      </c>
      <c r="E306" s="132" t="s">
        <v>1619</v>
      </c>
      <c r="G306" s="132" t="s">
        <v>116</v>
      </c>
      <c r="H306" s="132">
        <v>0</v>
      </c>
    </row>
    <row r="307" spans="1:8" ht="15.75" customHeight="1">
      <c r="A307" s="374">
        <v>45819.755335648151</v>
      </c>
      <c r="B307" s="374">
        <v>45819.755335648151</v>
      </c>
      <c r="C307" s="132" t="s">
        <v>1410</v>
      </c>
      <c r="D307" s="132" t="s">
        <v>1404</v>
      </c>
      <c r="E307" s="132" t="s">
        <v>1423</v>
      </c>
      <c r="G307" s="132" t="b">
        <v>1</v>
      </c>
      <c r="H307" s="132">
        <v>0</v>
      </c>
    </row>
    <row r="308" spans="1:8" ht="15.75" customHeight="1">
      <c r="A308" s="374">
        <v>45819.763935185183</v>
      </c>
      <c r="B308" s="374">
        <v>45819.763935185183</v>
      </c>
      <c r="C308" s="132" t="s">
        <v>1410</v>
      </c>
      <c r="D308" s="132" t="s">
        <v>1404</v>
      </c>
      <c r="E308" s="132" t="s">
        <v>1433</v>
      </c>
      <c r="F308" s="132" t="s">
        <v>1418</v>
      </c>
      <c r="G308" s="132" t="s">
        <v>164</v>
      </c>
      <c r="H308" s="132">
        <v>0</v>
      </c>
    </row>
    <row r="309" spans="1:8" ht="15.75" customHeight="1">
      <c r="A309" s="374">
        <v>45819.764340277776</v>
      </c>
      <c r="B309" s="374">
        <v>45819.764340277776</v>
      </c>
      <c r="C309" s="132" t="s">
        <v>1410</v>
      </c>
      <c r="D309" s="132" t="s">
        <v>1404</v>
      </c>
      <c r="E309" s="132" t="s">
        <v>1620</v>
      </c>
      <c r="G309" s="132" t="s">
        <v>113</v>
      </c>
      <c r="H309" s="132">
        <v>0</v>
      </c>
    </row>
    <row r="310" spans="1:8" ht="15.75" customHeight="1">
      <c r="A310" s="374">
        <v>45819.765543981484</v>
      </c>
      <c r="B310" s="374">
        <v>45819.765543981484</v>
      </c>
      <c r="C310" s="132" t="s">
        <v>1410</v>
      </c>
      <c r="D310" s="132" t="s">
        <v>1404</v>
      </c>
      <c r="E310" s="132" t="s">
        <v>1517</v>
      </c>
      <c r="F310" s="132" t="s">
        <v>1418</v>
      </c>
      <c r="G310" s="132" t="s">
        <v>164</v>
      </c>
      <c r="H310" s="132">
        <v>0</v>
      </c>
    </row>
    <row r="311" spans="1:8" ht="15.75" customHeight="1">
      <c r="A311" s="374">
        <v>45819.765590277777</v>
      </c>
      <c r="B311" s="374">
        <v>45819.765590277777</v>
      </c>
      <c r="C311" s="132" t="s">
        <v>1410</v>
      </c>
      <c r="D311" s="132" t="s">
        <v>1404</v>
      </c>
      <c r="E311" s="132" t="s">
        <v>1518</v>
      </c>
      <c r="F311" s="132" t="s">
        <v>1613</v>
      </c>
      <c r="G311" s="132" t="s">
        <v>173</v>
      </c>
      <c r="H311" s="132">
        <v>0</v>
      </c>
    </row>
    <row r="312" spans="1:8" ht="15.75" customHeight="1">
      <c r="A312" s="374">
        <v>45819.765821759262</v>
      </c>
      <c r="B312" s="374">
        <v>45819.765821759262</v>
      </c>
      <c r="C312" s="132" t="s">
        <v>1410</v>
      </c>
      <c r="D312" s="132" t="s">
        <v>1404</v>
      </c>
      <c r="E312" s="132" t="s">
        <v>1537</v>
      </c>
      <c r="F312" s="132" t="s">
        <v>1447</v>
      </c>
      <c r="G312" s="132" t="s">
        <v>182</v>
      </c>
      <c r="H312" s="132">
        <v>0</v>
      </c>
    </row>
    <row r="313" spans="1:8" ht="15.75" customHeight="1">
      <c r="A313" s="374">
        <v>45820.620671296296</v>
      </c>
      <c r="B313" s="374">
        <v>45820.620671296296</v>
      </c>
      <c r="C313" s="132" t="s">
        <v>1410</v>
      </c>
      <c r="D313" s="132" t="s">
        <v>1404</v>
      </c>
      <c r="E313" s="132" t="s">
        <v>1417</v>
      </c>
      <c r="F313" s="132" t="s">
        <v>1418</v>
      </c>
      <c r="G313" s="132" t="s">
        <v>147</v>
      </c>
      <c r="H313" s="132">
        <v>0</v>
      </c>
    </row>
    <row r="314" spans="1:8" ht="15.75" customHeight="1">
      <c r="A314" s="374">
        <v>45820.620937500003</v>
      </c>
      <c r="B314" s="374">
        <v>45820.620937500003</v>
      </c>
      <c r="C314" s="132" t="s">
        <v>1410</v>
      </c>
      <c r="D314" s="132" t="s">
        <v>1404</v>
      </c>
      <c r="E314" s="132" t="s">
        <v>1621</v>
      </c>
      <c r="G314" s="132" t="s">
        <v>264</v>
      </c>
      <c r="H314" s="132">
        <v>0</v>
      </c>
    </row>
    <row r="315" spans="1:8" ht="15.75" customHeight="1">
      <c r="A315" s="374">
        <v>45820.621030092596</v>
      </c>
      <c r="B315" s="374">
        <v>45820.621030092596</v>
      </c>
      <c r="C315" s="132" t="s">
        <v>1410</v>
      </c>
      <c r="D315" s="132" t="s">
        <v>1404</v>
      </c>
      <c r="E315" s="132" t="s">
        <v>1621</v>
      </c>
      <c r="F315" s="132" t="s">
        <v>264</v>
      </c>
      <c r="G315" s="132" t="s">
        <v>168</v>
      </c>
      <c r="H315" s="132">
        <v>0</v>
      </c>
    </row>
    <row r="316" spans="1:8" ht="15.75" customHeight="1">
      <c r="A316" s="374">
        <v>45820.621111111112</v>
      </c>
      <c r="B316" s="374">
        <v>45820.621111111112</v>
      </c>
      <c r="C316" s="132" t="s">
        <v>1410</v>
      </c>
      <c r="D316" s="132" t="s">
        <v>1404</v>
      </c>
      <c r="E316" s="132" t="s">
        <v>1622</v>
      </c>
      <c r="G316" s="132" t="s">
        <v>166</v>
      </c>
      <c r="H316" s="132">
        <v>0</v>
      </c>
    </row>
    <row r="317" spans="1:8" ht="15.75" customHeight="1">
      <c r="A317" s="374">
        <v>45820.62195601852</v>
      </c>
      <c r="B317" s="374">
        <v>45820.62195601852</v>
      </c>
      <c r="C317" s="132" t="s">
        <v>1410</v>
      </c>
      <c r="D317" s="132" t="s">
        <v>1404</v>
      </c>
      <c r="E317" s="132" t="s">
        <v>1623</v>
      </c>
      <c r="G317" s="132" t="s">
        <v>466</v>
      </c>
      <c r="H317" s="132">
        <v>0</v>
      </c>
    </row>
    <row r="318" spans="1:8" ht="15.75" customHeight="1">
      <c r="A318" s="374">
        <v>45820.625821759262</v>
      </c>
      <c r="B318" s="374">
        <v>45820.625821759262</v>
      </c>
      <c r="C318" s="132" t="s">
        <v>1410</v>
      </c>
      <c r="D318" s="132" t="s">
        <v>1404</v>
      </c>
      <c r="E318" s="132" t="s">
        <v>1624</v>
      </c>
      <c r="H318" s="132">
        <v>0</v>
      </c>
    </row>
    <row r="319" spans="1:8" ht="15.75" customHeight="1">
      <c r="A319" s="374">
        <v>45820.64644675926</v>
      </c>
      <c r="B319" s="374">
        <v>45820.64644675926</v>
      </c>
      <c r="C319" s="132" t="s">
        <v>1410</v>
      </c>
      <c r="D319" s="132" t="s">
        <v>1404</v>
      </c>
      <c r="E319" s="132" t="s">
        <v>1524</v>
      </c>
      <c r="G319" s="132" t="s">
        <v>147</v>
      </c>
      <c r="H319" s="132">
        <v>0</v>
      </c>
    </row>
    <row r="320" spans="1:8" ht="15.75" customHeight="1">
      <c r="A320" s="374">
        <v>45820.646469907406</v>
      </c>
      <c r="B320" s="374">
        <v>45820.646469907406</v>
      </c>
      <c r="C320" s="132" t="s">
        <v>1410</v>
      </c>
      <c r="D320" s="132" t="s">
        <v>1404</v>
      </c>
      <c r="E320" s="132" t="s">
        <v>1524</v>
      </c>
      <c r="F320" s="132" t="s">
        <v>147</v>
      </c>
      <c r="H320" s="132">
        <v>0</v>
      </c>
    </row>
    <row r="321" spans="1:8" ht="15.75" customHeight="1">
      <c r="A321" s="374">
        <v>45833.608518518522</v>
      </c>
      <c r="B321" s="374">
        <v>45833.608518518522</v>
      </c>
      <c r="C321" s="132" t="s">
        <v>1410</v>
      </c>
      <c r="D321" s="132" t="s">
        <v>1625</v>
      </c>
      <c r="E321" s="132" t="s">
        <v>1626</v>
      </c>
      <c r="G321" s="132" t="s">
        <v>184</v>
      </c>
      <c r="H321" s="132">
        <v>0</v>
      </c>
    </row>
    <row r="322" spans="1:8" ht="15.75" customHeight="1">
      <c r="A322" s="374">
        <v>45833.609247685185</v>
      </c>
      <c r="B322" s="374">
        <v>45833.609247685185</v>
      </c>
      <c r="C322" s="132" t="s">
        <v>1410</v>
      </c>
      <c r="D322" s="132" t="s">
        <v>1625</v>
      </c>
      <c r="E322" s="132" t="s">
        <v>1627</v>
      </c>
      <c r="H322" s="132">
        <v>0</v>
      </c>
    </row>
    <row r="323" spans="1:8" ht="15.75" customHeight="1">
      <c r="A323" s="374">
        <v>45833.609305555554</v>
      </c>
      <c r="B323" s="374">
        <v>45833.609305555554</v>
      </c>
      <c r="C323" s="132" t="s">
        <v>1410</v>
      </c>
      <c r="D323" s="132" t="s">
        <v>1625</v>
      </c>
      <c r="E323" s="132" t="s">
        <v>1628</v>
      </c>
      <c r="G323" s="132" t="s">
        <v>206</v>
      </c>
      <c r="H323" s="132">
        <v>0</v>
      </c>
    </row>
    <row r="324" spans="1:8" ht="15.75" customHeight="1">
      <c r="A324" s="374">
        <v>45833.611192129632</v>
      </c>
      <c r="B324" s="374">
        <v>45833.611192129632</v>
      </c>
      <c r="C324" s="132" t="s">
        <v>1410</v>
      </c>
      <c r="D324" s="132" t="s">
        <v>1625</v>
      </c>
      <c r="E324" s="132" t="s">
        <v>1629</v>
      </c>
      <c r="G324" s="132" t="s">
        <v>1630</v>
      </c>
      <c r="H324" s="132">
        <v>0</v>
      </c>
    </row>
    <row r="325" spans="1:8" ht="15.75" customHeight="1">
      <c r="A325" s="374">
        <v>45833.612569444442</v>
      </c>
      <c r="B325" s="374">
        <v>45833.612569444442</v>
      </c>
      <c r="C325" s="132" t="s">
        <v>1410</v>
      </c>
      <c r="D325" s="132" t="s">
        <v>1625</v>
      </c>
      <c r="E325" s="132" t="s">
        <v>1631</v>
      </c>
      <c r="H325" s="132">
        <v>0</v>
      </c>
    </row>
    <row r="326" spans="1:8" ht="15.75" customHeight="1">
      <c r="A326" s="374">
        <v>45833.612719907411</v>
      </c>
      <c r="B326" s="374">
        <v>45833.612719907411</v>
      </c>
      <c r="C326" s="132" t="s">
        <v>1410</v>
      </c>
      <c r="D326" s="132" t="s">
        <v>1625</v>
      </c>
      <c r="E326" s="132" t="s">
        <v>1632</v>
      </c>
      <c r="H326" s="132">
        <v>0</v>
      </c>
    </row>
    <row r="327" spans="1:8" ht="15.75" customHeight="1">
      <c r="A327" s="374">
        <v>45833.613379629627</v>
      </c>
      <c r="B327" s="374">
        <v>45833.613379629627</v>
      </c>
      <c r="C327" s="132" t="s">
        <v>1410</v>
      </c>
      <c r="D327" s="132" t="s">
        <v>1625</v>
      </c>
      <c r="E327" s="132" t="s">
        <v>1633</v>
      </c>
      <c r="G327" s="132" t="s">
        <v>412</v>
      </c>
      <c r="H327" s="132">
        <v>0</v>
      </c>
    </row>
    <row r="328" spans="1:8" ht="15.75" customHeight="1">
      <c r="A328" s="374">
        <v>45833.61341435185</v>
      </c>
      <c r="B328" s="374">
        <v>45833.61341435185</v>
      </c>
      <c r="C328" s="132" t="s">
        <v>1410</v>
      </c>
      <c r="D328" s="132" t="s">
        <v>1625</v>
      </c>
      <c r="E328" s="132" t="s">
        <v>1634</v>
      </c>
      <c r="G328" s="132" t="s">
        <v>199</v>
      </c>
      <c r="H328" s="132">
        <v>0</v>
      </c>
    </row>
    <row r="329" spans="1:8" ht="15.75" customHeight="1">
      <c r="A329" s="374">
        <v>45833.613587962966</v>
      </c>
      <c r="B329" s="374">
        <v>45833.613587962966</v>
      </c>
      <c r="C329" s="132" t="s">
        <v>1410</v>
      </c>
      <c r="D329" s="132" t="s">
        <v>1625</v>
      </c>
      <c r="E329" s="132" t="s">
        <v>1635</v>
      </c>
      <c r="H329" s="132">
        <v>0</v>
      </c>
    </row>
    <row r="330" spans="1:8" ht="15.75" customHeight="1">
      <c r="A330" s="374">
        <v>45833.613761574074</v>
      </c>
      <c r="B330" s="374">
        <v>45833.613761574074</v>
      </c>
      <c r="C330" s="132" t="s">
        <v>1410</v>
      </c>
      <c r="D330" s="132" t="s">
        <v>1625</v>
      </c>
      <c r="E330" s="132" t="s">
        <v>1636</v>
      </c>
      <c r="F330" s="132" t="s">
        <v>1637</v>
      </c>
      <c r="H330" s="132">
        <v>0</v>
      </c>
    </row>
    <row r="331" spans="1:8" ht="15.75" customHeight="1">
      <c r="A331" s="374">
        <v>45833.614733796298</v>
      </c>
      <c r="B331" s="374">
        <v>45833.614733796298</v>
      </c>
      <c r="C331" s="132" t="s">
        <v>1410</v>
      </c>
      <c r="D331" s="132" t="s">
        <v>1625</v>
      </c>
      <c r="E331" s="132" t="s">
        <v>1638</v>
      </c>
      <c r="G331" s="132" t="s">
        <v>1639</v>
      </c>
      <c r="H331" s="132">
        <v>0</v>
      </c>
    </row>
    <row r="332" spans="1:8" ht="15.75" customHeight="1">
      <c r="A332" s="374">
        <v>45833.614803240744</v>
      </c>
      <c r="B332" s="374">
        <v>45833.614803240744</v>
      </c>
      <c r="C332" s="132" t="s">
        <v>1410</v>
      </c>
      <c r="D332" s="132" t="s">
        <v>1625</v>
      </c>
      <c r="E332" s="132" t="s">
        <v>1640</v>
      </c>
      <c r="H332" s="132">
        <v>0</v>
      </c>
    </row>
    <row r="333" spans="1:8" ht="15.75" customHeight="1">
      <c r="A333" s="374">
        <v>45833.615312499998</v>
      </c>
      <c r="B333" s="374">
        <v>45833.615312499998</v>
      </c>
      <c r="C333" s="132" t="s">
        <v>1410</v>
      </c>
      <c r="D333" s="132" t="s">
        <v>1625</v>
      </c>
      <c r="E333" s="132" t="s">
        <v>1641</v>
      </c>
      <c r="F333" s="132" t="s">
        <v>1642</v>
      </c>
      <c r="H333" s="132">
        <v>0</v>
      </c>
    </row>
    <row r="334" spans="1:8" ht="15.75" customHeight="1">
      <c r="A334" s="374">
        <v>45833.615428240744</v>
      </c>
      <c r="B334" s="374">
        <v>45833.615428240744</v>
      </c>
      <c r="C334" s="132" t="s">
        <v>1410</v>
      </c>
      <c r="D334" s="132" t="s">
        <v>1625</v>
      </c>
      <c r="E334" s="132" t="s">
        <v>1643</v>
      </c>
      <c r="F334" s="132">
        <v>45712</v>
      </c>
      <c r="G334" s="132" t="s">
        <v>93</v>
      </c>
      <c r="H334" s="132">
        <v>0</v>
      </c>
    </row>
    <row r="335" spans="1:8" ht="15.75" customHeight="1">
      <c r="A335" s="374">
        <v>45833.61546296296</v>
      </c>
      <c r="B335" s="374">
        <v>45833.61546296296</v>
      </c>
      <c r="C335" s="132" t="s">
        <v>1410</v>
      </c>
      <c r="D335" s="132" t="s">
        <v>1625</v>
      </c>
      <c r="E335" s="132" t="s">
        <v>1644</v>
      </c>
      <c r="G335" s="132" t="s">
        <v>93</v>
      </c>
      <c r="H335" s="132">
        <v>0</v>
      </c>
    </row>
    <row r="336" spans="1:8" ht="15.75" customHeight="1">
      <c r="A336" s="374">
        <v>45833.616249999999</v>
      </c>
      <c r="B336" s="374">
        <v>45833.616249999999</v>
      </c>
      <c r="C336" s="132" t="s">
        <v>1410</v>
      </c>
      <c r="D336" s="132" t="s">
        <v>1625</v>
      </c>
      <c r="E336" s="132" t="s">
        <v>1645</v>
      </c>
      <c r="F336" s="132" t="s">
        <v>1639</v>
      </c>
      <c r="G336" s="132" t="s">
        <v>1646</v>
      </c>
      <c r="H336" s="132">
        <v>0</v>
      </c>
    </row>
    <row r="337" spans="1:8" ht="15.75" customHeight="1">
      <c r="A337" s="374">
        <v>45833.616284722222</v>
      </c>
      <c r="B337" s="374">
        <v>45833.616284722222</v>
      </c>
      <c r="C337" s="132" t="s">
        <v>1410</v>
      </c>
      <c r="D337" s="132" t="s">
        <v>1625</v>
      </c>
      <c r="E337" s="132" t="s">
        <v>1647</v>
      </c>
      <c r="F337" s="132" t="s">
        <v>1648</v>
      </c>
      <c r="G337" s="132" t="s">
        <v>1649</v>
      </c>
      <c r="H337" s="132">
        <v>0</v>
      </c>
    </row>
    <row r="338" spans="1:8" ht="15.75" customHeight="1">
      <c r="A338" s="374">
        <v>45833.616319444445</v>
      </c>
      <c r="B338" s="374">
        <v>45833.616319444445</v>
      </c>
      <c r="C338" s="132" t="s">
        <v>1410</v>
      </c>
      <c r="D338" s="132" t="s">
        <v>1625</v>
      </c>
      <c r="E338" s="132" t="s">
        <v>1650</v>
      </c>
      <c r="F338" s="132" t="s">
        <v>1648</v>
      </c>
      <c r="G338" s="132" t="s">
        <v>1651</v>
      </c>
      <c r="H338" s="132">
        <v>0</v>
      </c>
    </row>
    <row r="339" spans="1:8" ht="15.75" customHeight="1">
      <c r="A339" s="374">
        <v>45833.616354166668</v>
      </c>
      <c r="B339" s="374">
        <v>45833.616354166668</v>
      </c>
      <c r="C339" s="132" t="s">
        <v>1410</v>
      </c>
      <c r="D339" s="132" t="s">
        <v>1625</v>
      </c>
      <c r="E339" s="132" t="s">
        <v>1647</v>
      </c>
      <c r="F339" s="132" t="s">
        <v>1649</v>
      </c>
      <c r="G339" s="132" t="s">
        <v>1652</v>
      </c>
      <c r="H339" s="132">
        <v>0</v>
      </c>
    </row>
    <row r="340" spans="1:8" ht="15.75" customHeight="1">
      <c r="A340" s="374">
        <v>45833.616400462961</v>
      </c>
      <c r="B340" s="374">
        <v>45833.616400462961</v>
      </c>
      <c r="C340" s="132" t="s">
        <v>1410</v>
      </c>
      <c r="D340" s="132" t="s">
        <v>1625</v>
      </c>
      <c r="E340" s="132" t="s">
        <v>1645</v>
      </c>
      <c r="F340" s="132" t="s">
        <v>1646</v>
      </c>
      <c r="G340" s="132" t="s">
        <v>1639</v>
      </c>
      <c r="H340" s="132">
        <v>0</v>
      </c>
    </row>
    <row r="341" spans="1:8" ht="15.75" customHeight="1">
      <c r="A341" s="374">
        <v>45833.616574074076</v>
      </c>
      <c r="B341" s="374">
        <v>45833.616574074076</v>
      </c>
      <c r="C341" s="132" t="s">
        <v>1410</v>
      </c>
      <c r="D341" s="132" t="s">
        <v>1625</v>
      </c>
      <c r="E341" s="132" t="s">
        <v>1645</v>
      </c>
      <c r="F341" s="132" t="s">
        <v>1639</v>
      </c>
      <c r="G341" s="132" t="s">
        <v>1653</v>
      </c>
      <c r="H341" s="132">
        <v>0</v>
      </c>
    </row>
    <row r="342" spans="1:8" ht="15.75" customHeight="1">
      <c r="A342" s="374">
        <v>45833.616655092592</v>
      </c>
      <c r="B342" s="374">
        <v>45833.616655092592</v>
      </c>
      <c r="C342" s="132" t="s">
        <v>1410</v>
      </c>
      <c r="D342" s="132" t="s">
        <v>1625</v>
      </c>
      <c r="E342" s="132" t="s">
        <v>1645</v>
      </c>
      <c r="F342" s="132" t="s">
        <v>1653</v>
      </c>
      <c r="G342" s="132" t="s">
        <v>1654</v>
      </c>
      <c r="H342" s="132">
        <v>0</v>
      </c>
    </row>
    <row r="343" spans="1:8" ht="15.75" customHeight="1">
      <c r="A343" s="374">
        <v>45833.617395833331</v>
      </c>
      <c r="B343" s="374">
        <v>45833.617395833331</v>
      </c>
      <c r="C343" s="132" t="s">
        <v>1410</v>
      </c>
      <c r="D343" s="132" t="s">
        <v>1625</v>
      </c>
      <c r="E343" s="132" t="s">
        <v>1640</v>
      </c>
      <c r="H343" s="132">
        <v>0</v>
      </c>
    </row>
    <row r="344" spans="1:8" ht="15.75" customHeight="1">
      <c r="A344" s="374">
        <v>45833.617824074077</v>
      </c>
      <c r="B344" s="374">
        <v>45833.617824074077</v>
      </c>
      <c r="C344" s="132" t="s">
        <v>1410</v>
      </c>
      <c r="D344" s="132" t="s">
        <v>1625</v>
      </c>
      <c r="E344" s="132" t="s">
        <v>1655</v>
      </c>
      <c r="G344" s="132" t="s">
        <v>1</v>
      </c>
      <c r="H344" s="132">
        <v>0</v>
      </c>
    </row>
    <row r="345" spans="1:8" ht="15.75" customHeight="1">
      <c r="A345" s="374">
        <v>45833.618356481478</v>
      </c>
      <c r="B345" s="374">
        <v>45833.618356481478</v>
      </c>
      <c r="C345" s="132" t="s">
        <v>1410</v>
      </c>
      <c r="D345" s="132" t="s">
        <v>1625</v>
      </c>
      <c r="E345" s="132" t="s">
        <v>1643</v>
      </c>
      <c r="G345" s="132" t="s">
        <v>1654</v>
      </c>
      <c r="H345" s="132">
        <v>0</v>
      </c>
    </row>
    <row r="346" spans="1:8" ht="15.75" customHeight="1">
      <c r="A346" s="374">
        <v>45833.618379629632</v>
      </c>
      <c r="B346" s="374">
        <v>45833.618379629632</v>
      </c>
      <c r="C346" s="132" t="s">
        <v>1410</v>
      </c>
      <c r="D346" s="132" t="s">
        <v>1625</v>
      </c>
      <c r="E346" s="132" t="s">
        <v>1656</v>
      </c>
      <c r="H346" s="132">
        <v>0</v>
      </c>
    </row>
    <row r="347" spans="1:8" ht="15.75" customHeight="1">
      <c r="A347" s="374">
        <v>45833.618564814817</v>
      </c>
      <c r="B347" s="374">
        <v>45833.618564814817</v>
      </c>
      <c r="C347" s="132" t="s">
        <v>1410</v>
      </c>
      <c r="D347" s="132" t="s">
        <v>1625</v>
      </c>
      <c r="E347" s="132" t="s">
        <v>1645</v>
      </c>
      <c r="F347" s="132" t="s">
        <v>1654</v>
      </c>
      <c r="G347" s="132" t="s">
        <v>1657</v>
      </c>
      <c r="H347" s="132">
        <v>0</v>
      </c>
    </row>
    <row r="348" spans="1:8" ht="15.75" customHeight="1">
      <c r="A348" s="374">
        <v>45833.618842592594</v>
      </c>
      <c r="B348" s="374">
        <v>45833.618842592594</v>
      </c>
      <c r="C348" s="132" t="s">
        <v>1410</v>
      </c>
      <c r="D348" s="132" t="s">
        <v>1625</v>
      </c>
      <c r="E348" s="132" t="s">
        <v>1658</v>
      </c>
      <c r="H348" s="132">
        <v>0</v>
      </c>
    </row>
    <row r="349" spans="1:8" ht="15.75" customHeight="1">
      <c r="A349" s="374">
        <v>45833.61886574074</v>
      </c>
      <c r="B349" s="374">
        <v>45833.61886574074</v>
      </c>
      <c r="C349" s="132" t="s">
        <v>1410</v>
      </c>
      <c r="D349" s="132" t="s">
        <v>1625</v>
      </c>
      <c r="E349" s="132" t="s">
        <v>1659</v>
      </c>
      <c r="G349" s="132" t="s">
        <v>1660</v>
      </c>
      <c r="H349" s="132">
        <v>0</v>
      </c>
    </row>
    <row r="350" spans="1:8" ht="15.75" customHeight="1">
      <c r="A350" s="374">
        <v>45833.619143518517</v>
      </c>
      <c r="B350" s="374">
        <v>45833.619143518517</v>
      </c>
      <c r="C350" s="132" t="s">
        <v>1410</v>
      </c>
      <c r="D350" s="132" t="s">
        <v>1625</v>
      </c>
      <c r="E350" s="132" t="s">
        <v>1661</v>
      </c>
      <c r="H350" s="132">
        <v>0</v>
      </c>
    </row>
    <row r="351" spans="1:8" ht="15.75" customHeight="1">
      <c r="A351" s="374">
        <v>45833.619166666664</v>
      </c>
      <c r="B351" s="374">
        <v>45833.619166666664</v>
      </c>
      <c r="C351" s="132" t="s">
        <v>1410</v>
      </c>
      <c r="D351" s="132" t="s">
        <v>1625</v>
      </c>
      <c r="E351" s="132" t="s">
        <v>1662</v>
      </c>
      <c r="H351" s="132">
        <v>0</v>
      </c>
    </row>
    <row r="352" spans="1:8" ht="15.75" customHeight="1">
      <c r="A352" s="374">
        <v>45833.619386574072</v>
      </c>
      <c r="B352" s="374">
        <v>45833.619386574072</v>
      </c>
      <c r="C352" s="132" t="s">
        <v>1410</v>
      </c>
      <c r="D352" s="132" t="s">
        <v>1625</v>
      </c>
      <c r="E352" s="132" t="s">
        <v>1663</v>
      </c>
      <c r="H352" s="132">
        <v>0</v>
      </c>
    </row>
    <row r="353" spans="1:8" ht="15.75" customHeight="1">
      <c r="A353" s="374">
        <v>45833.619409722225</v>
      </c>
      <c r="B353" s="374">
        <v>45833.619409722225</v>
      </c>
      <c r="C353" s="132" t="s">
        <v>1410</v>
      </c>
      <c r="D353" s="132" t="s">
        <v>1625</v>
      </c>
      <c r="E353" s="132" t="s">
        <v>1664</v>
      </c>
      <c r="G353" s="132" t="s">
        <v>90</v>
      </c>
      <c r="H353" s="132">
        <v>0</v>
      </c>
    </row>
    <row r="354" spans="1:8" ht="15.75" customHeight="1">
      <c r="A354" s="374">
        <v>45833.620347222219</v>
      </c>
      <c r="B354" s="374">
        <v>45833.620347222219</v>
      </c>
      <c r="C354" s="132" t="s">
        <v>1410</v>
      </c>
      <c r="D354" s="132" t="s">
        <v>1625</v>
      </c>
      <c r="E354" s="132" t="s">
        <v>1665</v>
      </c>
      <c r="G354" s="132" t="s">
        <v>90</v>
      </c>
      <c r="H354" s="132">
        <v>0</v>
      </c>
    </row>
    <row r="355" spans="1:8" ht="15.75" customHeight="1">
      <c r="A355" s="374">
        <v>45833.620497685188</v>
      </c>
      <c r="B355" s="374">
        <v>45833.620497685188</v>
      </c>
      <c r="C355" s="132" t="s">
        <v>1410</v>
      </c>
      <c r="D355" s="132" t="s">
        <v>1625</v>
      </c>
      <c r="E355" s="132" t="s">
        <v>1666</v>
      </c>
      <c r="G355" s="132" t="s">
        <v>113</v>
      </c>
      <c r="H355" s="132">
        <v>0</v>
      </c>
    </row>
    <row r="356" spans="1:8" ht="15.75" customHeight="1">
      <c r="A356" s="374">
        <v>45833.620694444442</v>
      </c>
      <c r="B356" s="374">
        <v>45833.620694444442</v>
      </c>
      <c r="C356" s="132" t="s">
        <v>1410</v>
      </c>
      <c r="D356" s="132" t="s">
        <v>1625</v>
      </c>
      <c r="E356" s="132" t="s">
        <v>1667</v>
      </c>
      <c r="G356" s="132" t="s">
        <v>113</v>
      </c>
      <c r="H356" s="132">
        <v>0</v>
      </c>
    </row>
    <row r="357" spans="1:8" ht="15.75" customHeight="1">
      <c r="A357" s="374">
        <v>45833.621041666665</v>
      </c>
      <c r="B357" s="374">
        <v>45833.621041666665</v>
      </c>
      <c r="C357" s="132" t="s">
        <v>1410</v>
      </c>
      <c r="D357" s="132" t="s">
        <v>1625</v>
      </c>
      <c r="E357" s="132" t="s">
        <v>1668</v>
      </c>
      <c r="H357" s="132">
        <v>0</v>
      </c>
    </row>
    <row r="358" spans="1:8" ht="15.75" customHeight="1">
      <c r="A358" s="374">
        <v>45833.622384259259</v>
      </c>
      <c r="B358" s="374">
        <v>45833.622384259259</v>
      </c>
      <c r="C358" s="132" t="s">
        <v>1410</v>
      </c>
      <c r="D358" s="132" t="s">
        <v>1669</v>
      </c>
      <c r="E358" s="132" t="s">
        <v>1670</v>
      </c>
      <c r="G358" s="132" t="s">
        <v>112</v>
      </c>
      <c r="H358" s="132">
        <v>0</v>
      </c>
    </row>
    <row r="359" spans="1:8" ht="15.75" customHeight="1">
      <c r="A359" s="374">
        <v>45833.622418981482</v>
      </c>
      <c r="B359" s="374">
        <v>45833.622418981482</v>
      </c>
      <c r="C359" s="132" t="s">
        <v>1410</v>
      </c>
      <c r="D359" s="132" t="s">
        <v>1669</v>
      </c>
      <c r="E359" s="132" t="s">
        <v>1671</v>
      </c>
      <c r="H359" s="132">
        <v>0</v>
      </c>
    </row>
    <row r="360" spans="1:8" ht="15.75" customHeight="1">
      <c r="A360" s="374">
        <v>45833.622557870367</v>
      </c>
      <c r="B360" s="374">
        <v>45833.622557870367</v>
      </c>
      <c r="C360" s="132" t="s">
        <v>1410</v>
      </c>
      <c r="D360" s="132" t="s">
        <v>1669</v>
      </c>
      <c r="E360" s="132" t="s">
        <v>1672</v>
      </c>
      <c r="H360" s="132">
        <v>0</v>
      </c>
    </row>
    <row r="361" spans="1:8" ht="15.75" customHeight="1">
      <c r="A361" s="374">
        <v>45833.62263888889</v>
      </c>
      <c r="B361" s="374">
        <v>45833.62263888889</v>
      </c>
      <c r="C361" s="132" t="s">
        <v>1410</v>
      </c>
      <c r="D361" s="132" t="s">
        <v>1669</v>
      </c>
      <c r="E361" s="132" t="s">
        <v>1673</v>
      </c>
      <c r="G361" s="132" t="s">
        <v>1674</v>
      </c>
      <c r="H361" s="132">
        <v>0</v>
      </c>
    </row>
    <row r="362" spans="1:8" ht="15.75" customHeight="1">
      <c r="A362" s="374">
        <v>45833.622696759259</v>
      </c>
      <c r="B362" s="374">
        <v>45833.622696759259</v>
      </c>
      <c r="C362" s="132" t="s">
        <v>1410</v>
      </c>
      <c r="D362" s="132" t="s">
        <v>1669</v>
      </c>
      <c r="E362" s="132" t="s">
        <v>1673</v>
      </c>
      <c r="F362" s="132" t="s">
        <v>1674</v>
      </c>
      <c r="G362" s="132" t="s">
        <v>108</v>
      </c>
      <c r="H362" s="132">
        <v>0</v>
      </c>
    </row>
    <row r="363" spans="1:8" ht="15.75" customHeight="1">
      <c r="A363" s="374">
        <v>45833.62300925926</v>
      </c>
      <c r="B363" s="374">
        <v>45833.62300925926</v>
      </c>
      <c r="C363" s="132" t="s">
        <v>1410</v>
      </c>
      <c r="D363" s="132" t="s">
        <v>1669</v>
      </c>
      <c r="E363" s="132" t="s">
        <v>1675</v>
      </c>
      <c r="F363" s="132" t="s">
        <v>112</v>
      </c>
      <c r="G363" s="132" t="s">
        <v>867</v>
      </c>
      <c r="H363" s="132">
        <v>0</v>
      </c>
    </row>
    <row r="364" spans="1:8" ht="15.75" customHeight="1">
      <c r="A364" s="374">
        <v>45833.62363425926</v>
      </c>
      <c r="B364" s="374">
        <v>45833.62363425926</v>
      </c>
      <c r="C364" s="132" t="s">
        <v>1410</v>
      </c>
      <c r="D364" s="132" t="s">
        <v>1669</v>
      </c>
      <c r="E364" s="132" t="s">
        <v>1676</v>
      </c>
      <c r="H364" s="132">
        <v>0</v>
      </c>
    </row>
    <row r="365" spans="1:8" ht="15.75" customHeight="1">
      <c r="A365" s="374">
        <v>45833.623680555553</v>
      </c>
      <c r="B365" s="374">
        <v>45833.623680555553</v>
      </c>
      <c r="C365" s="132" t="s">
        <v>1410</v>
      </c>
      <c r="D365" s="132" t="s">
        <v>1669</v>
      </c>
      <c r="E365" s="132" t="s">
        <v>1677</v>
      </c>
      <c r="H365" s="132">
        <v>0</v>
      </c>
    </row>
    <row r="366" spans="1:8" ht="15.75" customHeight="1">
      <c r="A366" s="374">
        <v>45833.62395833333</v>
      </c>
      <c r="B366" s="374">
        <v>45833.62395833333</v>
      </c>
      <c r="C366" s="132" t="s">
        <v>1410</v>
      </c>
      <c r="D366" s="132" t="s">
        <v>1669</v>
      </c>
      <c r="E366" s="132" t="s">
        <v>1678</v>
      </c>
      <c r="G366" s="132" t="s">
        <v>209</v>
      </c>
      <c r="H366" s="132">
        <v>0</v>
      </c>
    </row>
    <row r="367" spans="1:8" ht="15.75" customHeight="1">
      <c r="A367" s="374">
        <v>45833.623981481483</v>
      </c>
      <c r="B367" s="374">
        <v>45833.623981481483</v>
      </c>
      <c r="C367" s="132" t="s">
        <v>1410</v>
      </c>
      <c r="D367" s="132" t="s">
        <v>1669</v>
      </c>
      <c r="E367" s="132" t="s">
        <v>1679</v>
      </c>
      <c r="G367" s="132" t="s">
        <v>113</v>
      </c>
      <c r="H367" s="132">
        <v>0</v>
      </c>
    </row>
    <row r="368" spans="1:8" ht="15.75" customHeight="1">
      <c r="A368" s="374">
        <v>45833.624108796299</v>
      </c>
      <c r="B368" s="374">
        <v>45833.624108796299</v>
      </c>
      <c r="C368" s="132" t="s">
        <v>1410</v>
      </c>
      <c r="D368" s="132" t="s">
        <v>1669</v>
      </c>
      <c r="E368" s="132" t="s">
        <v>1680</v>
      </c>
      <c r="H368" s="132">
        <v>0</v>
      </c>
    </row>
    <row r="369" spans="1:8" ht="15.75" customHeight="1">
      <c r="A369" s="374">
        <v>45833.624374999999</v>
      </c>
      <c r="B369" s="374">
        <v>45833.624374999999</v>
      </c>
      <c r="C369" s="132" t="s">
        <v>1410</v>
      </c>
      <c r="D369" s="132" t="s">
        <v>1669</v>
      </c>
      <c r="E369" s="132" t="s">
        <v>1681</v>
      </c>
      <c r="H369" s="132">
        <v>0</v>
      </c>
    </row>
    <row r="370" spans="1:8" ht="15.75" customHeight="1">
      <c r="A370" s="374">
        <v>45833.624386574076</v>
      </c>
      <c r="B370" s="374">
        <v>45833.624386574076</v>
      </c>
      <c r="C370" s="132" t="s">
        <v>1410</v>
      </c>
      <c r="D370" s="132" t="s">
        <v>1669</v>
      </c>
      <c r="E370" s="132" t="s">
        <v>1682</v>
      </c>
      <c r="G370" s="132" t="s">
        <v>1683</v>
      </c>
      <c r="H370" s="132">
        <v>0</v>
      </c>
    </row>
    <row r="371" spans="1:8" ht="15.75" customHeight="1">
      <c r="A371" s="374">
        <v>45833.624513888892</v>
      </c>
      <c r="B371" s="374">
        <v>45833.624513888892</v>
      </c>
      <c r="C371" s="132" t="s">
        <v>1410</v>
      </c>
      <c r="D371" s="132" t="s">
        <v>1669</v>
      </c>
      <c r="E371" s="132" t="s">
        <v>1681</v>
      </c>
      <c r="H371" s="132">
        <v>0</v>
      </c>
    </row>
    <row r="372" spans="1:8" ht="15.75" customHeight="1">
      <c r="A372" s="374">
        <v>45833.625254629631</v>
      </c>
      <c r="B372" s="374">
        <v>45833.625254629631</v>
      </c>
      <c r="C372" s="132" t="s">
        <v>1410</v>
      </c>
      <c r="D372" s="132" t="s">
        <v>1669</v>
      </c>
      <c r="E372" s="132" t="s">
        <v>1684</v>
      </c>
      <c r="H372" s="132">
        <v>0</v>
      </c>
    </row>
    <row r="373" spans="1:8" ht="15.75" customHeight="1">
      <c r="A373" s="374">
        <v>45833.6253125</v>
      </c>
      <c r="B373" s="374">
        <v>45833.6253125</v>
      </c>
      <c r="C373" s="132" t="s">
        <v>1410</v>
      </c>
      <c r="D373" s="132" t="s">
        <v>1669</v>
      </c>
      <c r="E373" s="132" t="s">
        <v>1685</v>
      </c>
      <c r="H373" s="132">
        <v>0</v>
      </c>
    </row>
    <row r="374" spans="1:8" ht="15.75" customHeight="1">
      <c r="A374" s="374">
        <v>45833.625810185185</v>
      </c>
      <c r="B374" s="374">
        <v>45833.625810185185</v>
      </c>
      <c r="C374" s="132" t="s">
        <v>1410</v>
      </c>
      <c r="D374" s="132" t="s">
        <v>1669</v>
      </c>
      <c r="E374" s="132" t="s">
        <v>1686</v>
      </c>
      <c r="F374" s="132" t="s">
        <v>1683</v>
      </c>
      <c r="G374" s="132"/>
      <c r="H374" s="132">
        <v>0</v>
      </c>
    </row>
    <row r="375" spans="1:8" ht="15.75" customHeight="1">
      <c r="A375" s="374">
        <v>45833.625879629632</v>
      </c>
      <c r="B375" s="374">
        <v>45833.625879629632</v>
      </c>
      <c r="C375" s="132" t="s">
        <v>1410</v>
      </c>
      <c r="D375" s="132" t="s">
        <v>1669</v>
      </c>
      <c r="E375" s="132" t="s">
        <v>1686</v>
      </c>
      <c r="F375" s="132" t="s">
        <v>1591</v>
      </c>
      <c r="G375" s="132" t="s">
        <v>25</v>
      </c>
      <c r="H375" s="132">
        <v>0</v>
      </c>
    </row>
    <row r="376" spans="1:8" ht="15.75" customHeight="1">
      <c r="A376" s="374">
        <v>45833.62641203704</v>
      </c>
      <c r="B376" s="374">
        <v>45833.62641203704</v>
      </c>
      <c r="C376" s="132" t="s">
        <v>1410</v>
      </c>
      <c r="D376" s="132" t="s">
        <v>1669</v>
      </c>
      <c r="E376" s="132" t="s">
        <v>1687</v>
      </c>
      <c r="G376" s="132" t="s">
        <v>209</v>
      </c>
      <c r="H376" s="132">
        <v>0</v>
      </c>
    </row>
    <row r="377" spans="1:8" ht="15.75" customHeight="1">
      <c r="A377" s="374">
        <v>45833.626909722225</v>
      </c>
      <c r="B377" s="374">
        <v>45833.626909722225</v>
      </c>
      <c r="C377" s="132" t="s">
        <v>1410</v>
      </c>
      <c r="D377" s="132" t="s">
        <v>1669</v>
      </c>
      <c r="E377" s="132" t="s">
        <v>1688</v>
      </c>
      <c r="H377" s="132">
        <v>0</v>
      </c>
    </row>
    <row r="378" spans="1:8" ht="15.75" customHeight="1">
      <c r="A378" s="374">
        <v>45833.627152777779</v>
      </c>
      <c r="B378" s="374">
        <v>45833.627152777779</v>
      </c>
      <c r="C378" s="132" t="s">
        <v>1410</v>
      </c>
      <c r="D378" s="132" t="s">
        <v>1669</v>
      </c>
      <c r="E378" s="132" t="s">
        <v>1689</v>
      </c>
      <c r="G378" s="132" t="s">
        <v>25</v>
      </c>
      <c r="H378" s="132">
        <v>0</v>
      </c>
    </row>
    <row r="379" spans="1:8" ht="15.75" customHeight="1">
      <c r="A379" s="374">
        <v>45833.627511574072</v>
      </c>
      <c r="B379" s="374">
        <v>45833.627511574072</v>
      </c>
      <c r="C379" s="132" t="s">
        <v>1410</v>
      </c>
      <c r="D379" s="132" t="s">
        <v>1669</v>
      </c>
      <c r="E379" s="132" t="s">
        <v>1673</v>
      </c>
      <c r="F379" s="132" t="s">
        <v>108</v>
      </c>
      <c r="G379" s="132" t="s">
        <v>195</v>
      </c>
      <c r="H379" s="132">
        <v>0</v>
      </c>
    </row>
    <row r="380" spans="1:8" ht="15.75" customHeight="1">
      <c r="A380" s="374">
        <v>45833.627581018518</v>
      </c>
      <c r="B380" s="374">
        <v>45833.627581018518</v>
      </c>
      <c r="C380" s="132" t="s">
        <v>1410</v>
      </c>
      <c r="D380" s="132" t="s">
        <v>1669</v>
      </c>
      <c r="E380" s="132" t="s">
        <v>1690</v>
      </c>
      <c r="F380" s="132" t="s">
        <v>209</v>
      </c>
      <c r="G380" s="132" t="s">
        <v>153</v>
      </c>
      <c r="H380" s="132">
        <v>0</v>
      </c>
    </row>
    <row r="381" spans="1:8" ht="15.75" customHeight="1">
      <c r="A381" s="374">
        <v>45833.627604166664</v>
      </c>
      <c r="B381" s="374">
        <v>45833.627604166664</v>
      </c>
      <c r="C381" s="132" t="s">
        <v>1410</v>
      </c>
      <c r="D381" s="132" t="s">
        <v>1669</v>
      </c>
      <c r="E381" s="132" t="s">
        <v>1691</v>
      </c>
      <c r="F381" s="132" t="s">
        <v>113</v>
      </c>
      <c r="G381" s="132" t="s">
        <v>154</v>
      </c>
      <c r="H381" s="132">
        <v>0</v>
      </c>
    </row>
    <row r="382" spans="1:8" ht="15.75" customHeight="1">
      <c r="A382" s="374">
        <v>45833.627812500003</v>
      </c>
      <c r="B382" s="374">
        <v>45833.627812500003</v>
      </c>
      <c r="C382" s="132" t="s">
        <v>1410</v>
      </c>
      <c r="D382" s="132" t="s">
        <v>1669</v>
      </c>
      <c r="E382" s="132" t="s">
        <v>1692</v>
      </c>
      <c r="G382" s="132" t="s">
        <v>113</v>
      </c>
      <c r="H382" s="132">
        <v>0</v>
      </c>
    </row>
    <row r="383" spans="1:8" ht="15.75" customHeight="1">
      <c r="A383" s="374">
        <v>45833.627962962964</v>
      </c>
      <c r="B383" s="374">
        <v>45833.627962962964</v>
      </c>
      <c r="C383" s="132" t="s">
        <v>1410</v>
      </c>
      <c r="D383" s="132" t="s">
        <v>1669</v>
      </c>
      <c r="E383" s="132" t="s">
        <v>1666</v>
      </c>
      <c r="F383" s="132" t="s">
        <v>113</v>
      </c>
      <c r="H383" s="132">
        <v>0</v>
      </c>
    </row>
    <row r="384" spans="1:8" ht="15.75" customHeight="1">
      <c r="A384" s="374">
        <v>45833.628020833334</v>
      </c>
      <c r="B384" s="374">
        <v>45833.628020833334</v>
      </c>
      <c r="C384" s="132" t="s">
        <v>1410</v>
      </c>
      <c r="D384" s="132" t="s">
        <v>1669</v>
      </c>
      <c r="E384" s="132" t="s">
        <v>1693</v>
      </c>
      <c r="H384" s="132">
        <v>0</v>
      </c>
    </row>
    <row r="385" spans="1:8" ht="15.75" customHeight="1">
      <c r="A385" s="374">
        <v>45833.628576388888</v>
      </c>
      <c r="B385" s="374">
        <v>45833.628576388888</v>
      </c>
      <c r="C385" s="132" t="s">
        <v>1410</v>
      </c>
      <c r="D385" s="132" t="s">
        <v>1669</v>
      </c>
      <c r="E385" s="132" t="s">
        <v>1666</v>
      </c>
      <c r="H385" s="132">
        <v>0</v>
      </c>
    </row>
    <row r="386" spans="1:8" ht="15.75" customHeight="1">
      <c r="A386" s="374">
        <v>45833.628611111111</v>
      </c>
      <c r="B386" s="374">
        <v>45833.628611111111</v>
      </c>
      <c r="C386" s="132" t="s">
        <v>1410</v>
      </c>
      <c r="D386" s="132" t="s">
        <v>1669</v>
      </c>
      <c r="E386" s="132" t="s">
        <v>1694</v>
      </c>
      <c r="G386" s="132" t="s">
        <v>113</v>
      </c>
      <c r="H386" s="132">
        <v>0</v>
      </c>
    </row>
    <row r="387" spans="1:8" ht="15.75" customHeight="1">
      <c r="A387" s="374">
        <v>45833.628657407404</v>
      </c>
      <c r="B387" s="374">
        <v>45833.628657407404</v>
      </c>
      <c r="C387" s="132" t="s">
        <v>1410</v>
      </c>
      <c r="D387" s="132" t="s">
        <v>1669</v>
      </c>
      <c r="E387" s="132" t="s">
        <v>1695</v>
      </c>
      <c r="H387" s="132">
        <v>0</v>
      </c>
    </row>
    <row r="388" spans="1:8" ht="15.75" customHeight="1">
      <c r="A388" s="374">
        <v>45833.628900462965</v>
      </c>
      <c r="B388" s="374">
        <v>45833.628900462965</v>
      </c>
      <c r="C388" s="132" t="s">
        <v>1410</v>
      </c>
      <c r="D388" s="132" t="s">
        <v>1669</v>
      </c>
      <c r="E388" s="132" t="s">
        <v>1696</v>
      </c>
      <c r="G388" s="132" t="s">
        <v>1697</v>
      </c>
      <c r="H388" s="132">
        <v>0</v>
      </c>
    </row>
    <row r="389" spans="1:8" ht="15.75" customHeight="1">
      <c r="A389" s="374">
        <v>45833.629305555558</v>
      </c>
      <c r="B389" s="374">
        <v>45833.629305555558</v>
      </c>
      <c r="C389" s="132" t="s">
        <v>1410</v>
      </c>
      <c r="D389" s="132" t="s">
        <v>1669</v>
      </c>
      <c r="E389" s="132" t="s">
        <v>1698</v>
      </c>
      <c r="H389" s="132">
        <v>0</v>
      </c>
    </row>
    <row r="390" spans="1:8" ht="15.75" customHeight="1">
      <c r="A390" s="374">
        <v>45833.629502314812</v>
      </c>
      <c r="B390" s="374">
        <v>45833.629502314812</v>
      </c>
      <c r="C390" s="132" t="s">
        <v>1410</v>
      </c>
      <c r="D390" s="132" t="s">
        <v>1669</v>
      </c>
      <c r="E390" s="132" t="s">
        <v>1699</v>
      </c>
      <c r="H390" s="132">
        <v>0</v>
      </c>
    </row>
    <row r="391" spans="1:8" ht="15.75" customHeight="1">
      <c r="A391" s="374">
        <v>45833.629618055558</v>
      </c>
      <c r="B391" s="374">
        <v>45833.629618055558</v>
      </c>
      <c r="C391" s="132" t="s">
        <v>1410</v>
      </c>
      <c r="D391" s="132" t="s">
        <v>1669</v>
      </c>
      <c r="E391" s="132" t="s">
        <v>1700</v>
      </c>
      <c r="H391" s="132">
        <v>0</v>
      </c>
    </row>
    <row r="392" spans="1:8" ht="15.75" customHeight="1">
      <c r="A392" s="374">
        <v>45833.629803240743</v>
      </c>
      <c r="B392" s="374">
        <v>45833.629803240743</v>
      </c>
      <c r="C392" s="132" t="s">
        <v>1410</v>
      </c>
      <c r="D392" s="132" t="s">
        <v>1669</v>
      </c>
      <c r="E392" s="132" t="s">
        <v>1701</v>
      </c>
      <c r="H392" s="132">
        <v>0</v>
      </c>
    </row>
    <row r="393" spans="1:8" ht="15.75" customHeight="1">
      <c r="A393" s="374">
        <v>45833.629837962966</v>
      </c>
      <c r="B393" s="374">
        <v>45833.629837962966</v>
      </c>
      <c r="C393" s="132" t="s">
        <v>1410</v>
      </c>
      <c r="D393" s="132" t="s">
        <v>1669</v>
      </c>
      <c r="E393" s="132" t="s">
        <v>1702</v>
      </c>
      <c r="H393" s="132">
        <v>0</v>
      </c>
    </row>
    <row r="394" spans="1:8" ht="15.75" customHeight="1">
      <c r="A394" s="374">
        <v>45833.629884259259</v>
      </c>
      <c r="B394" s="374">
        <v>45833.629884259259</v>
      </c>
      <c r="C394" s="132" t="s">
        <v>1410</v>
      </c>
      <c r="D394" s="132" t="s">
        <v>1669</v>
      </c>
      <c r="E394" s="132" t="s">
        <v>1703</v>
      </c>
      <c r="H394" s="132">
        <v>0</v>
      </c>
    </row>
    <row r="395" spans="1:8" ht="15.75" customHeight="1">
      <c r="A395" s="374">
        <v>45833.629953703705</v>
      </c>
      <c r="B395" s="374">
        <v>45833.629953703705</v>
      </c>
      <c r="C395" s="132" t="s">
        <v>1410</v>
      </c>
      <c r="D395" s="132" t="s">
        <v>1669</v>
      </c>
      <c r="E395" s="132" t="s">
        <v>1704</v>
      </c>
      <c r="H395" s="132">
        <v>0</v>
      </c>
    </row>
    <row r="396" spans="1:8" ht="15.75" customHeight="1">
      <c r="A396" s="374">
        <v>45833.63008101852</v>
      </c>
      <c r="B396" s="374">
        <v>45833.63008101852</v>
      </c>
      <c r="C396" s="132" t="s">
        <v>1410</v>
      </c>
      <c r="D396" s="132" t="s">
        <v>1669</v>
      </c>
      <c r="E396" s="132" t="s">
        <v>1705</v>
      </c>
      <c r="H396" s="132">
        <v>0</v>
      </c>
    </row>
    <row r="397" spans="1:8" ht="15.75" customHeight="1">
      <c r="A397" s="374">
        <v>45833.635393518518</v>
      </c>
      <c r="B397" s="374">
        <v>45833.635393518518</v>
      </c>
      <c r="C397" s="132" t="s">
        <v>1410</v>
      </c>
      <c r="D397" s="132" t="s">
        <v>1669</v>
      </c>
      <c r="E397" s="132" t="s">
        <v>1706</v>
      </c>
      <c r="G397" s="132" t="s">
        <v>159</v>
      </c>
      <c r="H397" s="132">
        <v>0</v>
      </c>
    </row>
    <row r="398" spans="1:8" ht="15.75" customHeight="1">
      <c r="A398" s="374">
        <v>45833.635428240741</v>
      </c>
      <c r="B398" s="374">
        <v>45833.635428240741</v>
      </c>
      <c r="C398" s="132" t="s">
        <v>1410</v>
      </c>
      <c r="D398" s="132" t="s">
        <v>1669</v>
      </c>
      <c r="E398" s="132" t="s">
        <v>1707</v>
      </c>
      <c r="G398" s="132" t="s">
        <v>157</v>
      </c>
      <c r="H398" s="132">
        <v>0</v>
      </c>
    </row>
    <row r="399" spans="1:8" ht="15.75" customHeight="1">
      <c r="A399" s="374">
        <v>45833.635439814818</v>
      </c>
      <c r="B399" s="374">
        <v>45833.635439814818</v>
      </c>
      <c r="C399" s="132" t="s">
        <v>1410</v>
      </c>
      <c r="D399" s="132" t="s">
        <v>1669</v>
      </c>
      <c r="E399" s="132" t="s">
        <v>1708</v>
      </c>
      <c r="G399" s="132" t="s">
        <v>159</v>
      </c>
      <c r="H399" s="132">
        <v>0</v>
      </c>
    </row>
    <row r="400" spans="1:8" ht="15.75" customHeight="1">
      <c r="A400" s="374">
        <v>45833.635474537034</v>
      </c>
      <c r="B400" s="374">
        <v>45833.635474537034</v>
      </c>
      <c r="C400" s="132" t="s">
        <v>1410</v>
      </c>
      <c r="D400" s="132" t="s">
        <v>1669</v>
      </c>
      <c r="E400" s="132" t="s">
        <v>1709</v>
      </c>
      <c r="G400" s="132" t="s">
        <v>157</v>
      </c>
      <c r="H400" s="132">
        <v>0</v>
      </c>
    </row>
    <row r="401" spans="1:8" ht="15.75" customHeight="1">
      <c r="A401" s="374">
        <v>45833.635509259257</v>
      </c>
      <c r="B401" s="374">
        <v>45833.635509259257</v>
      </c>
      <c r="C401" s="132" t="s">
        <v>1410</v>
      </c>
      <c r="D401" s="132" t="s">
        <v>1669</v>
      </c>
      <c r="E401" s="132" t="s">
        <v>1710</v>
      </c>
      <c r="G401" s="132" t="s">
        <v>159</v>
      </c>
      <c r="H401" s="132">
        <v>0</v>
      </c>
    </row>
    <row r="402" spans="1:8" ht="15.75" customHeight="1">
      <c r="A402" s="374">
        <v>45833.635555555556</v>
      </c>
      <c r="B402" s="374">
        <v>45833.635555555556</v>
      </c>
      <c r="C402" s="132" t="s">
        <v>1410</v>
      </c>
      <c r="D402" s="132" t="s">
        <v>1669</v>
      </c>
      <c r="E402" s="132" t="s">
        <v>1711</v>
      </c>
      <c r="G402" s="132" t="s">
        <v>159</v>
      </c>
      <c r="H402" s="132">
        <v>0</v>
      </c>
    </row>
    <row r="403" spans="1:8" ht="15.75" customHeight="1">
      <c r="A403" s="374">
        <v>45833.63559027778</v>
      </c>
      <c r="B403" s="374">
        <v>45833.63559027778</v>
      </c>
      <c r="C403" s="132" t="s">
        <v>1410</v>
      </c>
      <c r="D403" s="132" t="s">
        <v>1669</v>
      </c>
      <c r="E403" s="132" t="s">
        <v>1712</v>
      </c>
      <c r="G403" s="132" t="s">
        <v>159</v>
      </c>
      <c r="H403" s="132">
        <v>0</v>
      </c>
    </row>
    <row r="404" spans="1:8" ht="15.75" customHeight="1">
      <c r="A404" s="374">
        <v>45833.635636574072</v>
      </c>
      <c r="B404" s="374">
        <v>45833.635636574072</v>
      </c>
      <c r="C404" s="132" t="s">
        <v>1410</v>
      </c>
      <c r="D404" s="132" t="s">
        <v>1669</v>
      </c>
      <c r="E404" s="132" t="s">
        <v>1713</v>
      </c>
      <c r="G404" s="132" t="s">
        <v>159</v>
      </c>
      <c r="H404" s="132">
        <v>0</v>
      </c>
    </row>
    <row r="405" spans="1:8" ht="15.75" customHeight="1">
      <c r="A405" s="374">
        <v>45833.635648148149</v>
      </c>
      <c r="B405" s="374">
        <v>45833.635648148149</v>
      </c>
      <c r="C405" s="132" t="s">
        <v>1410</v>
      </c>
      <c r="D405" s="132" t="s">
        <v>1669</v>
      </c>
      <c r="E405" s="132" t="s">
        <v>1714</v>
      </c>
      <c r="G405" s="132" t="s">
        <v>159</v>
      </c>
      <c r="H405" s="132">
        <v>0</v>
      </c>
    </row>
    <row r="406" spans="1:8" ht="15.75" customHeight="1">
      <c r="A406" s="374">
        <v>45833.635682870372</v>
      </c>
      <c r="B406" s="374">
        <v>45833.635682870372</v>
      </c>
      <c r="C406" s="132" t="s">
        <v>1410</v>
      </c>
      <c r="D406" s="132" t="s">
        <v>1669</v>
      </c>
      <c r="E406" s="132" t="s">
        <v>1715</v>
      </c>
      <c r="G406" s="132" t="s">
        <v>159</v>
      </c>
      <c r="H406" s="132">
        <v>0</v>
      </c>
    </row>
    <row r="407" spans="1:8" ht="15.75" customHeight="1">
      <c r="A407" s="374">
        <v>45833.635717592595</v>
      </c>
      <c r="B407" s="374">
        <v>45833.635717592595</v>
      </c>
      <c r="C407" s="132" t="s">
        <v>1410</v>
      </c>
      <c r="D407" s="132" t="s">
        <v>1669</v>
      </c>
      <c r="E407" s="132" t="s">
        <v>1716</v>
      </c>
      <c r="G407" s="132" t="s">
        <v>159</v>
      </c>
      <c r="H407" s="132">
        <v>0</v>
      </c>
    </row>
    <row r="408" spans="1:8" ht="15.75" customHeight="1">
      <c r="A408" s="374">
        <v>45833.635798611111</v>
      </c>
      <c r="B408" s="374">
        <v>45833.635798611111</v>
      </c>
      <c r="C408" s="132" t="s">
        <v>1410</v>
      </c>
      <c r="D408" s="132" t="s">
        <v>1669</v>
      </c>
      <c r="E408" s="132" t="s">
        <v>1717</v>
      </c>
      <c r="G408" s="132" t="s">
        <v>168</v>
      </c>
      <c r="H408" s="132">
        <v>0</v>
      </c>
    </row>
    <row r="409" spans="1:8" ht="15.75" customHeight="1">
      <c r="A409" s="374">
        <v>45833.635833333334</v>
      </c>
      <c r="B409" s="374">
        <v>45833.635833333334</v>
      </c>
      <c r="C409" s="132" t="s">
        <v>1410</v>
      </c>
      <c r="D409" s="132" t="s">
        <v>1669</v>
      </c>
      <c r="E409" s="132" t="s">
        <v>1718</v>
      </c>
      <c r="G409" s="132" t="s">
        <v>166</v>
      </c>
      <c r="H409" s="132">
        <v>0</v>
      </c>
    </row>
    <row r="410" spans="1:8" ht="15.75" customHeight="1">
      <c r="A410" s="374">
        <v>45833.635844907411</v>
      </c>
      <c r="B410" s="374">
        <v>45833.635844907411</v>
      </c>
      <c r="C410" s="132" t="s">
        <v>1410</v>
      </c>
      <c r="D410" s="132" t="s">
        <v>1669</v>
      </c>
      <c r="E410" s="132" t="s">
        <v>1719</v>
      </c>
      <c r="G410" s="132" t="s">
        <v>168</v>
      </c>
      <c r="H410" s="132">
        <v>0</v>
      </c>
    </row>
    <row r="411" spans="1:8" ht="15.75" customHeight="1">
      <c r="A411" s="374">
        <v>45833.63585648148</v>
      </c>
      <c r="B411" s="374">
        <v>45833.63585648148</v>
      </c>
      <c r="C411" s="132" t="s">
        <v>1410</v>
      </c>
      <c r="D411" s="132" t="s">
        <v>1669</v>
      </c>
      <c r="E411" s="132" t="s">
        <v>1720</v>
      </c>
      <c r="G411" s="132" t="s">
        <v>167</v>
      </c>
      <c r="H411" s="132">
        <v>0</v>
      </c>
    </row>
    <row r="412" spans="1:8" ht="15.75" customHeight="1">
      <c r="A412" s="374">
        <v>45833.635925925926</v>
      </c>
      <c r="B412" s="374">
        <v>45833.635925925926</v>
      </c>
      <c r="C412" s="132" t="s">
        <v>1410</v>
      </c>
      <c r="D412" s="132" t="s">
        <v>1669</v>
      </c>
      <c r="E412" s="132" t="s">
        <v>1721</v>
      </c>
      <c r="G412" s="132" t="s">
        <v>168</v>
      </c>
      <c r="H412" s="132">
        <v>0</v>
      </c>
    </row>
    <row r="413" spans="1:8" ht="15.75" customHeight="1">
      <c r="A413" s="374">
        <v>45833.636608796296</v>
      </c>
      <c r="B413" s="374">
        <v>45833.636608796296</v>
      </c>
      <c r="C413" s="132" t="s">
        <v>1410</v>
      </c>
      <c r="D413" s="132" t="s">
        <v>1669</v>
      </c>
      <c r="E413" s="132" t="s">
        <v>1722</v>
      </c>
      <c r="H413" s="132">
        <v>0</v>
      </c>
    </row>
    <row r="414" spans="1:8" ht="15.75" customHeight="1">
      <c r="A414" s="374">
        <v>45833.636736111112</v>
      </c>
      <c r="B414" s="374">
        <v>45833.636736111112</v>
      </c>
      <c r="C414" s="132" t="s">
        <v>1410</v>
      </c>
      <c r="D414" s="132" t="s">
        <v>1669</v>
      </c>
      <c r="E414" s="132" t="s">
        <v>1723</v>
      </c>
      <c r="F414" s="132" t="s">
        <v>1654</v>
      </c>
      <c r="G414" s="132" t="s">
        <v>201</v>
      </c>
      <c r="H414" s="132">
        <v>0</v>
      </c>
    </row>
    <row r="415" spans="1:8" ht="15.75" customHeight="1">
      <c r="A415" s="374">
        <v>45833.637523148151</v>
      </c>
      <c r="B415" s="374">
        <v>45833.637523148151</v>
      </c>
      <c r="C415" s="132" t="s">
        <v>1410</v>
      </c>
      <c r="D415" s="132" t="s">
        <v>1669</v>
      </c>
      <c r="E415" s="132" t="s">
        <v>1724</v>
      </c>
      <c r="H415" s="132">
        <v>0</v>
      </c>
    </row>
    <row r="416" spans="1:8" ht="15.75" customHeight="1">
      <c r="A416" s="374">
        <v>45833.641458333332</v>
      </c>
      <c r="B416" s="374">
        <v>45833.641458333332</v>
      </c>
      <c r="C416" s="132" t="s">
        <v>1410</v>
      </c>
      <c r="D416" s="132" t="s">
        <v>1669</v>
      </c>
      <c r="E416" s="132" t="s">
        <v>1725</v>
      </c>
      <c r="H416" s="132">
        <v>0</v>
      </c>
    </row>
    <row r="417" spans="1:8" ht="15.75" customHeight="1">
      <c r="A417" s="374">
        <v>45833.64166666667</v>
      </c>
      <c r="B417" s="374">
        <v>45833.64166666667</v>
      </c>
      <c r="C417" s="132" t="s">
        <v>1410</v>
      </c>
      <c r="D417" s="132" t="s">
        <v>1669</v>
      </c>
      <c r="E417" s="132" t="s">
        <v>1726</v>
      </c>
      <c r="G417" s="132" t="s">
        <v>202</v>
      </c>
      <c r="H417" s="132">
        <v>0</v>
      </c>
    </row>
    <row r="418" spans="1:8" ht="15.75" customHeight="1">
      <c r="A418" s="374">
        <v>45833.641747685186</v>
      </c>
      <c r="B418" s="374">
        <v>45833.641747685186</v>
      </c>
      <c r="C418" s="132" t="s">
        <v>1410</v>
      </c>
      <c r="D418" s="132" t="s">
        <v>1669</v>
      </c>
      <c r="E418" s="132" t="s">
        <v>1727</v>
      </c>
      <c r="F418" s="132" t="s">
        <v>115</v>
      </c>
      <c r="G418" s="132" t="s">
        <v>1728</v>
      </c>
      <c r="H418" s="132">
        <v>0</v>
      </c>
    </row>
    <row r="419" spans="1:8" ht="15.75" customHeight="1">
      <c r="A419" s="374">
        <v>45833.641782407409</v>
      </c>
      <c r="B419" s="374">
        <v>45833.641782407409</v>
      </c>
      <c r="C419" s="132" t="s">
        <v>1410</v>
      </c>
      <c r="D419" s="132" t="s">
        <v>1669</v>
      </c>
      <c r="E419" s="132" t="s">
        <v>1727</v>
      </c>
      <c r="F419" s="132" t="s">
        <v>1728</v>
      </c>
      <c r="G419" s="132" t="s">
        <v>115</v>
      </c>
      <c r="H419" s="132">
        <v>0</v>
      </c>
    </row>
    <row r="420" spans="1:8" ht="15.75" customHeight="1">
      <c r="A420" s="374">
        <v>45833.642650462964</v>
      </c>
      <c r="B420" s="374">
        <v>45833.642650462964</v>
      </c>
      <c r="C420" s="132" t="s">
        <v>1410</v>
      </c>
      <c r="D420" s="132" t="s">
        <v>1669</v>
      </c>
      <c r="E420" s="132" t="s">
        <v>1729</v>
      </c>
      <c r="H420" s="132">
        <v>0</v>
      </c>
    </row>
    <row r="421" spans="1:8" ht="15.75" customHeight="1">
      <c r="A421" s="374">
        <v>45833.642685185187</v>
      </c>
      <c r="B421" s="374">
        <v>45833.642685185187</v>
      </c>
      <c r="C421" s="132" t="s">
        <v>1410</v>
      </c>
      <c r="D421" s="132" t="s">
        <v>1669</v>
      </c>
      <c r="E421" s="132" t="s">
        <v>1730</v>
      </c>
      <c r="G421" s="132" t="s">
        <v>1657</v>
      </c>
      <c r="H421" s="132">
        <v>0</v>
      </c>
    </row>
    <row r="422" spans="1:8" ht="15.75" customHeight="1">
      <c r="A422" s="374">
        <v>45833.642754629633</v>
      </c>
      <c r="B422" s="374">
        <v>45833.642754629633</v>
      </c>
      <c r="C422" s="132" t="s">
        <v>1410</v>
      </c>
      <c r="D422" s="132" t="s">
        <v>1669</v>
      </c>
      <c r="E422" s="132" t="s">
        <v>1731</v>
      </c>
      <c r="F422" s="132" t="s">
        <v>1657</v>
      </c>
      <c r="G422" s="132" t="s">
        <v>1393</v>
      </c>
      <c r="H422" s="132">
        <v>0</v>
      </c>
    </row>
    <row r="423" spans="1:8" ht="15.75" customHeight="1">
      <c r="A423" s="374">
        <v>45833.642789351848</v>
      </c>
      <c r="B423" s="374">
        <v>45833.642789351848</v>
      </c>
      <c r="C423" s="132" t="s">
        <v>1410</v>
      </c>
      <c r="D423" s="132" t="s">
        <v>1669</v>
      </c>
      <c r="E423" s="132" t="s">
        <v>1732</v>
      </c>
      <c r="F423" s="132" t="s">
        <v>1657</v>
      </c>
      <c r="G423" s="132" t="s">
        <v>1733</v>
      </c>
      <c r="H423" s="132">
        <v>0</v>
      </c>
    </row>
    <row r="424" spans="1:8" ht="15.75" customHeight="1">
      <c r="A424" s="374">
        <v>45833.642835648148</v>
      </c>
      <c r="B424" s="374">
        <v>45833.642835648148</v>
      </c>
      <c r="C424" s="132" t="s">
        <v>1410</v>
      </c>
      <c r="D424" s="132" t="s">
        <v>1669</v>
      </c>
      <c r="E424" s="132" t="s">
        <v>1734</v>
      </c>
      <c r="G424" s="132" t="s">
        <v>202</v>
      </c>
      <c r="H424" s="132">
        <v>0</v>
      </c>
    </row>
    <row r="425" spans="1:8" ht="15.75" customHeight="1">
      <c r="A425" s="374">
        <v>45833.643310185187</v>
      </c>
      <c r="B425" s="374">
        <v>45833.643310185187</v>
      </c>
      <c r="C425" s="132" t="s">
        <v>1410</v>
      </c>
      <c r="D425" s="132" t="s">
        <v>1669</v>
      </c>
      <c r="E425" s="132" t="s">
        <v>1735</v>
      </c>
      <c r="F425" s="132" t="s">
        <v>115</v>
      </c>
      <c r="G425" s="132" t="s">
        <v>1736</v>
      </c>
      <c r="H425" s="132">
        <v>0</v>
      </c>
    </row>
    <row r="426" spans="1:8" ht="15.75" customHeight="1">
      <c r="A426" s="374">
        <v>45833.643506944441</v>
      </c>
      <c r="B426" s="374">
        <v>45833.643506944441</v>
      </c>
      <c r="C426" s="132" t="s">
        <v>1410</v>
      </c>
      <c r="D426" s="132" t="s">
        <v>1669</v>
      </c>
      <c r="E426" s="132" t="s">
        <v>1451</v>
      </c>
      <c r="G426" s="132" t="s">
        <v>153</v>
      </c>
      <c r="H426" s="132">
        <v>0</v>
      </c>
    </row>
    <row r="427" spans="1:8" ht="15.75" customHeight="1">
      <c r="A427" s="374">
        <v>45833.643576388888</v>
      </c>
      <c r="B427" s="374">
        <v>45833.643576388888</v>
      </c>
      <c r="C427" s="132" t="s">
        <v>1410</v>
      </c>
      <c r="D427" s="132" t="s">
        <v>1669</v>
      </c>
      <c r="E427" s="132" t="s">
        <v>1737</v>
      </c>
      <c r="G427" s="132" t="s">
        <v>115</v>
      </c>
      <c r="H427" s="132">
        <v>0</v>
      </c>
    </row>
    <row r="428" spans="1:8" ht="15.75" customHeight="1">
      <c r="A428" s="374">
        <v>45833.643935185188</v>
      </c>
      <c r="B428" s="374">
        <v>45833.643935185188</v>
      </c>
      <c r="C428" s="132" t="s">
        <v>1410</v>
      </c>
      <c r="D428" s="132" t="s">
        <v>1669</v>
      </c>
      <c r="E428" s="132" t="s">
        <v>1738</v>
      </c>
      <c r="G428" s="132" t="s">
        <v>202</v>
      </c>
      <c r="H428" s="132">
        <v>0</v>
      </c>
    </row>
    <row r="429" spans="1:8" ht="15.75" customHeight="1">
      <c r="A429" s="374">
        <v>45833.644189814811</v>
      </c>
      <c r="B429" s="374">
        <v>45833.644189814811</v>
      </c>
      <c r="C429" s="132" t="s">
        <v>1410</v>
      </c>
      <c r="D429" s="132" t="s">
        <v>1669</v>
      </c>
      <c r="E429" s="132" t="s">
        <v>1739</v>
      </c>
      <c r="G429" s="132" t="s">
        <v>202</v>
      </c>
      <c r="H429" s="132">
        <v>0</v>
      </c>
    </row>
    <row r="430" spans="1:8" ht="15.75" customHeight="1">
      <c r="A430" s="374">
        <v>45833.644224537034</v>
      </c>
      <c r="B430" s="374">
        <v>45833.644224537034</v>
      </c>
      <c r="C430" s="132" t="s">
        <v>1410</v>
      </c>
      <c r="D430" s="132" t="s">
        <v>1669</v>
      </c>
      <c r="E430" s="132" t="s">
        <v>1739</v>
      </c>
      <c r="H430" s="132">
        <v>0</v>
      </c>
    </row>
    <row r="431" spans="1:8" ht="15.75" customHeight="1">
      <c r="A431" s="374">
        <v>45833.644270833334</v>
      </c>
      <c r="B431" s="374">
        <v>45833.644270833334</v>
      </c>
      <c r="C431" s="132" t="s">
        <v>1410</v>
      </c>
      <c r="D431" s="132" t="s">
        <v>1669</v>
      </c>
      <c r="E431" s="132" t="s">
        <v>1740</v>
      </c>
      <c r="G431" s="132" t="s">
        <v>202</v>
      </c>
      <c r="H431" s="132">
        <v>0</v>
      </c>
    </row>
    <row r="432" spans="1:8" ht="15.75" customHeight="1">
      <c r="A432" s="374">
        <v>45833.644305555557</v>
      </c>
      <c r="B432" s="374">
        <v>45833.644305555557</v>
      </c>
      <c r="C432" s="132" t="s">
        <v>1410</v>
      </c>
      <c r="D432" s="132" t="s">
        <v>1669</v>
      </c>
      <c r="E432" s="132" t="s">
        <v>1451</v>
      </c>
      <c r="G432" s="132" t="s">
        <v>153</v>
      </c>
      <c r="H432" s="132">
        <v>0</v>
      </c>
    </row>
    <row r="433" spans="1:8" ht="15.75" customHeight="1">
      <c r="A433" s="374">
        <v>45833.644317129627</v>
      </c>
      <c r="B433" s="374">
        <v>45833.644317129627</v>
      </c>
      <c r="C433" s="132" t="s">
        <v>1410</v>
      </c>
      <c r="D433" s="132" t="s">
        <v>1669</v>
      </c>
      <c r="E433" s="132" t="s">
        <v>1489</v>
      </c>
      <c r="G433" s="132" t="s">
        <v>153</v>
      </c>
      <c r="H433" s="132">
        <v>0</v>
      </c>
    </row>
    <row r="434" spans="1:8" ht="15.75" customHeight="1">
      <c r="A434" s="374">
        <v>45833.644409722219</v>
      </c>
      <c r="B434" s="374">
        <v>45833.644409722219</v>
      </c>
      <c r="C434" s="132" t="s">
        <v>1410</v>
      </c>
      <c r="D434" s="132" t="s">
        <v>1669</v>
      </c>
      <c r="E434" s="132" t="s">
        <v>1741</v>
      </c>
      <c r="H434" s="132">
        <v>0</v>
      </c>
    </row>
    <row r="435" spans="1:8" ht="15.75" customHeight="1">
      <c r="A435" s="374">
        <v>45833.644444444442</v>
      </c>
      <c r="B435" s="374">
        <v>45833.644444444442</v>
      </c>
      <c r="C435" s="132" t="s">
        <v>1410</v>
      </c>
      <c r="D435" s="132" t="s">
        <v>1669</v>
      </c>
      <c r="E435" s="132" t="s">
        <v>1506</v>
      </c>
      <c r="G435" s="132" t="s">
        <v>214</v>
      </c>
      <c r="H435" s="132">
        <v>0</v>
      </c>
    </row>
    <row r="436" spans="1:8" ht="15.75" customHeight="1">
      <c r="A436" s="374">
        <v>45833.645011574074</v>
      </c>
      <c r="B436" s="374">
        <v>45833.645011574074</v>
      </c>
      <c r="C436" s="132" t="s">
        <v>1410</v>
      </c>
      <c r="D436" s="132" t="s">
        <v>1669</v>
      </c>
      <c r="E436" s="132" t="s">
        <v>1742</v>
      </c>
      <c r="H436" s="132">
        <v>0</v>
      </c>
    </row>
    <row r="437" spans="1:8" ht="15.75" customHeight="1">
      <c r="A437" s="374">
        <v>45833.645289351851</v>
      </c>
      <c r="B437" s="374">
        <v>45833.645289351851</v>
      </c>
      <c r="C437" s="132" t="s">
        <v>1410</v>
      </c>
      <c r="D437" s="132" t="s">
        <v>1743</v>
      </c>
      <c r="E437" s="132" t="s">
        <v>1744</v>
      </c>
      <c r="F437" s="132" t="b">
        <v>0</v>
      </c>
      <c r="G437" s="132" t="b">
        <v>1</v>
      </c>
      <c r="H437" s="132">
        <v>0</v>
      </c>
    </row>
    <row r="438" spans="1:8" ht="15.75" customHeight="1">
      <c r="A438" s="374">
        <v>45833.645381944443</v>
      </c>
      <c r="B438" s="374">
        <v>45833.645381944443</v>
      </c>
      <c r="C438" s="132" t="s">
        <v>1410</v>
      </c>
      <c r="D438" s="132" t="s">
        <v>1743</v>
      </c>
      <c r="E438" s="132" t="s">
        <v>1745</v>
      </c>
      <c r="F438" s="132" t="s">
        <v>1746</v>
      </c>
      <c r="G438" s="132" t="s">
        <v>1747</v>
      </c>
      <c r="H438" s="132">
        <v>0</v>
      </c>
    </row>
    <row r="439" spans="1:8" ht="15.75" customHeight="1">
      <c r="A439" s="374">
        <v>45833.645509259259</v>
      </c>
      <c r="B439" s="374">
        <v>45833.645509259259</v>
      </c>
      <c r="C439" s="132" t="s">
        <v>1410</v>
      </c>
      <c r="D439" s="132" t="s">
        <v>1743</v>
      </c>
      <c r="E439" s="132" t="s">
        <v>1748</v>
      </c>
      <c r="H439" s="132">
        <v>0</v>
      </c>
    </row>
    <row r="440" spans="1:8" ht="15.75" customHeight="1">
      <c r="A440" s="374">
        <v>45833.645694444444</v>
      </c>
      <c r="B440" s="374">
        <v>45833.645694444444</v>
      </c>
      <c r="C440" s="132" t="s">
        <v>1410</v>
      </c>
      <c r="D440" s="132" t="s">
        <v>1743</v>
      </c>
      <c r="E440" s="132" t="s">
        <v>1749</v>
      </c>
      <c r="H440" s="132">
        <v>0</v>
      </c>
    </row>
    <row r="441" spans="1:8" ht="15.75" customHeight="1">
      <c r="A441" s="374">
        <v>45833.646180555559</v>
      </c>
      <c r="B441" s="374">
        <v>45833.646180555559</v>
      </c>
      <c r="C441" s="132" t="s">
        <v>1410</v>
      </c>
      <c r="D441" s="132" t="s">
        <v>1743</v>
      </c>
      <c r="E441" s="132" t="s">
        <v>1750</v>
      </c>
      <c r="G441" s="132" t="e">
        <v>#REF!</v>
      </c>
      <c r="H441" s="132">
        <v>0</v>
      </c>
    </row>
    <row r="442" spans="1:8" ht="15.75" customHeight="1">
      <c r="A442" s="374">
        <v>45833.646898148145</v>
      </c>
      <c r="B442" s="374">
        <v>45833.646898148145</v>
      </c>
      <c r="C442" s="132" t="s">
        <v>1410</v>
      </c>
      <c r="D442" s="132" t="s">
        <v>1743</v>
      </c>
      <c r="E442" s="132" t="s">
        <v>1744</v>
      </c>
      <c r="F442" s="132" t="s">
        <v>1751</v>
      </c>
      <c r="G442" s="132" t="s">
        <v>1752</v>
      </c>
      <c r="H442" s="132">
        <v>0</v>
      </c>
    </row>
    <row r="443" spans="1:8" ht="15.75" customHeight="1">
      <c r="A443" s="374">
        <v>45833.646967592591</v>
      </c>
      <c r="B443" s="374">
        <v>45833.646967592591</v>
      </c>
      <c r="C443" s="132" t="s">
        <v>1410</v>
      </c>
      <c r="D443" s="132" t="s">
        <v>1743</v>
      </c>
      <c r="E443" s="132" t="s">
        <v>1753</v>
      </c>
      <c r="H443" s="132">
        <v>0</v>
      </c>
    </row>
    <row r="444" spans="1:8" ht="15.75" customHeight="1">
      <c r="A444" s="374">
        <v>45833.647268518522</v>
      </c>
      <c r="B444" s="374">
        <v>45833.647268518522</v>
      </c>
      <c r="C444" s="132" t="s">
        <v>1410</v>
      </c>
      <c r="D444" s="132" t="s">
        <v>1743</v>
      </c>
      <c r="E444" s="132" t="s">
        <v>1754</v>
      </c>
      <c r="H444" s="132">
        <v>0</v>
      </c>
    </row>
    <row r="445" spans="1:8" ht="15.75" customHeight="1">
      <c r="A445" s="374">
        <v>45833.647650462961</v>
      </c>
      <c r="B445" s="374">
        <v>45833.647650462961</v>
      </c>
      <c r="C445" s="132" t="s">
        <v>1410</v>
      </c>
      <c r="D445" s="132" t="s">
        <v>1743</v>
      </c>
      <c r="E445" s="132" t="s">
        <v>1755</v>
      </c>
      <c r="F445" s="132" t="s">
        <v>100</v>
      </c>
      <c r="G445" s="132" t="s">
        <v>1756</v>
      </c>
      <c r="H445" s="132">
        <v>0</v>
      </c>
    </row>
    <row r="446" spans="1:8" ht="15.75" customHeight="1">
      <c r="A446" s="374">
        <v>45833.647719907407</v>
      </c>
      <c r="B446" s="374">
        <v>45833.647719907407</v>
      </c>
      <c r="C446" s="132" t="s">
        <v>1410</v>
      </c>
      <c r="D446" s="132" t="s">
        <v>1743</v>
      </c>
      <c r="E446" s="132" t="s">
        <v>1757</v>
      </c>
      <c r="G446" s="132" t="s">
        <v>1756</v>
      </c>
      <c r="H446" s="132">
        <v>0</v>
      </c>
    </row>
    <row r="447" spans="1:8" ht="15.75" customHeight="1">
      <c r="A447" s="374">
        <v>45833.647835648146</v>
      </c>
      <c r="B447" s="374">
        <v>45833.647835648146</v>
      </c>
      <c r="C447" s="132" t="s">
        <v>1410</v>
      </c>
      <c r="D447" s="132" t="s">
        <v>1743</v>
      </c>
      <c r="E447" s="132" t="s">
        <v>1757</v>
      </c>
      <c r="F447" s="132" t="s">
        <v>1756</v>
      </c>
      <c r="G447" s="132" t="s">
        <v>1758</v>
      </c>
      <c r="H447" s="132">
        <v>0</v>
      </c>
    </row>
    <row r="448" spans="1:8" ht="15.75" customHeight="1">
      <c r="A448" s="374">
        <v>45833.647881944446</v>
      </c>
      <c r="B448" s="374">
        <v>45833.647881944446</v>
      </c>
      <c r="C448" s="132" t="s">
        <v>1410</v>
      </c>
      <c r="D448" s="132" t="s">
        <v>1743</v>
      </c>
      <c r="E448" s="132" t="s">
        <v>1755</v>
      </c>
      <c r="F448" s="132" t="s">
        <v>1756</v>
      </c>
      <c r="G448" s="132" t="s">
        <v>1759</v>
      </c>
      <c r="H448" s="132">
        <v>0</v>
      </c>
    </row>
    <row r="449" spans="1:8" ht="15.75" customHeight="1">
      <c r="A449" s="374">
        <v>45833.648541666669</v>
      </c>
      <c r="B449" s="374">
        <v>45833.648541666669</v>
      </c>
      <c r="C449" s="132" t="s">
        <v>1410</v>
      </c>
      <c r="D449" s="132" t="s">
        <v>1743</v>
      </c>
      <c r="E449" s="132" t="s">
        <v>1760</v>
      </c>
      <c r="F449" s="132" t="s">
        <v>8</v>
      </c>
      <c r="G449" s="132" t="s">
        <v>1761</v>
      </c>
      <c r="H449" s="132">
        <v>0</v>
      </c>
    </row>
    <row r="450" spans="1:8" ht="15.75" customHeight="1">
      <c r="A450" s="374">
        <v>45833.648587962962</v>
      </c>
      <c r="B450" s="374">
        <v>45833.648587962962</v>
      </c>
      <c r="C450" s="132" t="s">
        <v>1410</v>
      </c>
      <c r="D450" s="132" t="s">
        <v>1743</v>
      </c>
      <c r="E450" s="132" t="s">
        <v>1760</v>
      </c>
      <c r="F450" s="132" t="s">
        <v>1761</v>
      </c>
      <c r="G450" s="132" t="s">
        <v>1762</v>
      </c>
      <c r="H450" s="132">
        <v>0</v>
      </c>
    </row>
    <row r="451" spans="1:8" ht="15.75" customHeight="1">
      <c r="A451" s="374">
        <v>45833.65053240741</v>
      </c>
      <c r="B451" s="374">
        <v>45833.65053240741</v>
      </c>
      <c r="C451" s="132" t="s">
        <v>1410</v>
      </c>
      <c r="D451" s="132" t="s">
        <v>1743</v>
      </c>
      <c r="E451" s="132" t="s">
        <v>1763</v>
      </c>
      <c r="G451" s="132" t="s">
        <v>1764</v>
      </c>
      <c r="H451" s="132">
        <v>0</v>
      </c>
    </row>
    <row r="452" spans="1:8" ht="15.75" customHeight="1">
      <c r="A452" s="374">
        <v>45833.65079861111</v>
      </c>
      <c r="B452" s="374">
        <v>45833.65079861111</v>
      </c>
      <c r="C452" s="132" t="s">
        <v>1410</v>
      </c>
      <c r="D452" s="132" t="s">
        <v>1743</v>
      </c>
      <c r="E452" s="132" t="s">
        <v>1765</v>
      </c>
      <c r="F452" s="132" t="s">
        <v>1764</v>
      </c>
      <c r="G452" s="132" t="s">
        <v>215</v>
      </c>
      <c r="H452" s="132">
        <v>0</v>
      </c>
    </row>
    <row r="453" spans="1:8" ht="15.75" customHeight="1">
      <c r="A453" s="374">
        <v>45833.650949074072</v>
      </c>
      <c r="B453" s="374">
        <v>45833.650949074072</v>
      </c>
      <c r="C453" s="132" t="s">
        <v>1410</v>
      </c>
      <c r="D453" s="132" t="s">
        <v>1743</v>
      </c>
      <c r="E453" s="132" t="s">
        <v>1766</v>
      </c>
      <c r="G453" s="132" t="s">
        <v>215</v>
      </c>
      <c r="H453" s="132">
        <v>0</v>
      </c>
    </row>
    <row r="454" spans="1:8" ht="15.75" customHeight="1">
      <c r="A454" s="374">
        <v>45833.651076388887</v>
      </c>
      <c r="B454" s="374">
        <v>45833.651076388887</v>
      </c>
      <c r="C454" s="132" t="s">
        <v>1410</v>
      </c>
      <c r="D454" s="132" t="s">
        <v>1743</v>
      </c>
      <c r="E454" s="132" t="s">
        <v>1766</v>
      </c>
      <c r="H454" s="132">
        <v>0</v>
      </c>
    </row>
    <row r="455" spans="1:8" ht="15.75" customHeight="1">
      <c r="A455" s="374">
        <v>45833.651504629626</v>
      </c>
      <c r="B455" s="374">
        <v>45833.651504629626</v>
      </c>
      <c r="C455" s="132" t="s">
        <v>1410</v>
      </c>
      <c r="D455" s="132" t="s">
        <v>1743</v>
      </c>
      <c r="E455" s="132" t="s">
        <v>1767</v>
      </c>
      <c r="G455" s="132" t="s">
        <v>1768</v>
      </c>
      <c r="H455" s="132">
        <v>0</v>
      </c>
    </row>
    <row r="456" spans="1:8" ht="15.75" customHeight="1">
      <c r="A456" s="374">
        <v>45833.65152777778</v>
      </c>
      <c r="B456" s="374">
        <v>45833.65152777778</v>
      </c>
      <c r="C456" s="132" t="s">
        <v>1410</v>
      </c>
      <c r="D456" s="132" t="s">
        <v>1743</v>
      </c>
      <c r="E456" s="132" t="s">
        <v>1574</v>
      </c>
      <c r="G456" s="132" t="s">
        <v>1769</v>
      </c>
      <c r="H456" s="132">
        <v>0</v>
      </c>
    </row>
    <row r="457" spans="1:8" ht="15.75" customHeight="1">
      <c r="A457" s="374">
        <v>45833.651550925926</v>
      </c>
      <c r="B457" s="374">
        <v>45833.651550925926</v>
      </c>
      <c r="C457" s="132" t="s">
        <v>1410</v>
      </c>
      <c r="D457" s="132" t="s">
        <v>1743</v>
      </c>
      <c r="E457" s="132" t="s">
        <v>1574</v>
      </c>
      <c r="F457" s="132" t="s">
        <v>1769</v>
      </c>
      <c r="G457" s="132" t="s">
        <v>1770</v>
      </c>
      <c r="H457" s="132">
        <v>0</v>
      </c>
    </row>
    <row r="458" spans="1:8" ht="15.75" customHeight="1">
      <c r="A458" s="374">
        <v>45833.651932870373</v>
      </c>
      <c r="B458" s="374">
        <v>45833.651932870373</v>
      </c>
      <c r="C458" s="132" t="s">
        <v>1410</v>
      </c>
      <c r="D458" s="132" t="s">
        <v>1743</v>
      </c>
      <c r="E458" s="132" t="s">
        <v>1771</v>
      </c>
      <c r="H458" s="132">
        <v>0</v>
      </c>
    </row>
    <row r="459" spans="1:8" ht="15.75" customHeight="1">
      <c r="A459" s="374">
        <v>45833.652013888888</v>
      </c>
      <c r="B459" s="374">
        <v>45833.652013888888</v>
      </c>
      <c r="C459" s="132" t="s">
        <v>1410</v>
      </c>
      <c r="D459" s="132" t="s">
        <v>1743</v>
      </c>
      <c r="E459" s="132" t="s">
        <v>1772</v>
      </c>
      <c r="H459" s="132">
        <v>0</v>
      </c>
    </row>
    <row r="460" spans="1:8" ht="15.75" customHeight="1">
      <c r="A460" s="374">
        <v>45833.652048611111</v>
      </c>
      <c r="B460" s="374">
        <v>45833.652048611111</v>
      </c>
      <c r="C460" s="132" t="s">
        <v>1410</v>
      </c>
      <c r="D460" s="132" t="s">
        <v>1743</v>
      </c>
      <c r="E460" s="132" t="s">
        <v>1773</v>
      </c>
      <c r="H460" s="132">
        <v>0</v>
      </c>
    </row>
    <row r="461" spans="1:8" ht="15.75" customHeight="1">
      <c r="A461" s="374">
        <v>45833.652256944442</v>
      </c>
      <c r="B461" s="374">
        <v>45833.652256944442</v>
      </c>
      <c r="C461" s="132" t="s">
        <v>1410</v>
      </c>
      <c r="D461" s="132" t="s">
        <v>1743</v>
      </c>
      <c r="E461" s="132" t="s">
        <v>1774</v>
      </c>
      <c r="G461" s="132" t="b">
        <v>0</v>
      </c>
      <c r="H461" s="132">
        <v>0</v>
      </c>
    </row>
    <row r="462" spans="1:8" ht="15.75" customHeight="1">
      <c r="A462" s="374">
        <v>45833.652337962965</v>
      </c>
      <c r="B462" s="374">
        <v>45833.652337962965</v>
      </c>
      <c r="C462" s="132" t="s">
        <v>1410</v>
      </c>
      <c r="D462" s="132" t="s">
        <v>1743</v>
      </c>
      <c r="E462" s="132" t="s">
        <v>1775</v>
      </c>
      <c r="H462" s="132">
        <v>0</v>
      </c>
    </row>
    <row r="463" spans="1:8" ht="15.75" customHeight="1">
      <c r="A463" s="374">
        <v>45833.652662037035</v>
      </c>
      <c r="B463" s="374">
        <v>45833.652662037035</v>
      </c>
      <c r="C463" s="132" t="s">
        <v>1410</v>
      </c>
      <c r="D463" s="132" t="s">
        <v>1743</v>
      </c>
      <c r="E463" s="132" t="s">
        <v>1776</v>
      </c>
      <c r="G463" s="132" t="s">
        <v>1752</v>
      </c>
      <c r="H463" s="132">
        <v>0</v>
      </c>
    </row>
    <row r="464" spans="1:8" ht="15.75" customHeight="1">
      <c r="A464" s="374">
        <v>45833.652974537035</v>
      </c>
      <c r="B464" s="374">
        <v>45833.652974537035</v>
      </c>
      <c r="C464" s="132" t="s">
        <v>1410</v>
      </c>
      <c r="D464" s="132" t="s">
        <v>1743</v>
      </c>
      <c r="E464" s="132" t="s">
        <v>1777</v>
      </c>
      <c r="F464" s="132" t="b">
        <v>1</v>
      </c>
      <c r="G464" s="132" t="b">
        <v>0</v>
      </c>
      <c r="H464" s="132">
        <v>0</v>
      </c>
    </row>
    <row r="465" spans="1:8" ht="15.75" customHeight="1">
      <c r="A465" s="374">
        <v>45833.653136574074</v>
      </c>
      <c r="B465" s="374">
        <v>45833.653136574074</v>
      </c>
      <c r="C465" s="132" t="s">
        <v>1410</v>
      </c>
      <c r="D465" s="132" t="s">
        <v>1743</v>
      </c>
      <c r="E465" s="132" t="s">
        <v>1778</v>
      </c>
      <c r="H465" s="132">
        <v>0</v>
      </c>
    </row>
    <row r="466" spans="1:8" ht="15.75" customHeight="1">
      <c r="A466" s="374">
        <v>45833.653217592589</v>
      </c>
      <c r="B466" s="374">
        <v>45833.653217592589</v>
      </c>
      <c r="C466" s="132" t="s">
        <v>1410</v>
      </c>
      <c r="D466" s="132" t="s">
        <v>1743</v>
      </c>
      <c r="E466" s="132" t="s">
        <v>1779</v>
      </c>
      <c r="F466" s="132" t="b">
        <v>0</v>
      </c>
      <c r="G466" s="132" t="b">
        <v>1</v>
      </c>
      <c r="H466" s="132">
        <v>0</v>
      </c>
    </row>
    <row r="467" spans="1:8" ht="15.75" customHeight="1">
      <c r="A467" s="374">
        <v>45833.653240740743</v>
      </c>
      <c r="B467" s="374">
        <v>45833.653240740743</v>
      </c>
      <c r="C467" s="132" t="s">
        <v>1410</v>
      </c>
      <c r="D467" s="132" t="s">
        <v>1743</v>
      </c>
      <c r="E467" s="132" t="s">
        <v>1767</v>
      </c>
      <c r="F467" s="132" t="b">
        <v>0</v>
      </c>
      <c r="G467" s="132" t="b">
        <v>1</v>
      </c>
      <c r="H467" s="132">
        <v>0</v>
      </c>
    </row>
    <row r="468" spans="1:8" ht="15.75" customHeight="1">
      <c r="A468" s="374">
        <v>45833.65357638889</v>
      </c>
      <c r="B468" s="374">
        <v>45833.65357638889</v>
      </c>
      <c r="C468" s="132" t="s">
        <v>1410</v>
      </c>
      <c r="D468" s="132" t="s">
        <v>1743</v>
      </c>
      <c r="E468" s="132" t="s">
        <v>1780</v>
      </c>
      <c r="F468" s="132" t="s">
        <v>1781</v>
      </c>
      <c r="G468" s="132" t="s">
        <v>1782</v>
      </c>
      <c r="H468" s="132">
        <v>0</v>
      </c>
    </row>
    <row r="469" spans="1:8" ht="15.75" customHeight="1">
      <c r="A469" s="374">
        <v>45833.653726851851</v>
      </c>
      <c r="B469" s="374">
        <v>45833.653726851851</v>
      </c>
      <c r="C469" s="132" t="s">
        <v>1410</v>
      </c>
      <c r="D469" s="132" t="s">
        <v>1743</v>
      </c>
      <c r="E469" s="132" t="s">
        <v>1783</v>
      </c>
      <c r="F469" s="132" t="s">
        <v>1784</v>
      </c>
      <c r="G469" s="132" t="s">
        <v>1785</v>
      </c>
      <c r="H469" s="132">
        <v>0</v>
      </c>
    </row>
    <row r="470" spans="1:8" ht="15.75" customHeight="1">
      <c r="A470" s="374">
        <v>45833.653807870367</v>
      </c>
      <c r="B470" s="374">
        <v>45833.653807870367</v>
      </c>
      <c r="C470" s="132" t="s">
        <v>1410</v>
      </c>
      <c r="D470" s="132" t="s">
        <v>1743</v>
      </c>
      <c r="E470" s="132" t="s">
        <v>1786</v>
      </c>
      <c r="F470" s="132" t="s">
        <v>1781</v>
      </c>
      <c r="G470" s="132" t="s">
        <v>1782</v>
      </c>
      <c r="H470" s="132">
        <v>0</v>
      </c>
    </row>
    <row r="471" spans="1:8" ht="15.75" customHeight="1">
      <c r="A471" s="374">
        <v>45833.655104166668</v>
      </c>
      <c r="B471" s="374">
        <v>45833.655104166668</v>
      </c>
      <c r="C471" s="132" t="s">
        <v>1410</v>
      </c>
      <c r="D471" s="132" t="s">
        <v>1743</v>
      </c>
      <c r="E471" s="132" t="s">
        <v>1787</v>
      </c>
      <c r="H471" s="132">
        <v>0</v>
      </c>
    </row>
    <row r="472" spans="1:8" ht="15.75" customHeight="1">
      <c r="A472" s="374">
        <v>45833.655185185184</v>
      </c>
      <c r="B472" s="374">
        <v>45833.655185185184</v>
      </c>
      <c r="C472" s="132" t="s">
        <v>1410</v>
      </c>
      <c r="D472" s="132" t="s">
        <v>1743</v>
      </c>
      <c r="E472" s="132" t="s">
        <v>1788</v>
      </c>
      <c r="H472" s="132">
        <v>0</v>
      </c>
    </row>
    <row r="473" spans="1:8" ht="15.75" customHeight="1">
      <c r="A473" s="374">
        <v>45833.655381944445</v>
      </c>
      <c r="B473" s="374">
        <v>45833.655381944445</v>
      </c>
      <c r="C473" s="132" t="s">
        <v>1410</v>
      </c>
      <c r="D473" s="132" t="s">
        <v>1743</v>
      </c>
      <c r="E473" s="132" t="s">
        <v>1789</v>
      </c>
      <c r="G473" s="132" t="s">
        <v>99</v>
      </c>
      <c r="H473" s="132">
        <v>0</v>
      </c>
    </row>
    <row r="474" spans="1:8" ht="15.75" customHeight="1">
      <c r="A474" s="374">
        <v>45833.655462962961</v>
      </c>
      <c r="B474" s="374">
        <v>45833.655462962961</v>
      </c>
      <c r="C474" s="132" t="s">
        <v>1410</v>
      </c>
      <c r="D474" s="132" t="s">
        <v>1743</v>
      </c>
      <c r="E474" s="132" t="s">
        <v>1790</v>
      </c>
      <c r="H474" s="132">
        <v>0</v>
      </c>
    </row>
    <row r="475" spans="1:8" ht="15.75" customHeight="1">
      <c r="A475" s="374">
        <v>45833.655752314815</v>
      </c>
      <c r="B475" s="374">
        <v>45833.655752314815</v>
      </c>
      <c r="C475" s="132" t="s">
        <v>1410</v>
      </c>
      <c r="D475" s="132" t="s">
        <v>1743</v>
      </c>
      <c r="E475" s="132" t="s">
        <v>1791</v>
      </c>
      <c r="H475" s="132">
        <v>0</v>
      </c>
    </row>
    <row r="476" spans="1:8" ht="15.75" customHeight="1">
      <c r="A476" s="374">
        <v>45833.656805555554</v>
      </c>
      <c r="B476" s="374">
        <v>45833.656805555554</v>
      </c>
      <c r="C476" s="132" t="s">
        <v>1410</v>
      </c>
      <c r="D476" s="132" t="s">
        <v>1743</v>
      </c>
      <c r="E476" s="132" t="s">
        <v>1792</v>
      </c>
      <c r="H476" s="132">
        <v>0</v>
      </c>
    </row>
    <row r="477" spans="1:8" ht="15.75" customHeight="1">
      <c r="A477" s="374">
        <v>45833.656990740739</v>
      </c>
      <c r="B477" s="374">
        <v>45833.656990740739</v>
      </c>
      <c r="C477" s="132" t="s">
        <v>1410</v>
      </c>
      <c r="D477" s="132" t="s">
        <v>1743</v>
      </c>
      <c r="E477" s="132" t="s">
        <v>1793</v>
      </c>
      <c r="H477" s="132">
        <v>0</v>
      </c>
    </row>
    <row r="478" spans="1:8" ht="15.75" customHeight="1">
      <c r="A478" s="374">
        <v>45833.657106481478</v>
      </c>
      <c r="B478" s="374">
        <v>45833.657106481478</v>
      </c>
      <c r="C478" s="132" t="s">
        <v>1410</v>
      </c>
      <c r="D478" s="132" t="s">
        <v>1743</v>
      </c>
      <c r="E478" s="132" t="s">
        <v>1722</v>
      </c>
      <c r="G478" s="132" t="s">
        <v>1768</v>
      </c>
      <c r="H478" s="132">
        <v>0</v>
      </c>
    </row>
    <row r="479" spans="1:8" ht="15.75" customHeight="1">
      <c r="A479" s="374">
        <v>45833.657418981478</v>
      </c>
      <c r="B479" s="374">
        <v>45833.657418981478</v>
      </c>
      <c r="C479" s="132" t="s">
        <v>1410</v>
      </c>
      <c r="D479" s="132" t="s">
        <v>1743</v>
      </c>
      <c r="E479" s="132" t="s">
        <v>1794</v>
      </c>
      <c r="G479" s="375">
        <v>45751</v>
      </c>
      <c r="H479" s="132">
        <v>0</v>
      </c>
    </row>
    <row r="480" spans="1:8" ht="15.75" customHeight="1">
      <c r="A480" s="374">
        <v>45833.657569444447</v>
      </c>
      <c r="B480" s="374">
        <v>45833.657569444447</v>
      </c>
      <c r="C480" s="132" t="s">
        <v>1410</v>
      </c>
      <c r="D480" s="132" t="s">
        <v>1743</v>
      </c>
      <c r="E480" s="132" t="s">
        <v>1730</v>
      </c>
      <c r="G480" s="132" t="s">
        <v>195</v>
      </c>
      <c r="H480" s="132">
        <v>0</v>
      </c>
    </row>
    <row r="481" spans="1:8" ht="15.75" customHeight="1">
      <c r="A481" s="374">
        <v>45833.657592592594</v>
      </c>
      <c r="B481" s="374">
        <v>45833.657592592594</v>
      </c>
      <c r="C481" s="132" t="s">
        <v>1410</v>
      </c>
      <c r="D481" s="132" t="s">
        <v>1743</v>
      </c>
      <c r="E481" s="132" t="s">
        <v>1795</v>
      </c>
      <c r="H481" s="132">
        <v>0</v>
      </c>
    </row>
    <row r="482" spans="1:8" ht="15.75" customHeight="1">
      <c r="A482" s="374">
        <v>45833.65828703704</v>
      </c>
      <c r="B482" s="374">
        <v>45833.65828703704</v>
      </c>
      <c r="C482" s="132" t="s">
        <v>1410</v>
      </c>
      <c r="D482" s="132" t="s">
        <v>1743</v>
      </c>
      <c r="E482" s="132" t="s">
        <v>1796</v>
      </c>
      <c r="F482" s="132" t="s">
        <v>163</v>
      </c>
      <c r="G482" s="132" t="s">
        <v>163</v>
      </c>
      <c r="H482" s="132">
        <v>0</v>
      </c>
    </row>
    <row r="483" spans="1:8" ht="15.75" customHeight="1">
      <c r="A483" s="374">
        <v>45833.658530092594</v>
      </c>
      <c r="B483" s="374">
        <v>45833.658530092594</v>
      </c>
      <c r="C483" s="132" t="s">
        <v>1410</v>
      </c>
      <c r="D483" s="132" t="s">
        <v>1743</v>
      </c>
      <c r="E483" s="132" t="s">
        <v>1797</v>
      </c>
      <c r="H483" s="132">
        <v>0</v>
      </c>
    </row>
    <row r="484" spans="1:8" ht="15.75" customHeight="1">
      <c r="A484" s="374">
        <v>45833.658564814818</v>
      </c>
      <c r="B484" s="374">
        <v>45833.658564814818</v>
      </c>
      <c r="C484" s="132" t="s">
        <v>1410</v>
      </c>
      <c r="D484" s="132" t="s">
        <v>1743</v>
      </c>
      <c r="E484" s="132" t="s">
        <v>1798</v>
      </c>
      <c r="H484" s="132">
        <v>0</v>
      </c>
    </row>
    <row r="485" spans="1:8" ht="15.75" customHeight="1">
      <c r="A485" s="374">
        <v>45833.661423611113</v>
      </c>
      <c r="B485" s="374">
        <v>45833.661423611113</v>
      </c>
      <c r="C485" s="132" t="s">
        <v>1410</v>
      </c>
      <c r="D485" s="132" t="s">
        <v>1743</v>
      </c>
      <c r="E485" s="132" t="s">
        <v>1799</v>
      </c>
      <c r="G485" s="132" t="s">
        <v>206</v>
      </c>
      <c r="H485" s="132">
        <v>0</v>
      </c>
    </row>
    <row r="486" spans="1:8" ht="15.75" customHeight="1">
      <c r="A486" s="374">
        <v>45833.661666666667</v>
      </c>
      <c r="B486" s="374">
        <v>45833.661666666667</v>
      </c>
      <c r="C486" s="132" t="s">
        <v>1410</v>
      </c>
      <c r="D486" s="132" t="s">
        <v>1743</v>
      </c>
      <c r="E486" s="132" t="s">
        <v>1800</v>
      </c>
      <c r="G486" s="132" t="s">
        <v>113</v>
      </c>
      <c r="H486" s="132">
        <v>0</v>
      </c>
    </row>
    <row r="487" spans="1:8" ht="15.75" customHeight="1">
      <c r="A487" s="374">
        <v>45833.661805555559</v>
      </c>
      <c r="B487" s="374">
        <v>45833.661805555559</v>
      </c>
      <c r="C487" s="132" t="s">
        <v>1410</v>
      </c>
      <c r="D487" s="132" t="s">
        <v>1743</v>
      </c>
      <c r="E487" s="132" t="s">
        <v>1735</v>
      </c>
      <c r="H487" s="132">
        <v>0</v>
      </c>
    </row>
    <row r="488" spans="1:8" ht="15.75" customHeight="1">
      <c r="A488" s="374">
        <v>45833.661817129629</v>
      </c>
      <c r="B488" s="374">
        <v>45833.661817129629</v>
      </c>
      <c r="C488" s="132" t="s">
        <v>1410</v>
      </c>
      <c r="D488" s="132" t="s">
        <v>1743</v>
      </c>
      <c r="E488" s="132" t="s">
        <v>1735</v>
      </c>
      <c r="H488" s="132">
        <v>0</v>
      </c>
    </row>
    <row r="489" spans="1:8" ht="15.75" customHeight="1">
      <c r="A489" s="374">
        <v>45833.662118055552</v>
      </c>
      <c r="B489" s="374">
        <v>45833.662118055552</v>
      </c>
      <c r="C489" s="132" t="s">
        <v>1410</v>
      </c>
      <c r="D489" s="132" t="s">
        <v>1743</v>
      </c>
      <c r="E489" s="132" t="s">
        <v>1735</v>
      </c>
      <c r="G489" s="375">
        <v>45751.999988425923</v>
      </c>
      <c r="H489" s="132">
        <v>0</v>
      </c>
    </row>
    <row r="490" spans="1:8" ht="15.75" customHeight="1">
      <c r="A490" s="374">
        <v>45833.662199074075</v>
      </c>
      <c r="B490" s="374">
        <v>45833.662199074075</v>
      </c>
      <c r="C490" s="132" t="s">
        <v>1410</v>
      </c>
      <c r="D490" s="132" t="s">
        <v>1743</v>
      </c>
      <c r="E490" s="132" t="s">
        <v>1801</v>
      </c>
      <c r="H490" s="132">
        <v>0</v>
      </c>
    </row>
    <row r="491" spans="1:8" ht="15.75" customHeight="1">
      <c r="A491" s="374">
        <v>45833.662511574075</v>
      </c>
      <c r="B491" s="374">
        <v>45833.662511574075</v>
      </c>
      <c r="C491" s="132" t="s">
        <v>1410</v>
      </c>
      <c r="D491" s="132" t="s">
        <v>1743</v>
      </c>
      <c r="E491" s="132" t="s">
        <v>1802</v>
      </c>
      <c r="G491" s="132" t="s">
        <v>1768</v>
      </c>
      <c r="H491" s="132">
        <v>0</v>
      </c>
    </row>
    <row r="492" spans="1:8" ht="15.75" customHeight="1">
      <c r="A492" s="374">
        <v>45833.662546296298</v>
      </c>
      <c r="B492" s="374">
        <v>45833.662546296298</v>
      </c>
      <c r="C492" s="132" t="s">
        <v>1410</v>
      </c>
      <c r="D492" s="132" t="s">
        <v>1743</v>
      </c>
      <c r="E492" s="132" t="s">
        <v>1803</v>
      </c>
      <c r="H492" s="132">
        <v>0</v>
      </c>
    </row>
    <row r="493" spans="1:8" ht="15.75" customHeight="1">
      <c r="A493" s="374">
        <v>45833.662592592591</v>
      </c>
      <c r="B493" s="374">
        <v>45833.662592592591</v>
      </c>
      <c r="C493" s="132" t="s">
        <v>1410</v>
      </c>
      <c r="D493" s="132" t="s">
        <v>1743</v>
      </c>
      <c r="E493" s="132" t="s">
        <v>1804</v>
      </c>
      <c r="G493" s="132" t="s">
        <v>1768</v>
      </c>
      <c r="H493" s="132">
        <v>0</v>
      </c>
    </row>
    <row r="494" spans="1:8" ht="15.75" customHeight="1">
      <c r="A494" s="374">
        <v>45833.662662037037</v>
      </c>
      <c r="B494" s="374">
        <v>45833.662662037037</v>
      </c>
      <c r="C494" s="132" t="s">
        <v>1410</v>
      </c>
      <c r="D494" s="132" t="s">
        <v>1743</v>
      </c>
      <c r="E494" s="132" t="s">
        <v>1805</v>
      </c>
      <c r="F494" s="132" t="s">
        <v>1768</v>
      </c>
      <c r="G494" s="132" t="s">
        <v>1806</v>
      </c>
      <c r="H494" s="132">
        <v>0</v>
      </c>
    </row>
    <row r="495" spans="1:8" ht="15.75" customHeight="1">
      <c r="A495" s="374">
        <v>45833.662743055553</v>
      </c>
      <c r="B495" s="374">
        <v>45833.662743055553</v>
      </c>
      <c r="C495" s="132" t="s">
        <v>1410</v>
      </c>
      <c r="D495" s="132" t="s">
        <v>1743</v>
      </c>
      <c r="E495" s="132" t="s">
        <v>1805</v>
      </c>
      <c r="F495" s="132" t="s">
        <v>1806</v>
      </c>
      <c r="G495" s="132" t="s">
        <v>1768</v>
      </c>
      <c r="H495" s="132">
        <v>0</v>
      </c>
    </row>
    <row r="496" spans="1:8" ht="15.75" customHeight="1">
      <c r="A496" s="374">
        <v>45833.66300925926</v>
      </c>
      <c r="B496" s="374">
        <v>45833.66300925926</v>
      </c>
      <c r="C496" s="132" t="s">
        <v>1410</v>
      </c>
      <c r="D496" s="132" t="s">
        <v>1743</v>
      </c>
      <c r="E496" s="132" t="s">
        <v>1807</v>
      </c>
      <c r="H496" s="132">
        <v>0</v>
      </c>
    </row>
    <row r="497" spans="1:8" ht="15.75" customHeight="1">
      <c r="A497" s="374">
        <v>45833.663043981483</v>
      </c>
      <c r="B497" s="374">
        <v>45833.663043981483</v>
      </c>
      <c r="C497" s="132" t="s">
        <v>1410</v>
      </c>
      <c r="D497" s="132" t="s">
        <v>1743</v>
      </c>
      <c r="E497" s="132" t="s">
        <v>1808</v>
      </c>
      <c r="F497" s="132" t="s">
        <v>1768</v>
      </c>
      <c r="G497" s="132" t="s">
        <v>1809</v>
      </c>
      <c r="H497" s="132">
        <v>0</v>
      </c>
    </row>
    <row r="498" spans="1:8" ht="15.75" customHeight="1">
      <c r="A498" s="374">
        <v>45833.663090277776</v>
      </c>
      <c r="B498" s="374">
        <v>45833.663090277776</v>
      </c>
      <c r="C498" s="132" t="s">
        <v>1410</v>
      </c>
      <c r="D498" s="132" t="s">
        <v>1743</v>
      </c>
      <c r="E498" s="132" t="s">
        <v>1810</v>
      </c>
      <c r="F498" s="132" t="s">
        <v>1770</v>
      </c>
      <c r="G498" s="132" t="s">
        <v>1811</v>
      </c>
      <c r="H498" s="132">
        <v>0</v>
      </c>
    </row>
    <row r="499" spans="1:8" ht="15.75" customHeight="1">
      <c r="A499" s="374">
        <v>45833.663263888891</v>
      </c>
      <c r="B499" s="374">
        <v>45833.663263888891</v>
      </c>
      <c r="C499" s="132" t="s">
        <v>1410</v>
      </c>
      <c r="D499" s="132" t="s">
        <v>1743</v>
      </c>
      <c r="E499" s="132" t="s">
        <v>1812</v>
      </c>
      <c r="H499" s="132">
        <v>0</v>
      </c>
    </row>
    <row r="500" spans="1:8" ht="15.75" customHeight="1">
      <c r="A500" s="374">
        <v>45833.663356481484</v>
      </c>
      <c r="B500" s="374">
        <v>45833.663356481484</v>
      </c>
      <c r="C500" s="132" t="s">
        <v>1410</v>
      </c>
      <c r="D500" s="132" t="s">
        <v>1743</v>
      </c>
      <c r="E500" s="132" t="s">
        <v>1813</v>
      </c>
      <c r="F500" s="132" t="s">
        <v>1768</v>
      </c>
      <c r="G500" s="132" t="s">
        <v>1814</v>
      </c>
      <c r="H500" s="132">
        <v>0</v>
      </c>
    </row>
    <row r="501" spans="1:8" ht="15.75" customHeight="1">
      <c r="A501" s="374">
        <v>45833.663437499999</v>
      </c>
      <c r="B501" s="374">
        <v>45833.663437499999</v>
      </c>
      <c r="C501" s="132" t="s">
        <v>1410</v>
      </c>
      <c r="D501" s="132" t="s">
        <v>1743</v>
      </c>
      <c r="E501" s="132" t="s">
        <v>1815</v>
      </c>
      <c r="G501" s="132" t="s">
        <v>1814</v>
      </c>
      <c r="H501" s="132">
        <v>0</v>
      </c>
    </row>
    <row r="502" spans="1:8" ht="15.75" customHeight="1">
      <c r="A502" s="374">
        <v>45833.663599537038</v>
      </c>
      <c r="B502" s="374">
        <v>45833.663599537038</v>
      </c>
      <c r="C502" s="132" t="s">
        <v>1410</v>
      </c>
      <c r="D502" s="132" t="s">
        <v>1743</v>
      </c>
      <c r="E502" s="132" t="s">
        <v>1816</v>
      </c>
      <c r="G502" s="132" t="s">
        <v>182</v>
      </c>
      <c r="H502" s="132">
        <v>0</v>
      </c>
    </row>
    <row r="503" spans="1:8" ht="15.75" customHeight="1">
      <c r="A503" s="374">
        <v>45833.663715277777</v>
      </c>
      <c r="B503" s="374">
        <v>45833.663715277777</v>
      </c>
      <c r="C503" s="132" t="s">
        <v>1410</v>
      </c>
      <c r="D503" s="132" t="s">
        <v>1743</v>
      </c>
      <c r="E503" s="132" t="s">
        <v>1817</v>
      </c>
      <c r="G503" s="132" t="s">
        <v>1818</v>
      </c>
      <c r="H503" s="132">
        <v>0</v>
      </c>
    </row>
    <row r="504" spans="1:8" ht="15.75" customHeight="1">
      <c r="A504" s="374">
        <v>45833.663738425923</v>
      </c>
      <c r="B504" s="374">
        <v>45833.663738425923</v>
      </c>
      <c r="C504" s="132" t="s">
        <v>1410</v>
      </c>
      <c r="D504" s="132" t="s">
        <v>1743</v>
      </c>
      <c r="E504" s="132" t="s">
        <v>1819</v>
      </c>
      <c r="G504" s="132" t="s">
        <v>182</v>
      </c>
      <c r="H504" s="132">
        <v>0</v>
      </c>
    </row>
    <row r="505" spans="1:8" ht="15.75" customHeight="1">
      <c r="A505" s="374">
        <v>45833.6637962963</v>
      </c>
      <c r="B505" s="374">
        <v>45833.6637962963</v>
      </c>
      <c r="C505" s="132" t="s">
        <v>1410</v>
      </c>
      <c r="D505" s="132" t="s">
        <v>1743</v>
      </c>
      <c r="E505" s="132" t="s">
        <v>1817</v>
      </c>
      <c r="F505" s="132" t="s">
        <v>1818</v>
      </c>
      <c r="G505" s="132" t="s">
        <v>183</v>
      </c>
      <c r="H505" s="132">
        <v>0</v>
      </c>
    </row>
    <row r="506" spans="1:8" ht="15.75" customHeight="1">
      <c r="A506" s="374">
        <v>45833.663854166669</v>
      </c>
      <c r="B506" s="374">
        <v>45833.663854166669</v>
      </c>
      <c r="C506" s="132" t="s">
        <v>1410</v>
      </c>
      <c r="D506" s="132" t="s">
        <v>1743</v>
      </c>
      <c r="E506" s="132" t="s">
        <v>1819</v>
      </c>
      <c r="G506" s="132" t="s">
        <v>182</v>
      </c>
      <c r="H506" s="132">
        <v>0</v>
      </c>
    </row>
    <row r="507" spans="1:8" ht="15.75" customHeight="1">
      <c r="A507" s="374">
        <v>45833.664953703701</v>
      </c>
      <c r="B507" s="374">
        <v>45833.664953703701</v>
      </c>
      <c r="C507" s="132" t="s">
        <v>1410</v>
      </c>
      <c r="D507" s="132" t="s">
        <v>1743</v>
      </c>
      <c r="E507" s="132" t="s">
        <v>1820</v>
      </c>
      <c r="H507" s="132">
        <v>0</v>
      </c>
    </row>
    <row r="508" spans="1:8" ht="15.75" customHeight="1">
      <c r="A508" s="374">
        <v>45833.665034722224</v>
      </c>
      <c r="B508" s="374">
        <v>45833.665034722224</v>
      </c>
      <c r="C508" s="132" t="s">
        <v>1410</v>
      </c>
      <c r="D508" s="132" t="s">
        <v>1743</v>
      </c>
      <c r="E508" s="132" t="s">
        <v>1821</v>
      </c>
      <c r="G508" s="132" t="s">
        <v>182</v>
      </c>
      <c r="H508" s="132">
        <v>0</v>
      </c>
    </row>
    <row r="509" spans="1:8" ht="15.75" customHeight="1">
      <c r="A509" s="374">
        <v>45833.665069444447</v>
      </c>
      <c r="B509" s="374">
        <v>45833.665069444447</v>
      </c>
      <c r="C509" s="132" t="s">
        <v>1410</v>
      </c>
      <c r="D509" s="132" t="s">
        <v>1743</v>
      </c>
      <c r="E509" s="132" t="s">
        <v>1554</v>
      </c>
      <c r="G509" s="132" t="s">
        <v>222</v>
      </c>
      <c r="H509" s="132">
        <v>0</v>
      </c>
    </row>
    <row r="510" spans="1:8" ht="15.75" customHeight="1">
      <c r="A510" s="374">
        <v>45833.66510416667</v>
      </c>
      <c r="B510" s="374">
        <v>45833.66510416667</v>
      </c>
      <c r="C510" s="132" t="s">
        <v>1410</v>
      </c>
      <c r="D510" s="132" t="s">
        <v>1743</v>
      </c>
      <c r="E510" s="132" t="s">
        <v>1822</v>
      </c>
      <c r="G510" s="132" t="s">
        <v>182</v>
      </c>
      <c r="H510" s="132">
        <v>0</v>
      </c>
    </row>
    <row r="511" spans="1:8" ht="15.75" customHeight="1">
      <c r="A511" s="374">
        <v>45833.665208333332</v>
      </c>
      <c r="B511" s="374">
        <v>45833.665208333332</v>
      </c>
      <c r="C511" s="132" t="s">
        <v>1410</v>
      </c>
      <c r="D511" s="132" t="s">
        <v>1743</v>
      </c>
      <c r="E511" s="132" t="s">
        <v>1823</v>
      </c>
      <c r="G511" s="132" t="s">
        <v>153</v>
      </c>
      <c r="H511" s="132">
        <v>0</v>
      </c>
    </row>
    <row r="512" spans="1:8" ht="15.75" customHeight="1">
      <c r="A512" s="374">
        <v>45833.665266203701</v>
      </c>
      <c r="B512" s="374">
        <v>45833.665266203701</v>
      </c>
      <c r="C512" s="132" t="s">
        <v>1410</v>
      </c>
      <c r="D512" s="132" t="s">
        <v>1743</v>
      </c>
      <c r="E512" s="132" t="s">
        <v>1823</v>
      </c>
      <c r="F512" s="132" t="s">
        <v>153</v>
      </c>
      <c r="H512" s="132">
        <v>0</v>
      </c>
    </row>
    <row r="513" spans="1:8" ht="15.75" customHeight="1">
      <c r="A513" s="374">
        <v>45833.665983796294</v>
      </c>
      <c r="B513" s="374">
        <v>45833.665983796294</v>
      </c>
      <c r="C513" s="132" t="s">
        <v>1410</v>
      </c>
      <c r="D513" s="132" t="s">
        <v>1743</v>
      </c>
      <c r="E513" s="132" t="s">
        <v>1824</v>
      </c>
      <c r="F513" s="132" t="s">
        <v>1733</v>
      </c>
      <c r="G513" s="132" t="s">
        <v>1825</v>
      </c>
      <c r="H513" s="132">
        <v>0</v>
      </c>
    </row>
    <row r="514" spans="1:8" ht="15.75" customHeight="1">
      <c r="A514" s="374">
        <v>45833.667719907404</v>
      </c>
      <c r="B514" s="374">
        <v>45833.667719907404</v>
      </c>
      <c r="C514" s="132" t="s">
        <v>1410</v>
      </c>
      <c r="D514" s="132" t="s">
        <v>1743</v>
      </c>
      <c r="E514" s="132" t="s">
        <v>1826</v>
      </c>
      <c r="G514" s="132" t="s">
        <v>204</v>
      </c>
      <c r="H514" s="132">
        <v>0</v>
      </c>
    </row>
    <row r="515" spans="1:8" ht="15.75" customHeight="1">
      <c r="A515" s="374">
        <v>45833.667766203704</v>
      </c>
      <c r="B515" s="374">
        <v>45833.667766203704</v>
      </c>
      <c r="C515" s="132" t="s">
        <v>1410</v>
      </c>
      <c r="D515" s="132" t="s">
        <v>1743</v>
      </c>
      <c r="E515" s="132" t="s">
        <v>1827</v>
      </c>
      <c r="G515" s="132" t="s">
        <v>204</v>
      </c>
      <c r="H515" s="132">
        <v>0</v>
      </c>
    </row>
    <row r="516" spans="1:8" ht="15.75" customHeight="1">
      <c r="A516" s="374">
        <v>45833.667800925927</v>
      </c>
      <c r="B516" s="374">
        <v>45833.667800925927</v>
      </c>
      <c r="C516" s="132" t="s">
        <v>1410</v>
      </c>
      <c r="D516" s="132" t="s">
        <v>1743</v>
      </c>
      <c r="E516" s="132" t="s">
        <v>1828</v>
      </c>
      <c r="H516" s="132">
        <v>0</v>
      </c>
    </row>
    <row r="517" spans="1:8" ht="15.75" customHeight="1">
      <c r="A517" s="374">
        <v>45833.667858796296</v>
      </c>
      <c r="B517" s="374">
        <v>45833.667858796296</v>
      </c>
      <c r="C517" s="132" t="s">
        <v>1410</v>
      </c>
      <c r="D517" s="132" t="s">
        <v>1743</v>
      </c>
      <c r="E517" s="132" t="s">
        <v>1829</v>
      </c>
      <c r="H517" s="132">
        <v>0</v>
      </c>
    </row>
    <row r="518" spans="1:8" ht="15.75" customHeight="1">
      <c r="A518" s="374">
        <v>45833.667974537035</v>
      </c>
      <c r="B518" s="374">
        <v>45833.667974537035</v>
      </c>
      <c r="C518" s="132" t="s">
        <v>1410</v>
      </c>
      <c r="D518" s="132" t="s">
        <v>1743</v>
      </c>
      <c r="E518" s="132" t="s">
        <v>1830</v>
      </c>
      <c r="H518" s="132">
        <v>0</v>
      </c>
    </row>
    <row r="519" spans="1:8" ht="15.75" customHeight="1">
      <c r="A519" s="374">
        <v>45833.668194444443</v>
      </c>
      <c r="B519" s="374">
        <v>45833.668194444443</v>
      </c>
      <c r="C519" s="132" t="s">
        <v>1410</v>
      </c>
      <c r="D519" s="132" t="s">
        <v>1743</v>
      </c>
      <c r="E519" s="132" t="s">
        <v>1831</v>
      </c>
      <c r="H519" s="132">
        <v>0</v>
      </c>
    </row>
    <row r="520" spans="1:8" ht="15.75" customHeight="1">
      <c r="A520" s="374">
        <v>45833.668321759258</v>
      </c>
      <c r="B520" s="374">
        <v>45833.668321759258</v>
      </c>
      <c r="C520" s="132" t="s">
        <v>1410</v>
      </c>
      <c r="D520" s="132" t="s">
        <v>1743</v>
      </c>
      <c r="E520" s="132" t="s">
        <v>1832</v>
      </c>
      <c r="H520" s="132">
        <v>0</v>
      </c>
    </row>
    <row r="521" spans="1:8" ht="15.75" customHeight="1">
      <c r="A521" s="374">
        <v>45833.668541666666</v>
      </c>
      <c r="B521" s="374">
        <v>45833.668541666666</v>
      </c>
      <c r="C521" s="132" t="s">
        <v>1410</v>
      </c>
      <c r="D521" s="132" t="s">
        <v>1743</v>
      </c>
      <c r="E521" s="132" t="s">
        <v>1823</v>
      </c>
      <c r="H521" s="132">
        <v>0</v>
      </c>
    </row>
    <row r="522" spans="1:8" ht="15.75" customHeight="1">
      <c r="A522" s="374">
        <v>45833.668692129628</v>
      </c>
      <c r="B522" s="374">
        <v>45833.668692129628</v>
      </c>
      <c r="C522" s="132" t="s">
        <v>1410</v>
      </c>
      <c r="D522" s="132" t="s">
        <v>1743</v>
      </c>
      <c r="E522" s="132" t="s">
        <v>1833</v>
      </c>
      <c r="H522" s="132">
        <v>0</v>
      </c>
    </row>
    <row r="523" spans="1:8" ht="15.75" customHeight="1">
      <c r="A523" s="374">
        <v>45833.668807870374</v>
      </c>
      <c r="B523" s="374">
        <v>45833.668807870374</v>
      </c>
      <c r="C523" s="132" t="s">
        <v>1410</v>
      </c>
      <c r="D523" s="132" t="s">
        <v>1743</v>
      </c>
      <c r="E523" s="132" t="s">
        <v>1834</v>
      </c>
      <c r="H523" s="132">
        <v>0</v>
      </c>
    </row>
    <row r="524" spans="1:8" ht="15.75" customHeight="1">
      <c r="A524" s="374">
        <v>45833.669004629628</v>
      </c>
      <c r="B524" s="374">
        <v>45833.669004629628</v>
      </c>
      <c r="C524" s="132" t="s">
        <v>1410</v>
      </c>
      <c r="D524" s="132" t="s">
        <v>1743</v>
      </c>
      <c r="E524" s="132" t="s">
        <v>1835</v>
      </c>
      <c r="H524" s="132">
        <v>0</v>
      </c>
    </row>
    <row r="525" spans="1:8" ht="15.75" customHeight="1">
      <c r="A525" s="374">
        <v>45833.671493055554</v>
      </c>
      <c r="B525" s="374">
        <v>45833.671493055554</v>
      </c>
      <c r="C525" s="132" t="s">
        <v>1410</v>
      </c>
      <c r="D525" s="132" t="s">
        <v>1743</v>
      </c>
      <c r="E525" s="132" t="s">
        <v>1836</v>
      </c>
      <c r="F525" s="132" t="b">
        <v>0</v>
      </c>
      <c r="G525" s="132" t="b">
        <v>1</v>
      </c>
      <c r="H525" s="132">
        <v>0</v>
      </c>
    </row>
    <row r="526" spans="1:8" ht="15.75" customHeight="1">
      <c r="A526" s="374">
        <v>45833.671631944446</v>
      </c>
      <c r="B526" s="374">
        <v>45833.671631944446</v>
      </c>
      <c r="C526" s="132" t="s">
        <v>1410</v>
      </c>
      <c r="D526" s="132" t="s">
        <v>1743</v>
      </c>
      <c r="E526" s="132" t="s">
        <v>1836</v>
      </c>
      <c r="F526" s="132" t="b">
        <v>1</v>
      </c>
      <c r="G526" s="132" t="b">
        <v>0</v>
      </c>
      <c r="H526" s="132">
        <v>0</v>
      </c>
    </row>
    <row r="527" spans="1:8" ht="15.75" customHeight="1">
      <c r="A527" s="374">
        <v>45833.671678240738</v>
      </c>
      <c r="B527" s="374">
        <v>45833.671678240738</v>
      </c>
      <c r="C527" s="132" t="s">
        <v>1410</v>
      </c>
      <c r="D527" s="132" t="s">
        <v>1743</v>
      </c>
      <c r="E527" s="132" t="s">
        <v>1837</v>
      </c>
      <c r="F527" s="132" t="b">
        <v>0</v>
      </c>
      <c r="G527" s="132" t="b">
        <v>1</v>
      </c>
      <c r="H527" s="132">
        <v>0</v>
      </c>
    </row>
    <row r="528" spans="1:8" ht="15.75" customHeight="1">
      <c r="A528" s="374">
        <v>45833.6721412037</v>
      </c>
      <c r="B528" s="374">
        <v>45833.6721412037</v>
      </c>
      <c r="C528" s="132" t="s">
        <v>1410</v>
      </c>
      <c r="D528" s="132" t="s">
        <v>1743</v>
      </c>
      <c r="E528" s="132" t="s">
        <v>1838</v>
      </c>
      <c r="F528" s="132" t="s">
        <v>730</v>
      </c>
      <c r="G528" s="132" t="s">
        <v>270</v>
      </c>
      <c r="H528" s="132">
        <v>0</v>
      </c>
    </row>
    <row r="529" spans="1:8" ht="15.75" customHeight="1">
      <c r="A529" s="374">
        <v>45833.672152777777</v>
      </c>
      <c r="B529" s="374">
        <v>45833.672152777777</v>
      </c>
      <c r="C529" s="132" t="s">
        <v>1410</v>
      </c>
      <c r="D529" s="132" t="s">
        <v>1743</v>
      </c>
      <c r="E529" s="132" t="s">
        <v>1838</v>
      </c>
      <c r="G529" s="132" t="s">
        <v>270</v>
      </c>
      <c r="H529" s="132">
        <v>0</v>
      </c>
    </row>
    <row r="530" spans="1:8" ht="15.75" customHeight="1">
      <c r="A530" s="374">
        <v>45833.672453703701</v>
      </c>
      <c r="B530" s="374">
        <v>45833.672453703701</v>
      </c>
      <c r="C530" s="132" t="s">
        <v>1410</v>
      </c>
      <c r="D530" s="132" t="s">
        <v>1743</v>
      </c>
      <c r="E530" s="132" t="s">
        <v>1839</v>
      </c>
      <c r="F530" s="132" t="s">
        <v>98</v>
      </c>
      <c r="G530" s="132" t="s">
        <v>1840</v>
      </c>
      <c r="H530" s="132">
        <v>0</v>
      </c>
    </row>
    <row r="531" spans="1:8" ht="15.75" customHeight="1">
      <c r="A531" s="374">
        <v>45833.67255787037</v>
      </c>
      <c r="B531" s="374">
        <v>45833.67255787037</v>
      </c>
      <c r="C531" s="132" t="s">
        <v>1410</v>
      </c>
      <c r="D531" s="132" t="s">
        <v>1743</v>
      </c>
      <c r="E531" s="132" t="s">
        <v>1839</v>
      </c>
      <c r="F531" s="132" t="s">
        <v>1840</v>
      </c>
      <c r="G531" s="132" t="s">
        <v>1840</v>
      </c>
      <c r="H531" s="132">
        <v>0</v>
      </c>
    </row>
    <row r="532" spans="1:8" ht="15.75" customHeight="1">
      <c r="A532" s="374">
        <v>45833.67260416667</v>
      </c>
      <c r="B532" s="374">
        <v>45833.67260416667</v>
      </c>
      <c r="C532" s="132" t="s">
        <v>1410</v>
      </c>
      <c r="D532" s="132" t="s">
        <v>1743</v>
      </c>
      <c r="E532" s="132" t="s">
        <v>1839</v>
      </c>
      <c r="F532" s="132" t="s">
        <v>1840</v>
      </c>
      <c r="G532" s="132" t="s">
        <v>1840</v>
      </c>
      <c r="H532" s="132">
        <v>0</v>
      </c>
    </row>
    <row r="533" spans="1:8" ht="15.75" customHeight="1">
      <c r="A533" s="374">
        <v>45833.672847222224</v>
      </c>
      <c r="B533" s="374">
        <v>45833.672847222224</v>
      </c>
      <c r="C533" s="132" t="s">
        <v>1410</v>
      </c>
      <c r="D533" s="132" t="s">
        <v>1743</v>
      </c>
      <c r="E533" s="132" t="s">
        <v>1841</v>
      </c>
      <c r="G533" s="132" t="s">
        <v>204</v>
      </c>
      <c r="H533" s="132">
        <v>0</v>
      </c>
    </row>
    <row r="534" spans="1:8" ht="15.75" customHeight="1">
      <c r="A534" s="374">
        <v>45833.672951388886</v>
      </c>
      <c r="B534" s="374">
        <v>45833.672951388886</v>
      </c>
      <c r="C534" s="132" t="s">
        <v>1410</v>
      </c>
      <c r="D534" s="132" t="s">
        <v>1743</v>
      </c>
      <c r="E534" s="132" t="s">
        <v>1842</v>
      </c>
      <c r="G534" s="132" t="s">
        <v>270</v>
      </c>
      <c r="H534" s="132">
        <v>0</v>
      </c>
    </row>
    <row r="535" spans="1:8" ht="15.75" customHeight="1">
      <c r="A535" s="374">
        <v>45833.674212962964</v>
      </c>
      <c r="B535" s="374">
        <v>45833.674212962964</v>
      </c>
      <c r="C535" s="132" t="s">
        <v>1410</v>
      </c>
      <c r="D535" s="132" t="s">
        <v>1743</v>
      </c>
      <c r="E535" s="132" t="s">
        <v>1843</v>
      </c>
      <c r="G535" s="132" t="s">
        <v>452</v>
      </c>
      <c r="H535" s="132">
        <v>0</v>
      </c>
    </row>
    <row r="536" spans="1:8" ht="15.75" customHeight="1">
      <c r="A536" s="374">
        <v>45833.674305555556</v>
      </c>
      <c r="B536" s="374">
        <v>45833.674305555556</v>
      </c>
      <c r="C536" s="132" t="s">
        <v>1410</v>
      </c>
      <c r="D536" s="132" t="s">
        <v>1743</v>
      </c>
      <c r="E536" s="132" t="s">
        <v>1844</v>
      </c>
      <c r="G536" s="132" t="s">
        <v>452</v>
      </c>
      <c r="H536" s="132">
        <v>0</v>
      </c>
    </row>
    <row r="537" spans="1:8" ht="15.75" customHeight="1">
      <c r="A537" s="374">
        <v>45833.674733796295</v>
      </c>
      <c r="B537" s="374">
        <v>45833.674733796295</v>
      </c>
      <c r="C537" s="132" t="s">
        <v>1410</v>
      </c>
      <c r="D537" s="132" t="s">
        <v>1743</v>
      </c>
      <c r="E537" s="132" t="s">
        <v>1845</v>
      </c>
      <c r="G537" s="132" t="b">
        <v>0</v>
      </c>
      <c r="H537" s="132">
        <v>0</v>
      </c>
    </row>
    <row r="538" spans="1:8" ht="15.75" customHeight="1">
      <c r="A538" s="374">
        <v>45833.674895833334</v>
      </c>
      <c r="B538" s="374">
        <v>45833.674895833334</v>
      </c>
      <c r="C538" s="132" t="s">
        <v>1410</v>
      </c>
      <c r="D538" s="132" t="s">
        <v>1743</v>
      </c>
      <c r="E538" s="132" t="s">
        <v>1846</v>
      </c>
      <c r="H538" s="132">
        <v>0</v>
      </c>
    </row>
    <row r="539" spans="1:8" ht="15.75" customHeight="1">
      <c r="A539" s="374">
        <v>45833.675023148149</v>
      </c>
      <c r="B539" s="374">
        <v>45833.675023148149</v>
      </c>
      <c r="C539" s="132" t="s">
        <v>1410</v>
      </c>
      <c r="D539" s="132" t="s">
        <v>1743</v>
      </c>
      <c r="E539" s="132" t="s">
        <v>1847</v>
      </c>
      <c r="H539" s="132">
        <v>0</v>
      </c>
    </row>
    <row r="540" spans="1:8" ht="15.75" customHeight="1">
      <c r="A540" s="374">
        <v>45833.675138888888</v>
      </c>
      <c r="B540" s="374">
        <v>45833.675138888888</v>
      </c>
      <c r="C540" s="132" t="s">
        <v>1410</v>
      </c>
      <c r="D540" s="132" t="s">
        <v>1743</v>
      </c>
      <c r="E540" s="132" t="s">
        <v>1848</v>
      </c>
      <c r="H540" s="132">
        <v>0</v>
      </c>
    </row>
    <row r="541" spans="1:8" ht="15.75" customHeight="1">
      <c r="A541" s="374">
        <v>45833.67559027778</v>
      </c>
      <c r="B541" s="374">
        <v>45833.67559027778</v>
      </c>
      <c r="C541" s="132" t="s">
        <v>1410</v>
      </c>
      <c r="D541" s="132" t="s">
        <v>1743</v>
      </c>
      <c r="E541" s="132" t="s">
        <v>1849</v>
      </c>
      <c r="H541" s="132">
        <v>0</v>
      </c>
    </row>
    <row r="542" spans="1:8" ht="15.75" customHeight="1">
      <c r="A542" s="374">
        <v>45833.675740740742</v>
      </c>
      <c r="B542" s="374">
        <v>45833.675740740742</v>
      </c>
      <c r="C542" s="132" t="s">
        <v>1410</v>
      </c>
      <c r="D542" s="132" t="s">
        <v>1743</v>
      </c>
      <c r="E542" s="132" t="s">
        <v>1850</v>
      </c>
      <c r="H542" s="132">
        <v>0</v>
      </c>
    </row>
    <row r="543" spans="1:8" ht="15.75" customHeight="1">
      <c r="A543" s="374">
        <v>45833.675821759258</v>
      </c>
      <c r="B543" s="374">
        <v>45833.675821759258</v>
      </c>
      <c r="C543" s="132" t="s">
        <v>1410</v>
      </c>
      <c r="D543" s="132" t="s">
        <v>1743</v>
      </c>
      <c r="E543" s="132" t="s">
        <v>1851</v>
      </c>
      <c r="H543" s="132">
        <v>0</v>
      </c>
    </row>
    <row r="544" spans="1:8" ht="15.75" customHeight="1">
      <c r="A544" s="374">
        <v>45833.675879629627</v>
      </c>
      <c r="B544" s="374">
        <v>45833.675879629627</v>
      </c>
      <c r="C544" s="132" t="s">
        <v>1410</v>
      </c>
      <c r="D544" s="132" t="s">
        <v>1743</v>
      </c>
      <c r="E544" s="132" t="s">
        <v>1852</v>
      </c>
      <c r="H544" s="132">
        <v>0</v>
      </c>
    </row>
    <row r="545" spans="1:8" ht="15.75" customHeight="1">
      <c r="A545" s="374">
        <v>45833.675949074073</v>
      </c>
      <c r="B545" s="374">
        <v>45833.675949074073</v>
      </c>
      <c r="C545" s="132" t="s">
        <v>1410</v>
      </c>
      <c r="D545" s="132" t="s">
        <v>1743</v>
      </c>
      <c r="E545" s="132" t="s">
        <v>1853</v>
      </c>
      <c r="G545" s="132" t="s">
        <v>159</v>
      </c>
      <c r="H545" s="132">
        <v>0</v>
      </c>
    </row>
    <row r="546" spans="1:8" ht="15.75" customHeight="1">
      <c r="A546" s="374">
        <v>45833.676018518519</v>
      </c>
      <c r="B546" s="374">
        <v>45833.676018518519</v>
      </c>
      <c r="C546" s="132" t="s">
        <v>1410</v>
      </c>
      <c r="D546" s="132" t="s">
        <v>1743</v>
      </c>
      <c r="E546" s="132" t="s">
        <v>1854</v>
      </c>
      <c r="G546" s="132" t="s">
        <v>147</v>
      </c>
      <c r="H546" s="132">
        <v>0</v>
      </c>
    </row>
    <row r="547" spans="1:8" ht="15.75" customHeight="1">
      <c r="A547" s="374">
        <v>45833.676018518519</v>
      </c>
      <c r="B547" s="374">
        <v>45833.676018518519</v>
      </c>
      <c r="C547" s="132" t="s">
        <v>1410</v>
      </c>
      <c r="D547" s="132" t="s">
        <v>1743</v>
      </c>
      <c r="E547" s="132" t="s">
        <v>1855</v>
      </c>
      <c r="G547" s="132" t="s">
        <v>154</v>
      </c>
      <c r="H547" s="132">
        <v>0</v>
      </c>
    </row>
    <row r="548" spans="1:8" ht="15.75" customHeight="1">
      <c r="A548" s="374">
        <v>45833.676076388889</v>
      </c>
      <c r="B548" s="374">
        <v>45833.676076388889</v>
      </c>
      <c r="C548" s="132" t="s">
        <v>1410</v>
      </c>
      <c r="D548" s="132" t="s">
        <v>1743</v>
      </c>
      <c r="E548" s="132" t="s">
        <v>1856</v>
      </c>
      <c r="G548" s="132" t="s">
        <v>168</v>
      </c>
      <c r="H548" s="132">
        <v>0</v>
      </c>
    </row>
    <row r="549" spans="1:8" ht="15.75" customHeight="1">
      <c r="A549" s="374">
        <v>45833.676134259258</v>
      </c>
      <c r="B549" s="374">
        <v>45833.676134259258</v>
      </c>
      <c r="C549" s="132" t="s">
        <v>1410</v>
      </c>
      <c r="D549" s="132" t="s">
        <v>1743</v>
      </c>
      <c r="E549" s="132" t="s">
        <v>1857</v>
      </c>
      <c r="G549" s="132" t="s">
        <v>168</v>
      </c>
      <c r="H549" s="132">
        <v>0</v>
      </c>
    </row>
    <row r="550" spans="1:8" ht="15.75" customHeight="1">
      <c r="A550" s="374">
        <v>45833.676168981481</v>
      </c>
      <c r="B550" s="374">
        <v>45833.676168981481</v>
      </c>
      <c r="C550" s="132" t="s">
        <v>1410</v>
      </c>
      <c r="D550" s="132" t="s">
        <v>1743</v>
      </c>
      <c r="E550" s="132" t="s">
        <v>1858</v>
      </c>
      <c r="G550" s="132" t="s">
        <v>182</v>
      </c>
      <c r="H550" s="132">
        <v>0</v>
      </c>
    </row>
    <row r="551" spans="1:8" ht="15.75" customHeight="1">
      <c r="A551" s="374">
        <v>45833.676203703704</v>
      </c>
      <c r="B551" s="374">
        <v>45833.676203703704</v>
      </c>
      <c r="C551" s="132" t="s">
        <v>1410</v>
      </c>
      <c r="D551" s="132" t="s">
        <v>1743</v>
      </c>
      <c r="E551" s="132" t="s">
        <v>1859</v>
      </c>
      <c r="G551" s="132" t="s">
        <v>183</v>
      </c>
      <c r="H551" s="132">
        <v>0</v>
      </c>
    </row>
    <row r="552" spans="1:8" ht="15.75" customHeight="1">
      <c r="A552" s="374">
        <v>45833.676655092589</v>
      </c>
      <c r="B552" s="374">
        <v>45833.676655092589</v>
      </c>
      <c r="C552" s="132" t="s">
        <v>1410</v>
      </c>
      <c r="D552" s="132" t="s">
        <v>1743</v>
      </c>
      <c r="E552" s="132" t="s">
        <v>1860</v>
      </c>
      <c r="G552" s="132" t="s">
        <v>182</v>
      </c>
      <c r="H552" s="132">
        <v>0</v>
      </c>
    </row>
    <row r="553" spans="1:8" ht="15.75" customHeight="1">
      <c r="A553" s="374">
        <v>45833.676712962966</v>
      </c>
      <c r="B553" s="374">
        <v>45833.676712962966</v>
      </c>
      <c r="C553" s="132" t="s">
        <v>1410</v>
      </c>
      <c r="D553" s="132" t="s">
        <v>1743</v>
      </c>
      <c r="E553" s="132" t="s">
        <v>1861</v>
      </c>
      <c r="G553" s="132" t="s">
        <v>183</v>
      </c>
      <c r="H553" s="132">
        <v>0</v>
      </c>
    </row>
    <row r="554" spans="1:8" ht="15.75" customHeight="1">
      <c r="A554" s="374">
        <v>45833.676782407405</v>
      </c>
      <c r="B554" s="374">
        <v>45833.676782407405</v>
      </c>
      <c r="C554" s="132" t="s">
        <v>1410</v>
      </c>
      <c r="D554" s="132" t="s">
        <v>1743</v>
      </c>
      <c r="E554" s="132" t="s">
        <v>1862</v>
      </c>
      <c r="H554" s="132">
        <v>0</v>
      </c>
    </row>
    <row r="555" spans="1:8" ht="15.75" customHeight="1">
      <c r="A555" s="374">
        <v>45833.676805555559</v>
      </c>
      <c r="B555" s="374">
        <v>45833.676805555559</v>
      </c>
      <c r="C555" s="132" t="s">
        <v>1410</v>
      </c>
      <c r="D555" s="132" t="s">
        <v>1743</v>
      </c>
      <c r="E555" s="132" t="s">
        <v>1863</v>
      </c>
      <c r="H555" s="132">
        <v>0</v>
      </c>
    </row>
    <row r="556" spans="1:8" ht="15.75" customHeight="1">
      <c r="A556" s="374">
        <v>45833.676874999997</v>
      </c>
      <c r="B556" s="374">
        <v>45833.676874999997</v>
      </c>
      <c r="C556" s="132" t="s">
        <v>1410</v>
      </c>
      <c r="D556" s="132" t="s">
        <v>1743</v>
      </c>
      <c r="E556" s="132" t="s">
        <v>1823</v>
      </c>
      <c r="H556" s="132">
        <v>0</v>
      </c>
    </row>
    <row r="557" spans="1:8" ht="15.75" customHeight="1">
      <c r="A557" s="374">
        <v>45833.67690972222</v>
      </c>
      <c r="B557" s="374">
        <v>45833.67690972222</v>
      </c>
      <c r="C557" s="132" t="s">
        <v>1410</v>
      </c>
      <c r="D557" s="132" t="s">
        <v>1743</v>
      </c>
      <c r="E557" s="132" t="s">
        <v>1864</v>
      </c>
      <c r="H557" s="132">
        <v>0</v>
      </c>
    </row>
    <row r="558" spans="1:8" ht="15.75" customHeight="1">
      <c r="A558" s="374">
        <v>45833.676932870374</v>
      </c>
      <c r="B558" s="374">
        <v>45833.676932870374</v>
      </c>
      <c r="C558" s="132" t="s">
        <v>1410</v>
      </c>
      <c r="D558" s="132" t="s">
        <v>1743</v>
      </c>
      <c r="E558" s="132" t="s">
        <v>1865</v>
      </c>
      <c r="H558" s="132">
        <v>0</v>
      </c>
    </row>
    <row r="559" spans="1:8" ht="15.75" customHeight="1">
      <c r="A559" s="374">
        <v>45833.676979166667</v>
      </c>
      <c r="B559" s="374">
        <v>45833.676979166667</v>
      </c>
      <c r="C559" s="132" t="s">
        <v>1410</v>
      </c>
      <c r="D559" s="132" t="s">
        <v>1743</v>
      </c>
      <c r="E559" s="132" t="s">
        <v>1866</v>
      </c>
      <c r="H559" s="132">
        <v>0</v>
      </c>
    </row>
    <row r="560" spans="1:8" ht="15.75" customHeight="1">
      <c r="A560" s="374">
        <v>45833.677025462966</v>
      </c>
      <c r="B560" s="374">
        <v>45833.677025462966</v>
      </c>
      <c r="C560" s="132" t="s">
        <v>1410</v>
      </c>
      <c r="D560" s="132" t="s">
        <v>1743</v>
      </c>
      <c r="E560" s="132" t="s">
        <v>1867</v>
      </c>
      <c r="H560" s="132">
        <v>0</v>
      </c>
    </row>
    <row r="561" spans="1:8" ht="15.75" customHeight="1">
      <c r="A561" s="374">
        <v>45833.677060185182</v>
      </c>
      <c r="B561" s="374">
        <v>45833.677060185182</v>
      </c>
      <c r="C561" s="132" t="s">
        <v>1410</v>
      </c>
      <c r="D561" s="132" t="s">
        <v>1743</v>
      </c>
      <c r="E561" s="132" t="s">
        <v>1868</v>
      </c>
      <c r="H561" s="132">
        <v>0</v>
      </c>
    </row>
    <row r="562" spans="1:8" ht="15.75" customHeight="1">
      <c r="A562" s="374">
        <v>45833.677268518521</v>
      </c>
      <c r="B562" s="374">
        <v>45833.677268518521</v>
      </c>
      <c r="C562" s="132" t="s">
        <v>1410</v>
      </c>
      <c r="D562" s="132" t="s">
        <v>1743</v>
      </c>
      <c r="E562" s="132" t="s">
        <v>1869</v>
      </c>
      <c r="H562" s="132">
        <v>0</v>
      </c>
    </row>
    <row r="563" spans="1:8" ht="15.75" customHeight="1">
      <c r="A563" s="374">
        <v>45833.677476851852</v>
      </c>
      <c r="B563" s="374">
        <v>45833.677476851852</v>
      </c>
      <c r="C563" s="132" t="s">
        <v>1410</v>
      </c>
      <c r="D563" s="132" t="s">
        <v>1743</v>
      </c>
      <c r="E563" s="132" t="s">
        <v>1870</v>
      </c>
      <c r="G563" s="132" t="s">
        <v>147</v>
      </c>
      <c r="H563" s="132">
        <v>0</v>
      </c>
    </row>
    <row r="564" spans="1:8" ht="15.75" customHeight="1">
      <c r="A564" s="374">
        <v>45833.67765046296</v>
      </c>
      <c r="B564" s="374">
        <v>45833.67765046296</v>
      </c>
      <c r="C564" s="132" t="s">
        <v>1410</v>
      </c>
      <c r="D564" s="132" t="s">
        <v>1743</v>
      </c>
      <c r="E564" s="132" t="s">
        <v>1871</v>
      </c>
      <c r="G564" s="132" t="s">
        <v>264</v>
      </c>
      <c r="H564" s="132">
        <v>0</v>
      </c>
    </row>
    <row r="565" spans="1:8" ht="15.75" customHeight="1">
      <c r="A565" s="374">
        <v>45833.67765046296</v>
      </c>
      <c r="B565" s="374">
        <v>45833.67765046296</v>
      </c>
      <c r="C565" s="132" t="s">
        <v>1410</v>
      </c>
      <c r="D565" s="132" t="s">
        <v>1743</v>
      </c>
      <c r="E565" s="132" t="s">
        <v>1872</v>
      </c>
      <c r="G565" s="132" t="s">
        <v>259</v>
      </c>
      <c r="H565" s="132">
        <v>0</v>
      </c>
    </row>
    <row r="566" spans="1:8" ht="15.75" customHeight="1">
      <c r="A566" s="374">
        <v>45833.677673611113</v>
      </c>
      <c r="B566" s="374">
        <v>45833.677673611113</v>
      </c>
      <c r="C566" s="132" t="s">
        <v>1410</v>
      </c>
      <c r="D566" s="132" t="s">
        <v>1743</v>
      </c>
      <c r="E566" s="132" t="s">
        <v>1873</v>
      </c>
      <c r="H566" s="132">
        <v>0</v>
      </c>
    </row>
    <row r="567" spans="1:8" ht="15.75" customHeight="1">
      <c r="A567" s="374">
        <v>45833.677719907406</v>
      </c>
      <c r="B567" s="374">
        <v>45833.677719907406</v>
      </c>
      <c r="C567" s="132" t="s">
        <v>1410</v>
      </c>
      <c r="D567" s="132" t="s">
        <v>1743</v>
      </c>
      <c r="E567" s="132" t="s">
        <v>1874</v>
      </c>
      <c r="H567" s="132">
        <v>0</v>
      </c>
    </row>
    <row r="568" spans="1:8" ht="15.75" customHeight="1">
      <c r="A568" s="374">
        <v>45833.677789351852</v>
      </c>
      <c r="B568" s="374">
        <v>45833.677789351852</v>
      </c>
      <c r="C568" s="132" t="s">
        <v>1410</v>
      </c>
      <c r="D568" s="132" t="s">
        <v>1743</v>
      </c>
      <c r="E568" s="132" t="s">
        <v>1875</v>
      </c>
      <c r="G568" s="132" t="s">
        <v>147</v>
      </c>
      <c r="H568" s="132">
        <v>0</v>
      </c>
    </row>
    <row r="569" spans="1:8" ht="15.75" customHeight="1">
      <c r="A569" s="374">
        <v>45833.677916666667</v>
      </c>
      <c r="B569" s="374">
        <v>45833.677916666667</v>
      </c>
      <c r="C569" s="132" t="s">
        <v>1410</v>
      </c>
      <c r="D569" s="132" t="s">
        <v>1743</v>
      </c>
      <c r="E569" s="132" t="s">
        <v>1876</v>
      </c>
      <c r="H569" s="132">
        <v>0</v>
      </c>
    </row>
    <row r="570" spans="1:8" ht="15.75" customHeight="1">
      <c r="A570" s="374">
        <v>45833.678715277776</v>
      </c>
      <c r="B570" s="374">
        <v>45833.678715277776</v>
      </c>
      <c r="C570" s="132" t="s">
        <v>1410</v>
      </c>
      <c r="D570" s="132" t="s">
        <v>1743</v>
      </c>
      <c r="E570" s="132" t="s">
        <v>1877</v>
      </c>
      <c r="G570" s="132" t="s">
        <v>1747</v>
      </c>
      <c r="H570" s="132">
        <v>0</v>
      </c>
    </row>
    <row r="571" spans="1:8" ht="15.75" customHeight="1">
      <c r="A571" s="374">
        <v>45833.679907407408</v>
      </c>
      <c r="B571" s="374">
        <v>45833.679907407408</v>
      </c>
      <c r="C571" s="132" t="s">
        <v>1410</v>
      </c>
      <c r="D571" s="132" t="s">
        <v>1743</v>
      </c>
      <c r="E571" s="132" t="s">
        <v>1878</v>
      </c>
      <c r="H571" s="132">
        <v>0</v>
      </c>
    </row>
    <row r="572" spans="1:8" ht="15.75" customHeight="1">
      <c r="A572" s="374">
        <v>45833.680081018516</v>
      </c>
      <c r="B572" s="374">
        <v>45833.680081018516</v>
      </c>
      <c r="C572" s="132" t="s">
        <v>1410</v>
      </c>
      <c r="D572" s="132" t="s">
        <v>1743</v>
      </c>
      <c r="E572" s="132" t="s">
        <v>1879</v>
      </c>
      <c r="H572" s="132">
        <v>0</v>
      </c>
    </row>
    <row r="573" spans="1:8" ht="15.75" customHeight="1">
      <c r="A573" s="374">
        <v>45833.680312500001</v>
      </c>
      <c r="B573" s="374">
        <v>45833.680312500001</v>
      </c>
      <c r="C573" s="132" t="s">
        <v>1410</v>
      </c>
      <c r="D573" s="132" t="s">
        <v>1743</v>
      </c>
      <c r="E573" s="132" t="s">
        <v>1880</v>
      </c>
      <c r="H573" s="132">
        <v>0</v>
      </c>
    </row>
    <row r="574" spans="1:8" ht="15.75" customHeight="1">
      <c r="A574" s="374">
        <v>45833.680451388886</v>
      </c>
      <c r="B574" s="374">
        <v>45833.680451388886</v>
      </c>
      <c r="C574" s="132" t="s">
        <v>1410</v>
      </c>
      <c r="D574" s="132" t="s">
        <v>1743</v>
      </c>
      <c r="E574" s="132" t="s">
        <v>1881</v>
      </c>
      <c r="G574" s="132" t="s">
        <v>115</v>
      </c>
      <c r="H574" s="132">
        <v>0</v>
      </c>
    </row>
    <row r="575" spans="1:8" ht="15.75" customHeight="1">
      <c r="A575" s="374">
        <v>45833.680706018517</v>
      </c>
      <c r="B575" s="374">
        <v>45833.680706018517</v>
      </c>
      <c r="C575" s="132" t="s">
        <v>1410</v>
      </c>
      <c r="D575" s="132" t="s">
        <v>1743</v>
      </c>
      <c r="E575" s="132" t="s">
        <v>1882</v>
      </c>
      <c r="H575" s="132">
        <v>0</v>
      </c>
    </row>
    <row r="576" spans="1:8" ht="15.75" customHeight="1">
      <c r="A576" s="374">
        <v>45833.680821759262</v>
      </c>
      <c r="B576" s="374">
        <v>45833.680821759262</v>
      </c>
      <c r="C576" s="132" t="s">
        <v>1410</v>
      </c>
      <c r="D576" s="132" t="s">
        <v>1743</v>
      </c>
      <c r="E576" s="132" t="s">
        <v>1883</v>
      </c>
      <c r="H576" s="132">
        <v>0</v>
      </c>
    </row>
    <row r="577" spans="1:8" ht="15.75" customHeight="1">
      <c r="A577" s="374">
        <v>45833.681041666663</v>
      </c>
      <c r="B577" s="374">
        <v>45833.681041666663</v>
      </c>
      <c r="C577" s="132" t="s">
        <v>1410</v>
      </c>
      <c r="D577" s="132" t="s">
        <v>1743</v>
      </c>
      <c r="E577" s="132" t="s">
        <v>1884</v>
      </c>
      <c r="H577" s="132">
        <v>0</v>
      </c>
    </row>
    <row r="578" spans="1:8" ht="15.75" customHeight="1">
      <c r="A578" s="374">
        <v>45833.681180555555</v>
      </c>
      <c r="B578" s="374">
        <v>45833.681180555555</v>
      </c>
      <c r="C578" s="132" t="s">
        <v>1410</v>
      </c>
      <c r="D578" s="132" t="s">
        <v>1743</v>
      </c>
      <c r="E578" s="132" t="s">
        <v>1885</v>
      </c>
      <c r="H578" s="132">
        <v>0</v>
      </c>
    </row>
    <row r="579" spans="1:8" ht="15.75" customHeight="1">
      <c r="A579" s="374">
        <v>45833.681307870371</v>
      </c>
      <c r="B579" s="374">
        <v>45833.681307870371</v>
      </c>
      <c r="C579" s="132" t="s">
        <v>1410</v>
      </c>
      <c r="D579" s="132" t="s">
        <v>1743</v>
      </c>
      <c r="E579" s="132" t="s">
        <v>1886</v>
      </c>
      <c r="H579" s="132">
        <v>0</v>
      </c>
    </row>
    <row r="580" spans="1:8" ht="15.75" customHeight="1">
      <c r="A580" s="374">
        <v>45833.68141203704</v>
      </c>
      <c r="B580" s="374">
        <v>45833.68141203704</v>
      </c>
      <c r="C580" s="132" t="s">
        <v>1410</v>
      </c>
      <c r="D580" s="132" t="s">
        <v>1743</v>
      </c>
      <c r="E580" s="132" t="s">
        <v>1887</v>
      </c>
      <c r="H580" s="132">
        <v>0</v>
      </c>
    </row>
    <row r="581" spans="1:8" ht="15.75" customHeight="1">
      <c r="A581" s="374">
        <v>45833.682002314818</v>
      </c>
      <c r="B581" s="374">
        <v>45833.682002314818</v>
      </c>
      <c r="C581" s="132" t="s">
        <v>1410</v>
      </c>
      <c r="D581" s="132" t="s">
        <v>1743</v>
      </c>
      <c r="E581" s="132" t="s">
        <v>1888</v>
      </c>
      <c r="H581" s="132">
        <v>0</v>
      </c>
    </row>
    <row r="582" spans="1:8" ht="15.75" customHeight="1">
      <c r="A582" s="374">
        <v>45833.682175925926</v>
      </c>
      <c r="B582" s="374">
        <v>45833.682175925926</v>
      </c>
      <c r="C582" s="132" t="s">
        <v>1410</v>
      </c>
      <c r="D582" s="132" t="s">
        <v>1743</v>
      </c>
      <c r="E582" s="132" t="s">
        <v>1889</v>
      </c>
      <c r="H582" s="132">
        <v>0</v>
      </c>
    </row>
    <row r="583" spans="1:8" ht="15.75" customHeight="1">
      <c r="A583" s="374">
        <v>45833.682453703703</v>
      </c>
      <c r="B583" s="374">
        <v>45833.682453703703</v>
      </c>
      <c r="C583" s="132" t="s">
        <v>1410</v>
      </c>
      <c r="D583" s="132" t="s">
        <v>1743</v>
      </c>
      <c r="E583" s="132" t="s">
        <v>1890</v>
      </c>
      <c r="H583" s="132">
        <v>0</v>
      </c>
    </row>
    <row r="584" spans="1:8" ht="15.75" customHeight="1">
      <c r="A584" s="374">
        <v>45833.682569444441</v>
      </c>
      <c r="B584" s="374">
        <v>45833.682569444441</v>
      </c>
      <c r="C584" s="132" t="s">
        <v>1410</v>
      </c>
      <c r="D584" s="132" t="s">
        <v>1743</v>
      </c>
      <c r="E584" s="132" t="s">
        <v>1891</v>
      </c>
      <c r="H584" s="132">
        <v>0</v>
      </c>
    </row>
    <row r="585" spans="1:8" ht="15.75" customHeight="1">
      <c r="A585" s="374">
        <v>45833.682673611111</v>
      </c>
      <c r="B585" s="374">
        <v>45833.682673611111</v>
      </c>
      <c r="C585" s="132" t="s">
        <v>1410</v>
      </c>
      <c r="D585" s="132" t="s">
        <v>1743</v>
      </c>
      <c r="E585" s="132" t="s">
        <v>1892</v>
      </c>
      <c r="H585" s="132">
        <v>0</v>
      </c>
    </row>
    <row r="586" spans="1:8" ht="15.75" customHeight="1">
      <c r="A586" s="374">
        <v>45833.682870370372</v>
      </c>
      <c r="B586" s="374">
        <v>45833.682870370372</v>
      </c>
      <c r="C586" s="132" t="s">
        <v>1410</v>
      </c>
      <c r="D586" s="132" t="s">
        <v>1743</v>
      </c>
      <c r="E586" s="132" t="s">
        <v>1893</v>
      </c>
      <c r="H586" s="132">
        <v>0</v>
      </c>
    </row>
    <row r="587" spans="1:8" ht="15.75" customHeight="1">
      <c r="A587" s="374">
        <v>45833.682974537034</v>
      </c>
      <c r="B587" s="374">
        <v>45833.682974537034</v>
      </c>
      <c r="C587" s="132" t="s">
        <v>1410</v>
      </c>
      <c r="D587" s="132" t="s">
        <v>1743</v>
      </c>
      <c r="E587" s="132" t="s">
        <v>1894</v>
      </c>
      <c r="H587" s="132">
        <v>0</v>
      </c>
    </row>
    <row r="588" spans="1:8" ht="15.75" customHeight="1">
      <c r="A588" s="374">
        <v>45833.683055555557</v>
      </c>
      <c r="B588" s="374">
        <v>45833.683055555557</v>
      </c>
      <c r="C588" s="132" t="s">
        <v>1410</v>
      </c>
      <c r="D588" s="132" t="s">
        <v>1743</v>
      </c>
      <c r="E588" s="132" t="s">
        <v>1895</v>
      </c>
      <c r="H588" s="132">
        <v>0</v>
      </c>
    </row>
    <row r="589" spans="1:8" ht="15.75" customHeight="1">
      <c r="A589" s="374">
        <v>45833.684479166666</v>
      </c>
      <c r="B589" s="374">
        <v>45833.684479166666</v>
      </c>
      <c r="C589" s="132" t="s">
        <v>1410</v>
      </c>
      <c r="D589" s="132" t="s">
        <v>1743</v>
      </c>
      <c r="E589" s="132" t="s">
        <v>1896</v>
      </c>
      <c r="G589" s="132" t="s">
        <v>1897</v>
      </c>
      <c r="H589" s="132">
        <v>0</v>
      </c>
    </row>
    <row r="590" spans="1:8" ht="15.75" customHeight="1">
      <c r="A590" s="374">
        <v>45833.684560185182</v>
      </c>
      <c r="B590" s="374">
        <v>45833.684560185182</v>
      </c>
      <c r="C590" s="132" t="s">
        <v>1410</v>
      </c>
      <c r="D590" s="132" t="s">
        <v>1743</v>
      </c>
      <c r="E590" s="132" t="s">
        <v>1898</v>
      </c>
      <c r="H590" s="132">
        <v>0</v>
      </c>
    </row>
    <row r="591" spans="1:8" ht="15.75" customHeight="1">
      <c r="A591" s="374">
        <v>45833.684687499997</v>
      </c>
      <c r="B591" s="374">
        <v>45833.684687499997</v>
      </c>
      <c r="C591" s="132" t="s">
        <v>1410</v>
      </c>
      <c r="D591" s="132" t="s">
        <v>1743</v>
      </c>
      <c r="E591" s="132" t="s">
        <v>1899</v>
      </c>
      <c r="H591" s="132">
        <v>0</v>
      </c>
    </row>
    <row r="592" spans="1:8" ht="15.75" customHeight="1">
      <c r="A592" s="374">
        <v>45833.688634259262</v>
      </c>
      <c r="B592" s="374">
        <v>45833.688634259262</v>
      </c>
      <c r="C592" s="132" t="s">
        <v>1410</v>
      </c>
      <c r="D592" s="132" t="s">
        <v>1900</v>
      </c>
      <c r="E592" s="132" t="s">
        <v>1901</v>
      </c>
      <c r="H592" s="132">
        <v>0</v>
      </c>
    </row>
    <row r="593" spans="1:8" ht="15.75" customHeight="1">
      <c r="A593" s="374">
        <v>45833.689074074071</v>
      </c>
      <c r="B593" s="374">
        <v>45833.689074074071</v>
      </c>
      <c r="C593" s="132" t="s">
        <v>1410</v>
      </c>
      <c r="D593" s="132" t="s">
        <v>1900</v>
      </c>
      <c r="E593" s="132" t="s">
        <v>1902</v>
      </c>
      <c r="H593" s="132">
        <v>0</v>
      </c>
    </row>
    <row r="594" spans="1:8" ht="15.75" customHeight="1">
      <c r="A594" s="374">
        <v>45833.68959490741</v>
      </c>
      <c r="B594" s="374">
        <v>45833.68959490741</v>
      </c>
      <c r="C594" s="132" t="s">
        <v>1410</v>
      </c>
      <c r="D594" s="132" t="s">
        <v>1900</v>
      </c>
      <c r="E594" s="132" t="s">
        <v>1903</v>
      </c>
      <c r="G594" s="132" t="s">
        <v>23</v>
      </c>
      <c r="H594" s="132">
        <v>0</v>
      </c>
    </row>
    <row r="595" spans="1:8" ht="15.75" customHeight="1">
      <c r="A595" s="374">
        <v>45833.689675925925</v>
      </c>
      <c r="B595" s="374">
        <v>45833.689675925925</v>
      </c>
      <c r="C595" s="132" t="s">
        <v>1410</v>
      </c>
      <c r="D595" s="132" t="s">
        <v>1900</v>
      </c>
      <c r="E595" s="132" t="s">
        <v>1904</v>
      </c>
      <c r="G595" s="132">
        <v>0.5</v>
      </c>
      <c r="H595" s="132">
        <v>0</v>
      </c>
    </row>
    <row r="596" spans="1:8" ht="15.75" customHeight="1">
      <c r="A596" s="374">
        <v>45833.693854166668</v>
      </c>
      <c r="B596" s="374">
        <v>45833.693854166668</v>
      </c>
      <c r="C596" s="132" t="s">
        <v>1410</v>
      </c>
      <c r="D596" s="132" t="s">
        <v>1900</v>
      </c>
      <c r="E596" s="132" t="s">
        <v>1905</v>
      </c>
      <c r="G596" s="132" t="s">
        <v>104</v>
      </c>
      <c r="H596" s="132">
        <v>0</v>
      </c>
    </row>
    <row r="597" spans="1:8" ht="15.75" customHeight="1">
      <c r="A597" s="374">
        <v>45833.693923611114</v>
      </c>
      <c r="B597" s="374">
        <v>45833.693923611114</v>
      </c>
      <c r="C597" s="132" t="s">
        <v>1410</v>
      </c>
      <c r="D597" s="132" t="s">
        <v>1900</v>
      </c>
      <c r="E597" s="132" t="s">
        <v>1906</v>
      </c>
      <c r="G597" s="132" t="s">
        <v>93</v>
      </c>
      <c r="H597" s="132">
        <v>0</v>
      </c>
    </row>
    <row r="598" spans="1:8" ht="15.75" customHeight="1">
      <c r="A598" s="374">
        <v>45833.694004629629</v>
      </c>
      <c r="B598" s="374">
        <v>45833.694004629629</v>
      </c>
      <c r="C598" s="132" t="s">
        <v>1410</v>
      </c>
      <c r="D598" s="132" t="s">
        <v>1900</v>
      </c>
      <c r="E598" s="132" t="s">
        <v>1907</v>
      </c>
      <c r="H598" s="132">
        <v>0</v>
      </c>
    </row>
    <row r="599" spans="1:8" ht="15.75" customHeight="1">
      <c r="A599" s="374">
        <v>45833.694039351853</v>
      </c>
      <c r="B599" s="374">
        <v>45833.694039351853</v>
      </c>
      <c r="C599" s="132" t="s">
        <v>1410</v>
      </c>
      <c r="D599" s="132" t="s">
        <v>1900</v>
      </c>
      <c r="E599" s="132" t="s">
        <v>1908</v>
      </c>
      <c r="H599" s="132">
        <v>0</v>
      </c>
    </row>
    <row r="600" spans="1:8" ht="15.75" customHeight="1">
      <c r="A600" s="374">
        <v>45833.694062499999</v>
      </c>
      <c r="B600" s="374">
        <v>45833.694062499999</v>
      </c>
      <c r="C600" s="132" t="s">
        <v>1410</v>
      </c>
      <c r="D600" s="132" t="s">
        <v>1900</v>
      </c>
      <c r="E600" s="132" t="s">
        <v>1906</v>
      </c>
      <c r="G600" s="132" t="s">
        <v>104</v>
      </c>
      <c r="H600" s="132">
        <v>0</v>
      </c>
    </row>
    <row r="601" spans="1:8" ht="15.75" customHeight="1">
      <c r="A601" s="374">
        <v>45833.694085648145</v>
      </c>
      <c r="B601" s="374">
        <v>45833.694085648145</v>
      </c>
      <c r="C601" s="132" t="s">
        <v>1410</v>
      </c>
      <c r="D601" s="132" t="s">
        <v>1900</v>
      </c>
      <c r="E601" s="132" t="s">
        <v>1905</v>
      </c>
      <c r="H601" s="132">
        <v>0</v>
      </c>
    </row>
    <row r="602" spans="1:8" ht="15.75" customHeight="1">
      <c r="A602" s="374">
        <v>45833.694131944445</v>
      </c>
      <c r="B602" s="374">
        <v>45833.694131944445</v>
      </c>
      <c r="C602" s="132" t="s">
        <v>1410</v>
      </c>
      <c r="D602" s="132" t="s">
        <v>1900</v>
      </c>
      <c r="E602" s="132" t="s">
        <v>1909</v>
      </c>
      <c r="G602" s="132" t="s">
        <v>93</v>
      </c>
      <c r="H602" s="132">
        <v>0</v>
      </c>
    </row>
    <row r="603" spans="1:8" ht="15.75" customHeight="1">
      <c r="A603" s="374">
        <v>45833.716331018521</v>
      </c>
      <c r="B603" s="374">
        <v>45833.716331018521</v>
      </c>
      <c r="C603" s="132" t="s">
        <v>1410</v>
      </c>
      <c r="D603" s="132" t="s">
        <v>1900</v>
      </c>
      <c r="E603" s="132" t="s">
        <v>1910</v>
      </c>
      <c r="F603" s="132" t="s">
        <v>1393</v>
      </c>
      <c r="G603" s="132" t="s">
        <v>191</v>
      </c>
      <c r="H603" s="132">
        <v>0</v>
      </c>
    </row>
    <row r="604" spans="1:8" ht="15.75" customHeight="1">
      <c r="A604" s="374">
        <v>45833.718611111108</v>
      </c>
      <c r="B604" s="374">
        <v>45833.718611111108</v>
      </c>
      <c r="C604" s="132" t="s">
        <v>1410</v>
      </c>
      <c r="D604" s="132" t="s">
        <v>1900</v>
      </c>
      <c r="E604" s="132" t="s">
        <v>1911</v>
      </c>
      <c r="H604" s="132">
        <v>0</v>
      </c>
    </row>
    <row r="605" spans="1:8" ht="15.75" customHeight="1"/>
    <row r="606" spans="1:8" ht="15.75" customHeight="1"/>
    <row r="607" spans="1:8" ht="15.75" customHeight="1"/>
    <row r="608" spans="1:8" ht="15.75" customHeight="1"/>
    <row r="609" spans="1:8" ht="15.75" customHeight="1">
      <c r="A609" s="374">
        <v>45833.718877314815</v>
      </c>
      <c r="B609" s="374">
        <v>45833.718877314815</v>
      </c>
      <c r="C609" s="132" t="s">
        <v>1410</v>
      </c>
      <c r="D609" s="132" t="s">
        <v>1900</v>
      </c>
      <c r="E609" s="132" t="s">
        <v>1912</v>
      </c>
      <c r="H609" s="132">
        <v>0</v>
      </c>
    </row>
    <row r="610" spans="1:8" ht="15.75" customHeight="1">
      <c r="A610" s="374">
        <v>45833.718888888892</v>
      </c>
      <c r="B610" s="374">
        <v>45833.718888888892</v>
      </c>
      <c r="C610" s="132" t="s">
        <v>1410</v>
      </c>
      <c r="D610" s="132" t="s">
        <v>1900</v>
      </c>
      <c r="E610" s="132" t="s">
        <v>1913</v>
      </c>
      <c r="H610" s="132">
        <v>0</v>
      </c>
    </row>
    <row r="611" spans="1:8" ht="15.75" customHeight="1">
      <c r="A611" s="374">
        <v>45833.718993055554</v>
      </c>
      <c r="B611" s="374">
        <v>45833.718993055554</v>
      </c>
      <c r="C611" s="132" t="s">
        <v>1410</v>
      </c>
      <c r="D611" s="132" t="s">
        <v>1900</v>
      </c>
      <c r="E611" s="132" t="s">
        <v>1914</v>
      </c>
      <c r="G611" s="132" t="s">
        <v>222</v>
      </c>
      <c r="H611" s="132">
        <v>0</v>
      </c>
    </row>
    <row r="612" spans="1:8" ht="15.75" customHeight="1">
      <c r="A612" s="374">
        <v>45833.7190625</v>
      </c>
      <c r="B612" s="374">
        <v>45833.7190625</v>
      </c>
      <c r="C612" s="132" t="s">
        <v>1410</v>
      </c>
      <c r="D612" s="132" t="s">
        <v>1900</v>
      </c>
      <c r="E612" s="132" t="s">
        <v>1915</v>
      </c>
      <c r="F612" s="132" t="s">
        <v>1916</v>
      </c>
      <c r="G612" s="132" t="s">
        <v>188</v>
      </c>
      <c r="H612" s="132">
        <v>0</v>
      </c>
    </row>
    <row r="613" spans="1:8" ht="15.75" customHeight="1">
      <c r="A613" s="374">
        <v>45833.719456018516</v>
      </c>
      <c r="B613" s="374">
        <v>45833.719456018516</v>
      </c>
      <c r="C613" s="132" t="s">
        <v>1410</v>
      </c>
      <c r="D613" s="132" t="s">
        <v>1900</v>
      </c>
      <c r="E613" s="132" t="s">
        <v>1917</v>
      </c>
      <c r="G613" s="132" t="b">
        <v>0</v>
      </c>
      <c r="H613" s="132">
        <v>0</v>
      </c>
    </row>
    <row r="614" spans="1:8" ht="15.75" customHeight="1">
      <c r="A614" s="374">
        <v>45833.719513888886</v>
      </c>
      <c r="B614" s="374">
        <v>45833.719513888886</v>
      </c>
      <c r="C614" s="132" t="s">
        <v>1410</v>
      </c>
      <c r="D614" s="132" t="s">
        <v>1900</v>
      </c>
      <c r="E614" s="132" t="s">
        <v>1918</v>
      </c>
      <c r="H614" s="132">
        <v>0</v>
      </c>
    </row>
    <row r="615" spans="1:8" ht="15.75" customHeight="1">
      <c r="A615" s="374">
        <v>45833.71979166667</v>
      </c>
      <c r="B615" s="374">
        <v>45833.71979166667</v>
      </c>
      <c r="C615" s="132" t="s">
        <v>1410</v>
      </c>
      <c r="D615" s="132" t="s">
        <v>1900</v>
      </c>
      <c r="E615" s="132" t="s">
        <v>1919</v>
      </c>
      <c r="H615" s="132">
        <v>0</v>
      </c>
    </row>
    <row r="616" spans="1:8" ht="15.75" customHeight="1">
      <c r="A616" s="374">
        <v>45833.719953703701</v>
      </c>
      <c r="B616" s="374">
        <v>45833.719953703701</v>
      </c>
      <c r="C616" s="132" t="s">
        <v>1410</v>
      </c>
      <c r="D616" s="132" t="s">
        <v>1900</v>
      </c>
      <c r="E616" s="132" t="s">
        <v>1920</v>
      </c>
      <c r="G616" s="132" t="s">
        <v>24</v>
      </c>
      <c r="H616" s="132">
        <v>0</v>
      </c>
    </row>
    <row r="617" spans="1:8" ht="15.75" customHeight="1">
      <c r="A617" s="374">
        <v>45833.719976851855</v>
      </c>
      <c r="B617" s="374">
        <v>45833.719976851855</v>
      </c>
      <c r="C617" s="132" t="s">
        <v>1410</v>
      </c>
      <c r="D617" s="132" t="s">
        <v>1900</v>
      </c>
      <c r="E617" s="132" t="s">
        <v>1921</v>
      </c>
      <c r="G617" s="132" t="s">
        <v>227</v>
      </c>
      <c r="H617" s="132">
        <v>0</v>
      </c>
    </row>
    <row r="618" spans="1:8" ht="15.75" customHeight="1">
      <c r="A618" s="374">
        <v>45833.720127314817</v>
      </c>
      <c r="B618" s="374">
        <v>45833.720127314817</v>
      </c>
      <c r="C618" s="132" t="s">
        <v>1410</v>
      </c>
      <c r="D618" s="132" t="s">
        <v>1900</v>
      </c>
      <c r="E618" s="132" t="s">
        <v>1919</v>
      </c>
      <c r="G618" s="132" t="s">
        <v>227</v>
      </c>
      <c r="H618" s="132">
        <v>0</v>
      </c>
    </row>
    <row r="619" spans="1:8" ht="15.75" customHeight="1">
      <c r="A619" s="374">
        <v>45833.720405092594</v>
      </c>
      <c r="B619" s="374">
        <v>45833.720405092594</v>
      </c>
      <c r="C619" s="132" t="s">
        <v>1410</v>
      </c>
      <c r="D619" s="132" t="s">
        <v>1900</v>
      </c>
      <c r="E619" s="132" t="s">
        <v>1922</v>
      </c>
      <c r="G619" s="132" t="s">
        <v>245</v>
      </c>
      <c r="H619" s="132">
        <v>0</v>
      </c>
    </row>
    <row r="620" spans="1:8" ht="15.75" customHeight="1">
      <c r="A620" s="374">
        <v>45833.720416666663</v>
      </c>
      <c r="B620" s="374">
        <v>45833.720416666663</v>
      </c>
      <c r="C620" s="132" t="s">
        <v>1410</v>
      </c>
      <c r="D620" s="132" t="s">
        <v>1900</v>
      </c>
      <c r="E620" s="132" t="s">
        <v>1923</v>
      </c>
      <c r="G620" s="132" t="b">
        <v>1</v>
      </c>
      <c r="H620" s="132">
        <v>0</v>
      </c>
    </row>
    <row r="621" spans="1:8" ht="15.75" customHeight="1">
      <c r="A621" s="374">
        <v>45833.720439814817</v>
      </c>
      <c r="B621" s="374">
        <v>45833.720439814817</v>
      </c>
      <c r="C621" s="132" t="s">
        <v>1410</v>
      </c>
      <c r="D621" s="132" t="s">
        <v>1900</v>
      </c>
      <c r="E621" s="132" t="s">
        <v>1923</v>
      </c>
      <c r="F621" s="132" t="b">
        <v>1</v>
      </c>
      <c r="H621" s="132">
        <v>0</v>
      </c>
    </row>
    <row r="622" spans="1:8" ht="15.75" customHeight="1">
      <c r="A622" s="374">
        <v>45833.720497685186</v>
      </c>
      <c r="B622" s="374">
        <v>45833.720497685186</v>
      </c>
      <c r="C622" s="132" t="s">
        <v>1410</v>
      </c>
      <c r="D622" s="132" t="s">
        <v>1900</v>
      </c>
      <c r="E622" s="132" t="s">
        <v>1924</v>
      </c>
      <c r="G622" s="132" t="s">
        <v>1747</v>
      </c>
      <c r="H622" s="132">
        <v>0</v>
      </c>
    </row>
    <row r="623" spans="1:8" ht="15.75" customHeight="1">
      <c r="A623" s="374">
        <v>45833.720752314817</v>
      </c>
      <c r="B623" s="374">
        <v>45833.720752314817</v>
      </c>
      <c r="C623" s="132" t="s">
        <v>1410</v>
      </c>
      <c r="D623" s="132" t="s">
        <v>1900</v>
      </c>
      <c r="E623" s="132" t="s">
        <v>1925</v>
      </c>
      <c r="G623" s="132" t="s">
        <v>1747</v>
      </c>
      <c r="H623" s="132">
        <v>0</v>
      </c>
    </row>
    <row r="624" spans="1:8" ht="15.75" customHeight="1">
      <c r="A624" s="374">
        <v>45833.720763888887</v>
      </c>
      <c r="B624" s="374">
        <v>45833.720763888887</v>
      </c>
      <c r="C624" s="132" t="s">
        <v>1410</v>
      </c>
      <c r="D624" s="132" t="s">
        <v>1900</v>
      </c>
      <c r="E624" s="132" t="s">
        <v>1926</v>
      </c>
      <c r="F624" s="132" t="b">
        <v>1</v>
      </c>
      <c r="G624" s="132" t="b">
        <v>0</v>
      </c>
      <c r="H624" s="132">
        <v>0</v>
      </c>
    </row>
    <row r="625" spans="1:8" ht="15.75" customHeight="1">
      <c r="A625" s="374">
        <v>45833.72079861111</v>
      </c>
      <c r="B625" s="374">
        <v>45833.72079861111</v>
      </c>
      <c r="C625" s="132" t="s">
        <v>1410</v>
      </c>
      <c r="D625" s="132" t="s">
        <v>1900</v>
      </c>
      <c r="E625" s="132" t="s">
        <v>1927</v>
      </c>
      <c r="G625" s="132" t="s">
        <v>245</v>
      </c>
      <c r="H625" s="132">
        <v>0</v>
      </c>
    </row>
    <row r="626" spans="1:8" ht="15.75" customHeight="1">
      <c r="A626" s="374">
        <v>45833.720856481479</v>
      </c>
      <c r="B626" s="374">
        <v>45833.720856481479</v>
      </c>
      <c r="C626" s="132" t="s">
        <v>1410</v>
      </c>
      <c r="D626" s="132" t="s">
        <v>1900</v>
      </c>
      <c r="E626" s="132" t="s">
        <v>1928</v>
      </c>
      <c r="G626" s="132" t="s">
        <v>245</v>
      </c>
      <c r="H626" s="132">
        <v>0</v>
      </c>
    </row>
    <row r="627" spans="1:8" ht="15.75" customHeight="1">
      <c r="A627" s="374">
        <v>45833.720902777779</v>
      </c>
      <c r="B627" s="374">
        <v>45833.720902777779</v>
      </c>
      <c r="C627" s="132" t="s">
        <v>1410</v>
      </c>
      <c r="D627" s="132" t="s">
        <v>1900</v>
      </c>
      <c r="E627" s="132" t="s">
        <v>1929</v>
      </c>
      <c r="G627" s="132" t="b">
        <v>0</v>
      </c>
      <c r="H627" s="132">
        <v>0</v>
      </c>
    </row>
    <row r="628" spans="1:8" ht="15.75" customHeight="1">
      <c r="A628" s="374">
        <v>45833.721053240741</v>
      </c>
      <c r="B628" s="374">
        <v>45833.721053240741</v>
      </c>
      <c r="C628" s="132" t="s">
        <v>1410</v>
      </c>
      <c r="D628" s="132" t="s">
        <v>1900</v>
      </c>
      <c r="E628" s="132" t="s">
        <v>1930</v>
      </c>
      <c r="F628" s="132" t="s">
        <v>245</v>
      </c>
      <c r="G628" s="132" t="s">
        <v>265</v>
      </c>
      <c r="H628" s="132">
        <v>0</v>
      </c>
    </row>
    <row r="629" spans="1:8" ht="15.75" customHeight="1">
      <c r="A629" s="374">
        <v>45840.438842592594</v>
      </c>
      <c r="B629" s="374">
        <v>45840.438842592594</v>
      </c>
      <c r="C629" s="132" t="s">
        <v>1403</v>
      </c>
      <c r="D629" s="132" t="s">
        <v>1931</v>
      </c>
      <c r="E629" s="132" t="s">
        <v>1932</v>
      </c>
      <c r="F629" s="132" t="b">
        <v>1</v>
      </c>
      <c r="G629" s="132" t="b">
        <v>0</v>
      </c>
      <c r="H629" s="132">
        <v>0</v>
      </c>
    </row>
    <row r="630" spans="1:8" ht="15.75" customHeight="1">
      <c r="A630" s="374">
        <v>45840.438842592594</v>
      </c>
      <c r="B630" s="374">
        <v>45840.438842592594</v>
      </c>
      <c r="C630" s="132" t="s">
        <v>1403</v>
      </c>
      <c r="D630" s="132" t="s">
        <v>1931</v>
      </c>
      <c r="E630" s="132" t="s">
        <v>1933</v>
      </c>
      <c r="F630" s="132" t="b">
        <v>1</v>
      </c>
      <c r="G630" s="132" t="b">
        <v>0</v>
      </c>
      <c r="H630" s="132">
        <v>0</v>
      </c>
    </row>
    <row r="631" spans="1:8" ht="15.75" customHeight="1">
      <c r="A631" s="374">
        <v>45840.438900462963</v>
      </c>
      <c r="B631" s="374">
        <v>45840.438900462963</v>
      </c>
      <c r="C631" s="132" t="s">
        <v>1403</v>
      </c>
      <c r="D631" s="132" t="s">
        <v>1931</v>
      </c>
      <c r="E631" s="132" t="s">
        <v>1933</v>
      </c>
      <c r="F631" s="132" t="b">
        <v>0</v>
      </c>
      <c r="G631" s="132" t="b">
        <v>1</v>
      </c>
      <c r="H631" s="132">
        <v>0</v>
      </c>
    </row>
    <row r="632" spans="1:8" ht="15.75" customHeight="1">
      <c r="A632" s="374">
        <v>45840.43891203704</v>
      </c>
      <c r="B632" s="374">
        <v>45840.43891203704</v>
      </c>
      <c r="C632" s="132" t="s">
        <v>1403</v>
      </c>
      <c r="D632" s="132" t="s">
        <v>1931</v>
      </c>
      <c r="E632" s="132" t="s">
        <v>1932</v>
      </c>
      <c r="F632" s="132" t="b">
        <v>0</v>
      </c>
      <c r="G632" s="132" t="b">
        <v>1</v>
      </c>
      <c r="H632" s="132">
        <v>0</v>
      </c>
    </row>
    <row r="633" spans="1:8" ht="15.75" customHeight="1">
      <c r="A633" s="374">
        <v>45840.474861111114</v>
      </c>
      <c r="B633" s="374">
        <v>45840.474861111114</v>
      </c>
      <c r="C633" s="132" t="s">
        <v>1403</v>
      </c>
      <c r="D633" s="132" t="s">
        <v>1931</v>
      </c>
      <c r="E633" s="132" t="s">
        <v>1926</v>
      </c>
      <c r="F633" s="132" t="b">
        <v>0</v>
      </c>
      <c r="G633" s="132" t="b">
        <v>1</v>
      </c>
      <c r="H633" s="132">
        <v>0</v>
      </c>
    </row>
    <row r="634" spans="1:8" ht="15.75" customHeight="1">
      <c r="A634" s="374">
        <v>45840.47488425926</v>
      </c>
      <c r="B634" s="374">
        <v>45840.47488425926</v>
      </c>
      <c r="C634" s="132" t="s">
        <v>1403</v>
      </c>
      <c r="D634" s="132" t="s">
        <v>1931</v>
      </c>
      <c r="E634" s="132" t="s">
        <v>1934</v>
      </c>
      <c r="F634" s="132" t="b">
        <v>0</v>
      </c>
      <c r="G634" s="132" t="b">
        <v>1</v>
      </c>
      <c r="H634" s="132">
        <v>0</v>
      </c>
    </row>
    <row r="635" spans="1:8" ht="15.75" customHeight="1">
      <c r="A635" s="374">
        <v>45840.474953703706</v>
      </c>
      <c r="B635" s="374">
        <v>45840.474953703706</v>
      </c>
      <c r="C635" s="132" t="s">
        <v>1403</v>
      </c>
      <c r="D635" s="132" t="s">
        <v>1931</v>
      </c>
      <c r="E635" s="132" t="s">
        <v>1926</v>
      </c>
      <c r="F635" s="132" t="b">
        <v>1</v>
      </c>
      <c r="G635" s="132" t="b">
        <v>0</v>
      </c>
      <c r="H635" s="132">
        <v>0</v>
      </c>
    </row>
    <row r="636" spans="1:8" ht="15.75" customHeight="1">
      <c r="A636" s="374">
        <v>45840.474953703706</v>
      </c>
      <c r="B636" s="374">
        <v>45840.474953703706</v>
      </c>
      <c r="C636" s="132" t="s">
        <v>1403</v>
      </c>
      <c r="D636" s="132" t="s">
        <v>1931</v>
      </c>
      <c r="E636" s="132" t="s">
        <v>1934</v>
      </c>
      <c r="F636" s="132" t="b">
        <v>1</v>
      </c>
      <c r="G636" s="132" t="b">
        <v>0</v>
      </c>
      <c r="H636" s="132">
        <v>0</v>
      </c>
    </row>
    <row r="637" spans="1:8" ht="15.75" customHeight="1">
      <c r="A637" s="374">
        <v>45840.474976851852</v>
      </c>
      <c r="B637" s="374">
        <v>45840.474976851852</v>
      </c>
      <c r="C637" s="132" t="s">
        <v>1403</v>
      </c>
      <c r="D637" s="132" t="s">
        <v>1931</v>
      </c>
      <c r="E637" s="132" t="s">
        <v>1935</v>
      </c>
      <c r="F637" s="132" t="b">
        <v>0</v>
      </c>
      <c r="G637" s="132" t="b">
        <v>1</v>
      </c>
      <c r="H637" s="132">
        <v>0</v>
      </c>
    </row>
    <row r="638" spans="1:8" ht="15.75" customHeight="1">
      <c r="A638" s="374">
        <v>45840.478391203702</v>
      </c>
      <c r="B638" s="374">
        <v>45840.478391203702</v>
      </c>
      <c r="C638" s="132" t="s">
        <v>1403</v>
      </c>
      <c r="D638" s="132" t="s">
        <v>1931</v>
      </c>
      <c r="E638" s="132" t="s">
        <v>1935</v>
      </c>
      <c r="F638" s="132" t="b">
        <v>1</v>
      </c>
      <c r="G638" s="132" t="b">
        <v>0</v>
      </c>
      <c r="H638" s="132">
        <v>0</v>
      </c>
    </row>
    <row r="639" spans="1:8" ht="15.75" customHeight="1">
      <c r="A639" s="374">
        <v>45840.478449074071</v>
      </c>
      <c r="B639" s="374">
        <v>45840.478449074071</v>
      </c>
      <c r="C639" s="132" t="s">
        <v>1403</v>
      </c>
      <c r="D639" s="132" t="s">
        <v>1931</v>
      </c>
      <c r="E639" s="132" t="s">
        <v>1726</v>
      </c>
      <c r="F639" s="132" t="b">
        <v>0</v>
      </c>
      <c r="G639" s="132" t="b">
        <v>0</v>
      </c>
      <c r="H639" s="132">
        <v>0</v>
      </c>
    </row>
    <row r="640" spans="1:8" ht="15.75" customHeight="1">
      <c r="A640" s="374">
        <v>45840.478449074071</v>
      </c>
      <c r="B640" s="374">
        <v>45840.478449074071</v>
      </c>
      <c r="C640" s="132" t="s">
        <v>1403</v>
      </c>
      <c r="D640" s="132" t="s">
        <v>1931</v>
      </c>
      <c r="E640" s="132" t="s">
        <v>1726</v>
      </c>
      <c r="F640" s="132" t="b">
        <v>1</v>
      </c>
      <c r="G640" s="132" t="b">
        <v>0</v>
      </c>
      <c r="H640" s="132">
        <v>0</v>
      </c>
    </row>
    <row r="641" spans="1:8" ht="15.75" customHeight="1">
      <c r="A641" s="374">
        <v>45840.478877314818</v>
      </c>
      <c r="B641" s="374">
        <v>45840.478877314818</v>
      </c>
      <c r="C641" s="132" t="s">
        <v>1403</v>
      </c>
      <c r="D641" s="132" t="s">
        <v>1931</v>
      </c>
      <c r="E641" s="132" t="s">
        <v>1726</v>
      </c>
      <c r="F641" s="132" t="b">
        <v>0</v>
      </c>
      <c r="G641" s="132" t="b">
        <v>0</v>
      </c>
      <c r="H641" s="132">
        <v>0</v>
      </c>
    </row>
    <row r="642" spans="1:8" ht="15.75" customHeight="1">
      <c r="A642" s="374">
        <v>45840.478888888887</v>
      </c>
      <c r="B642" s="374">
        <v>45840.478888888887</v>
      </c>
      <c r="C642" s="132" t="s">
        <v>1403</v>
      </c>
      <c r="D642" s="132" t="s">
        <v>1931</v>
      </c>
      <c r="E642" s="132" t="s">
        <v>1726</v>
      </c>
      <c r="F642" s="132" t="b">
        <v>0</v>
      </c>
      <c r="G642" s="132" t="b">
        <v>1</v>
      </c>
      <c r="H642" s="132">
        <v>0</v>
      </c>
    </row>
    <row r="643" spans="1:8" ht="15.75" customHeight="1">
      <c r="A643" s="374">
        <v>45840.478946759256</v>
      </c>
      <c r="B643" s="374">
        <v>45840.478946759256</v>
      </c>
      <c r="C643" s="132" t="s">
        <v>1403</v>
      </c>
      <c r="D643" s="132" t="s">
        <v>1931</v>
      </c>
      <c r="E643" s="132" t="s">
        <v>1935</v>
      </c>
      <c r="F643" s="132" t="b">
        <v>0</v>
      </c>
      <c r="G643" s="132" t="b">
        <v>1</v>
      </c>
      <c r="H643" s="132">
        <v>0</v>
      </c>
    </row>
    <row r="644" spans="1:8" ht="15.75" customHeight="1">
      <c r="A644" s="374">
        <v>45840.47896990741</v>
      </c>
      <c r="B644" s="374">
        <v>45840.47896990741</v>
      </c>
      <c r="C644" s="132" t="s">
        <v>1403</v>
      </c>
      <c r="D644" s="132" t="s">
        <v>1931</v>
      </c>
      <c r="E644" s="132" t="s">
        <v>1935</v>
      </c>
      <c r="F644" s="132" t="b">
        <v>1</v>
      </c>
      <c r="G644" s="132" t="b">
        <v>0</v>
      </c>
      <c r="H644" s="132">
        <v>0</v>
      </c>
    </row>
    <row r="645" spans="1:8" ht="15.75" customHeight="1">
      <c r="A645" s="374">
        <v>45840.478981481479</v>
      </c>
      <c r="B645" s="374">
        <v>45840.478981481479</v>
      </c>
      <c r="C645" s="132" t="s">
        <v>1403</v>
      </c>
      <c r="D645" s="132" t="s">
        <v>1931</v>
      </c>
      <c r="E645" s="132" t="s">
        <v>1726</v>
      </c>
      <c r="F645" s="132" t="b">
        <v>1</v>
      </c>
      <c r="G645" s="132" t="b">
        <v>0</v>
      </c>
      <c r="H645" s="132">
        <v>0</v>
      </c>
    </row>
    <row r="646" spans="1:8" ht="15.75" customHeight="1">
      <c r="A646" s="374">
        <v>45840.479004629633</v>
      </c>
      <c r="B646" s="374">
        <v>45840.479004629633</v>
      </c>
      <c r="C646" s="132" t="s">
        <v>1403</v>
      </c>
      <c r="D646" s="132" t="s">
        <v>1931</v>
      </c>
      <c r="E646" s="132" t="s">
        <v>1726</v>
      </c>
      <c r="F646" s="132" t="b">
        <v>0</v>
      </c>
      <c r="G646" s="132" t="b">
        <v>1</v>
      </c>
      <c r="H646" s="132">
        <v>0</v>
      </c>
    </row>
    <row r="647" spans="1:8" ht="15.75" customHeight="1">
      <c r="A647" s="374">
        <v>45840.479016203702</v>
      </c>
      <c r="B647" s="374">
        <v>45840.479016203702</v>
      </c>
      <c r="C647" s="132" t="s">
        <v>1403</v>
      </c>
      <c r="D647" s="132" t="s">
        <v>1931</v>
      </c>
      <c r="E647" s="132" t="s">
        <v>1935</v>
      </c>
      <c r="F647" s="132" t="b">
        <v>0</v>
      </c>
      <c r="G647" s="132" t="b">
        <v>1</v>
      </c>
      <c r="H647" s="132">
        <v>0</v>
      </c>
    </row>
    <row r="648" spans="1:8" ht="15.75" customHeight="1">
      <c r="A648" s="374">
        <v>45840.480497685188</v>
      </c>
      <c r="B648" s="374">
        <v>45840.480497685188</v>
      </c>
      <c r="C648" s="132" t="s">
        <v>1403</v>
      </c>
      <c r="D648" s="132" t="s">
        <v>1931</v>
      </c>
      <c r="E648" s="132" t="s">
        <v>1935</v>
      </c>
      <c r="F648" s="132" t="b">
        <v>1</v>
      </c>
      <c r="G648" s="132" t="b">
        <v>0</v>
      </c>
      <c r="H648" s="132">
        <v>0</v>
      </c>
    </row>
    <row r="649" spans="1:8" ht="15.75" customHeight="1">
      <c r="A649" s="374">
        <v>45840.480509259258</v>
      </c>
      <c r="B649" s="374">
        <v>45840.480509259258</v>
      </c>
      <c r="C649" s="132" t="s">
        <v>1403</v>
      </c>
      <c r="D649" s="132" t="s">
        <v>1931</v>
      </c>
      <c r="E649" s="132" t="s">
        <v>1726</v>
      </c>
      <c r="F649" s="132" t="b">
        <v>1</v>
      </c>
      <c r="G649" s="132" t="b">
        <v>0</v>
      </c>
      <c r="H649" s="132">
        <v>0</v>
      </c>
    </row>
    <row r="650" spans="1:8" ht="15.75" customHeight="1">
      <c r="A650" s="374">
        <v>45840.480763888889</v>
      </c>
      <c r="B650" s="374">
        <v>45840.480763888889</v>
      </c>
      <c r="C650" s="132" t="s">
        <v>1403</v>
      </c>
      <c r="D650" s="132" t="s">
        <v>1931</v>
      </c>
      <c r="E650" s="132" t="s">
        <v>1936</v>
      </c>
      <c r="G650" s="132" t="s">
        <v>205</v>
      </c>
      <c r="H650" s="132">
        <v>0</v>
      </c>
    </row>
    <row r="651" spans="1:8" ht="15.75" customHeight="1">
      <c r="A651" s="374">
        <v>45840.48704861111</v>
      </c>
      <c r="B651" s="374">
        <v>45840.48704861111</v>
      </c>
      <c r="C651" s="132" t="s">
        <v>1403</v>
      </c>
      <c r="D651" s="132" t="s">
        <v>1931</v>
      </c>
      <c r="E651" s="132" t="s">
        <v>1726</v>
      </c>
      <c r="F651" s="132" t="b">
        <v>0</v>
      </c>
      <c r="G651" s="132" t="s">
        <v>1937</v>
      </c>
      <c r="H651" s="132">
        <v>0</v>
      </c>
    </row>
    <row r="652" spans="1:8" ht="15.75" customHeight="1">
      <c r="A652" s="374">
        <v>45840.487060185187</v>
      </c>
      <c r="B652" s="374">
        <v>45840.487060185187</v>
      </c>
      <c r="C652" s="132" t="s">
        <v>1403</v>
      </c>
      <c r="D652" s="132" t="s">
        <v>1931</v>
      </c>
      <c r="E652" s="132" t="s">
        <v>1938</v>
      </c>
      <c r="G652" s="132" t="b">
        <v>0</v>
      </c>
      <c r="H652" s="132">
        <v>0</v>
      </c>
    </row>
    <row r="653" spans="1:8" ht="15.75" customHeight="1">
      <c r="A653" s="374">
        <v>45840.490706018521</v>
      </c>
      <c r="B653" s="374">
        <v>45840.490706018521</v>
      </c>
      <c r="C653" s="132" t="s">
        <v>1403</v>
      </c>
      <c r="D653" s="132" t="s">
        <v>1931</v>
      </c>
      <c r="E653" s="132" t="s">
        <v>1938</v>
      </c>
      <c r="G653" s="132" t="b">
        <v>0</v>
      </c>
      <c r="H653" s="132">
        <v>0</v>
      </c>
    </row>
    <row r="654" spans="1:8" ht="15.75" customHeight="1">
      <c r="A654" s="374">
        <v>45840.490833333337</v>
      </c>
      <c r="B654" s="374">
        <v>45840.490833333337</v>
      </c>
      <c r="C654" s="132" t="s">
        <v>1403</v>
      </c>
      <c r="D654" s="132" t="s">
        <v>1931</v>
      </c>
      <c r="E654" s="132" t="s">
        <v>1935</v>
      </c>
      <c r="F654" s="132" t="b">
        <v>0</v>
      </c>
      <c r="G654" s="132" t="b">
        <v>0</v>
      </c>
      <c r="H654" s="132">
        <v>0</v>
      </c>
    </row>
    <row r="655" spans="1:8" ht="15.75" customHeight="1">
      <c r="A655" s="374">
        <v>45840.490844907406</v>
      </c>
      <c r="B655" s="374">
        <v>45840.490844907406</v>
      </c>
      <c r="C655" s="132" t="s">
        <v>1403</v>
      </c>
      <c r="D655" s="132" t="s">
        <v>1931</v>
      </c>
      <c r="E655" s="132" t="s">
        <v>1935</v>
      </c>
      <c r="F655" s="132" t="b">
        <v>0</v>
      </c>
      <c r="G655" s="132" t="b">
        <v>1</v>
      </c>
      <c r="H655" s="132">
        <v>0</v>
      </c>
    </row>
    <row r="656" spans="1:8" ht="15.75" customHeight="1">
      <c r="A656" s="374">
        <v>45840.490937499999</v>
      </c>
      <c r="B656" s="374">
        <v>45840.490937499999</v>
      </c>
      <c r="C656" s="132" t="s">
        <v>1403</v>
      </c>
      <c r="D656" s="132" t="s">
        <v>1931</v>
      </c>
      <c r="E656" s="132" t="s">
        <v>1726</v>
      </c>
      <c r="F656" s="132" t="b">
        <v>0</v>
      </c>
      <c r="G656" s="132" t="b">
        <v>1</v>
      </c>
      <c r="H656" s="132">
        <v>0</v>
      </c>
    </row>
    <row r="657" spans="1:8" ht="15.75" customHeight="1">
      <c r="A657" s="374">
        <v>45840.491053240738</v>
      </c>
      <c r="B657" s="374">
        <v>45840.491053240738</v>
      </c>
      <c r="C657" s="132" t="s">
        <v>1403</v>
      </c>
      <c r="D657" s="132" t="s">
        <v>1931</v>
      </c>
      <c r="E657" s="132" t="s">
        <v>1727</v>
      </c>
      <c r="G657" s="132" t="s">
        <v>234</v>
      </c>
      <c r="H657" s="132">
        <v>0</v>
      </c>
    </row>
    <row r="658" spans="1:8" ht="15.75" customHeight="1">
      <c r="A658" s="374">
        <v>45840.491064814814</v>
      </c>
      <c r="B658" s="374">
        <v>45840.491064814814</v>
      </c>
      <c r="C658" s="132" t="s">
        <v>1403</v>
      </c>
      <c r="D658" s="132" t="s">
        <v>1931</v>
      </c>
      <c r="E658" s="132" t="s">
        <v>1939</v>
      </c>
      <c r="G658" s="132" t="s">
        <v>234</v>
      </c>
      <c r="H658" s="132">
        <v>0</v>
      </c>
    </row>
    <row r="659" spans="1:8" ht="15.75" customHeight="1">
      <c r="A659" s="374">
        <v>45840.491122685184</v>
      </c>
      <c r="B659" s="374">
        <v>45840.491122685184</v>
      </c>
      <c r="C659" s="132" t="s">
        <v>1403</v>
      </c>
      <c r="D659" s="132" t="s">
        <v>1931</v>
      </c>
      <c r="E659" s="132" t="s">
        <v>1877</v>
      </c>
      <c r="G659" s="132" t="s">
        <v>234</v>
      </c>
      <c r="H659" s="132">
        <v>0</v>
      </c>
    </row>
    <row r="660" spans="1:8" ht="15.75" customHeight="1">
      <c r="A660" s="374">
        <v>45840.491180555553</v>
      </c>
      <c r="B660" s="374">
        <v>45840.491180555553</v>
      </c>
      <c r="C660" s="132" t="s">
        <v>1403</v>
      </c>
      <c r="D660" s="132" t="s">
        <v>1404</v>
      </c>
      <c r="E660" s="132" t="s">
        <v>1940</v>
      </c>
      <c r="H660" s="132">
        <v>0</v>
      </c>
    </row>
    <row r="661" spans="1:8" ht="15.75" customHeight="1">
      <c r="A661" s="374">
        <v>45840.491238425922</v>
      </c>
      <c r="B661" s="374">
        <v>45840.491238425922</v>
      </c>
      <c r="C661" s="132" t="s">
        <v>1403</v>
      </c>
      <c r="D661" s="132" t="s">
        <v>1931</v>
      </c>
      <c r="E661" s="132" t="s">
        <v>1941</v>
      </c>
      <c r="G661" s="132" t="b">
        <v>0</v>
      </c>
      <c r="H661" s="132">
        <v>0</v>
      </c>
    </row>
    <row r="662" spans="1:8" ht="15.75" customHeight="1">
      <c r="A662" s="374">
        <v>45840.491493055553</v>
      </c>
      <c r="B662" s="374">
        <v>45840.491493055553</v>
      </c>
      <c r="C662" s="132" t="s">
        <v>1403</v>
      </c>
      <c r="D662" s="132" t="s">
        <v>1942</v>
      </c>
      <c r="E662" s="132" t="s">
        <v>1943</v>
      </c>
      <c r="G662" s="25">
        <v>45840</v>
      </c>
      <c r="H662" s="132">
        <v>0</v>
      </c>
    </row>
    <row r="663" spans="1:8" ht="15.75" customHeight="1">
      <c r="A663" s="374">
        <v>45840.491550925923</v>
      </c>
      <c r="B663" s="374">
        <v>45840.491550925923</v>
      </c>
      <c r="C663" s="132" t="s">
        <v>1403</v>
      </c>
      <c r="D663" s="132" t="s">
        <v>1944</v>
      </c>
      <c r="E663" s="132" t="s">
        <v>1945</v>
      </c>
      <c r="F663" s="132" t="b">
        <v>0</v>
      </c>
      <c r="G663" s="132" t="b">
        <v>1</v>
      </c>
      <c r="H663" s="132">
        <v>0</v>
      </c>
    </row>
    <row r="664" spans="1:8" ht="15.75" customHeight="1">
      <c r="A664" s="374">
        <v>45840.491562499999</v>
      </c>
      <c r="B664" s="374">
        <v>45840.491562499999</v>
      </c>
      <c r="C664" s="132" t="s">
        <v>1403</v>
      </c>
      <c r="D664" s="132" t="s">
        <v>1944</v>
      </c>
      <c r="E664" s="132" t="s">
        <v>1933</v>
      </c>
      <c r="F664" s="132" t="b">
        <v>0</v>
      </c>
      <c r="G664" s="132" t="b">
        <v>1</v>
      </c>
      <c r="H664" s="132">
        <v>0</v>
      </c>
    </row>
    <row r="665" spans="1:8" ht="15.75" customHeight="1">
      <c r="A665" s="374">
        <v>45840.491574074076</v>
      </c>
      <c r="B665" s="374">
        <v>45840.491574074076</v>
      </c>
      <c r="C665" s="132" t="s">
        <v>1403</v>
      </c>
      <c r="D665" s="132" t="s">
        <v>1944</v>
      </c>
      <c r="E665" s="132" t="s">
        <v>1932</v>
      </c>
      <c r="F665" s="132" t="b">
        <v>0</v>
      </c>
      <c r="G665" s="132" t="b">
        <v>1</v>
      </c>
      <c r="H665" s="132">
        <v>0</v>
      </c>
    </row>
    <row r="666" spans="1:8" ht="15.75" customHeight="1">
      <c r="A666" s="374">
        <v>45840.491574074076</v>
      </c>
      <c r="B666" s="374">
        <v>45840.491574074076</v>
      </c>
      <c r="C666" s="132" t="s">
        <v>1403</v>
      </c>
      <c r="D666" s="132" t="s">
        <v>1944</v>
      </c>
      <c r="E666" s="132" t="s">
        <v>1935</v>
      </c>
      <c r="F666" s="132" t="b">
        <v>0</v>
      </c>
      <c r="G666" s="132" t="b">
        <v>1</v>
      </c>
      <c r="H666" s="132">
        <v>0</v>
      </c>
    </row>
    <row r="667" spans="1:8" ht="15.75" customHeight="1">
      <c r="A667" s="374">
        <v>45840.491666666669</v>
      </c>
      <c r="B667" s="374">
        <v>45840.491666666669</v>
      </c>
      <c r="C667" s="132" t="s">
        <v>1403</v>
      </c>
      <c r="D667" s="132" t="s">
        <v>1944</v>
      </c>
      <c r="E667" s="132" t="s">
        <v>1946</v>
      </c>
      <c r="G667" s="132" t="s">
        <v>234</v>
      </c>
      <c r="H667" s="132">
        <v>0</v>
      </c>
    </row>
    <row r="668" spans="1:8" ht="15.75" customHeight="1">
      <c r="A668" s="374">
        <v>45840.492013888892</v>
      </c>
      <c r="B668" s="374">
        <v>45840.492013888892</v>
      </c>
      <c r="C668" s="132" t="s">
        <v>1403</v>
      </c>
      <c r="D668" s="132" t="s">
        <v>1944</v>
      </c>
      <c r="E668" s="132" t="s">
        <v>1947</v>
      </c>
      <c r="F668" s="132" t="b">
        <v>0</v>
      </c>
      <c r="G668" s="132" t="b">
        <v>0</v>
      </c>
      <c r="H668" s="132">
        <v>0</v>
      </c>
    </row>
    <row r="669" spans="1:8" ht="15.75" customHeight="1">
      <c r="A669" s="374">
        <v>45840.492013888892</v>
      </c>
      <c r="B669" s="374">
        <v>45840.492013888892</v>
      </c>
      <c r="C669" s="132" t="s">
        <v>1403</v>
      </c>
      <c r="D669" s="132" t="s">
        <v>1944</v>
      </c>
      <c r="E669" s="132" t="s">
        <v>1948</v>
      </c>
      <c r="F669" s="132" t="b">
        <v>0</v>
      </c>
      <c r="G669" s="132" t="b">
        <v>1</v>
      </c>
      <c r="H669" s="132">
        <v>0</v>
      </c>
    </row>
    <row r="670" spans="1:8" ht="15.75" customHeight="1">
      <c r="A670" s="374">
        <v>45840.492025462961</v>
      </c>
      <c r="B670" s="374">
        <v>45840.492025462961</v>
      </c>
      <c r="C670" s="132" t="s">
        <v>1403</v>
      </c>
      <c r="D670" s="132" t="s">
        <v>1944</v>
      </c>
      <c r="E670" s="132" t="s">
        <v>1947</v>
      </c>
      <c r="F670" s="132" t="b">
        <v>0</v>
      </c>
      <c r="G670" s="132" t="b">
        <v>1</v>
      </c>
      <c r="H670" s="132">
        <v>0</v>
      </c>
    </row>
    <row r="671" spans="1:8" ht="15.75" customHeight="1">
      <c r="A671" s="374">
        <v>45840.492037037038</v>
      </c>
      <c r="B671" s="374">
        <v>45840.492037037038</v>
      </c>
      <c r="C671" s="132" t="s">
        <v>1403</v>
      </c>
      <c r="D671" s="132" t="s">
        <v>1944</v>
      </c>
      <c r="E671" s="132" t="s">
        <v>1949</v>
      </c>
      <c r="F671" s="132" t="b">
        <v>0</v>
      </c>
      <c r="G671" s="132" t="b">
        <v>1</v>
      </c>
      <c r="H671" s="132">
        <v>0</v>
      </c>
    </row>
    <row r="672" spans="1:8" ht="15.75" customHeight="1">
      <c r="A672" s="374">
        <v>45840.492048611108</v>
      </c>
      <c r="B672" s="374">
        <v>45840.492048611108</v>
      </c>
      <c r="C672" s="132" t="s">
        <v>1403</v>
      </c>
      <c r="D672" s="132" t="s">
        <v>1944</v>
      </c>
      <c r="E672" s="132" t="s">
        <v>1950</v>
      </c>
      <c r="G672" s="132" t="b">
        <v>1</v>
      </c>
      <c r="H672" s="132">
        <v>0</v>
      </c>
    </row>
    <row r="673" spans="1:8" ht="15.75" customHeight="1">
      <c r="A673" s="374">
        <v>45840.492071759261</v>
      </c>
      <c r="B673" s="374">
        <v>45840.492071759261</v>
      </c>
      <c r="C673" s="132" t="s">
        <v>1403</v>
      </c>
      <c r="D673" s="132" t="s">
        <v>1944</v>
      </c>
      <c r="E673" s="132" t="s">
        <v>1951</v>
      </c>
      <c r="G673" s="132" t="b">
        <v>1</v>
      </c>
      <c r="H673" s="132">
        <v>0</v>
      </c>
    </row>
    <row r="674" spans="1:8" ht="15.75" customHeight="1">
      <c r="A674" s="374">
        <v>45840.493923611109</v>
      </c>
      <c r="B674" s="374">
        <v>45840.493923611109</v>
      </c>
      <c r="C674" s="132" t="s">
        <v>1403</v>
      </c>
      <c r="D674" s="132" t="s">
        <v>1944</v>
      </c>
      <c r="E674" s="132" t="s">
        <v>1952</v>
      </c>
      <c r="G674" s="132" t="b">
        <v>1</v>
      </c>
      <c r="H674" s="132">
        <v>0</v>
      </c>
    </row>
    <row r="675" spans="1:8" ht="15.75" customHeight="1">
      <c r="A675" s="374">
        <v>45840.494513888887</v>
      </c>
      <c r="B675" s="374">
        <v>45840.494513888887</v>
      </c>
      <c r="C675" s="132" t="s">
        <v>1403</v>
      </c>
      <c r="D675" s="132" t="s">
        <v>1944</v>
      </c>
      <c r="E675" s="132" t="s">
        <v>1953</v>
      </c>
      <c r="F675" s="132" t="b">
        <v>1</v>
      </c>
      <c r="G675" s="132" t="b">
        <v>0</v>
      </c>
      <c r="H675" s="132">
        <v>0</v>
      </c>
    </row>
    <row r="676" spans="1:8" ht="15.75" customHeight="1">
      <c r="A676" s="374">
        <v>45840.494560185187</v>
      </c>
      <c r="B676" s="374">
        <v>45840.494560185187</v>
      </c>
      <c r="C676" s="132" t="s">
        <v>1403</v>
      </c>
      <c r="D676" s="132" t="s">
        <v>1944</v>
      </c>
      <c r="E676" s="132" t="s">
        <v>1546</v>
      </c>
      <c r="F676" s="132" t="b">
        <v>1</v>
      </c>
      <c r="G676" s="132" t="b">
        <v>0</v>
      </c>
      <c r="H676" s="132">
        <v>0</v>
      </c>
    </row>
    <row r="677" spans="1:8" ht="15.75" customHeight="1">
      <c r="A677" s="374">
        <v>45840.494976851849</v>
      </c>
      <c r="B677" s="374">
        <v>45840.494976851849</v>
      </c>
      <c r="C677" s="132" t="s">
        <v>1403</v>
      </c>
      <c r="D677" s="132" t="s">
        <v>1944</v>
      </c>
      <c r="E677" s="132" t="s">
        <v>1954</v>
      </c>
      <c r="F677" s="132" t="b">
        <v>1</v>
      </c>
      <c r="G677" s="132" t="b">
        <v>0</v>
      </c>
      <c r="H677" s="132">
        <v>0</v>
      </c>
    </row>
    <row r="678" spans="1:8" ht="15.75" customHeight="1">
      <c r="A678" s="374">
        <v>45840.495034722226</v>
      </c>
      <c r="B678" s="374">
        <v>45840.495034722226</v>
      </c>
      <c r="C678" s="132" t="s">
        <v>1403</v>
      </c>
      <c r="D678" s="132" t="s">
        <v>1944</v>
      </c>
      <c r="E678" s="132" t="s">
        <v>1948</v>
      </c>
      <c r="F678" s="132" t="b">
        <v>1</v>
      </c>
      <c r="G678" s="132" t="b">
        <v>0</v>
      </c>
      <c r="H678" s="132">
        <v>0</v>
      </c>
    </row>
    <row r="679" spans="1:8" ht="15.75" customHeight="1">
      <c r="A679" s="374">
        <v>45840.495069444441</v>
      </c>
      <c r="B679" s="374">
        <v>45840.495069444441</v>
      </c>
      <c r="C679" s="132" t="s">
        <v>1403</v>
      </c>
      <c r="D679" s="132" t="s">
        <v>1944</v>
      </c>
      <c r="E679" s="132" t="s">
        <v>1955</v>
      </c>
      <c r="F679" s="132" t="b">
        <v>0</v>
      </c>
      <c r="G679" s="132" t="b">
        <v>1</v>
      </c>
      <c r="H679" s="132">
        <v>0</v>
      </c>
    </row>
    <row r="680" spans="1:8" ht="15.75" customHeight="1">
      <c r="A680" s="374">
        <v>45840.495081018518</v>
      </c>
      <c r="B680" s="374">
        <v>45840.495081018518</v>
      </c>
      <c r="C680" s="132" t="s">
        <v>1403</v>
      </c>
      <c r="D680" s="132" t="s">
        <v>1944</v>
      </c>
      <c r="E680" s="132" t="s">
        <v>1956</v>
      </c>
      <c r="F680" s="132" t="b">
        <v>0</v>
      </c>
      <c r="G680" s="132" t="b">
        <v>1</v>
      </c>
      <c r="H680" s="132">
        <v>0</v>
      </c>
    </row>
    <row r="681" spans="1:8" ht="15.75" customHeight="1">
      <c r="A681" s="374">
        <v>45840.495925925927</v>
      </c>
      <c r="B681" s="374">
        <v>45840.495925925927</v>
      </c>
      <c r="C681" s="132" t="s">
        <v>1403</v>
      </c>
      <c r="D681" s="132" t="s">
        <v>1944</v>
      </c>
      <c r="E681" s="132" t="s">
        <v>1957</v>
      </c>
      <c r="G681" s="132" t="b">
        <v>0</v>
      </c>
      <c r="H681" s="132">
        <v>0</v>
      </c>
    </row>
    <row r="682" spans="1:8" ht="15.75" customHeight="1">
      <c r="A682" s="374">
        <v>45840.495983796296</v>
      </c>
      <c r="B682" s="374">
        <v>45840.495983796296</v>
      </c>
      <c r="C682" s="132" t="s">
        <v>1403</v>
      </c>
      <c r="D682" s="132" t="s">
        <v>1944</v>
      </c>
      <c r="E682" s="132" t="s">
        <v>1958</v>
      </c>
      <c r="G682" s="132" t="b">
        <v>0</v>
      </c>
      <c r="H682" s="132">
        <v>0</v>
      </c>
    </row>
    <row r="683" spans="1:8" ht="15.75" customHeight="1">
      <c r="A683" s="374">
        <v>45840.510393518518</v>
      </c>
      <c r="B683" s="374">
        <v>45840.510393518518</v>
      </c>
      <c r="C683" s="132" t="s">
        <v>1403</v>
      </c>
      <c r="D683" s="132" t="s">
        <v>1944</v>
      </c>
      <c r="E683" s="132" t="s">
        <v>1959</v>
      </c>
      <c r="G683" s="132" t="b">
        <v>0</v>
      </c>
      <c r="H683" s="132">
        <v>0</v>
      </c>
    </row>
    <row r="684" spans="1:8" ht="15.75" customHeight="1">
      <c r="A684" s="374">
        <v>45840.510428240741</v>
      </c>
      <c r="B684" s="374">
        <v>45840.510428240741</v>
      </c>
      <c r="C684" s="132" t="s">
        <v>1403</v>
      </c>
      <c r="D684" s="132" t="s">
        <v>1944</v>
      </c>
      <c r="E684" s="132" t="s">
        <v>1960</v>
      </c>
      <c r="G684" s="132" t="s">
        <v>154</v>
      </c>
      <c r="H684" s="132">
        <v>0</v>
      </c>
    </row>
    <row r="685" spans="1:8" ht="15.75" customHeight="1">
      <c r="A685" s="374">
        <v>45840.510451388887</v>
      </c>
      <c r="B685" s="374">
        <v>45840.510451388887</v>
      </c>
      <c r="C685" s="132" t="s">
        <v>1403</v>
      </c>
      <c r="D685" s="132" t="s">
        <v>1944</v>
      </c>
      <c r="E685" s="132" t="s">
        <v>1961</v>
      </c>
      <c r="G685" s="132" t="s">
        <v>154</v>
      </c>
      <c r="H685" s="132">
        <v>0</v>
      </c>
    </row>
    <row r="686" spans="1:8" ht="15.75" customHeight="1">
      <c r="A686" s="374">
        <v>45840.510462962964</v>
      </c>
      <c r="B686" s="374">
        <v>45840.510462962964</v>
      </c>
      <c r="C686" s="132" t="s">
        <v>1403</v>
      </c>
      <c r="D686" s="132" t="s">
        <v>1944</v>
      </c>
      <c r="E686" s="132" t="s">
        <v>1962</v>
      </c>
      <c r="G686" s="132" t="s">
        <v>154</v>
      </c>
      <c r="H686" s="132">
        <v>0</v>
      </c>
    </row>
    <row r="687" spans="1:8" ht="15.75" customHeight="1">
      <c r="A687" s="374">
        <v>45840.510555555556</v>
      </c>
      <c r="B687" s="374">
        <v>45840.510555555556</v>
      </c>
      <c r="C687" s="132" t="s">
        <v>1403</v>
      </c>
      <c r="D687" s="132" t="s">
        <v>1944</v>
      </c>
      <c r="E687" s="132" t="s">
        <v>1940</v>
      </c>
      <c r="G687" s="132" t="s">
        <v>204</v>
      </c>
      <c r="H687" s="132">
        <v>0</v>
      </c>
    </row>
    <row r="688" spans="1:8" ht="15.75" customHeight="1">
      <c r="A688" s="374">
        <v>45840.510601851849</v>
      </c>
      <c r="B688" s="374">
        <v>45840.510601851849</v>
      </c>
      <c r="C688" s="132" t="s">
        <v>1403</v>
      </c>
      <c r="D688" s="132" t="s">
        <v>1944</v>
      </c>
      <c r="E688" s="132" t="s">
        <v>1963</v>
      </c>
      <c r="G688" s="132" t="b">
        <v>0</v>
      </c>
      <c r="H688" s="132">
        <v>0</v>
      </c>
    </row>
    <row r="689" spans="1:8" ht="15.75" customHeight="1">
      <c r="A689" s="374">
        <v>45840.510706018518</v>
      </c>
      <c r="B689" s="374">
        <v>45840.510706018518</v>
      </c>
      <c r="C689" s="132" t="s">
        <v>1403</v>
      </c>
      <c r="D689" s="132" t="s">
        <v>1944</v>
      </c>
      <c r="E689" s="132" t="s">
        <v>1964</v>
      </c>
      <c r="G689" s="132" t="s">
        <v>222</v>
      </c>
      <c r="H689" s="132">
        <v>0</v>
      </c>
    </row>
    <row r="690" spans="1:8" ht="15.75" customHeight="1">
      <c r="A690" s="374">
        <v>45840.590798611112</v>
      </c>
      <c r="B690" s="374">
        <v>45840.590798611112</v>
      </c>
      <c r="C690" s="132" t="s">
        <v>1403</v>
      </c>
      <c r="D690" s="132" t="s">
        <v>1931</v>
      </c>
      <c r="E690" s="132" t="s">
        <v>1965</v>
      </c>
      <c r="F690" s="132" t="b">
        <v>1</v>
      </c>
      <c r="G690" s="132" t="b">
        <v>0</v>
      </c>
      <c r="H690" s="132">
        <v>0</v>
      </c>
    </row>
    <row r="691" spans="1:8" ht="15.75" customHeight="1">
      <c r="A691" s="374">
        <v>45840.590810185182</v>
      </c>
      <c r="B691" s="374">
        <v>45840.590810185182</v>
      </c>
      <c r="C691" s="132" t="s">
        <v>1403</v>
      </c>
      <c r="D691" s="132" t="s">
        <v>1931</v>
      </c>
      <c r="E691" s="132" t="s">
        <v>1966</v>
      </c>
      <c r="F691" s="132" t="b">
        <v>1</v>
      </c>
      <c r="G691" s="132" t="b">
        <v>0</v>
      </c>
      <c r="H691" s="132">
        <v>0</v>
      </c>
    </row>
    <row r="692" spans="1:8" ht="15.75" customHeight="1">
      <c r="A692" s="374">
        <v>45840.597812499997</v>
      </c>
      <c r="B692" s="374">
        <v>45840.597812499997</v>
      </c>
      <c r="C692" s="132" t="s">
        <v>1403</v>
      </c>
      <c r="D692" s="132" t="s">
        <v>1931</v>
      </c>
      <c r="E692" s="132" t="s">
        <v>1932</v>
      </c>
      <c r="F692" s="132" t="b">
        <v>0</v>
      </c>
      <c r="G692" s="132" t="b">
        <v>1</v>
      </c>
      <c r="H692" s="132">
        <v>0</v>
      </c>
    </row>
    <row r="693" spans="1:8" ht="15.75" customHeight="1">
      <c r="A693" s="374">
        <v>45840.59783564815</v>
      </c>
      <c r="B693" s="374">
        <v>45840.59783564815</v>
      </c>
      <c r="C693" s="132" t="s">
        <v>1403</v>
      </c>
      <c r="D693" s="132" t="s">
        <v>1931</v>
      </c>
      <c r="E693" s="132" t="s">
        <v>1933</v>
      </c>
      <c r="F693" s="132" t="b">
        <v>0</v>
      </c>
      <c r="G693" s="132" t="b">
        <v>1</v>
      </c>
      <c r="H693" s="132">
        <v>0</v>
      </c>
    </row>
    <row r="694" spans="1:8" ht="15.75" customHeight="1">
      <c r="A694" s="374">
        <v>45840.597881944443</v>
      </c>
      <c r="B694" s="374">
        <v>45840.597881944443</v>
      </c>
      <c r="C694" s="132" t="s">
        <v>1403</v>
      </c>
      <c r="D694" s="132" t="s">
        <v>1931</v>
      </c>
      <c r="E694" s="132" t="s">
        <v>1933</v>
      </c>
      <c r="F694" s="132" t="b">
        <v>1</v>
      </c>
      <c r="G694" s="132" t="b">
        <v>0</v>
      </c>
      <c r="H694" s="132">
        <v>0</v>
      </c>
    </row>
    <row r="695" spans="1:8" ht="15.75" customHeight="1">
      <c r="A695" s="374">
        <v>45840.597893518519</v>
      </c>
      <c r="B695" s="374">
        <v>45840.597893518519</v>
      </c>
      <c r="C695" s="132" t="s">
        <v>1403</v>
      </c>
      <c r="D695" s="132" t="s">
        <v>1931</v>
      </c>
      <c r="E695" s="132" t="s">
        <v>1932</v>
      </c>
      <c r="F695" s="132" t="b">
        <v>1</v>
      </c>
      <c r="G695" s="132" t="b">
        <v>0</v>
      </c>
      <c r="H695" s="132">
        <v>0</v>
      </c>
    </row>
    <row r="696" spans="1:8" ht="15.75" customHeight="1">
      <c r="A696" s="374">
        <v>45840.598032407404</v>
      </c>
      <c r="B696" s="374">
        <v>45840.598032407404</v>
      </c>
      <c r="C696" s="132" t="s">
        <v>1403</v>
      </c>
      <c r="D696" s="132" t="s">
        <v>1944</v>
      </c>
      <c r="E696" s="132" t="s">
        <v>1967</v>
      </c>
      <c r="F696" s="132" t="b">
        <v>0</v>
      </c>
      <c r="G696" s="132" t="b">
        <v>1</v>
      </c>
      <c r="H696" s="132">
        <v>0</v>
      </c>
    </row>
    <row r="697" spans="1:8" ht="15.75" customHeight="1">
      <c r="A697" s="374">
        <v>45840.598043981481</v>
      </c>
      <c r="B697" s="374">
        <v>45840.598043981481</v>
      </c>
      <c r="C697" s="132" t="s">
        <v>1403</v>
      </c>
      <c r="D697" s="132" t="s">
        <v>1944</v>
      </c>
      <c r="E697" s="132" t="s">
        <v>1836</v>
      </c>
      <c r="F697" s="132" t="b">
        <v>0</v>
      </c>
      <c r="G697" s="132" t="b">
        <v>1</v>
      </c>
      <c r="H697" s="132">
        <v>0</v>
      </c>
    </row>
    <row r="698" spans="1:8" ht="15.75" customHeight="1">
      <c r="A698" s="374">
        <v>45840.600555555553</v>
      </c>
      <c r="B698" s="374">
        <v>45840.600555555553</v>
      </c>
      <c r="C698" s="132" t="s">
        <v>1403</v>
      </c>
      <c r="D698" s="132" t="s">
        <v>1968</v>
      </c>
      <c r="E698" s="132" t="s">
        <v>1933</v>
      </c>
      <c r="F698" s="132" t="b">
        <v>0</v>
      </c>
      <c r="G698" s="132" t="b">
        <v>1</v>
      </c>
      <c r="H698" s="132">
        <v>0</v>
      </c>
    </row>
    <row r="699" spans="1:8" ht="15.75" customHeight="1">
      <c r="A699" s="374">
        <v>45840.600555555553</v>
      </c>
      <c r="B699" s="374">
        <v>45840.600555555553</v>
      </c>
      <c r="C699" s="132" t="s">
        <v>1403</v>
      </c>
      <c r="D699" s="132" t="s">
        <v>1968</v>
      </c>
      <c r="E699" s="132" t="s">
        <v>1932</v>
      </c>
      <c r="F699" s="132" t="b">
        <v>0</v>
      </c>
      <c r="G699" s="132" t="b">
        <v>1</v>
      </c>
      <c r="H699" s="132">
        <v>0</v>
      </c>
    </row>
    <row r="700" spans="1:8" ht="15.75" customHeight="1">
      <c r="A700" s="374">
        <v>45840.600624999999</v>
      </c>
      <c r="B700" s="374">
        <v>45840.600624999999</v>
      </c>
      <c r="C700" s="132" t="s">
        <v>1403</v>
      </c>
      <c r="D700" s="132" t="s">
        <v>1968</v>
      </c>
      <c r="E700" s="132" t="s">
        <v>1933</v>
      </c>
      <c r="F700" s="132" t="b">
        <v>1</v>
      </c>
      <c r="G700" s="132" t="b">
        <v>0</v>
      </c>
      <c r="H700" s="132">
        <v>0</v>
      </c>
    </row>
    <row r="701" spans="1:8" ht="15.75" customHeight="1">
      <c r="A701" s="374">
        <v>45840.600624999999</v>
      </c>
      <c r="B701" s="374">
        <v>45840.600624999999</v>
      </c>
      <c r="C701" s="132" t="s">
        <v>1403</v>
      </c>
      <c r="D701" s="132" t="s">
        <v>1968</v>
      </c>
      <c r="E701" s="132" t="s">
        <v>1932</v>
      </c>
      <c r="F701" s="132" t="b">
        <v>1</v>
      </c>
      <c r="G701" s="132" t="b">
        <v>0</v>
      </c>
      <c r="H701" s="132">
        <v>0</v>
      </c>
    </row>
    <row r="702" spans="1:8" ht="15.75" customHeight="1">
      <c r="A702" s="374">
        <v>45840.612766203703</v>
      </c>
      <c r="B702" s="374">
        <v>45840.612766203703</v>
      </c>
      <c r="C702" s="132" t="s">
        <v>1403</v>
      </c>
      <c r="D702" s="132" t="s">
        <v>1968</v>
      </c>
      <c r="E702" s="132" t="s">
        <v>1910</v>
      </c>
      <c r="F702" s="132" t="s">
        <v>197</v>
      </c>
      <c r="G702" s="132" t="s">
        <v>411</v>
      </c>
      <c r="H702" s="132">
        <v>0</v>
      </c>
    </row>
    <row r="703" spans="1:8" ht="15.75" customHeight="1">
      <c r="A703" s="374">
        <v>45840.61278935185</v>
      </c>
      <c r="B703" s="374">
        <v>45840.61278935185</v>
      </c>
      <c r="C703" s="132" t="s">
        <v>1403</v>
      </c>
      <c r="D703" s="132" t="s">
        <v>1968</v>
      </c>
      <c r="E703" s="132" t="s">
        <v>1561</v>
      </c>
      <c r="F703" s="132" t="s">
        <v>198</v>
      </c>
      <c r="G703" s="132" t="s">
        <v>412</v>
      </c>
      <c r="H703" s="132">
        <v>0</v>
      </c>
    </row>
    <row r="704" spans="1:8" ht="15.75" customHeight="1">
      <c r="A704" s="374">
        <v>45840.612962962965</v>
      </c>
      <c r="B704" s="374">
        <v>45840.612962962965</v>
      </c>
      <c r="C704" s="132" t="s">
        <v>1403</v>
      </c>
      <c r="D704" s="132" t="s">
        <v>1968</v>
      </c>
      <c r="E704" s="132" t="s">
        <v>1932</v>
      </c>
      <c r="F704" s="132" t="b">
        <v>0</v>
      </c>
      <c r="G704" s="132" t="b">
        <v>1</v>
      </c>
      <c r="H704" s="132">
        <v>0</v>
      </c>
    </row>
    <row r="705" spans="1:8" ht="15.75" customHeight="1">
      <c r="A705" s="374">
        <v>45840.612962962965</v>
      </c>
      <c r="B705" s="374">
        <v>45840.612962962965</v>
      </c>
      <c r="C705" s="132" t="s">
        <v>1403</v>
      </c>
      <c r="D705" s="132" t="s">
        <v>1968</v>
      </c>
      <c r="E705" s="132" t="s">
        <v>1933</v>
      </c>
      <c r="F705" s="132" t="b">
        <v>0</v>
      </c>
      <c r="G705" s="132" t="b">
        <v>1</v>
      </c>
      <c r="H705" s="132">
        <v>0</v>
      </c>
    </row>
    <row r="706" spans="1:8" ht="15.75" customHeight="1">
      <c r="A706" s="374">
        <v>45840.613032407404</v>
      </c>
      <c r="B706" s="374">
        <v>45840.613032407404</v>
      </c>
      <c r="C706" s="132" t="s">
        <v>1403</v>
      </c>
      <c r="D706" s="132" t="s">
        <v>1968</v>
      </c>
      <c r="E706" s="132" t="s">
        <v>1933</v>
      </c>
      <c r="F706" s="132" t="b">
        <v>1</v>
      </c>
      <c r="G706" s="132" t="b">
        <v>0</v>
      </c>
      <c r="H706" s="132">
        <v>0</v>
      </c>
    </row>
    <row r="707" spans="1:8" ht="15.75" customHeight="1">
      <c r="A707" s="374">
        <v>45840.613032407404</v>
      </c>
      <c r="B707" s="374">
        <v>45840.613032407404</v>
      </c>
      <c r="C707" s="132" t="s">
        <v>1403</v>
      </c>
      <c r="D707" s="132" t="s">
        <v>1968</v>
      </c>
      <c r="E707" s="132" t="s">
        <v>1932</v>
      </c>
      <c r="F707" s="132" t="b">
        <v>1</v>
      </c>
      <c r="G707" s="132" t="b">
        <v>0</v>
      </c>
      <c r="H707" s="132">
        <v>0</v>
      </c>
    </row>
    <row r="708" spans="1:8" ht="15.75" customHeight="1">
      <c r="A708" s="374">
        <v>45840.613182870373</v>
      </c>
      <c r="B708" s="374">
        <v>45840.613182870373</v>
      </c>
      <c r="C708" s="132" t="s">
        <v>1403</v>
      </c>
      <c r="D708" s="132" t="s">
        <v>1968</v>
      </c>
      <c r="E708" s="132" t="s">
        <v>1969</v>
      </c>
      <c r="F708" s="132" t="b">
        <v>0</v>
      </c>
      <c r="G708" s="132" t="b">
        <v>1</v>
      </c>
      <c r="H708" s="132">
        <v>0</v>
      </c>
    </row>
    <row r="709" spans="1:8" ht="15.75" customHeight="1">
      <c r="A709" s="374">
        <v>45840.613182870373</v>
      </c>
      <c r="B709" s="374">
        <v>45840.613182870373</v>
      </c>
      <c r="C709" s="132" t="s">
        <v>1403</v>
      </c>
      <c r="D709" s="132" t="s">
        <v>1968</v>
      </c>
      <c r="E709" s="132" t="s">
        <v>1970</v>
      </c>
      <c r="F709" s="132" t="b">
        <v>0</v>
      </c>
      <c r="G709" s="132" t="b">
        <v>1</v>
      </c>
      <c r="H709" s="132">
        <v>0</v>
      </c>
    </row>
    <row r="710" spans="1:8" ht="15.75" customHeight="1">
      <c r="A710" s="374">
        <v>45840.613206018519</v>
      </c>
      <c r="B710" s="374">
        <v>45840.613206018519</v>
      </c>
      <c r="C710" s="132" t="s">
        <v>1403</v>
      </c>
      <c r="D710" s="132" t="s">
        <v>1968</v>
      </c>
      <c r="E710" s="132" t="s">
        <v>1971</v>
      </c>
      <c r="F710" s="132" t="b">
        <v>0</v>
      </c>
      <c r="G710" s="132" t="b">
        <v>1</v>
      </c>
      <c r="H710" s="132">
        <v>0</v>
      </c>
    </row>
    <row r="711" spans="1:8" ht="15.75" customHeight="1">
      <c r="A711" s="374">
        <v>45840.613263888888</v>
      </c>
      <c r="B711" s="374">
        <v>45840.613263888888</v>
      </c>
      <c r="C711" s="132" t="s">
        <v>1403</v>
      </c>
      <c r="D711" s="132" t="s">
        <v>1968</v>
      </c>
      <c r="E711" s="132" t="s">
        <v>1972</v>
      </c>
      <c r="F711" s="132" t="s">
        <v>205</v>
      </c>
      <c r="G711" s="132" t="s">
        <v>234</v>
      </c>
      <c r="H711" s="132">
        <v>0</v>
      </c>
    </row>
    <row r="712" spans="1:8" ht="15.75" customHeight="1">
      <c r="A712" s="374">
        <v>45840.613275462965</v>
      </c>
      <c r="B712" s="374">
        <v>45840.613275462965</v>
      </c>
      <c r="C712" s="132" t="s">
        <v>1403</v>
      </c>
      <c r="D712" s="132" t="s">
        <v>1968</v>
      </c>
      <c r="E712" s="132" t="s">
        <v>1973</v>
      </c>
      <c r="F712" s="132" t="s">
        <v>205</v>
      </c>
      <c r="G712" s="132" t="s">
        <v>234</v>
      </c>
      <c r="H712" s="132">
        <v>0</v>
      </c>
    </row>
    <row r="713" spans="1:8" ht="15.75" customHeight="1">
      <c r="A713" s="374">
        <v>45840.613275462965</v>
      </c>
      <c r="B713" s="374">
        <v>45840.613275462965</v>
      </c>
      <c r="C713" s="132" t="s">
        <v>1403</v>
      </c>
      <c r="D713" s="132" t="s">
        <v>1968</v>
      </c>
      <c r="E713" s="132" t="s">
        <v>1974</v>
      </c>
      <c r="F713" s="132" t="s">
        <v>205</v>
      </c>
      <c r="G713" s="132" t="s">
        <v>234</v>
      </c>
      <c r="H713" s="132">
        <v>0</v>
      </c>
    </row>
    <row r="714" spans="1:8" ht="15.75" customHeight="1">
      <c r="A714" s="374">
        <v>45840.613333333335</v>
      </c>
      <c r="B714" s="374">
        <v>45840.613333333335</v>
      </c>
      <c r="C714" s="132" t="s">
        <v>1403</v>
      </c>
      <c r="D714" s="132" t="s">
        <v>1968</v>
      </c>
      <c r="E714" s="132" t="s">
        <v>1975</v>
      </c>
      <c r="G714" s="132" t="b">
        <v>0</v>
      </c>
      <c r="H714" s="132">
        <v>0</v>
      </c>
    </row>
    <row r="715" spans="1:8" ht="15.75" customHeight="1">
      <c r="A715" s="374">
        <v>45840.61347222222</v>
      </c>
      <c r="B715" s="374">
        <v>45840.61347222222</v>
      </c>
      <c r="C715" s="132" t="s">
        <v>1403</v>
      </c>
      <c r="D715" s="132" t="s">
        <v>1976</v>
      </c>
      <c r="E715" s="132" t="s">
        <v>1943</v>
      </c>
      <c r="G715" s="25">
        <v>45840</v>
      </c>
      <c r="H715" s="132">
        <v>0</v>
      </c>
    </row>
    <row r="716" spans="1:8" ht="15.75" customHeight="1">
      <c r="A716" s="374">
        <v>45840.61347222222</v>
      </c>
      <c r="B716" s="374">
        <v>45840.61347222222</v>
      </c>
      <c r="C716" s="132" t="s">
        <v>1403</v>
      </c>
      <c r="D716" s="132" t="s">
        <v>1976</v>
      </c>
      <c r="E716" s="132" t="s">
        <v>1933</v>
      </c>
      <c r="F716" s="132" t="b">
        <v>0</v>
      </c>
      <c r="G716" s="132" t="b">
        <v>1</v>
      </c>
      <c r="H716" s="132">
        <v>0</v>
      </c>
    </row>
    <row r="717" spans="1:8" ht="15.75" customHeight="1">
      <c r="A717" s="374">
        <v>45840.61347222222</v>
      </c>
      <c r="B717" s="374">
        <v>45840.61347222222</v>
      </c>
      <c r="C717" s="132" t="s">
        <v>1403</v>
      </c>
      <c r="D717" s="132" t="s">
        <v>1976</v>
      </c>
      <c r="E717" s="132" t="s">
        <v>1945</v>
      </c>
      <c r="F717" s="132" t="b">
        <v>0</v>
      </c>
      <c r="G717" s="132" t="b">
        <v>1</v>
      </c>
      <c r="H717" s="132">
        <v>0</v>
      </c>
    </row>
    <row r="718" spans="1:8" ht="15.75" customHeight="1">
      <c r="A718" s="374">
        <v>45840.613483796296</v>
      </c>
      <c r="B718" s="374">
        <v>45840.613483796296</v>
      </c>
      <c r="C718" s="132" t="s">
        <v>1403</v>
      </c>
      <c r="D718" s="132" t="s">
        <v>1976</v>
      </c>
      <c r="E718" s="132" t="s">
        <v>1977</v>
      </c>
      <c r="F718" s="132" t="b">
        <v>0</v>
      </c>
      <c r="G718" s="132" t="b">
        <v>1</v>
      </c>
      <c r="H718" s="132">
        <v>0</v>
      </c>
    </row>
    <row r="719" spans="1:8" ht="15.75" customHeight="1">
      <c r="A719" s="374">
        <v>45840.613495370373</v>
      </c>
      <c r="B719" s="374">
        <v>45840.613495370373</v>
      </c>
      <c r="C719" s="132" t="s">
        <v>1403</v>
      </c>
      <c r="D719" s="132" t="s">
        <v>1976</v>
      </c>
      <c r="E719" s="132" t="s">
        <v>1932</v>
      </c>
      <c r="F719" s="132" t="b">
        <v>0</v>
      </c>
      <c r="G719" s="132" t="b">
        <v>1</v>
      </c>
      <c r="H719" s="132">
        <v>0</v>
      </c>
    </row>
    <row r="720" spans="1:8" ht="15.75" customHeight="1">
      <c r="A720" s="374">
        <v>45840.613495370373</v>
      </c>
      <c r="B720" s="374">
        <v>45840.613495370373</v>
      </c>
      <c r="C720" s="132" t="s">
        <v>1403</v>
      </c>
      <c r="D720" s="132" t="s">
        <v>1976</v>
      </c>
      <c r="E720" s="132" t="s">
        <v>1935</v>
      </c>
      <c r="F720" s="132" t="b">
        <v>0</v>
      </c>
      <c r="G720" s="132" t="b">
        <v>1</v>
      </c>
      <c r="H720" s="132">
        <v>0</v>
      </c>
    </row>
    <row r="721" spans="1:8" ht="15.75" customHeight="1">
      <c r="A721" s="374">
        <v>45840.613506944443</v>
      </c>
      <c r="B721" s="374">
        <v>45840.613506944443</v>
      </c>
      <c r="C721" s="132" t="s">
        <v>1403</v>
      </c>
      <c r="D721" s="132" t="s">
        <v>1976</v>
      </c>
      <c r="E721" s="132" t="s">
        <v>1726</v>
      </c>
      <c r="F721" s="132" t="b">
        <v>0</v>
      </c>
      <c r="G721" s="132" t="b">
        <v>1</v>
      </c>
      <c r="H721" s="132">
        <v>0</v>
      </c>
    </row>
    <row r="722" spans="1:8" ht="15.75" customHeight="1">
      <c r="A722" s="374">
        <v>45840.613634259258</v>
      </c>
      <c r="B722" s="374">
        <v>45840.613634259258</v>
      </c>
      <c r="C722" s="132" t="s">
        <v>1403</v>
      </c>
      <c r="D722" s="132" t="s">
        <v>1976</v>
      </c>
      <c r="E722" s="132" t="s">
        <v>1727</v>
      </c>
      <c r="F722" s="132" t="s">
        <v>205</v>
      </c>
      <c r="G722" s="132" t="s">
        <v>234</v>
      </c>
      <c r="H722" s="132">
        <v>0</v>
      </c>
    </row>
    <row r="723" spans="1:8" ht="15.75" customHeight="1">
      <c r="A723" s="374">
        <v>45840.613657407404</v>
      </c>
      <c r="B723" s="374">
        <v>45840.613657407404</v>
      </c>
      <c r="C723" s="132" t="s">
        <v>1403</v>
      </c>
      <c r="D723" s="132" t="s">
        <v>1976</v>
      </c>
      <c r="E723" s="132" t="s">
        <v>1946</v>
      </c>
      <c r="G723" s="132" t="s">
        <v>234</v>
      </c>
      <c r="H723" s="132">
        <v>0</v>
      </c>
    </row>
    <row r="724" spans="1:8" ht="15.75" customHeight="1">
      <c r="A724" s="374">
        <v>45840.613993055558</v>
      </c>
      <c r="B724" s="374">
        <v>45840.613993055558</v>
      </c>
      <c r="C724" s="132" t="s">
        <v>1403</v>
      </c>
      <c r="D724" s="132" t="s">
        <v>1976</v>
      </c>
      <c r="E724" s="132" t="s">
        <v>1943</v>
      </c>
      <c r="G724" s="25">
        <v>45840</v>
      </c>
      <c r="H724" s="132">
        <v>0</v>
      </c>
    </row>
    <row r="725" spans="1:8" ht="15.75" customHeight="1">
      <c r="A725" s="374">
        <v>45840.614108796297</v>
      </c>
      <c r="B725" s="374">
        <v>45840.614108796297</v>
      </c>
      <c r="C725" s="132" t="s">
        <v>1403</v>
      </c>
      <c r="D725" s="132" t="s">
        <v>1976</v>
      </c>
      <c r="E725" s="132" t="s">
        <v>1978</v>
      </c>
      <c r="G725" s="132" t="b">
        <v>0</v>
      </c>
      <c r="H725" s="132">
        <v>0</v>
      </c>
    </row>
    <row r="726" spans="1:8" ht="15.75" customHeight="1">
      <c r="A726" s="374">
        <v>45840.614131944443</v>
      </c>
      <c r="B726" s="374">
        <v>45840.614131944443</v>
      </c>
      <c r="C726" s="132" t="s">
        <v>1403</v>
      </c>
      <c r="D726" s="132" t="s">
        <v>1976</v>
      </c>
      <c r="E726" s="132" t="s">
        <v>1979</v>
      </c>
      <c r="G726" s="132" t="b">
        <v>0</v>
      </c>
      <c r="H726" s="132">
        <v>0</v>
      </c>
    </row>
    <row r="727" spans="1:8" ht="15.75" customHeight="1">
      <c r="A727" s="374">
        <v>45840.633587962962</v>
      </c>
      <c r="B727" s="374">
        <v>45840.633587962962</v>
      </c>
      <c r="C727" s="132" t="s">
        <v>1403</v>
      </c>
      <c r="D727" s="132" t="s">
        <v>1968</v>
      </c>
      <c r="E727" s="132" t="s">
        <v>1977</v>
      </c>
      <c r="F727" s="132" t="b">
        <v>1</v>
      </c>
      <c r="G727" s="132" t="b">
        <v>0</v>
      </c>
      <c r="H727" s="132">
        <v>0</v>
      </c>
    </row>
    <row r="728" spans="1:8" ht="15.75" customHeight="1">
      <c r="A728" s="374">
        <v>45840.633587962962</v>
      </c>
      <c r="B728" s="374">
        <v>45840.633587962962</v>
      </c>
      <c r="C728" s="132" t="s">
        <v>1403</v>
      </c>
      <c r="D728" s="132" t="s">
        <v>1968</v>
      </c>
      <c r="E728" s="132" t="s">
        <v>1935</v>
      </c>
      <c r="F728" s="132" t="b">
        <v>1</v>
      </c>
      <c r="G728" s="132" t="b">
        <v>0</v>
      </c>
      <c r="H728" s="132">
        <v>0</v>
      </c>
    </row>
    <row r="729" spans="1:8" ht="15.75" customHeight="1">
      <c r="A729" s="374">
        <v>45840.633634259262</v>
      </c>
      <c r="B729" s="374">
        <v>45840.633634259262</v>
      </c>
      <c r="C729" s="132" t="s">
        <v>1403</v>
      </c>
      <c r="D729" s="132" t="s">
        <v>1968</v>
      </c>
      <c r="E729" s="132" t="s">
        <v>1977</v>
      </c>
      <c r="F729" s="132" t="b">
        <v>0</v>
      </c>
      <c r="G729" s="132" t="b">
        <v>1</v>
      </c>
      <c r="H729" s="132">
        <v>0</v>
      </c>
    </row>
    <row r="730" spans="1:8" ht="15.75" customHeight="1">
      <c r="A730" s="374">
        <v>45840.633726851855</v>
      </c>
      <c r="B730" s="374">
        <v>45840.633726851855</v>
      </c>
      <c r="C730" s="132" t="s">
        <v>1403</v>
      </c>
      <c r="D730" s="132" t="s">
        <v>1968</v>
      </c>
      <c r="E730" s="132" t="s">
        <v>1980</v>
      </c>
      <c r="F730" s="132" t="s">
        <v>205</v>
      </c>
      <c r="G730" s="132" t="s">
        <v>234</v>
      </c>
      <c r="H730" s="132">
        <v>0</v>
      </c>
    </row>
    <row r="731" spans="1:8" ht="15.75" customHeight="1">
      <c r="A731" s="374">
        <v>45840.633784722224</v>
      </c>
      <c r="B731" s="374">
        <v>45840.633784722224</v>
      </c>
      <c r="C731" s="132" t="s">
        <v>1403</v>
      </c>
      <c r="D731" s="132" t="s">
        <v>1968</v>
      </c>
      <c r="E731" s="132" t="s">
        <v>1977</v>
      </c>
      <c r="F731" s="132" t="b">
        <v>1</v>
      </c>
      <c r="G731" s="132" t="b">
        <v>0</v>
      </c>
      <c r="H731" s="132">
        <v>0</v>
      </c>
    </row>
    <row r="732" spans="1:8" ht="15.75" customHeight="1">
      <c r="A732" s="374">
        <v>45840.633900462963</v>
      </c>
      <c r="B732" s="374">
        <v>45840.633900462963</v>
      </c>
      <c r="C732" s="132" t="s">
        <v>1403</v>
      </c>
      <c r="D732" s="132" t="s">
        <v>1968</v>
      </c>
      <c r="E732" s="132" t="s">
        <v>1933</v>
      </c>
      <c r="F732" s="132" t="b">
        <v>0</v>
      </c>
      <c r="G732" s="132" t="b">
        <v>1</v>
      </c>
      <c r="H732" s="132">
        <v>0</v>
      </c>
    </row>
    <row r="733" spans="1:8" ht="15.75" customHeight="1">
      <c r="A733" s="374">
        <v>45840.633935185186</v>
      </c>
      <c r="B733" s="374">
        <v>45840.633935185186</v>
      </c>
      <c r="C733" s="132" t="s">
        <v>1403</v>
      </c>
      <c r="D733" s="132" t="s">
        <v>1968</v>
      </c>
      <c r="E733" s="132" t="s">
        <v>1945</v>
      </c>
      <c r="F733" s="132" t="b">
        <v>0</v>
      </c>
      <c r="G733" s="132" t="b">
        <v>1</v>
      </c>
      <c r="H733" s="132">
        <v>0</v>
      </c>
    </row>
    <row r="734" spans="1:8" ht="15.75" customHeight="1">
      <c r="A734" s="374">
        <v>45840.633981481478</v>
      </c>
      <c r="B734" s="374">
        <v>45840.633981481478</v>
      </c>
      <c r="C734" s="132" t="s">
        <v>1403</v>
      </c>
      <c r="D734" s="132" t="s">
        <v>1968</v>
      </c>
      <c r="E734" s="132" t="s">
        <v>1933</v>
      </c>
      <c r="F734" s="132" t="b">
        <v>1</v>
      </c>
      <c r="G734" s="132" t="b">
        <v>0</v>
      </c>
      <c r="H734" s="132">
        <v>0</v>
      </c>
    </row>
    <row r="735" spans="1:8" ht="15.75" customHeight="1">
      <c r="A735" s="374">
        <v>45840.634074074071</v>
      </c>
      <c r="B735" s="374">
        <v>45840.634074074071</v>
      </c>
      <c r="C735" s="132" t="s">
        <v>1403</v>
      </c>
      <c r="D735" s="132" t="s">
        <v>1968</v>
      </c>
      <c r="E735" s="132" t="s">
        <v>1945</v>
      </c>
      <c r="F735" s="132" t="b">
        <v>1</v>
      </c>
      <c r="G735" s="132" t="b">
        <v>0</v>
      </c>
      <c r="H735" s="132">
        <v>0</v>
      </c>
    </row>
    <row r="736" spans="1:8" ht="15.75" customHeight="1">
      <c r="A736" s="374">
        <v>45840.637627314813</v>
      </c>
      <c r="B736" s="374">
        <v>45840.637627314813</v>
      </c>
      <c r="C736" s="132" t="s">
        <v>1403</v>
      </c>
      <c r="D736" s="132" t="s">
        <v>1968</v>
      </c>
      <c r="E736" s="132" t="s">
        <v>1935</v>
      </c>
      <c r="F736" s="132" t="b">
        <v>0</v>
      </c>
      <c r="G736" s="132" t="b">
        <v>1</v>
      </c>
      <c r="H736" s="132">
        <v>0</v>
      </c>
    </row>
    <row r="737" spans="1:8" ht="15.75" customHeight="1">
      <c r="A737" s="374">
        <v>45840.637638888889</v>
      </c>
      <c r="B737" s="374">
        <v>45840.637638888889</v>
      </c>
      <c r="C737" s="132" t="s">
        <v>1403</v>
      </c>
      <c r="D737" s="132" t="s">
        <v>1968</v>
      </c>
      <c r="E737" s="132" t="s">
        <v>1977</v>
      </c>
      <c r="F737" s="132" t="b">
        <v>0</v>
      </c>
      <c r="G737" s="132" t="b">
        <v>1</v>
      </c>
      <c r="H737" s="132">
        <v>0</v>
      </c>
    </row>
    <row r="738" spans="1:8" ht="15.75" customHeight="1">
      <c r="A738" s="374">
        <v>45840.637696759259</v>
      </c>
      <c r="B738" s="374">
        <v>45840.637696759259</v>
      </c>
      <c r="C738" s="132" t="s">
        <v>1403</v>
      </c>
      <c r="D738" s="132" t="s">
        <v>1968</v>
      </c>
      <c r="E738" s="132" t="s">
        <v>1935</v>
      </c>
      <c r="F738" s="132" t="b">
        <v>1</v>
      </c>
      <c r="G738" s="132" t="b">
        <v>0</v>
      </c>
      <c r="H738" s="132">
        <v>0</v>
      </c>
    </row>
    <row r="739" spans="1:8" ht="15.75" customHeight="1">
      <c r="A739" s="374">
        <v>45840.637696759259</v>
      </c>
      <c r="B739" s="374">
        <v>45840.637696759259</v>
      </c>
      <c r="C739" s="132" t="s">
        <v>1403</v>
      </c>
      <c r="D739" s="132" t="s">
        <v>1968</v>
      </c>
      <c r="E739" s="132" t="s">
        <v>1977</v>
      </c>
      <c r="F739" s="132" t="b">
        <v>1</v>
      </c>
      <c r="G739" s="132" t="b">
        <v>0</v>
      </c>
      <c r="H739" s="132">
        <v>0</v>
      </c>
    </row>
    <row r="740" spans="1:8" ht="15.75" customHeight="1">
      <c r="A740" s="374">
        <v>45840.639432870368</v>
      </c>
      <c r="B740" s="374">
        <v>45840.639432870368</v>
      </c>
      <c r="C740" s="132" t="s">
        <v>1403</v>
      </c>
      <c r="D740" s="132" t="s">
        <v>1968</v>
      </c>
      <c r="E740" s="132" t="s">
        <v>1935</v>
      </c>
      <c r="F740" s="132" t="b">
        <v>0</v>
      </c>
      <c r="G740" s="132" t="b">
        <v>1</v>
      </c>
      <c r="H740" s="132">
        <v>0</v>
      </c>
    </row>
    <row r="741" spans="1:8" ht="15.75" customHeight="1">
      <c r="A741" s="374">
        <v>45840.639467592591</v>
      </c>
      <c r="B741" s="374">
        <v>45840.639467592591</v>
      </c>
      <c r="C741" s="132" t="s">
        <v>1403</v>
      </c>
      <c r="D741" s="132" t="s">
        <v>1968</v>
      </c>
      <c r="E741" s="132" t="s">
        <v>1977</v>
      </c>
      <c r="F741" s="132" t="b">
        <v>0</v>
      </c>
      <c r="G741" s="132" t="b">
        <v>1</v>
      </c>
      <c r="H741" s="132">
        <v>0</v>
      </c>
    </row>
    <row r="742" spans="1:8" ht="15.75" customHeight="1">
      <c r="A742" s="374">
        <v>45840.639513888891</v>
      </c>
      <c r="B742" s="374">
        <v>45840.639513888891</v>
      </c>
      <c r="C742" s="132" t="s">
        <v>1403</v>
      </c>
      <c r="D742" s="132" t="s">
        <v>1968</v>
      </c>
      <c r="E742" s="132" t="s">
        <v>1935</v>
      </c>
      <c r="F742" s="132" t="b">
        <v>1</v>
      </c>
      <c r="G742" s="132" t="b">
        <v>0</v>
      </c>
      <c r="H742" s="132">
        <v>0</v>
      </c>
    </row>
    <row r="743" spans="1:8" ht="15.75" customHeight="1">
      <c r="A743" s="374">
        <v>45840.639513888891</v>
      </c>
      <c r="B743" s="374">
        <v>45840.639513888891</v>
      </c>
      <c r="C743" s="132" t="s">
        <v>1403</v>
      </c>
      <c r="D743" s="132" t="s">
        <v>1968</v>
      </c>
      <c r="E743" s="132" t="s">
        <v>1977</v>
      </c>
      <c r="F743" s="132" t="b">
        <v>1</v>
      </c>
      <c r="G743" s="132" t="b">
        <v>0</v>
      </c>
      <c r="H743" s="132">
        <v>0</v>
      </c>
    </row>
    <row r="744" spans="1:8" ht="15.75" customHeight="1">
      <c r="A744" s="374">
        <v>45840.639537037037</v>
      </c>
      <c r="B744" s="374">
        <v>45840.639537037037</v>
      </c>
      <c r="C744" s="132" t="s">
        <v>1403</v>
      </c>
      <c r="D744" s="132" t="s">
        <v>1968</v>
      </c>
      <c r="E744" s="132" t="s">
        <v>1933</v>
      </c>
      <c r="F744" s="132" t="b">
        <v>0</v>
      </c>
      <c r="G744" s="132" t="b">
        <v>1</v>
      </c>
      <c r="H744" s="132">
        <v>0</v>
      </c>
    </row>
    <row r="745" spans="1:8" ht="15.75" customHeight="1">
      <c r="A745" s="374">
        <v>45840.639537037037</v>
      </c>
      <c r="B745" s="374">
        <v>45840.639537037037</v>
      </c>
      <c r="C745" s="132" t="s">
        <v>1403</v>
      </c>
      <c r="D745" s="132" t="s">
        <v>1968</v>
      </c>
      <c r="E745" s="132" t="s">
        <v>1945</v>
      </c>
      <c r="F745" s="132" t="b">
        <v>0</v>
      </c>
      <c r="G745" s="132" t="b">
        <v>1</v>
      </c>
      <c r="H745" s="132">
        <v>0</v>
      </c>
    </row>
    <row r="746" spans="1:8" ht="15.75" customHeight="1">
      <c r="A746" s="374">
        <v>45840.639594907407</v>
      </c>
      <c r="B746" s="374">
        <v>45840.639594907407</v>
      </c>
      <c r="C746" s="132" t="s">
        <v>1403</v>
      </c>
      <c r="D746" s="132" t="s">
        <v>1968</v>
      </c>
      <c r="E746" s="132" t="s">
        <v>1945</v>
      </c>
      <c r="F746" s="132" t="b">
        <v>1</v>
      </c>
      <c r="G746" s="132" t="b">
        <v>0</v>
      </c>
      <c r="H746" s="132">
        <v>0</v>
      </c>
    </row>
    <row r="747" spans="1:8" ht="15.75" customHeight="1">
      <c r="A747" s="374">
        <v>45840.639594907407</v>
      </c>
      <c r="B747" s="374">
        <v>45840.639594907407</v>
      </c>
      <c r="C747" s="132" t="s">
        <v>1403</v>
      </c>
      <c r="D747" s="132" t="s">
        <v>1968</v>
      </c>
      <c r="E747" s="132" t="s">
        <v>1933</v>
      </c>
      <c r="F747" s="132" t="b">
        <v>1</v>
      </c>
      <c r="G747" s="132" t="b">
        <v>0</v>
      </c>
      <c r="H747" s="132">
        <v>0</v>
      </c>
    </row>
    <row r="748" spans="1:8" ht="15.75" customHeight="1">
      <c r="A748" s="374">
        <v>45840.643541666665</v>
      </c>
      <c r="B748" s="374">
        <v>45840.643541666665</v>
      </c>
      <c r="C748" s="132" t="s">
        <v>1403</v>
      </c>
      <c r="D748" s="132" t="s">
        <v>1968</v>
      </c>
      <c r="E748" s="132" t="s">
        <v>1726</v>
      </c>
      <c r="F748" s="132" t="b">
        <v>0</v>
      </c>
      <c r="G748" s="132" t="b">
        <v>1</v>
      </c>
      <c r="H748" s="132">
        <v>0</v>
      </c>
    </row>
    <row r="749" spans="1:8" ht="15.75" customHeight="1">
      <c r="A749" s="374">
        <v>45840.643576388888</v>
      </c>
      <c r="B749" s="374">
        <v>45840.643576388888</v>
      </c>
      <c r="C749" s="132" t="s">
        <v>1403</v>
      </c>
      <c r="D749" s="132" t="s">
        <v>1968</v>
      </c>
      <c r="E749" s="132" t="s">
        <v>1935</v>
      </c>
      <c r="F749" s="132" t="b">
        <v>0</v>
      </c>
      <c r="G749" s="132" t="b">
        <v>1</v>
      </c>
      <c r="H749" s="132">
        <v>0</v>
      </c>
    </row>
    <row r="750" spans="1:8" ht="15.75" customHeight="1">
      <c r="A750" s="374">
        <v>45840.643576388888</v>
      </c>
      <c r="B750" s="374">
        <v>45840.643576388888</v>
      </c>
      <c r="C750" s="132" t="s">
        <v>1403</v>
      </c>
      <c r="D750" s="132" t="s">
        <v>1968</v>
      </c>
      <c r="E750" s="132" t="s">
        <v>1935</v>
      </c>
      <c r="F750" s="132" t="b">
        <v>1</v>
      </c>
      <c r="G750" s="132" t="b">
        <v>0</v>
      </c>
      <c r="H750" s="132">
        <v>0</v>
      </c>
    </row>
    <row r="751" spans="1:8" ht="15.75" customHeight="1">
      <c r="A751" s="374">
        <v>45840.643587962964</v>
      </c>
      <c r="B751" s="374">
        <v>45840.643587962964</v>
      </c>
      <c r="C751" s="132" t="s">
        <v>1403</v>
      </c>
      <c r="D751" s="132" t="s">
        <v>1968</v>
      </c>
      <c r="E751" s="132" t="s">
        <v>1726</v>
      </c>
      <c r="F751" s="132" t="b">
        <v>1</v>
      </c>
      <c r="G751" s="132" t="b">
        <v>0</v>
      </c>
      <c r="H751" s="132">
        <v>0</v>
      </c>
    </row>
    <row r="752" spans="1:8" ht="15.75" customHeight="1">
      <c r="A752" s="374">
        <v>45840.643599537034</v>
      </c>
      <c r="B752" s="374">
        <v>45840.643599537034</v>
      </c>
      <c r="C752" s="132" t="s">
        <v>1403</v>
      </c>
      <c r="D752" s="132" t="s">
        <v>1968</v>
      </c>
      <c r="E752" s="132" t="s">
        <v>1945</v>
      </c>
      <c r="F752" s="132" t="b">
        <v>0</v>
      </c>
      <c r="G752" s="132" t="b">
        <v>1</v>
      </c>
      <c r="H752" s="132">
        <v>0</v>
      </c>
    </row>
    <row r="753" spans="1:8" ht="15.75" customHeight="1">
      <c r="A753" s="374">
        <v>45840.643599537034</v>
      </c>
      <c r="B753" s="374">
        <v>45840.643599537034</v>
      </c>
      <c r="C753" s="132" t="s">
        <v>1403</v>
      </c>
      <c r="D753" s="132" t="s">
        <v>1968</v>
      </c>
      <c r="E753" s="132" t="s">
        <v>1585</v>
      </c>
      <c r="F753" s="132" t="b">
        <v>0</v>
      </c>
      <c r="G753" s="132" t="b">
        <v>1</v>
      </c>
      <c r="H753" s="132">
        <v>0</v>
      </c>
    </row>
    <row r="754" spans="1:8" ht="15.75" customHeight="1">
      <c r="A754" s="374">
        <v>45840.643680555557</v>
      </c>
      <c r="B754" s="374">
        <v>45840.643680555557</v>
      </c>
      <c r="C754" s="132" t="s">
        <v>1403</v>
      </c>
      <c r="D754" s="132" t="s">
        <v>1404</v>
      </c>
      <c r="E754" s="132" t="s">
        <v>1940</v>
      </c>
      <c r="H754" s="132">
        <v>0</v>
      </c>
    </row>
    <row r="755" spans="1:8" ht="15.75" customHeight="1">
      <c r="A755" s="374">
        <v>45840.643680555557</v>
      </c>
      <c r="B755" s="374">
        <v>45840.643680555557</v>
      </c>
      <c r="C755" s="132" t="s">
        <v>1403</v>
      </c>
      <c r="D755" s="132" t="s">
        <v>1968</v>
      </c>
      <c r="E755" s="132" t="s">
        <v>1940</v>
      </c>
      <c r="G755" s="132" t="s">
        <v>205</v>
      </c>
      <c r="H755" s="132">
        <v>0</v>
      </c>
    </row>
    <row r="756" spans="1:8" ht="15.75" customHeight="1">
      <c r="A756" s="374">
        <v>45840.643726851849</v>
      </c>
      <c r="B756" s="374">
        <v>45840.643726851849</v>
      </c>
      <c r="C756" s="132" t="s">
        <v>1403</v>
      </c>
      <c r="D756" s="132" t="s">
        <v>1968</v>
      </c>
      <c r="E756" s="132" t="s">
        <v>1945</v>
      </c>
      <c r="F756" s="132" t="b">
        <v>1</v>
      </c>
      <c r="G756" s="132" t="b">
        <v>0</v>
      </c>
      <c r="H756" s="132">
        <v>0</v>
      </c>
    </row>
    <row r="757" spans="1:8" ht="15.75" customHeight="1">
      <c r="A757" s="374">
        <v>45840.643738425926</v>
      </c>
      <c r="B757" s="374">
        <v>45840.643738425926</v>
      </c>
      <c r="C757" s="132" t="s">
        <v>1403</v>
      </c>
      <c r="D757" s="132" t="s">
        <v>1968</v>
      </c>
      <c r="E757" s="132" t="s">
        <v>1585</v>
      </c>
      <c r="F757" s="132" t="b">
        <v>1</v>
      </c>
      <c r="G757" s="132" t="b">
        <v>0</v>
      </c>
      <c r="H757" s="132">
        <v>0</v>
      </c>
    </row>
    <row r="758" spans="1:8" ht="15.75" customHeight="1">
      <c r="A758" s="374">
        <v>45840.652280092596</v>
      </c>
      <c r="B758" s="374">
        <v>45840.652280092596</v>
      </c>
      <c r="C758" s="132" t="s">
        <v>1403</v>
      </c>
      <c r="D758" s="132" t="s">
        <v>1968</v>
      </c>
      <c r="E758" s="132" t="s">
        <v>1935</v>
      </c>
      <c r="F758" s="132" t="b">
        <v>0</v>
      </c>
      <c r="G758" s="132" t="b">
        <v>1</v>
      </c>
      <c r="H758" s="132">
        <v>0</v>
      </c>
    </row>
    <row r="759" spans="1:8" ht="15.75" customHeight="1">
      <c r="A759" s="374">
        <v>45840.652303240742</v>
      </c>
      <c r="B759" s="374">
        <v>45840.652303240742</v>
      </c>
      <c r="C759" s="132" t="s">
        <v>1403</v>
      </c>
      <c r="D759" s="132" t="s">
        <v>1968</v>
      </c>
      <c r="E759" s="132" t="s">
        <v>1977</v>
      </c>
      <c r="F759" s="132" t="b">
        <v>0</v>
      </c>
      <c r="G759" s="132" t="b">
        <v>1</v>
      </c>
      <c r="H759" s="132">
        <v>0</v>
      </c>
    </row>
    <row r="760" spans="1:8" ht="15.75" customHeight="1">
      <c r="A760" s="374">
        <v>45840.652326388888</v>
      </c>
      <c r="B760" s="374">
        <v>45840.652326388888</v>
      </c>
      <c r="C760" s="132" t="s">
        <v>1403</v>
      </c>
      <c r="D760" s="132" t="s">
        <v>1968</v>
      </c>
      <c r="E760" s="132" t="s">
        <v>1935</v>
      </c>
      <c r="F760" s="132" t="b">
        <v>1</v>
      </c>
      <c r="G760" s="132" t="b">
        <v>0</v>
      </c>
      <c r="H760" s="132">
        <v>0</v>
      </c>
    </row>
    <row r="761" spans="1:8" ht="15.75" customHeight="1">
      <c r="A761" s="374">
        <v>45840.652337962965</v>
      </c>
      <c r="B761" s="374">
        <v>45840.652337962965</v>
      </c>
      <c r="C761" s="132" t="s">
        <v>1403</v>
      </c>
      <c r="D761" s="132" t="s">
        <v>1968</v>
      </c>
      <c r="E761" s="132" t="s">
        <v>1977</v>
      </c>
      <c r="F761" s="132" t="b">
        <v>1</v>
      </c>
      <c r="G761" s="132" t="b">
        <v>0</v>
      </c>
      <c r="H761" s="132">
        <v>0</v>
      </c>
    </row>
    <row r="762" spans="1:8" ht="15.75" customHeight="1">
      <c r="A762" s="374">
        <v>45840.652349537035</v>
      </c>
      <c r="B762" s="374">
        <v>45840.652349537035</v>
      </c>
      <c r="C762" s="132" t="s">
        <v>1403</v>
      </c>
      <c r="D762" s="132" t="s">
        <v>1968</v>
      </c>
      <c r="E762" s="132" t="s">
        <v>1945</v>
      </c>
      <c r="F762" s="132" t="b">
        <v>0</v>
      </c>
      <c r="G762" s="132" t="b">
        <v>1</v>
      </c>
      <c r="H762" s="132">
        <v>0</v>
      </c>
    </row>
    <row r="763" spans="1:8" ht="15.75" customHeight="1">
      <c r="A763" s="374">
        <v>45840.652361111112</v>
      </c>
      <c r="B763" s="374">
        <v>45840.652361111112</v>
      </c>
      <c r="C763" s="132" t="s">
        <v>1403</v>
      </c>
      <c r="D763" s="132" t="s">
        <v>1968</v>
      </c>
      <c r="E763" s="132" t="s">
        <v>1933</v>
      </c>
      <c r="F763" s="132" t="b">
        <v>0</v>
      </c>
      <c r="G763" s="132" t="b">
        <v>1</v>
      </c>
      <c r="H763" s="132">
        <v>0</v>
      </c>
    </row>
    <row r="764" spans="1:8" ht="15.75" customHeight="1">
      <c r="A764" s="374">
        <v>45840.652453703704</v>
      </c>
      <c r="B764" s="374">
        <v>45840.652453703704</v>
      </c>
      <c r="C764" s="132" t="s">
        <v>1403</v>
      </c>
      <c r="D764" s="132" t="s">
        <v>1968</v>
      </c>
      <c r="E764" s="132" t="s">
        <v>1945</v>
      </c>
      <c r="F764" s="132" t="b">
        <v>1</v>
      </c>
      <c r="G764" s="132" t="b">
        <v>0</v>
      </c>
      <c r="H764" s="132">
        <v>0</v>
      </c>
    </row>
    <row r="765" spans="1:8" ht="15.75" customHeight="1">
      <c r="A765" s="374">
        <v>45840.652465277781</v>
      </c>
      <c r="B765" s="374">
        <v>45840.652465277781</v>
      </c>
      <c r="C765" s="132" t="s">
        <v>1403</v>
      </c>
      <c r="D765" s="132" t="s">
        <v>1968</v>
      </c>
      <c r="E765" s="132" t="s">
        <v>1933</v>
      </c>
      <c r="F765" s="132" t="b">
        <v>1</v>
      </c>
      <c r="G765" s="132" t="b">
        <v>0</v>
      </c>
      <c r="H765" s="132">
        <v>0</v>
      </c>
    </row>
    <row r="766" spans="1:8" ht="15.75" customHeight="1"/>
    <row r="767" spans="1:8" ht="15.75" customHeight="1"/>
    <row r="768" spans="1: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H1" xr:uid="{00000000-0009-0000-0000-000010000000}"/>
  <phoneticPr fontId="91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17</vt:i4>
      </vt:variant>
      <vt:variant>
        <vt:lpstr>具名範圍</vt:lpstr>
      </vt:variant>
      <vt:variant>
        <vt:i4>32</vt:i4>
      </vt:variant>
    </vt:vector>
  </HeadingPairs>
  <TitlesOfParts>
    <vt:vector size="49" baseType="lpstr">
      <vt:lpstr>MS section模版 v2</vt:lpstr>
      <vt:lpstr>公式邏輯說明</vt:lpstr>
      <vt:lpstr>版配&gt;&gt;</vt:lpstr>
      <vt:lpstr>MS section版配(Old)</vt:lpstr>
      <vt:lpstr>「(動工中勿使用!!)新版+舊版_Teaser」的副本</vt:lpstr>
      <vt:lpstr>L1_暖正版配</vt:lpstr>
      <vt:lpstr>GD資訊區&gt;&gt;</vt:lpstr>
      <vt:lpstr>L1_暖正GD做圖列表</vt:lpstr>
      <vt:lpstr>MS內部用&gt;&gt;</vt:lpstr>
      <vt:lpstr>(勿動)組件目錄表</vt:lpstr>
      <vt:lpstr>其他MS設定資訊&gt;&gt;</vt:lpstr>
      <vt:lpstr>優惠券_提醒我入稿表</vt:lpstr>
      <vt:lpstr>multi tabs_入稿表</vt:lpstr>
      <vt:lpstr>image&gt;5_提醒我入稿表</vt:lpstr>
      <vt:lpstr>(僅供MS內部用)錨點上傳格式</vt:lpstr>
      <vt:lpstr>(勿動)Component Label公版</vt:lpstr>
      <vt:lpstr>編輯紀錄</vt:lpstr>
      <vt:lpstr>BackToTop</vt:lpstr>
      <vt:lpstr>CollectionGroup</vt:lpstr>
      <vt:lpstr>CTAbutton</vt:lpstr>
      <vt:lpstr>FavouriteGame</vt:lpstr>
      <vt:lpstr>FloatingIcon</vt:lpstr>
      <vt:lpstr>Gap</vt:lpstr>
      <vt:lpstr>iframe</vt:lpstr>
      <vt:lpstr>KV</vt:lpstr>
      <vt:lpstr>mission計時器</vt:lpstr>
      <vt:lpstr>ProductLabel</vt:lpstr>
      <vt:lpstr>VoucherGroup</vt:lpstr>
      <vt:lpstr>三大保證</vt:lpstr>
      <vt:lpstr>文字</vt:lpstr>
      <vt:lpstr>吸底圖</vt:lpstr>
      <vt:lpstr>店</vt:lpstr>
      <vt:lpstr>版權商標</vt:lpstr>
      <vt:lpstr>直播間</vt:lpstr>
      <vt:lpstr>品</vt:lpstr>
      <vt:lpstr>活動倒數計時器</vt:lpstr>
      <vt:lpstr>限時特賣</vt:lpstr>
      <vt:lpstr>頁面背景底色</vt:lpstr>
      <vt:lpstr>短影音</vt:lpstr>
      <vt:lpstr>圖_GD模版_MKT_Camp公版</vt:lpstr>
      <vt:lpstr>圖_GD模版_MKT_LS公版</vt:lpstr>
      <vt:lpstr>圖_GD模版_通用公版</vt:lpstr>
      <vt:lpstr>圖_ImageCollection</vt:lpstr>
      <vt:lpstr>圖_MSBN</vt:lpstr>
      <vt:lpstr>標題</vt:lpstr>
      <vt:lpstr>頭巾</vt:lpstr>
      <vt:lpstr>優惠券_GD模版</vt:lpstr>
      <vt:lpstr>優惠券_真券</vt:lpstr>
      <vt:lpstr>錨點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Ken Cheng</cp:lastModifiedBy>
  <dcterms:modified xsi:type="dcterms:W3CDTF">2026-06-28T13:33:17Z</dcterms:modified>
</cp:coreProperties>
</file>