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nez\KR\Programação\Excel\"/>
    </mc:Choice>
  </mc:AlternateContent>
  <xr:revisionPtr revIDLastSave="0" documentId="8_{F395548B-3D0D-4781-9FAD-066FE6B58695}" xr6:coauthVersionLast="47" xr6:coauthVersionMax="47" xr10:uidLastSave="{00000000-0000-0000-0000-000000000000}"/>
  <bookViews>
    <workbookView xWindow="-96" yWindow="0" windowWidth="11712" windowHeight="13056" tabRatio="698" firstSheet="3" activeTab="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sc_Cols">'Cadastros Auxiliares'!$B$8:$E$8</definedName>
    <definedName name="Desc_Qtd">'Cadastros Auxiliares'!$B$8:$B$13</definedName>
    <definedName name="Desc_Tab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6" l="1"/>
  <c r="H5" i="16" s="1"/>
  <c r="K5" i="16" s="1"/>
  <c r="E6" i="16"/>
  <c r="H6" i="16" s="1"/>
  <c r="K6" i="16" s="1"/>
  <c r="E7" i="16"/>
  <c r="H7" i="16" s="1"/>
  <c r="K7" i="16" s="1"/>
  <c r="E8" i="16"/>
  <c r="H8" i="16" s="1"/>
  <c r="K8" i="16" s="1"/>
  <c r="E9" i="16"/>
  <c r="H9" i="16" s="1"/>
  <c r="K9" i="16" s="1"/>
  <c r="E10" i="16"/>
  <c r="H10" i="16" s="1"/>
  <c r="K10" i="16" s="1"/>
  <c r="E11" i="16"/>
  <c r="I11" i="16" s="1" a="1"/>
  <c r="I11" i="16" s="1"/>
  <c r="J11" i="16" s="1"/>
  <c r="E12" i="16"/>
  <c r="H12" i="16" s="1"/>
  <c r="K12" i="16" s="1"/>
  <c r="E13" i="16"/>
  <c r="H13" i="16" s="1"/>
  <c r="K13" i="16" s="1"/>
  <c r="E14" i="16"/>
  <c r="H14" i="16" s="1"/>
  <c r="K14" i="16" s="1"/>
  <c r="E15" i="16"/>
  <c r="I15" i="16" s="1" a="1"/>
  <c r="I15" i="16" s="1"/>
  <c r="J15" i="16" s="1"/>
  <c r="E16" i="16"/>
  <c r="H16" i="16" s="1"/>
  <c r="K16" i="16" s="1"/>
  <c r="E17" i="16"/>
  <c r="H17" i="16" s="1"/>
  <c r="K17" i="16" s="1"/>
  <c r="E18" i="16"/>
  <c r="I18" i="16" s="1" a="1"/>
  <c r="I18" i="16" s="1"/>
  <c r="J18" i="16" s="1"/>
  <c r="E19" i="16"/>
  <c r="I19" i="16" s="1" a="1"/>
  <c r="I19" i="16" s="1"/>
  <c r="J19" i="16" s="1"/>
  <c r="E20" i="16"/>
  <c r="H20" i="16" s="1"/>
  <c r="K20" i="16" s="1"/>
  <c r="E21" i="16"/>
  <c r="H21" i="16" s="1"/>
  <c r="K21" i="16" s="1"/>
  <c r="E22" i="16"/>
  <c r="H22" i="16" s="1"/>
  <c r="K22" i="16" s="1"/>
  <c r="E23" i="16"/>
  <c r="H23" i="16" s="1"/>
  <c r="K23" i="16" s="1"/>
  <c r="E24" i="16"/>
  <c r="H24" i="16" s="1"/>
  <c r="K24" i="16" s="1"/>
  <c r="E25" i="16"/>
  <c r="H25" i="16" s="1"/>
  <c r="K25" i="16" s="1"/>
  <c r="E26" i="16"/>
  <c r="H26" i="16" s="1"/>
  <c r="K26" i="16" s="1"/>
  <c r="E27" i="16"/>
  <c r="H27" i="16" s="1"/>
  <c r="K27" i="16" s="1"/>
  <c r="E28" i="16"/>
  <c r="H28" i="16" s="1"/>
  <c r="K28" i="16" s="1"/>
  <c r="E29" i="16"/>
  <c r="H29" i="16" s="1"/>
  <c r="K29" i="16" s="1"/>
  <c r="E30" i="16"/>
  <c r="H30" i="16" s="1"/>
  <c r="K30" i="16" s="1"/>
  <c r="E31" i="16"/>
  <c r="H31" i="16" s="1"/>
  <c r="K31" i="16" s="1"/>
  <c r="E32" i="16"/>
  <c r="H32" i="16" s="1"/>
  <c r="K32" i="16" s="1"/>
  <c r="E33" i="16"/>
  <c r="H33" i="16" s="1"/>
  <c r="K33" i="16" s="1"/>
  <c r="E34" i="16"/>
  <c r="I34" i="16" s="1" a="1"/>
  <c r="I34" i="16" s="1"/>
  <c r="J34" i="16" s="1"/>
  <c r="E35" i="16"/>
  <c r="I35" i="16" s="1" a="1"/>
  <c r="I35" i="16" s="1"/>
  <c r="J35" i="16" s="1"/>
  <c r="E36" i="16"/>
  <c r="H36" i="16" s="1"/>
  <c r="K36" i="16" s="1"/>
  <c r="E37" i="16"/>
  <c r="H37" i="16" s="1"/>
  <c r="K37" i="16" s="1"/>
  <c r="E38" i="16"/>
  <c r="H38" i="16" s="1"/>
  <c r="K38" i="16" s="1"/>
  <c r="E39" i="16"/>
  <c r="I39" i="16" s="1" a="1"/>
  <c r="I39" i="16" s="1"/>
  <c r="J39" i="16" s="1"/>
  <c r="E40" i="16"/>
  <c r="H40" i="16" s="1"/>
  <c r="K40" i="16" s="1"/>
  <c r="E41" i="16"/>
  <c r="H41" i="16" s="1"/>
  <c r="K41" i="16" s="1"/>
  <c r="E42" i="16"/>
  <c r="I42" i="16" s="1" a="1"/>
  <c r="I42" i="16" s="1"/>
  <c r="J42" i="16" s="1"/>
  <c r="E43" i="16"/>
  <c r="H43" i="16" s="1"/>
  <c r="K43" i="16" s="1"/>
  <c r="E44" i="16"/>
  <c r="H44" i="16" s="1"/>
  <c r="K44" i="16" s="1"/>
  <c r="E45" i="16"/>
  <c r="H45" i="16" s="1"/>
  <c r="K45" i="16" s="1"/>
  <c r="E46" i="16"/>
  <c r="H46" i="16" s="1"/>
  <c r="K46" i="16" s="1"/>
  <c r="E47" i="16"/>
  <c r="I47" i="16" s="1" a="1"/>
  <c r="I47" i="16" s="1"/>
  <c r="J47" i="16" s="1"/>
  <c r="E48" i="16"/>
  <c r="H48" i="16" s="1"/>
  <c r="K48" i="16" s="1"/>
  <c r="E49" i="16"/>
  <c r="H49" i="16" s="1"/>
  <c r="K49" i="16" s="1"/>
  <c r="E50" i="16"/>
  <c r="H50" i="16" s="1"/>
  <c r="K50" i="16" s="1"/>
  <c r="E51" i="16"/>
  <c r="H51" i="16" s="1"/>
  <c r="K51" i="16" s="1"/>
  <c r="E52" i="16"/>
  <c r="H52" i="16" s="1"/>
  <c r="K52" i="16" s="1"/>
  <c r="E53" i="16"/>
  <c r="H53" i="16" s="1"/>
  <c r="K53" i="16" s="1"/>
  <c r="E54" i="16"/>
  <c r="H54" i="16" s="1"/>
  <c r="K54" i="16" s="1"/>
  <c r="E55" i="16"/>
  <c r="I55" i="16" s="1" a="1"/>
  <c r="I55" i="16" s="1"/>
  <c r="J55" i="16" s="1"/>
  <c r="E56" i="16"/>
  <c r="H56" i="16" s="1"/>
  <c r="K56" i="16" s="1"/>
  <c r="E57" i="16"/>
  <c r="H57" i="16" s="1"/>
  <c r="K57" i="16" s="1"/>
  <c r="E58" i="16"/>
  <c r="H58" i="16" s="1"/>
  <c r="K58" i="16" s="1"/>
  <c r="E59" i="16"/>
  <c r="H59" i="16" s="1"/>
  <c r="K59" i="16" s="1"/>
  <c r="E60" i="16"/>
  <c r="H60" i="16" s="1"/>
  <c r="K60" i="16" s="1"/>
  <c r="E61" i="16"/>
  <c r="H61" i="16" s="1"/>
  <c r="K61" i="16" s="1"/>
  <c r="E62" i="16"/>
  <c r="H62" i="16" s="1"/>
  <c r="K62" i="16" s="1"/>
  <c r="E63" i="16"/>
  <c r="I63" i="16" s="1" a="1"/>
  <c r="I63" i="16" s="1"/>
  <c r="J63" i="16" s="1"/>
  <c r="E64" i="16"/>
  <c r="H64" i="16" s="1"/>
  <c r="K64" i="16" s="1"/>
  <c r="E65" i="16"/>
  <c r="H65" i="16" s="1"/>
  <c r="K65" i="16" s="1"/>
  <c r="E66" i="16"/>
  <c r="I66" i="16" s="1" a="1"/>
  <c r="I66" i="16" s="1"/>
  <c r="J66" i="16" s="1"/>
  <c r="E67" i="16"/>
  <c r="I67" i="16" s="1" a="1"/>
  <c r="I67" i="16" s="1"/>
  <c r="J67" i="16" s="1"/>
  <c r="E68" i="16"/>
  <c r="H68" i="16" s="1"/>
  <c r="K68" i="16" s="1"/>
  <c r="E69" i="16"/>
  <c r="H69" i="16" s="1"/>
  <c r="K69" i="16" s="1"/>
  <c r="E70" i="16"/>
  <c r="H70" i="16" s="1"/>
  <c r="K70" i="16" s="1"/>
  <c r="E71" i="16"/>
  <c r="H71" i="16" s="1"/>
  <c r="K71" i="16" s="1"/>
  <c r="E72" i="16"/>
  <c r="H72" i="16" s="1"/>
  <c r="K72" i="16" s="1"/>
  <c r="E73" i="16"/>
  <c r="H73" i="16" s="1"/>
  <c r="K73" i="16" s="1"/>
  <c r="E74" i="16"/>
  <c r="I74" i="16" s="1" a="1"/>
  <c r="I74" i="16" s="1"/>
  <c r="J74" i="16" s="1"/>
  <c r="E75" i="16"/>
  <c r="I75" i="16" s="1" a="1"/>
  <c r="I75" i="16" s="1"/>
  <c r="J75" i="16" s="1"/>
  <c r="E76" i="16"/>
  <c r="H76" i="16" s="1"/>
  <c r="K76" i="16" s="1"/>
  <c r="E77" i="16"/>
  <c r="H77" i="16" s="1"/>
  <c r="K77" i="16" s="1"/>
  <c r="E78" i="16"/>
  <c r="H78" i="16" s="1"/>
  <c r="K78" i="16" s="1"/>
  <c r="E79" i="16"/>
  <c r="I79" i="16" s="1" a="1"/>
  <c r="I79" i="16" s="1"/>
  <c r="J79" i="16" s="1"/>
  <c r="E80" i="16"/>
  <c r="H80" i="16" s="1"/>
  <c r="K80" i="16" s="1"/>
  <c r="E81" i="16"/>
  <c r="H81" i="16" s="1"/>
  <c r="K81" i="16" s="1"/>
  <c r="E82" i="16"/>
  <c r="I82" i="16" s="1" a="1"/>
  <c r="I82" i="16" s="1"/>
  <c r="J82" i="16" s="1"/>
  <c r="E83" i="16"/>
  <c r="I83" i="16" s="1" a="1"/>
  <c r="I83" i="16" s="1"/>
  <c r="J83" i="16" s="1"/>
  <c r="E84" i="16"/>
  <c r="H84" i="16" s="1"/>
  <c r="K84" i="16" s="1"/>
  <c r="E85" i="16"/>
  <c r="H85" i="16" s="1"/>
  <c r="K85" i="16" s="1"/>
  <c r="E86" i="16"/>
  <c r="H86" i="16" s="1"/>
  <c r="K86" i="16" s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H39" i="16" l="1"/>
  <c r="K39" i="16" s="1"/>
  <c r="H79" i="16"/>
  <c r="K79" i="16" s="1"/>
  <c r="I58" i="16" a="1"/>
  <c r="I58" i="16" s="1"/>
  <c r="J58" i="16" s="1"/>
  <c r="I57" i="16" a="1"/>
  <c r="I57" i="16" s="1"/>
  <c r="J57" i="16" s="1"/>
  <c r="I26" i="16" a="1"/>
  <c r="I26" i="16" s="1"/>
  <c r="J26" i="16" s="1"/>
  <c r="I25" i="16" a="1"/>
  <c r="I25" i="16" s="1"/>
  <c r="J25" i="16" s="1"/>
  <c r="H18" i="16"/>
  <c r="K18" i="16" s="1"/>
  <c r="I52" i="16" a="1"/>
  <c r="I52" i="16" s="1"/>
  <c r="J52" i="16" s="1"/>
  <c r="I20" i="16" a="1"/>
  <c r="I20" i="16" s="1"/>
  <c r="J20" i="16" s="1"/>
  <c r="H15" i="16"/>
  <c r="K15" i="16" s="1"/>
  <c r="I45" i="16" a="1"/>
  <c r="I45" i="16" s="1"/>
  <c r="J45" i="16" s="1"/>
  <c r="I84" i="16" a="1"/>
  <c r="I84" i="16" s="1"/>
  <c r="J84" i="16" s="1"/>
  <c r="I14" i="16" a="1"/>
  <c r="I14" i="16" s="1"/>
  <c r="J14" i="16" s="1"/>
  <c r="I77" i="16" a="1"/>
  <c r="I77" i="16" s="1"/>
  <c r="J77" i="16" s="1"/>
  <c r="I38" i="16" a="1"/>
  <c r="I38" i="16" s="1"/>
  <c r="J38" i="16" s="1"/>
  <c r="I12" i="16" a="1"/>
  <c r="I12" i="16" s="1"/>
  <c r="J12" i="16" s="1"/>
  <c r="I71" i="16" a="1"/>
  <c r="I71" i="16" s="1"/>
  <c r="J71" i="16" s="1"/>
  <c r="I9" i="16" a="1"/>
  <c r="I9" i="16" s="1"/>
  <c r="J9" i="16" s="1"/>
  <c r="H82" i="16"/>
  <c r="K82" i="16" s="1"/>
  <c r="I70" i="16" a="1"/>
  <c r="I70" i="16" s="1"/>
  <c r="J70" i="16" s="1"/>
  <c r="I32" i="16" a="1"/>
  <c r="I32" i="16" s="1"/>
  <c r="J32" i="16" s="1"/>
  <c r="H83" i="16"/>
  <c r="K83" i="16" s="1"/>
  <c r="H63" i="16"/>
  <c r="K63" i="16" s="1"/>
  <c r="H42" i="16"/>
  <c r="K42" i="16" s="1"/>
  <c r="H19" i="16"/>
  <c r="K19" i="16" s="1"/>
  <c r="I78" i="16" a="1"/>
  <c r="I78" i="16" s="1"/>
  <c r="J78" i="16" s="1"/>
  <c r="I72" i="16" a="1"/>
  <c r="I72" i="16" s="1"/>
  <c r="J72" i="16" s="1"/>
  <c r="I65" i="16" a="1"/>
  <c r="I65" i="16" s="1"/>
  <c r="J65" i="16" s="1"/>
  <c r="I59" i="16" a="1"/>
  <c r="I59" i="16" s="1"/>
  <c r="J59" i="16" s="1"/>
  <c r="I46" i="16" a="1"/>
  <c r="I46" i="16" s="1"/>
  <c r="J46" i="16" s="1"/>
  <c r="I40" i="16" a="1"/>
  <c r="I40" i="16" s="1"/>
  <c r="J40" i="16" s="1"/>
  <c r="I33" i="16" a="1"/>
  <c r="I33" i="16" s="1"/>
  <c r="J33" i="16" s="1"/>
  <c r="I27" i="16" a="1"/>
  <c r="I27" i="16" s="1"/>
  <c r="J27" i="16" s="1"/>
  <c r="I10" i="16" a="1"/>
  <c r="I10" i="16" s="1"/>
  <c r="J10" i="16" s="1"/>
  <c r="H35" i="16"/>
  <c r="K35" i="16" s="1"/>
  <c r="I64" i="16" a="1"/>
  <c r="I64" i="16" s="1"/>
  <c r="J64" i="16" s="1"/>
  <c r="I51" i="16" a="1"/>
  <c r="I51" i="16" s="1"/>
  <c r="J51" i="16" s="1"/>
  <c r="H75" i="16"/>
  <c r="K75" i="16" s="1"/>
  <c r="H55" i="16"/>
  <c r="K55" i="16" s="1"/>
  <c r="H34" i="16"/>
  <c r="K34" i="16" s="1"/>
  <c r="H11" i="16"/>
  <c r="K11" i="16" s="1"/>
  <c r="I76" i="16" a="1"/>
  <c r="I76" i="16" s="1"/>
  <c r="J76" i="16" s="1"/>
  <c r="I69" i="16" a="1"/>
  <c r="I69" i="16" s="1"/>
  <c r="J69" i="16" s="1"/>
  <c r="I50" i="16" a="1"/>
  <c r="I50" i="16" s="1"/>
  <c r="J50" i="16" s="1"/>
  <c r="I44" i="16" a="1"/>
  <c r="I44" i="16" s="1"/>
  <c r="J44" i="16" s="1"/>
  <c r="I37" i="16" a="1"/>
  <c r="I37" i="16" s="1"/>
  <c r="J37" i="16" s="1"/>
  <c r="I31" i="16" a="1"/>
  <c r="I31" i="16" s="1"/>
  <c r="J31" i="16" s="1"/>
  <c r="I13" i="16" a="1"/>
  <c r="I13" i="16" s="1"/>
  <c r="J13" i="16" s="1"/>
  <c r="I8" i="16" a="1"/>
  <c r="I8" i="16" s="1"/>
  <c r="J8" i="16" s="1"/>
  <c r="H74" i="16"/>
  <c r="K74" i="16" s="1"/>
  <c r="I81" i="16" a="1"/>
  <c r="I81" i="16" s="1"/>
  <c r="J81" i="16" s="1"/>
  <c r="I62" i="16" a="1"/>
  <c r="I62" i="16" s="1"/>
  <c r="J62" i="16" s="1"/>
  <c r="I56" i="16" a="1"/>
  <c r="I56" i="16" s="1"/>
  <c r="J56" i="16" s="1"/>
  <c r="I49" i="16" a="1"/>
  <c r="I49" i="16" s="1"/>
  <c r="J49" i="16" s="1"/>
  <c r="I43" i="16" a="1"/>
  <c r="I43" i="16" s="1"/>
  <c r="J43" i="16" s="1"/>
  <c r="I30" i="16" a="1"/>
  <c r="I30" i="16" s="1"/>
  <c r="J30" i="16" s="1"/>
  <c r="I24" i="16" a="1"/>
  <c r="I24" i="16" s="1"/>
  <c r="J24" i="16" s="1"/>
  <c r="I7" i="16" a="1"/>
  <c r="I7" i="16" s="1"/>
  <c r="J7" i="16" s="1"/>
  <c r="I68" i="16" a="1"/>
  <c r="I68" i="16" s="1"/>
  <c r="J68" i="16" s="1"/>
  <c r="I61" i="16" a="1"/>
  <c r="I61" i="16" s="1"/>
  <c r="J61" i="16" s="1"/>
  <c r="I36" i="16" a="1"/>
  <c r="I36" i="16" s="1"/>
  <c r="J36" i="16" s="1"/>
  <c r="I29" i="16" a="1"/>
  <c r="I29" i="16" s="1"/>
  <c r="J29" i="16" s="1"/>
  <c r="I23" i="16" a="1"/>
  <c r="I23" i="16" s="1"/>
  <c r="J23" i="16" s="1"/>
  <c r="I17" i="16" a="1"/>
  <c r="I17" i="16" s="1"/>
  <c r="J17" i="16" s="1"/>
  <c r="H67" i="16"/>
  <c r="K67" i="16" s="1"/>
  <c r="H47" i="16"/>
  <c r="K47" i="16" s="1"/>
  <c r="I86" i="16" a="1"/>
  <c r="I86" i="16" s="1"/>
  <c r="J86" i="16" s="1"/>
  <c r="I80" i="16" a="1"/>
  <c r="I80" i="16" s="1"/>
  <c r="J80" i="16" s="1"/>
  <c r="I73" i="16" a="1"/>
  <c r="I73" i="16" s="1"/>
  <c r="J73" i="16" s="1"/>
  <c r="I54" i="16" a="1"/>
  <c r="I54" i="16" s="1"/>
  <c r="J54" i="16" s="1"/>
  <c r="I48" i="16" a="1"/>
  <c r="I48" i="16" s="1"/>
  <c r="J48" i="16" s="1"/>
  <c r="I41" i="16" a="1"/>
  <c r="I41" i="16" s="1"/>
  <c r="J41" i="16" s="1"/>
  <c r="I22" i="16" a="1"/>
  <c r="I22" i="16" s="1"/>
  <c r="J22" i="16" s="1"/>
  <c r="I6" i="16" a="1"/>
  <c r="I6" i="16" s="1"/>
  <c r="H66" i="16"/>
  <c r="K66" i="16" s="1"/>
  <c r="I85" i="16" a="1"/>
  <c r="I85" i="16" s="1"/>
  <c r="J85" i="16" s="1"/>
  <c r="I60" i="16" a="1"/>
  <c r="I60" i="16" s="1"/>
  <c r="J60" i="16" s="1"/>
  <c r="I53" i="16" a="1"/>
  <c r="I53" i="16" s="1"/>
  <c r="J53" i="16" s="1"/>
  <c r="I28" i="16" a="1"/>
  <c r="I28" i="16" s="1"/>
  <c r="J28" i="16" s="1"/>
  <c r="I21" i="16" a="1"/>
  <c r="I21" i="16" s="1"/>
  <c r="J21" i="16" s="1"/>
  <c r="I16" i="16" a="1"/>
  <c r="I16" i="16" s="1"/>
  <c r="J16" i="16" s="1"/>
  <c r="I5" i="16" a="1"/>
  <c r="I5" i="16" s="1"/>
  <c r="L5" i="16" a="1"/>
  <c r="L5" i="16" s="1"/>
  <c r="N5" i="16" s="1"/>
  <c r="L6" i="16" a="1"/>
  <c r="L6" i="16" s="1"/>
  <c r="N6" i="16" s="1"/>
  <c r="L7" i="16" a="1"/>
  <c r="L7" i="16" s="1"/>
  <c r="N7" i="16" s="1"/>
  <c r="L8" i="16" a="1"/>
  <c r="L8" i="16" s="1"/>
  <c r="N8" i="16" s="1"/>
  <c r="L9" i="16" a="1"/>
  <c r="L9" i="16" s="1"/>
  <c r="N9" i="16" s="1"/>
  <c r="L10" i="16" a="1"/>
  <c r="L10" i="16" s="1"/>
  <c r="N10" i="16" s="1"/>
  <c r="L11" i="16" a="1"/>
  <c r="L11" i="16" s="1"/>
  <c r="N11" i="16" s="1"/>
  <c r="L12" i="16" a="1"/>
  <c r="L12" i="16" s="1"/>
  <c r="N12" i="16" s="1"/>
  <c r="L13" i="16" a="1"/>
  <c r="L13" i="16" s="1"/>
  <c r="N13" i="16" s="1"/>
  <c r="L14" i="16" a="1"/>
  <c r="L14" i="16" s="1"/>
  <c r="N14" i="16" s="1"/>
  <c r="L15" i="16" a="1"/>
  <c r="L15" i="16" s="1"/>
  <c r="N15" i="16" s="1"/>
  <c r="L16" i="16" a="1"/>
  <c r="L16" i="16" s="1"/>
  <c r="N16" i="16" s="1"/>
  <c r="L17" i="16" a="1"/>
  <c r="L17" i="16" s="1"/>
  <c r="N17" i="16" s="1"/>
  <c r="L18" i="16" a="1"/>
  <c r="L18" i="16" s="1"/>
  <c r="N18" i="16" s="1"/>
  <c r="L19" i="16" a="1"/>
  <c r="L19" i="16" s="1"/>
  <c r="N19" i="16" s="1"/>
  <c r="L20" i="16" a="1"/>
  <c r="L20" i="16" s="1"/>
  <c r="N20" i="16" s="1"/>
  <c r="L21" i="16" a="1"/>
  <c r="L21" i="16" s="1"/>
  <c r="N21" i="16" s="1"/>
  <c r="L22" i="16" a="1"/>
  <c r="L22" i="16" s="1"/>
  <c r="N22" i="16" s="1"/>
  <c r="L23" i="16" a="1"/>
  <c r="L23" i="16" s="1"/>
  <c r="N23" i="16" s="1"/>
  <c r="L24" i="16" a="1"/>
  <c r="L24" i="16" s="1"/>
  <c r="N24" i="16" s="1"/>
  <c r="L25" i="16" a="1"/>
  <c r="L25" i="16" s="1"/>
  <c r="N25" i="16" s="1"/>
  <c r="L26" i="16" a="1"/>
  <c r="L26" i="16" s="1"/>
  <c r="N26" i="16" s="1"/>
  <c r="L27" i="16" a="1"/>
  <c r="L27" i="16" s="1"/>
  <c r="N27" i="16" s="1"/>
  <c r="L28" i="16" a="1"/>
  <c r="L28" i="16" s="1"/>
  <c r="N28" i="16" s="1"/>
  <c r="L29" i="16" a="1"/>
  <c r="L29" i="16" s="1"/>
  <c r="N29" i="16" s="1"/>
  <c r="L30" i="16" a="1"/>
  <c r="L30" i="16" s="1"/>
  <c r="N30" i="16" s="1"/>
  <c r="L31" i="16" a="1"/>
  <c r="L31" i="16" s="1"/>
  <c r="N31" i="16" s="1"/>
  <c r="L32" i="16" a="1"/>
  <c r="L32" i="16" s="1"/>
  <c r="N32" i="16" s="1"/>
  <c r="L33" i="16" a="1"/>
  <c r="L33" i="16" s="1"/>
  <c r="N33" i="16" s="1"/>
  <c r="L34" i="16" a="1"/>
  <c r="L34" i="16" s="1"/>
  <c r="N34" i="16" s="1"/>
  <c r="L35" i="16" a="1"/>
  <c r="L35" i="16" s="1"/>
  <c r="N35" i="16" s="1"/>
  <c r="L36" i="16" a="1"/>
  <c r="L36" i="16" s="1"/>
  <c r="N36" i="16" s="1"/>
  <c r="L37" i="16" a="1"/>
  <c r="L37" i="16" s="1"/>
  <c r="N37" i="16" s="1"/>
  <c r="L38" i="16" a="1"/>
  <c r="L38" i="16" s="1"/>
  <c r="N38" i="16" s="1"/>
  <c r="L39" i="16" a="1"/>
  <c r="L39" i="16" s="1"/>
  <c r="N39" i="16" s="1"/>
  <c r="L40" i="16" a="1"/>
  <c r="L40" i="16" s="1"/>
  <c r="N40" i="16" s="1"/>
  <c r="L41" i="16" a="1"/>
  <c r="L41" i="16" s="1"/>
  <c r="N41" i="16" s="1"/>
  <c r="L42" i="16" a="1"/>
  <c r="L42" i="16" s="1"/>
  <c r="N42" i="16" s="1"/>
  <c r="L43" i="16" a="1"/>
  <c r="L43" i="16" s="1"/>
  <c r="N43" i="16" s="1"/>
  <c r="L44" i="16" a="1"/>
  <c r="L44" i="16" s="1"/>
  <c r="N44" i="16" s="1"/>
  <c r="L45" i="16" a="1"/>
  <c r="L45" i="16" s="1"/>
  <c r="N45" i="16" s="1"/>
  <c r="L46" i="16" a="1"/>
  <c r="L46" i="16" s="1"/>
  <c r="N46" i="16" s="1"/>
  <c r="L47" i="16" a="1"/>
  <c r="L47" i="16" s="1"/>
  <c r="N47" i="16" s="1"/>
  <c r="L48" i="16" a="1"/>
  <c r="L48" i="16" s="1"/>
  <c r="N48" i="16" s="1"/>
  <c r="L49" i="16" a="1"/>
  <c r="L49" i="16" s="1"/>
  <c r="N49" i="16" s="1"/>
  <c r="L50" i="16" a="1"/>
  <c r="L50" i="16" s="1"/>
  <c r="N50" i="16" s="1"/>
  <c r="L51" i="16" a="1"/>
  <c r="L51" i="16" s="1"/>
  <c r="N51" i="16" s="1"/>
  <c r="L52" i="16" a="1"/>
  <c r="L52" i="16" s="1"/>
  <c r="N52" i="16" s="1"/>
  <c r="L53" i="16" a="1"/>
  <c r="L53" i="16" s="1"/>
  <c r="N53" i="16" s="1"/>
  <c r="L54" i="16" a="1"/>
  <c r="L54" i="16" s="1"/>
  <c r="N54" i="16" s="1"/>
  <c r="L55" i="16" a="1"/>
  <c r="L55" i="16" s="1"/>
  <c r="N55" i="16" s="1"/>
  <c r="L56" i="16" a="1"/>
  <c r="L56" i="16" s="1"/>
  <c r="N56" i="16" s="1"/>
  <c r="L57" i="16" a="1"/>
  <c r="L57" i="16" s="1"/>
  <c r="N57" i="16" s="1"/>
  <c r="L58" i="16" a="1"/>
  <c r="L58" i="16" s="1"/>
  <c r="N58" i="16" s="1"/>
  <c r="L59" i="16" a="1"/>
  <c r="L59" i="16" s="1"/>
  <c r="N59" i="16" s="1"/>
  <c r="L60" i="16" a="1"/>
  <c r="L60" i="16" s="1"/>
  <c r="N60" i="16" s="1"/>
  <c r="L61" i="16" a="1"/>
  <c r="L61" i="16" s="1"/>
  <c r="N61" i="16" s="1"/>
  <c r="L62" i="16" a="1"/>
  <c r="L62" i="16" s="1"/>
  <c r="N62" i="16" s="1"/>
  <c r="L63" i="16" a="1"/>
  <c r="L63" i="16" s="1"/>
  <c r="N63" i="16" s="1"/>
  <c r="L64" i="16" a="1"/>
  <c r="L64" i="16" s="1"/>
  <c r="N64" i="16" s="1"/>
  <c r="L65" i="16" a="1"/>
  <c r="L65" i="16" s="1"/>
  <c r="N65" i="16" s="1"/>
  <c r="L66" i="16" a="1"/>
  <c r="L66" i="16" s="1"/>
  <c r="N66" i="16" s="1"/>
  <c r="L67" i="16" a="1"/>
  <c r="L67" i="16" s="1"/>
  <c r="N67" i="16" s="1"/>
  <c r="L68" i="16" a="1"/>
  <c r="L68" i="16" s="1"/>
  <c r="N68" i="16" s="1"/>
  <c r="L69" i="16" a="1"/>
  <c r="L69" i="16" s="1"/>
  <c r="N69" i="16" s="1"/>
  <c r="L70" i="16" a="1"/>
  <c r="L70" i="16" s="1"/>
  <c r="N70" i="16" s="1"/>
  <c r="L71" i="16" a="1"/>
  <c r="L71" i="16" s="1"/>
  <c r="N71" i="16" s="1"/>
  <c r="L72" i="16" a="1"/>
  <c r="L72" i="16" s="1"/>
  <c r="N72" i="16" s="1"/>
  <c r="L73" i="16" a="1"/>
  <c r="L73" i="16" s="1"/>
  <c r="N73" i="16" s="1"/>
  <c r="L74" i="16" a="1"/>
  <c r="L74" i="16" s="1"/>
  <c r="N74" i="16" s="1"/>
  <c r="L75" i="16" a="1"/>
  <c r="L75" i="16" s="1"/>
  <c r="N75" i="16" s="1"/>
  <c r="L76" i="16" a="1"/>
  <c r="L76" i="16" s="1"/>
  <c r="N76" i="16" s="1"/>
  <c r="L77" i="16" a="1"/>
  <c r="L77" i="16" s="1"/>
  <c r="N77" i="16" s="1"/>
  <c r="L78" i="16" a="1"/>
  <c r="L78" i="16" s="1"/>
  <c r="N78" i="16" s="1"/>
  <c r="L79" i="16" a="1"/>
  <c r="L79" i="16" s="1"/>
  <c r="N79" i="16" s="1"/>
  <c r="L80" i="16" a="1"/>
  <c r="L80" i="16" s="1"/>
  <c r="N80" i="16" s="1"/>
  <c r="L81" i="16" a="1"/>
  <c r="L81" i="16" s="1"/>
  <c r="N81" i="16" s="1"/>
  <c r="L82" i="16" a="1"/>
  <c r="L82" i="16" s="1"/>
  <c r="N82" i="16" s="1"/>
  <c r="L83" i="16" a="1"/>
  <c r="L83" i="16" s="1"/>
  <c r="N83" i="16" s="1"/>
  <c r="L84" i="16" a="1"/>
  <c r="L84" i="16" s="1"/>
  <c r="N84" i="16" s="1"/>
  <c r="L85" i="16" a="1"/>
  <c r="L85" i="16" s="1"/>
  <c r="N85" i="16" s="1"/>
  <c r="L86" i="16" a="1"/>
  <c r="L86" i="16" s="1"/>
  <c r="N86" i="16" s="1"/>
  <c r="B21" i="23" a="1"/>
  <c r="B21" i="23" s="1"/>
  <c r="C20" i="23" s="1"/>
  <c r="G5" i="16" a="1"/>
  <c r="G5" i="16" s="1"/>
  <c r="G6" i="16" a="1"/>
  <c r="G6" i="16" s="1"/>
  <c r="G7" i="16" a="1"/>
  <c r="G7" i="16" s="1"/>
  <c r="G8" i="16" a="1"/>
  <c r="G8" i="16" s="1"/>
  <c r="G9" i="16" a="1"/>
  <c r="G9" i="16" s="1"/>
  <c r="G10" i="16" a="1"/>
  <c r="G10" i="16" s="1"/>
  <c r="G11" i="16" a="1"/>
  <c r="G11" i="16" s="1"/>
  <c r="G12" i="16" a="1"/>
  <c r="G12" i="16" s="1"/>
  <c r="G13" i="16" a="1"/>
  <c r="G13" i="16" s="1"/>
  <c r="G14" i="16" a="1"/>
  <c r="G14" i="16" s="1"/>
  <c r="G15" i="16" a="1"/>
  <c r="G15" i="16" s="1"/>
  <c r="G16" i="16" a="1"/>
  <c r="G16" i="16" s="1"/>
  <c r="G17" i="16" a="1"/>
  <c r="G17" i="16" s="1"/>
  <c r="G18" i="16" a="1"/>
  <c r="G18" i="16" s="1"/>
  <c r="G19" i="16" a="1"/>
  <c r="G19" i="16" s="1"/>
  <c r="G20" i="16" a="1"/>
  <c r="G20" i="16" s="1"/>
  <c r="G21" i="16" a="1"/>
  <c r="G21" i="16" s="1"/>
  <c r="G22" i="16" a="1"/>
  <c r="G22" i="16" s="1"/>
  <c r="G23" i="16" a="1"/>
  <c r="G23" i="16" s="1"/>
  <c r="G24" i="16" a="1"/>
  <c r="G24" i="16" s="1"/>
  <c r="G25" i="16" a="1"/>
  <c r="G25" i="16" s="1"/>
  <c r="G26" i="16" a="1"/>
  <c r="G26" i="16" s="1"/>
  <c r="G27" i="16" a="1"/>
  <c r="G27" i="16" s="1"/>
  <c r="G28" i="16" a="1"/>
  <c r="G28" i="16" s="1"/>
  <c r="G29" i="16" a="1"/>
  <c r="G29" i="16" s="1"/>
  <c r="G30" i="16" a="1"/>
  <c r="G30" i="16" s="1"/>
  <c r="G31" i="16" a="1"/>
  <c r="G31" i="16" s="1"/>
  <c r="G32" i="16" a="1"/>
  <c r="G32" i="16" s="1"/>
  <c r="G33" i="16" a="1"/>
  <c r="G33" i="16" s="1"/>
  <c r="G34" i="16" a="1"/>
  <c r="G34" i="16" s="1"/>
  <c r="G35" i="16" a="1"/>
  <c r="G35" i="16" s="1"/>
  <c r="G36" i="16" a="1"/>
  <c r="G36" i="16" s="1"/>
  <c r="G37" i="16" a="1"/>
  <c r="G37" i="16" s="1"/>
  <c r="G38" i="16" a="1"/>
  <c r="G38" i="16" s="1"/>
  <c r="G39" i="16" a="1"/>
  <c r="G39" i="16" s="1"/>
  <c r="G40" i="16" a="1"/>
  <c r="G40" i="16" s="1"/>
  <c r="G41" i="16" a="1"/>
  <c r="G41" i="16" s="1"/>
  <c r="G42" i="16" a="1"/>
  <c r="G42" i="16" s="1"/>
  <c r="G43" i="16" a="1"/>
  <c r="G43" i="16" s="1"/>
  <c r="G44" i="16" a="1"/>
  <c r="G44" i="16" s="1"/>
  <c r="G45" i="16" a="1"/>
  <c r="G45" i="16" s="1"/>
  <c r="G46" i="16" a="1"/>
  <c r="G46" i="16" s="1"/>
  <c r="G47" i="16" a="1"/>
  <c r="G47" i="16" s="1"/>
  <c r="G48" i="16" a="1"/>
  <c r="G48" i="16" s="1"/>
  <c r="G49" i="16" a="1"/>
  <c r="G49" i="16" s="1"/>
  <c r="G50" i="16" a="1"/>
  <c r="G50" i="16" s="1"/>
  <c r="G51" i="16" a="1"/>
  <c r="G51" i="16" s="1"/>
  <c r="G52" i="16" a="1"/>
  <c r="G52" i="16" s="1"/>
  <c r="G53" i="16" a="1"/>
  <c r="G53" i="16" s="1"/>
  <c r="G54" i="16" a="1"/>
  <c r="G54" i="16" s="1"/>
  <c r="G55" i="16" a="1"/>
  <c r="G55" i="16" s="1"/>
  <c r="G56" i="16" a="1"/>
  <c r="G56" i="16" s="1"/>
  <c r="G57" i="16" a="1"/>
  <c r="G57" i="16" s="1"/>
  <c r="G58" i="16" a="1"/>
  <c r="G58" i="16" s="1"/>
  <c r="G59" i="16" a="1"/>
  <c r="G59" i="16" s="1"/>
  <c r="G60" i="16" a="1"/>
  <c r="G60" i="16" s="1"/>
  <c r="G61" i="16" a="1"/>
  <c r="G61" i="16" s="1"/>
  <c r="G62" i="16" a="1"/>
  <c r="G62" i="16" s="1"/>
  <c r="G63" i="16" a="1"/>
  <c r="G63" i="16" s="1"/>
  <c r="G64" i="16" a="1"/>
  <c r="G64" i="16" s="1"/>
  <c r="G65" i="16" a="1"/>
  <c r="G65" i="16" s="1"/>
  <c r="G66" i="16" a="1"/>
  <c r="G66" i="16" s="1"/>
  <c r="G67" i="16" a="1"/>
  <c r="G67" i="16" s="1"/>
  <c r="G68" i="16" a="1"/>
  <c r="G68" i="16" s="1"/>
  <c r="G69" i="16" a="1"/>
  <c r="G69" i="16" s="1"/>
  <c r="G70" i="16" a="1"/>
  <c r="G70" i="16" s="1"/>
  <c r="G71" i="16" a="1"/>
  <c r="G71" i="16" s="1"/>
  <c r="G72" i="16" a="1"/>
  <c r="G72" i="16" s="1"/>
  <c r="G73" i="16" a="1"/>
  <c r="G73" i="16" s="1"/>
  <c r="G74" i="16" a="1"/>
  <c r="G74" i="16" s="1"/>
  <c r="G75" i="16" a="1"/>
  <c r="G75" i="16" s="1"/>
  <c r="G76" i="16" a="1"/>
  <c r="G76" i="16" s="1"/>
  <c r="G77" i="16" a="1"/>
  <c r="G77" i="16" s="1"/>
  <c r="G78" i="16" a="1"/>
  <c r="G78" i="16" s="1"/>
  <c r="G79" i="16" a="1"/>
  <c r="G79" i="16" s="1"/>
  <c r="G80" i="16" a="1"/>
  <c r="G80" i="16" s="1"/>
  <c r="G81" i="16" a="1"/>
  <c r="G81" i="16" s="1"/>
  <c r="G82" i="16" a="1"/>
  <c r="G82" i="16" s="1"/>
  <c r="G83" i="16" a="1"/>
  <c r="G83" i="16" s="1"/>
  <c r="G84" i="16" a="1"/>
  <c r="G84" i="16" s="1"/>
  <c r="G85" i="16" a="1"/>
  <c r="G85" i="16" s="1"/>
  <c r="G86" i="16" a="1"/>
  <c r="G86" i="16" s="1"/>
  <c r="C11" i="24" a="1"/>
  <c r="C11" i="24" s="1"/>
  <c r="F7" i="24"/>
  <c r="C8" i="24" a="1"/>
  <c r="C8" i="24" s="1"/>
  <c r="C10" i="24"/>
  <c r="C9" i="24"/>
  <c r="C7" i="24"/>
  <c r="F9" i="24"/>
  <c r="J6" i="16" l="1"/>
  <c r="J5" i="16"/>
  <c r="B25" i="23"/>
  <c r="D25" i="23"/>
  <c r="G5" i="23"/>
  <c r="C12" i="24" a="1"/>
  <c r="C12" i="24" s="1"/>
  <c r="O68" i="16"/>
  <c r="O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O83" i="16" l="1"/>
  <c r="O75" i="16"/>
  <c r="O73" i="16"/>
  <c r="O65" i="16"/>
  <c r="O64" i="16"/>
  <c r="O79" i="16"/>
  <c r="O71" i="16"/>
  <c r="O80" i="16"/>
  <c r="O72" i="16"/>
  <c r="O84" i="16"/>
  <c r="O67" i="16"/>
  <c r="O82" i="16"/>
  <c r="O74" i="16"/>
  <c r="O66" i="16"/>
  <c r="O86" i="16"/>
  <c r="O78" i="16"/>
  <c r="O70" i="16"/>
  <c r="O85" i="16"/>
  <c r="O77" i="16"/>
  <c r="O69" i="16"/>
  <c r="O81" i="16"/>
  <c r="O5" i="16" l="1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Kennedy Menezes</author>
  </authors>
  <commentList>
    <comment ref="J4" authorId="0" shapeId="0" xr:uid="{4459D513-CC0A-43A8-854A-7B3D5EAA6FE1}">
      <text>
        <r>
          <rPr>
            <b/>
            <sz val="9"/>
            <color indexed="81"/>
            <rFont val="Segoe UI"/>
            <charset val="1"/>
          </rPr>
          <t>Kennedy Menezes:</t>
        </r>
        <r>
          <rPr>
            <sz val="9"/>
            <color indexed="81"/>
            <rFont val="Segoe UI"/>
            <charset val="1"/>
          </rPr>
          <t xml:space="preserve">
Por que não funciona se é o indice vem correto?
Não funciona nem com o Indice (produto da corresp)</t>
        </r>
      </text>
    </comment>
    <comment ref="K4" authorId="0" shapeId="0" xr:uid="{BD1962D1-9670-442D-BAFA-2545CE52A333}">
      <text>
        <r>
          <rPr>
            <b/>
            <sz val="9"/>
            <color indexed="81"/>
            <rFont val="Segoe UI"/>
            <charset val="1"/>
          </rPr>
          <t>Kennedy Menezes: Desc. 2 é a mesma coisa que Desc., porém usando as colunas de Categoria e Indice (presentes em Desc. Diretamente na fórmula)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<sst xmlns="http://schemas.openxmlformats.org/spreadsheetml/2006/main" count="501" uniqueCount="173">
  <si>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</si>
  <si>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</si>
  <si>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</si>
  <si>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</si>
  <si>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</si>
  <si>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</si>
  <si>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</si>
  <si>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</si>
  <si>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</si>
  <si>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</si>
  <si>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</si>
  <si>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</si>
  <si>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</si>
  <si>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</si>
  <si>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</si>
  <si>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</si>
  <si>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</si>
  <si>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</si>
  <si>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</si>
  <si>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</si>
  <si>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</si>
  <si>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</si>
  <si>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</si>
  <si>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</si>
  <si>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</si>
  <si>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</si>
  <si>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</si>
  <si>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</si>
  <si>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</si>
  <si>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</si>
  <si>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</si>
  <si>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</si>
  <si>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</si>
  <si>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</si>
  <si>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</si>
  <si>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</si>
  <si>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</si>
  <si>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</si>
  <si>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</si>
  <si>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</si>
  <si>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</si>
  <si>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</si>
  <si>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</si>
  <si>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</si>
  <si>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</si>
  <si>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</si>
  <si>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</si>
  <si>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</si>
  <si>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</si>
  <si>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</si>
  <si>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</si>
  <si>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</si>
  <si>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</si>
  <si>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</si>
  <si>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</si>
  <si>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</si>
  <si>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</si>
  <si>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</si>
  <si>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</si>
  <si>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</si>
  <si>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</si>
  <si>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</si>
  <si>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</si>
  <si>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</si>
  <si>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</si>
  <si>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</si>
  <si>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</si>
  <si>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</si>
  <si>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</si>
  <si>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</si>
  <si>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</si>
  <si>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</si>
  <si>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</si>
  <si>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</si>
  <si>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</si>
  <si>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</si>
  <si>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</si>
  <si>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</si>
  <si>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</si>
  <si>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</si>
  <si>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</si>
  <si>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</si>
  <si>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</si>
  <si>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</si>
  <si>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</si>
  <si>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</si>
  <si>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</si>
  <si>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</si>
  <si>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</si>
  <si>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</si>
  <si>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</si>
  <si>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</si>
  <si>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</si>
  <si>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</si>
  <si>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</si>
  <si>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</si>
  <si>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</si>
  <si>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</si>
  <si>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</si>
  <si>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</si>
  <si>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</si>
  <si>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</si>
  <si>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</si>
  <si>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</si>
  <si>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</si>
  <si>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</si>
  <si>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</si>
  <si>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</si>
  <si>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</si>
  <si>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</si>
  <si>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</si>
  <si>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</si>
  <si>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</si>
  <si>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</si>
  <si>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</si>
  <si>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</si>
  <si>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</si>
  <si>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</si>
  <si>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</si>
  <si>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</si>
  <si>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</si>
  <si>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</si>
  <si>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</si>
  <si>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</si>
  <si>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</si>
  <si>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</si>
  <si>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</si>
  <si>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</si>
  <si>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</si>
  <si>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</si>
  <si>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</si>
  <si>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</si>
  <si>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</si>
  <si>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</si>
  <si>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</si>
  <si>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</si>
  <si>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</si>
  <si>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</si>
  <si>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</si>
  <si>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</si>
  <si>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</si>
  <si>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</si>
  <si>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</si>
  <si>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</si>
  <si>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</si>
  <si>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</si>
  <si>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</si>
  <si>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</si>
  <si>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</si>
  <si>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</si>
  <si>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</si>
  <si>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</si>
  <si>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</si>
  <si>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</si>
  <si>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</si>
  <si>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</si>
  <si>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</si>
  <si>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</si>
  <si>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</si>
  <si>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</si>
  <si>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</si>
  <si>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</si>
  <si>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</si>
  <si>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</si>
  <si>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</si>
  <si>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</si>
  <si>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</si>
  <si>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>Desc.</t>
  </si>
  <si>
    <t>Desc. Vend.</t>
  </si>
  <si>
    <t>Desc.2</t>
  </si>
  <si>
    <t>Indice</t>
  </si>
  <si>
    <t>indSES</t>
  </si>
  <si>
    <t>Desc.3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</si>
</sst>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1" fontId="16" fillId="0" borderId="31" xfId="5" applyNumberFormat="1" applyFont="1" applyBorder="1" applyAlignment="1">
      <alignment horizontal="center" vertical="center"/>
    </xf>
    <xf numFmtId="1" fontId="0" fillId="0" borderId="33" xfId="0" applyNumberFormat="1" applyBorder="1" applyAlignment="1">
      <alignment horizontal="center"/>
    </xf>
    <xf numFmtId="10" fontId="0" fillId="0" borderId="0" xfId="0" applyNumberForma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1" fontId="20" fillId="3" borderId="0" xfId="0" applyNumberFormat="1" applyFont="1" applyFill="1" applyAlignment="1">
      <alignment vertical="center"/>
    </xf>
    <xf numFmtId="1" fontId="0" fillId="7" borderId="0" xfId="0" applyNumberFormat="1" applyFill="1"/>
    <xf numFmtId="1" fontId="0" fillId="0" borderId="0" xfId="0" applyNumberFormat="1"/>
    <xf numFmtId="1" fontId="17" fillId="2" borderId="0" xfId="3" applyNumberFormat="1" applyFont="1" applyFill="1" applyBorder="1" applyAlignment="1">
      <alignment horizontal="center"/>
    </xf>
    <xf numFmtId="9" fontId="20" fillId="3" borderId="0" xfId="5" applyFont="1" applyFill="1" applyAlignment="1">
      <alignment vertical="center"/>
    </xf>
    <xf numFmtId="9" fontId="0" fillId="7" borderId="0" xfId="5" applyFont="1" applyFill="1"/>
    <xf numFmtId="9" fontId="17" fillId="2" borderId="0" xfId="5" applyFont="1" applyFill="1" applyBorder="1" applyAlignment="1">
      <alignment horizontal="center"/>
    </xf>
    <xf numFmtId="1" fontId="29" fillId="0" borderId="0" xfId="0" applyNumberFormat="1" applyFon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4">
    <dxf>
      <font>
        <color rgb="FF9C0006"/>
      </font>
      <fill>
        <patternFill>
          <bgColor rgb="FFFFC7CE"/>
        </patternFill>
      </fill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411376</xdr:colOff>
      <xdr:row>0</xdr:row>
      <xdr:rowOff>85725</xdr:rowOff>
    </xdr:from>
    <xdr:to>
      <xdr:col>9</xdr:col>
      <xdr:colOff>1125391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847210</xdr:colOff>
      <xdr:row>0</xdr:row>
      <xdr:rowOff>85725</xdr:rowOff>
    </xdr:from>
    <xdr:to>
      <xdr:col>8</xdr:col>
      <xdr:colOff>803343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1434285</xdr:colOff>
      <xdr:row>0</xdr:row>
      <xdr:rowOff>85725</xdr:rowOff>
    </xdr:from>
    <xdr:to>
      <xdr:col>7</xdr:col>
      <xdr:colOff>754818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6</xdr:col>
      <xdr:colOff>321533</xdr:colOff>
      <xdr:row>0</xdr:row>
      <xdr:rowOff>85725</xdr:rowOff>
    </xdr:from>
    <xdr:to>
      <xdr:col>6</xdr:col>
      <xdr:colOff>1341892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3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2"/>
    <tableColumn id="2" xr3:uid="{E100D4E2-C3A0-43FF-A1D9-90A4BC2A9918}" name="Produtos"/>
    <tableColumn id="3" xr3:uid="{2EF7FEE0-6B6F-4534-86A0-46B6555B7BEF}" name="Tamanho" dataDxfId="21"/>
    <tableColumn id="4" xr3:uid="{4435A4B8-E7F0-4D66-A4F8-6A9FEAA36D5A}" name="Categoria"/>
    <tableColumn id="6" xr3:uid="{15F9CACC-A558-4A20-80CF-C2ADA2603221}" name="Estoque" dataDxfId="20"/>
    <tableColumn id="5" xr3:uid="{CA8AD0DE-58EC-4839-85FB-1DD75DA28087}" name="Preço Unitário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P86" totalsRowShown="0" headerRowDxfId="18" dataDxfId="17" headerRowCellStyle="Cabeçalho Meteora">
  <autoFilter ref="A4:P86" xr:uid="{AD739091-30BD-4C30-BDDA-7504C0C4B6E2}"/>
  <tableColumns count="16">
    <tableColumn id="7" xr3:uid="{5E8DE7C3-CDB6-4314-A5CC-C44D3C21973F}" name="Nº" dataDxfId="16">
      <calculatedColumnFormula>MONTH(TB_Vendas[[#This Row],[Data]])</calculatedColumnFormula>
    </tableColumn>
    <tableColumn id="10" xr3:uid="{BD1ABB49-B48B-4C50-A034-45488FDC03A8}" name="Mês" dataDxfId="15">
      <calculatedColumnFormula>PROPER(TEXT(DATE(,TB_Vendas[[#This Row],[Nº]],1),"Mmm"))</calculatedColumnFormula>
    </tableColumn>
    <tableColumn id="1" xr3:uid="{43632F1F-6978-4CE7-BB13-7CCE587D6821}" name="Data" dataDxfId="14"/>
    <tableColumn id="12" xr3:uid="{205A55AB-454E-4288-AE23-042C3C399E7A}" name="Código" dataDxfId="13"/>
    <tableColumn id="13" xr3:uid="{F10FE83D-0C11-4488-B220-F560A4399F04}" name="Categoria" dataDxfId="6">
      <calculatedColumnFormula>VLOOKUP(TB_Vendas[[#This Row],[Código]],TB_Produtos[#All],4,)</calculatedColumnFormula>
    </tableColumn>
    <tableColumn id="5" xr3:uid="{7DC2ADED-AF8A-4BC8-A38E-FEF676FE49C9}" name="Qtd" dataDxfId="12"/>
    <tableColumn id="9" xr3:uid="{05B7315B-2774-41BC-AFEC-4A19E452D6C7}" name="Preço Unitário" dataDxfId="5">
      <calculatedColumnFormula array="1">_xlfn.XLOOKUP(TB_Vendas[[#This Row],[Código]],TB_Produtos[[#All],[Código]],TB_Produtos[[#All],[Preço Unitário]])</calculatedColumnFormula>
    </tableColumn>
    <tableColumn id="15" xr3:uid="{9937299F-2849-4F6D-997C-15E62F8FC55B}" name="Indice" dataDxfId="4">
      <calculatedColumnFormula>_xlfn.XMATCH(TB_Vendas[[#This Row],[Categoria]],Desc_Cols,0)</calculatedColumnFormula>
    </tableColumn>
    <tableColumn id="16" xr3:uid="{9C2947DF-1577-40C6-BA8E-DAD0D54AD25B}" name="indSES" dataDxfId="2">
      <calculatedColumnFormula array="1">_xlfn.IFS(TB_Vendas[[#This Row],[Categoria]]='Cadastros Auxiliares'!$C$8,2,TB_Vendas[[#This Row],[Categoria]]='Cadastros Auxiliares'!$D$8,3,TB_Vendas[[#This Row],[Categoria]]='Cadastros Auxiliares'!$E$8,4)</calculatedColumnFormula>
    </tableColumn>
    <tableColumn id="17" xr3:uid="{2277C041-507D-4501-BADE-7146CE69276B}" name="Desc.3" dataDxfId="1">
      <calculatedColumnFormula>VLOOKUP(TB_Vendas[[#This Row],[Qtd]],Desc_TabToda,TB_Vendas[[#This Row],[indSES]],1)</calculatedColumnFormula>
    </tableColumn>
    <tableColumn id="14" xr3:uid="{7D313142-1815-46CD-8658-071A923275C0}" name="Desc.2" dataDxfId="3" dataCellStyle="Porcentagem">
      <calculatedColumnFormula>VLOOKUP(TB_Vendas[[#This Row],[Qtd]],Desc_TabToda,TB_Vendas[[#This Row],[Indice]],1)</calculatedColumnFormula>
    </tableColumn>
    <tableColumn id="2" xr3:uid="{4BEBDE19-FA81-4412-AC83-E0AE6998A9B4}" name="Desc." dataDxfId="11" dataCellStyle="Porcentagem">
      <calculatedColumnFormula array="1">INDEX(Desc_TabToda,MATCH(TB_Vendas[[#This Row],[Qtd]],Desc_Qtd,1),MATCH(_xlfn.XLOOKUP(TB_Vendas[[#This Row],[Código]],TB_Produtos[[#All],[Código]],TB_Produtos[[#All],[Categoria]]),Desc_Cols,0))</calculatedColumnFormula>
    </tableColumn>
    <tableColumn id="4" xr3:uid="{3ACC2ADF-7728-47BF-82A0-D55FD0E1304E}" name="Desc. Vend." dataDxfId="8" dataCellStyle="Porcentagem">
      <calculatedColumnFormula>_xlfn.XLOOKUP(TB_Vendas[[#This Row],[Vendedor]],Vendedores!$A$4:$A$9,Vendedores!$D$4:$D$9)</calculatedColumnFormula>
    </tableColumn>
    <tableColumn id="11" xr3:uid="{F47E482D-60EB-4706-B1E5-B290E1301DF1}" name="Desconto" dataDxfId="7" dataCellStyle="Porcentagem">
      <calculatedColumnFormula>IF(TB_Vendas[[#This Row],[Desc.]]&gt;TB_Vendas[[#This Row],[Desc. Vend.]],TB_Vendas[[#This Row],[Desc. Vend.]],TB_Vendas[[#This Row],[Desc.]])</calculatedColumnFormula>
    </tableColumn>
    <tableColumn id="6" xr3:uid="{9459B662-6A4F-4486-82B1-12F67B8F842E}" name="Total" dataDxfId="10">
      <calculatedColumnFormula>TB_Vendas[[#This Row],[Preço Unitário]]*TB_Vendas[[#This Row],[Qtd]]</calculatedColumnFormula>
    </tableColumn>
    <tableColumn id="8" xr3:uid="{192FEBCA-1287-48A6-9BE6-69528F71C305}" name="Vendedor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zoomScale="85" zoomScaleNormal="85" workbookViewId="0">
      <selection activeCell="J14" sqref="J14"/>
    </sheetView>
  </sheetViews>
  <sheetFormatPr defaultColWidth="0" defaultRowHeight="14.4" zeroHeight="1"/>
  <cols>
    <col min="1" max="5" width="8.88671875" style="40" customWidth="1"/>
    <col min="6" max="12" width="8.88671875" customWidth="1"/>
    <col min="13" max="16384" width="8.88671875" hidden="1"/>
  </cols>
  <sheetData>
    <row r="1" spans="1:1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1:1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</row>
    <row r="5" spans="1:12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74" zoomScaleNormal="74" workbookViewId="0">
      <selection activeCell="B15" sqref="B1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5" customHeight="1">
      <c r="A5" s="42"/>
      <c r="B5" s="42"/>
      <c r="C5" s="42"/>
      <c r="D5" s="42"/>
      <c r="E5" s="42"/>
      <c r="F5" s="42"/>
    </row>
    <row r="6" spans="1:9" s="1" customFormat="1" ht="18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0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10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9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4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11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0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5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6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zoomScale="74" zoomScaleNormal="74"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>
      <c r="A1" s="43"/>
      <c r="B1" s="85" t="s">
        <v>134</v>
      </c>
      <c r="C1" s="85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6">
      <c r="A4" s="52" t="s">
        <v>30</v>
      </c>
      <c r="B4" s="58" t="s">
        <v>74</v>
      </c>
      <c r="C4" s="58" t="s">
        <v>145</v>
      </c>
      <c r="D4" s="53" t="s">
        <v>146</v>
      </c>
    </row>
    <row r="5" spans="1:5" ht="22.5" customHeight="1">
      <c r="A5" s="64" t="s">
        <v>126</v>
      </c>
      <c r="B5" s="57" t="s">
        <v>73</v>
      </c>
      <c r="C5" s="57" t="s">
        <v>147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148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149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150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151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P86"/>
  <sheetViews>
    <sheetView tabSelected="1" topLeftCell="C1" zoomScale="74" zoomScaleNormal="74" workbookViewId="0">
      <selection activeCell="I14" sqref="I14"/>
    </sheetView>
  </sheetViews>
  <sheetFormatPr defaultRowHeight="14.4"/>
  <cols>
    <col min="1" max="1" width="8.88671875" style="1" hidden="1" customWidth="1"/>
    <col min="2" max="2" width="8.88671875" style="1" customWidth="1"/>
    <col min="3" max="3" width="11.5546875" style="1" bestFit="1" customWidth="1"/>
    <col min="4" max="5" width="11.5546875" style="1" customWidth="1"/>
    <col min="6" max="6" width="10.109375" bestFit="1" customWidth="1"/>
    <col min="7" max="7" width="24.5546875" customWidth="1"/>
    <col min="8" max="9" width="15.44140625" style="122" customWidth="1"/>
    <col min="10" max="10" width="24.5546875" style="69" customWidth="1"/>
    <col min="11" max="11" width="13.6640625" customWidth="1"/>
    <col min="12" max="12" width="21" bestFit="1" customWidth="1"/>
    <col min="13" max="13" width="20.33203125" customWidth="1"/>
    <col min="14" max="14" width="17" bestFit="1" customWidth="1"/>
  </cols>
  <sheetData>
    <row r="1" spans="1:16" s="40" customFormat="1" ht="40.200000000000003" customHeight="1">
      <c r="A1" s="43"/>
      <c r="C1" s="47" t="s">
        <v>135</v>
      </c>
      <c r="D1" s="45"/>
      <c r="E1" s="45"/>
      <c r="F1" s="45"/>
      <c r="G1" s="45"/>
      <c r="H1" s="120"/>
      <c r="I1" s="120"/>
      <c r="J1" s="124"/>
      <c r="K1" s="45"/>
      <c r="L1" s="45"/>
      <c r="M1" s="45"/>
      <c r="N1" s="45"/>
    </row>
    <row r="2" spans="1:16" s="41" customFormat="1" ht="4.5" customHeight="1">
      <c r="A2" s="44"/>
      <c r="B2" s="44"/>
      <c r="C2" s="44"/>
      <c r="D2" s="44"/>
      <c r="E2" s="44"/>
      <c r="F2" s="44"/>
      <c r="H2" s="121"/>
      <c r="I2" s="121"/>
      <c r="J2" s="125"/>
    </row>
    <row r="3" spans="1:16" ht="4.5" customHeight="1">
      <c r="A3" s="42"/>
      <c r="B3" s="42"/>
      <c r="C3" s="42"/>
      <c r="D3" s="42"/>
      <c r="E3" s="42"/>
      <c r="F3" s="42"/>
    </row>
    <row r="4" spans="1:16" ht="18.600000000000001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10</v>
      </c>
      <c r="F4" s="36" t="s">
        <v>15</v>
      </c>
      <c r="G4" s="36" t="s">
        <v>11</v>
      </c>
      <c r="H4" s="123" t="s">
        <v>170</v>
      </c>
      <c r="I4" s="123" t="s">
        <v>171</v>
      </c>
      <c r="J4" s="123" t="s">
        <v>172</v>
      </c>
      <c r="K4" s="126" t="s">
        <v>169</v>
      </c>
      <c r="L4" s="36" t="s">
        <v>167</v>
      </c>
      <c r="M4" s="36" t="s">
        <v>168</v>
      </c>
      <c r="N4" s="36" t="s">
        <v>133</v>
      </c>
      <c r="O4" s="37" t="s">
        <v>16</v>
      </c>
      <c r="P4" s="36" t="s">
        <v>74</v>
      </c>
    </row>
    <row r="5" spans="1:16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VLOOKUP(TB_Vendas[[#This Row],[Código]],TB_Produtos[#All],4,)</f>
        <v>Acessórios</v>
      </c>
      <c r="F5" s="1">
        <v>1</v>
      </c>
      <c r="G5" s="29" cm="1">
        <f t="array" ref="G5">_xlfn.XLOOKUP(TB_Vendas[[#This Row],[Código]],TB_Produtos[[#All],[Código]],TB_Produtos[[#All],[Preço Unitário]])</f>
        <v>39.9</v>
      </c>
      <c r="H5" s="10">
        <f>_xlfn.XMATCH(TB_Vendas[[#This Row],[Categoria]],Desc_Cols,0)</f>
        <v>2</v>
      </c>
      <c r="I5" s="10" cm="1">
        <f t="array" ref="I5">_xlfn.IFS(TB_Vendas[[#This Row],[Categoria]]='Cadastros Auxiliares'!$C$8,2,TB_Vendas[[#This Row],[Categoria]]='Cadastros Auxiliares'!$D$8,3,TB_Vendas[[#This Row],[Categoria]]='Cadastros Auxiliares'!$E$8,4)</f>
        <v>2</v>
      </c>
      <c r="J5" s="10">
        <f>VLOOKUP(TB_Vendas[[#This Row],[Qtd]],Desc_TabToda,TB_Vendas[[#This Row],[indSES]],1)</f>
        <v>0</v>
      </c>
      <c r="K5" s="70">
        <f>VLOOKUP(TB_Vendas[[#This Row],[Qtd]],Desc_TabToda,TB_Vendas[[#This Row],[Indice]],1)</f>
        <v>0</v>
      </c>
      <c r="L5" s="70" cm="1">
        <f t="array" ref="L5">INDEX(Desc_TabToda,MATCH(TB_Vendas[[#This Row],[Qtd]],Desc_Qtd,1),MATCH(_xlfn.XLOOKUP(TB_Vendas[[#This Row],[Código]],TB_Produtos[[#All],[Código]],TB_Produtos[[#All],[Categoria]]),Desc_Cols,0))</f>
        <v>0</v>
      </c>
      <c r="M5" s="70">
        <f>_xlfn.XLOOKUP(TB_Vendas[[#This Row],[Vendedor]],Vendedores!$A$4:$A$9,Vendedores!$D$4:$D$9)</f>
        <v>0.25</v>
      </c>
      <c r="N5" s="70">
        <f>IF(TB_Vendas[[#This Row],[Desc.]]&gt;TB_Vendas[[#This Row],[Desc. Vend.]],TB_Vendas[[#This Row],[Desc. Vend.]],TB_Vendas[[#This Row],[Desc.]])</f>
        <v>0</v>
      </c>
      <c r="O5" s="8">
        <f>TB_Vendas[[#This Row],[Preço Unitário]]*TB_Vendas[[#This Row],[Qtd]]</f>
        <v>39.9</v>
      </c>
      <c r="P5" s="1" t="s">
        <v>127</v>
      </c>
    </row>
    <row r="6" spans="1:16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VLOOKUP(TB_Vendas[[#This Row],[Código]],TB_Produtos[#All],4,)</f>
        <v>Acessórios</v>
      </c>
      <c r="F6" s="1">
        <v>1</v>
      </c>
      <c r="G6" s="29" cm="1">
        <f t="array" ref="G6">_xlfn.XLOOKUP(TB_Vendas[[#This Row],[Código]],TB_Produtos[[#All],[Código]],TB_Produtos[[#All],[Preço Unitário]])</f>
        <v>259.89999999999998</v>
      </c>
      <c r="H6" s="10">
        <f>_xlfn.XMATCH(TB_Vendas[[#This Row],[Categoria]],Desc_Cols,0)</f>
        <v>2</v>
      </c>
      <c r="I6" s="10" cm="1">
        <f t="array" ref="I6">_xlfn.IFS(TB_Vendas[[#This Row],[Categoria]]='Cadastros Auxiliares'!$C$8,2,TB_Vendas[[#This Row],[Categoria]]='Cadastros Auxiliares'!$D$8,3,TB_Vendas[[#This Row],[Categoria]]='Cadastros Auxiliares'!$E$8,4)</f>
        <v>2</v>
      </c>
      <c r="J6" s="10">
        <f>VLOOKUP(TB_Vendas[[#This Row],[Qtd]],Desc_TabToda,TB_Vendas[[#This Row],[indSES]],1)</f>
        <v>0</v>
      </c>
      <c r="K6" s="70">
        <f>VLOOKUP(TB_Vendas[[#This Row],[Qtd]],Desc_TabToda,TB_Vendas[[#This Row],[Indice]],1)</f>
        <v>0</v>
      </c>
      <c r="L6" s="70" cm="1">
        <f t="array" ref="L6">INDEX(Desc_TabToda,MATCH(TB_Vendas[[#This Row],[Qtd]],Desc_Qtd,1),MATCH(_xlfn.XLOOKUP(TB_Vendas[[#This Row],[Código]],TB_Produtos[[#All],[Código]],TB_Produtos[[#All],[Categoria]]),Desc_Cols,0))</f>
        <v>0</v>
      </c>
      <c r="M6" s="70">
        <f>_xlfn.XLOOKUP(TB_Vendas[[#This Row],[Vendedor]],Vendedores!$A$4:$A$9,Vendedores!$D$4:$D$9)</f>
        <v>0.25</v>
      </c>
      <c r="N6" s="70">
        <f>IF(TB_Vendas[[#This Row],[Desc.]]&gt;TB_Vendas[[#This Row],[Desc. Vend.]],TB_Vendas[[#This Row],[Desc. Vend.]],TB_Vendas[[#This Row],[Desc.]])</f>
        <v>0</v>
      </c>
      <c r="O6" s="8">
        <f>TB_Vendas[[#This Row],[Preço Unitário]]*TB_Vendas[[#This Row],[Qtd]]</f>
        <v>259.89999999999998</v>
      </c>
      <c r="P6" s="1" t="s">
        <v>127</v>
      </c>
    </row>
    <row r="7" spans="1:16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VLOOKUP(TB_Vendas[[#This Row],[Código]],TB_Produtos[#All],4,)</f>
        <v>Vestuário</v>
      </c>
      <c r="F7" s="1">
        <v>2</v>
      </c>
      <c r="G7" s="29" cm="1">
        <f t="array" ref="G7">_xlfn.XLOOKUP(TB_Vendas[[#This Row],[Código]],TB_Produtos[[#All],[Código]],TB_Produtos[[#All],[Preço Unitário]])</f>
        <v>32.9</v>
      </c>
      <c r="H7" s="10">
        <f>_xlfn.XMATCH(TB_Vendas[[#This Row],[Categoria]],Desc_Cols,0)</f>
        <v>3</v>
      </c>
      <c r="I7" s="10" cm="1">
        <f t="array" ref="I7">_xlfn.IFS(TB_Vendas[[#This Row],[Categoria]]='Cadastros Auxiliares'!$C$8,2,TB_Vendas[[#This Row],[Categoria]]='Cadastros Auxiliares'!$D$8,3,TB_Vendas[[#This Row],[Categoria]]='Cadastros Auxiliares'!$E$8,4)</f>
        <v>3</v>
      </c>
      <c r="J7" s="10">
        <f>VLOOKUP(TB_Vendas[[#This Row],[Qtd]],Desc_TabToda,TB_Vendas[[#This Row],[indSES]],1)</f>
        <v>0.15</v>
      </c>
      <c r="K7" s="70">
        <f>VLOOKUP(TB_Vendas[[#This Row],[Qtd]],Desc_TabToda,TB_Vendas[[#This Row],[Indice]],1)</f>
        <v>0.15</v>
      </c>
      <c r="L7" s="70" cm="1">
        <f t="array" ref="L7">INDEX(Desc_TabToda,MATCH(TB_Vendas[[#This Row],[Qtd]],Desc_Qtd,1),MATCH(_xlfn.XLOOKUP(TB_Vendas[[#This Row],[Código]],TB_Produtos[[#All],[Código]],TB_Produtos[[#All],[Categoria]]),Desc_Cols,0))</f>
        <v>0.15</v>
      </c>
      <c r="M7" s="70">
        <f>_xlfn.XLOOKUP(TB_Vendas[[#This Row],[Vendedor]],Vendedores!$A$4:$A$9,Vendedores!$D$4:$D$9)</f>
        <v>0.2</v>
      </c>
      <c r="N7" s="70">
        <f>IF(TB_Vendas[[#This Row],[Desc.]]&gt;TB_Vendas[[#This Row],[Desc. Vend.]],TB_Vendas[[#This Row],[Desc. Vend.]],TB_Vendas[[#This Row],[Desc.]])</f>
        <v>0.15</v>
      </c>
      <c r="O7" s="8">
        <f>TB_Vendas[[#This Row],[Preço Unitário]]*TB_Vendas[[#This Row],[Qtd]]</f>
        <v>65.8</v>
      </c>
      <c r="P7" s="1" t="s">
        <v>126</v>
      </c>
    </row>
    <row r="8" spans="1:16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VLOOKUP(TB_Vendas[[#This Row],[Código]],TB_Produtos[#All],4,)</f>
        <v>Vestuário</v>
      </c>
      <c r="F8" s="1">
        <v>1</v>
      </c>
      <c r="G8" s="29" cm="1">
        <f t="array" ref="G8">_xlfn.XLOOKUP(TB_Vendas[[#This Row],[Código]],TB_Produtos[[#All],[Código]],TB_Produtos[[#All],[Preço Unitário]])</f>
        <v>46.9</v>
      </c>
      <c r="H8" s="10">
        <f>_xlfn.XMATCH(TB_Vendas[[#This Row],[Categoria]],Desc_Cols,0)</f>
        <v>3</v>
      </c>
      <c r="I8" s="10" cm="1">
        <f t="array" ref="I8">_xlfn.IFS(TB_Vendas[[#This Row],[Categoria]]='Cadastros Auxiliares'!$C$8,2,TB_Vendas[[#This Row],[Categoria]]='Cadastros Auxiliares'!$D$8,3,TB_Vendas[[#This Row],[Categoria]]='Cadastros Auxiliares'!$E$8,4)</f>
        <v>3</v>
      </c>
      <c r="J8" s="10">
        <f>VLOOKUP(TB_Vendas[[#This Row],[Qtd]],Desc_TabToda,TB_Vendas[[#This Row],[indSES]],1)</f>
        <v>0.1</v>
      </c>
      <c r="K8" s="70">
        <f>VLOOKUP(TB_Vendas[[#This Row],[Qtd]],Desc_TabToda,TB_Vendas[[#This Row],[Indice]],1)</f>
        <v>0.1</v>
      </c>
      <c r="L8" s="70" cm="1">
        <f t="array" ref="L8">INDEX(Desc_TabToda,MATCH(TB_Vendas[[#This Row],[Qtd]],Desc_Qtd,1),MATCH(_xlfn.XLOOKUP(TB_Vendas[[#This Row],[Código]],TB_Produtos[[#All],[Código]],TB_Produtos[[#All],[Categoria]]),Desc_Cols,0))</f>
        <v>0.1</v>
      </c>
      <c r="M8" s="70">
        <f>_xlfn.XLOOKUP(TB_Vendas[[#This Row],[Vendedor]],Vendedores!$A$4:$A$9,Vendedores!$D$4:$D$9)</f>
        <v>0.15</v>
      </c>
      <c r="N8" s="70">
        <f>IF(TB_Vendas[[#This Row],[Desc.]]&gt;TB_Vendas[[#This Row],[Desc. Vend.]],TB_Vendas[[#This Row],[Desc. Vend.]],TB_Vendas[[#This Row],[Desc.]])</f>
        <v>0.1</v>
      </c>
      <c r="O8" s="8">
        <f>TB_Vendas[[#This Row],[Preço Unitário]]*TB_Vendas[[#This Row],[Qtd]]</f>
        <v>46.9</v>
      </c>
      <c r="P8" s="1" t="s">
        <v>130</v>
      </c>
    </row>
    <row r="9" spans="1:16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VLOOKUP(TB_Vendas[[#This Row],[Código]],TB_Produtos[#All],4,)</f>
        <v>Vestuário</v>
      </c>
      <c r="F9" s="1">
        <v>1</v>
      </c>
      <c r="G9" s="29" cm="1">
        <f t="array" ref="G9">_xlfn.XLOOKUP(TB_Vendas[[#This Row],[Código]],TB_Produtos[[#All],[Código]],TB_Produtos[[#All],[Preço Unitário]])</f>
        <v>29.9</v>
      </c>
      <c r="H9" s="10">
        <f>_xlfn.XMATCH(TB_Vendas[[#This Row],[Categoria]],Desc_Cols,0)</f>
        <v>3</v>
      </c>
      <c r="I9" s="10" cm="1">
        <f t="array" ref="I9">_xlfn.IFS(TB_Vendas[[#This Row],[Categoria]]='Cadastros Auxiliares'!$C$8,2,TB_Vendas[[#This Row],[Categoria]]='Cadastros Auxiliares'!$D$8,3,TB_Vendas[[#This Row],[Categoria]]='Cadastros Auxiliares'!$E$8,4)</f>
        <v>3</v>
      </c>
      <c r="J9" s="10">
        <f>VLOOKUP(TB_Vendas[[#This Row],[Qtd]],Desc_TabToda,TB_Vendas[[#This Row],[indSES]],1)</f>
        <v>0.1</v>
      </c>
      <c r="K9" s="70">
        <f>VLOOKUP(TB_Vendas[[#This Row],[Qtd]],Desc_TabToda,TB_Vendas[[#This Row],[Indice]],1)</f>
        <v>0.1</v>
      </c>
      <c r="L9" s="70" cm="1">
        <f t="array" ref="L9">INDEX(Desc_TabToda,MATCH(TB_Vendas[[#This Row],[Qtd]],Desc_Qtd,1),MATCH(_xlfn.XLOOKUP(TB_Vendas[[#This Row],[Código]],TB_Produtos[[#All],[Código]],TB_Produtos[[#All],[Categoria]]),Desc_Cols,0))</f>
        <v>0.1</v>
      </c>
      <c r="M9" s="70">
        <f>_xlfn.XLOOKUP(TB_Vendas[[#This Row],[Vendedor]],Vendedores!$A$4:$A$9,Vendedores!$D$4:$D$9)</f>
        <v>0.25</v>
      </c>
      <c r="N9" s="70">
        <f>IF(TB_Vendas[[#This Row],[Desc.]]&gt;TB_Vendas[[#This Row],[Desc. Vend.]],TB_Vendas[[#This Row],[Desc. Vend.]],TB_Vendas[[#This Row],[Desc.]])</f>
        <v>0.1</v>
      </c>
      <c r="O9" s="8">
        <f>TB_Vendas[[#This Row],[Preço Unitário]]*TB_Vendas[[#This Row],[Qtd]]</f>
        <v>29.9</v>
      </c>
      <c r="P9" s="1" t="s">
        <v>127</v>
      </c>
    </row>
    <row r="10" spans="1:16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VLOOKUP(TB_Vendas[[#This Row],[Código]],TB_Produtos[#All],4,)</f>
        <v>Vestuário</v>
      </c>
      <c r="F10" s="1">
        <v>1</v>
      </c>
      <c r="G10" s="29" cm="1">
        <f t="array" ref="G10">_xlfn.XLOOKUP(TB_Vendas[[#This Row],[Código]],TB_Produtos[[#All],[Código]],TB_Produtos[[#All],[Preço Unitário]])</f>
        <v>299.89999999999998</v>
      </c>
      <c r="H10" s="10">
        <f>_xlfn.XMATCH(TB_Vendas[[#This Row],[Categoria]],Desc_Cols,0)</f>
        <v>3</v>
      </c>
      <c r="I10" s="10" cm="1">
        <f t="array" ref="I10">_xlfn.IFS(TB_Vendas[[#This Row],[Categoria]]='Cadastros Auxiliares'!$C$8,2,TB_Vendas[[#This Row],[Categoria]]='Cadastros Auxiliares'!$D$8,3,TB_Vendas[[#This Row],[Categoria]]='Cadastros Auxiliares'!$E$8,4)</f>
        <v>3</v>
      </c>
      <c r="J10" s="10">
        <f>VLOOKUP(TB_Vendas[[#This Row],[Qtd]],Desc_TabToda,TB_Vendas[[#This Row],[indSES]],1)</f>
        <v>0.1</v>
      </c>
      <c r="K10" s="70">
        <f>VLOOKUP(TB_Vendas[[#This Row],[Qtd]],Desc_TabToda,TB_Vendas[[#This Row],[Indice]],1)</f>
        <v>0.1</v>
      </c>
      <c r="L10" s="70" cm="1">
        <f t="array" ref="L10">INDEX(Desc_TabToda,MATCH(TB_Vendas[[#This Row],[Qtd]],Desc_Qtd,1),MATCH(_xlfn.XLOOKUP(TB_Vendas[[#This Row],[Código]],TB_Produtos[[#All],[Código]],TB_Produtos[[#All],[Categoria]]),Desc_Cols,0))</f>
        <v>0.1</v>
      </c>
      <c r="M10" s="70">
        <f>_xlfn.XLOOKUP(TB_Vendas[[#This Row],[Vendedor]],Vendedores!$A$4:$A$9,Vendedores!$D$4:$D$9)</f>
        <v>0.15</v>
      </c>
      <c r="N10" s="70">
        <f>IF(TB_Vendas[[#This Row],[Desc.]]&gt;TB_Vendas[[#This Row],[Desc. Vend.]],TB_Vendas[[#This Row],[Desc. Vend.]],TB_Vendas[[#This Row],[Desc.]])</f>
        <v>0.1</v>
      </c>
      <c r="O10" s="8">
        <f>TB_Vendas[[#This Row],[Preço Unitário]]*TB_Vendas[[#This Row],[Qtd]]</f>
        <v>299.89999999999998</v>
      </c>
      <c r="P10" s="1" t="s">
        <v>130</v>
      </c>
    </row>
    <row r="11" spans="1:16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VLOOKUP(TB_Vendas[[#This Row],[Código]],TB_Produtos[#All],4,)</f>
        <v>Vestuário</v>
      </c>
      <c r="F11" s="1">
        <v>1</v>
      </c>
      <c r="G11" s="29" cm="1">
        <f t="array" ref="G11">_xlfn.XLOOKUP(TB_Vendas[[#This Row],[Código]],TB_Produtos[[#All],[Código]],TB_Produtos[[#All],[Preço Unitário]])</f>
        <v>146</v>
      </c>
      <c r="H11" s="10">
        <f>_xlfn.XMATCH(TB_Vendas[[#This Row],[Categoria]],Desc_Cols,0)</f>
        <v>3</v>
      </c>
      <c r="I11" s="10" cm="1">
        <f t="array" ref="I11">_xlfn.IFS(TB_Vendas[[#This Row],[Categoria]]='Cadastros Auxiliares'!$C$8,2,TB_Vendas[[#This Row],[Categoria]]='Cadastros Auxiliares'!$D$8,3,TB_Vendas[[#This Row],[Categoria]]='Cadastros Auxiliares'!$E$8,4)</f>
        <v>3</v>
      </c>
      <c r="J11" s="10">
        <f>VLOOKUP(TB_Vendas[[#This Row],[Qtd]],Desc_TabToda,TB_Vendas[[#This Row],[indSES]],1)</f>
        <v>0.1</v>
      </c>
      <c r="K11" s="70">
        <f>VLOOKUP(TB_Vendas[[#This Row],[Qtd]],Desc_TabToda,TB_Vendas[[#This Row],[Indice]],1)</f>
        <v>0.1</v>
      </c>
      <c r="L11" s="70" cm="1">
        <f t="array" ref="L11">INDEX(Desc_TabToda,MATCH(TB_Vendas[[#This Row],[Qtd]],Desc_Qtd,1),MATCH(_xlfn.XLOOKUP(TB_Vendas[[#This Row],[Código]],TB_Produtos[[#All],[Código]],TB_Produtos[[#All],[Categoria]]),Desc_Cols,0))</f>
        <v>0.1</v>
      </c>
      <c r="M11" s="70">
        <f>_xlfn.XLOOKUP(TB_Vendas[[#This Row],[Vendedor]],Vendedores!$A$4:$A$9,Vendedores!$D$4:$D$9)</f>
        <v>0.1</v>
      </c>
      <c r="N11" s="70">
        <f>IF(TB_Vendas[[#This Row],[Desc.]]&gt;TB_Vendas[[#This Row],[Desc. Vend.]],TB_Vendas[[#This Row],[Desc. Vend.]],TB_Vendas[[#This Row],[Desc.]])</f>
        <v>0.1</v>
      </c>
      <c r="O11" s="8">
        <f>TB_Vendas[[#This Row],[Preço Unitário]]*TB_Vendas[[#This Row],[Qtd]]</f>
        <v>146</v>
      </c>
      <c r="P11" s="1" t="s">
        <v>128</v>
      </c>
    </row>
    <row r="12" spans="1:16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VLOOKUP(TB_Vendas[[#This Row],[Código]],TB_Produtos[#All],4,)</f>
        <v>Vestuário</v>
      </c>
      <c r="F12" s="1">
        <v>2</v>
      </c>
      <c r="G12" s="29" cm="1">
        <f t="array" ref="G12">_xlfn.XLOOKUP(TB_Vendas[[#This Row],[Código]],TB_Produtos[[#All],[Código]],TB_Produtos[[#All],[Preço Unitário]])</f>
        <v>89.9</v>
      </c>
      <c r="H12" s="10">
        <f>_xlfn.XMATCH(TB_Vendas[[#This Row],[Categoria]],Desc_Cols,0)</f>
        <v>3</v>
      </c>
      <c r="I12" s="10" cm="1">
        <f t="array" ref="I12">_xlfn.IFS(TB_Vendas[[#This Row],[Categoria]]='Cadastros Auxiliares'!$C$8,2,TB_Vendas[[#This Row],[Categoria]]='Cadastros Auxiliares'!$D$8,3,TB_Vendas[[#This Row],[Categoria]]='Cadastros Auxiliares'!$E$8,4)</f>
        <v>3</v>
      </c>
      <c r="J12" s="10">
        <f>VLOOKUP(TB_Vendas[[#This Row],[Qtd]],Desc_TabToda,TB_Vendas[[#This Row],[indSES]],1)</f>
        <v>0.15</v>
      </c>
      <c r="K12" s="70">
        <f>VLOOKUP(TB_Vendas[[#This Row],[Qtd]],Desc_TabToda,TB_Vendas[[#This Row],[Indice]],1)</f>
        <v>0.15</v>
      </c>
      <c r="L12" s="70" cm="1">
        <f t="array" ref="L12">INDEX(Desc_TabToda,MATCH(TB_Vendas[[#This Row],[Qtd]],Desc_Qtd,1),MATCH(_xlfn.XLOOKUP(TB_Vendas[[#This Row],[Código]],TB_Produtos[[#All],[Código]],TB_Produtos[[#All],[Categoria]]),Desc_Cols,0))</f>
        <v>0.15</v>
      </c>
      <c r="M12" s="70">
        <f>_xlfn.XLOOKUP(TB_Vendas[[#This Row],[Vendedor]],Vendedores!$A$4:$A$9,Vendedores!$D$4:$D$9)</f>
        <v>0.1</v>
      </c>
      <c r="N12" s="70">
        <f>IF(TB_Vendas[[#This Row],[Desc.]]&gt;TB_Vendas[[#This Row],[Desc. Vend.]],TB_Vendas[[#This Row],[Desc. Vend.]],TB_Vendas[[#This Row],[Desc.]])</f>
        <v>0.1</v>
      </c>
      <c r="O12" s="8">
        <f>TB_Vendas[[#This Row],[Preço Unitário]]*TB_Vendas[[#This Row],[Qtd]]</f>
        <v>179.8</v>
      </c>
      <c r="P12" s="1" t="s">
        <v>128</v>
      </c>
    </row>
    <row r="13" spans="1:16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VLOOKUP(TB_Vendas[[#This Row],[Código]],TB_Produtos[#All],4,)</f>
        <v>Calçado</v>
      </c>
      <c r="F13" s="1">
        <v>2</v>
      </c>
      <c r="G13" s="29" cm="1">
        <f t="array" ref="G13">_xlfn.XLOOKUP(TB_Vendas[[#This Row],[Código]],TB_Produtos[[#All],[Código]],TB_Produtos[[#All],[Preço Unitário]])</f>
        <v>250</v>
      </c>
      <c r="H13" s="10">
        <f>_xlfn.XMATCH(TB_Vendas[[#This Row],[Categoria]],Desc_Cols,0)</f>
        <v>4</v>
      </c>
      <c r="I13" s="10" cm="1">
        <f t="array" ref="I13">_xlfn.IFS(TB_Vendas[[#This Row],[Categoria]]='Cadastros Auxiliares'!$C$8,2,TB_Vendas[[#This Row],[Categoria]]='Cadastros Auxiliares'!$D$8,3,TB_Vendas[[#This Row],[Categoria]]='Cadastros Auxiliares'!$E$8,4)</f>
        <v>4</v>
      </c>
      <c r="J13" s="10">
        <f>VLOOKUP(TB_Vendas[[#This Row],[Qtd]],Desc_TabToda,TB_Vendas[[#This Row],[indSES]],1)</f>
        <v>0.1</v>
      </c>
      <c r="K13" s="70">
        <f>VLOOKUP(TB_Vendas[[#This Row],[Qtd]],Desc_TabToda,TB_Vendas[[#This Row],[Indice]],1)</f>
        <v>0.1</v>
      </c>
      <c r="L13" s="70" cm="1">
        <f t="array" ref="L13">INDEX(Desc_TabToda,MATCH(TB_Vendas[[#This Row],[Qtd]],Desc_Qtd,1),MATCH(_xlfn.XLOOKUP(TB_Vendas[[#This Row],[Código]],TB_Produtos[[#All],[Código]],TB_Produtos[[#All],[Categoria]]),Desc_Cols,0))</f>
        <v>0.1</v>
      </c>
      <c r="M13" s="70">
        <f>_xlfn.XLOOKUP(TB_Vendas[[#This Row],[Vendedor]],Vendedores!$A$4:$A$9,Vendedores!$D$4:$D$9)</f>
        <v>0.25</v>
      </c>
      <c r="N13" s="70">
        <f>IF(TB_Vendas[[#This Row],[Desc.]]&gt;TB_Vendas[[#This Row],[Desc. Vend.]],TB_Vendas[[#This Row],[Desc. Vend.]],TB_Vendas[[#This Row],[Desc.]])</f>
        <v>0.1</v>
      </c>
      <c r="O13" s="8">
        <f>TB_Vendas[[#This Row],[Preço Unitário]]*TB_Vendas[[#This Row],[Qtd]]</f>
        <v>500</v>
      </c>
      <c r="P13" s="1" t="s">
        <v>127</v>
      </c>
    </row>
    <row r="14" spans="1:16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VLOOKUP(TB_Vendas[[#This Row],[Código]],TB_Produtos[#All],4,)</f>
        <v>Vestuário</v>
      </c>
      <c r="F14" s="1">
        <v>1</v>
      </c>
      <c r="G14" s="29" cm="1">
        <f t="array" ref="G14">_xlfn.XLOOKUP(TB_Vendas[[#This Row],[Código]],TB_Produtos[[#All],[Código]],TB_Produtos[[#All],[Preço Unitário]])</f>
        <v>39.9</v>
      </c>
      <c r="H14" s="10">
        <f>_xlfn.XMATCH(TB_Vendas[[#This Row],[Categoria]],Desc_Cols,0)</f>
        <v>3</v>
      </c>
      <c r="I14" s="127" cm="1">
        <f t="array" ref="I14">_xlfn.IFS(TB_Vendas[[#This Row],[Categoria]]='Cadastros Auxiliares'!$C$8,2,TB_Vendas[[#This Row],[Categoria]]='Cadastros Auxiliares'!$D$8,3,TB_Vendas[[#This Row],[Categoria]]='Cadastros Auxiliares'!$E$8,4)</f>
        <v>3</v>
      </c>
      <c r="J14" s="10">
        <f>VLOOKUP(TB_Vendas[[#This Row],[Qtd]],Desc_TabToda,TB_Vendas[[#This Row],[indSES]],1)</f>
        <v>0.1</v>
      </c>
      <c r="K14" s="70">
        <f>VLOOKUP(TB_Vendas[[#This Row],[Qtd]],Desc_TabToda,TB_Vendas[[#This Row],[Indice]],1)</f>
        <v>0.1</v>
      </c>
      <c r="L14" s="70" cm="1">
        <f t="array" ref="L14">INDEX(Desc_TabToda,MATCH(TB_Vendas[[#This Row],[Qtd]],Desc_Qtd,1),MATCH(_xlfn.XLOOKUP(TB_Vendas[[#This Row],[Código]],TB_Produtos[[#All],[Código]],TB_Produtos[[#All],[Categoria]]),Desc_Cols,0))</f>
        <v>0.1</v>
      </c>
      <c r="M14" s="70">
        <f>_xlfn.XLOOKUP(TB_Vendas[[#This Row],[Vendedor]],Vendedores!$A$4:$A$9,Vendedores!$D$4:$D$9)</f>
        <v>0.25</v>
      </c>
      <c r="N14" s="70">
        <f>IF(TB_Vendas[[#This Row],[Desc.]]&gt;TB_Vendas[[#This Row],[Desc. Vend.]],TB_Vendas[[#This Row],[Desc. Vend.]],TB_Vendas[[#This Row],[Desc.]])</f>
        <v>0.1</v>
      </c>
      <c r="O14" s="8">
        <f>TB_Vendas[[#This Row],[Preço Unitário]]*TB_Vendas[[#This Row],[Qtd]]</f>
        <v>39.9</v>
      </c>
      <c r="P14" s="1" t="s">
        <v>127</v>
      </c>
    </row>
    <row r="15" spans="1:16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VLOOKUP(TB_Vendas[[#This Row],[Código]],TB_Produtos[#All],4,)</f>
        <v>Vestuário</v>
      </c>
      <c r="F15" s="1">
        <v>1</v>
      </c>
      <c r="G15" s="29" cm="1">
        <f t="array" ref="G15">_xlfn.XLOOKUP(TB_Vendas[[#This Row],[Código]],TB_Produtos[[#All],[Código]],TB_Produtos[[#All],[Preço Unitário]])</f>
        <v>142.9</v>
      </c>
      <c r="H15" s="10">
        <f>_xlfn.XMATCH(TB_Vendas[[#This Row],[Categoria]],Desc_Cols,0)</f>
        <v>3</v>
      </c>
      <c r="I15" s="10" cm="1">
        <f t="array" ref="I15">_xlfn.IFS(TB_Vendas[[#This Row],[Categoria]]='Cadastros Auxiliares'!$C$8,2,TB_Vendas[[#This Row],[Categoria]]='Cadastros Auxiliares'!$D$8,3,TB_Vendas[[#This Row],[Categoria]]='Cadastros Auxiliares'!$E$8,4)</f>
        <v>3</v>
      </c>
      <c r="J15" s="10">
        <f>VLOOKUP(TB_Vendas[[#This Row],[Qtd]],Desc_TabToda,TB_Vendas[[#This Row],[indSES]],1)</f>
        <v>0.1</v>
      </c>
      <c r="K15" s="70">
        <f>VLOOKUP(TB_Vendas[[#This Row],[Qtd]],Desc_TabToda,TB_Vendas[[#This Row],[Indice]],1)</f>
        <v>0.1</v>
      </c>
      <c r="L15" s="70" cm="1">
        <f t="array" ref="L15">INDEX(Desc_TabToda,MATCH(TB_Vendas[[#This Row],[Qtd]],Desc_Qtd,1),MATCH(_xlfn.XLOOKUP(TB_Vendas[[#This Row],[Código]],TB_Produtos[[#All],[Código]],TB_Produtos[[#All],[Categoria]]),Desc_Cols,0))</f>
        <v>0.1</v>
      </c>
      <c r="M15" s="70">
        <f>_xlfn.XLOOKUP(TB_Vendas[[#This Row],[Vendedor]],Vendedores!$A$4:$A$9,Vendedores!$D$4:$D$9)</f>
        <v>0.2</v>
      </c>
      <c r="N15" s="70">
        <f>IF(TB_Vendas[[#This Row],[Desc.]]&gt;TB_Vendas[[#This Row],[Desc. Vend.]],TB_Vendas[[#This Row],[Desc. Vend.]],TB_Vendas[[#This Row],[Desc.]])</f>
        <v>0.1</v>
      </c>
      <c r="O15" s="8">
        <f>TB_Vendas[[#This Row],[Preço Unitário]]*TB_Vendas[[#This Row],[Qtd]]</f>
        <v>142.9</v>
      </c>
      <c r="P15" s="1" t="s">
        <v>129</v>
      </c>
    </row>
    <row r="16" spans="1:16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VLOOKUP(TB_Vendas[[#This Row],[Código]],TB_Produtos[#All],4,)</f>
        <v>Vestuário</v>
      </c>
      <c r="F16" s="1">
        <v>1</v>
      </c>
      <c r="G16" s="29" cm="1">
        <f t="array" ref="G16">_xlfn.XLOOKUP(TB_Vendas[[#This Row],[Código]],TB_Produtos[[#All],[Código]],TB_Produtos[[#All],[Preço Unitário]])</f>
        <v>300</v>
      </c>
      <c r="H16" s="10">
        <f>_xlfn.XMATCH(TB_Vendas[[#This Row],[Categoria]],Desc_Cols,0)</f>
        <v>3</v>
      </c>
      <c r="I16" s="10" cm="1">
        <f t="array" ref="I16">_xlfn.IFS(TB_Vendas[[#This Row],[Categoria]]='Cadastros Auxiliares'!$C$8,2,TB_Vendas[[#This Row],[Categoria]]='Cadastros Auxiliares'!$D$8,3,TB_Vendas[[#This Row],[Categoria]]='Cadastros Auxiliares'!$E$8,4)</f>
        <v>3</v>
      </c>
      <c r="J16" s="10">
        <f>VLOOKUP(TB_Vendas[[#This Row],[Qtd]],Desc_TabToda,TB_Vendas[[#This Row],[indSES]],1)</f>
        <v>0.1</v>
      </c>
      <c r="K16" s="70">
        <f>VLOOKUP(TB_Vendas[[#This Row],[Qtd]],Desc_TabToda,TB_Vendas[[#This Row],[Indice]],1)</f>
        <v>0.1</v>
      </c>
      <c r="L16" s="70" cm="1">
        <f t="array" ref="L16">INDEX(Desc_TabToda,MATCH(TB_Vendas[[#This Row],[Qtd]],Desc_Qtd,1),MATCH(_xlfn.XLOOKUP(TB_Vendas[[#This Row],[Código]],TB_Produtos[[#All],[Código]],TB_Produtos[[#All],[Categoria]]),Desc_Cols,0))</f>
        <v>0.1</v>
      </c>
      <c r="M16" s="70">
        <f>_xlfn.XLOOKUP(TB_Vendas[[#This Row],[Vendedor]],Vendedores!$A$4:$A$9,Vendedores!$D$4:$D$9)</f>
        <v>0.1</v>
      </c>
      <c r="N16" s="70">
        <f>IF(TB_Vendas[[#This Row],[Desc.]]&gt;TB_Vendas[[#This Row],[Desc. Vend.]],TB_Vendas[[#This Row],[Desc. Vend.]],TB_Vendas[[#This Row],[Desc.]])</f>
        <v>0.1</v>
      </c>
      <c r="O16" s="8">
        <f>TB_Vendas[[#This Row],[Preço Unitário]]*TB_Vendas[[#This Row],[Qtd]]</f>
        <v>300</v>
      </c>
      <c r="P16" s="1" t="s">
        <v>128</v>
      </c>
    </row>
    <row r="17" spans="1:16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VLOOKUP(TB_Vendas[[#This Row],[Código]],TB_Produtos[#All],4,)</f>
        <v>Vestuário</v>
      </c>
      <c r="F17" s="1">
        <v>2</v>
      </c>
      <c r="G17" s="29" cm="1">
        <f t="array" ref="G17">_xlfn.XLOOKUP(TB_Vendas[[#This Row],[Código]],TB_Produtos[[#All],[Código]],TB_Produtos[[#All],[Preço Unitário]])</f>
        <v>289.89999999999998</v>
      </c>
      <c r="H17" s="10">
        <f>_xlfn.XMATCH(TB_Vendas[[#This Row],[Categoria]],Desc_Cols,0)</f>
        <v>3</v>
      </c>
      <c r="I17" s="10" cm="1">
        <f t="array" ref="I17">_xlfn.IFS(TB_Vendas[[#This Row],[Categoria]]='Cadastros Auxiliares'!$C$8,2,TB_Vendas[[#This Row],[Categoria]]='Cadastros Auxiliares'!$D$8,3,TB_Vendas[[#This Row],[Categoria]]='Cadastros Auxiliares'!$E$8,4)</f>
        <v>3</v>
      </c>
      <c r="J17" s="10">
        <f>VLOOKUP(TB_Vendas[[#This Row],[Qtd]],Desc_TabToda,TB_Vendas[[#This Row],[indSES]],1)</f>
        <v>0.15</v>
      </c>
      <c r="K17" s="70">
        <f>VLOOKUP(TB_Vendas[[#This Row],[Qtd]],Desc_TabToda,TB_Vendas[[#This Row],[Indice]],1)</f>
        <v>0.15</v>
      </c>
      <c r="L17" s="70" cm="1">
        <f t="array" ref="L17">INDEX(Desc_TabToda,MATCH(TB_Vendas[[#This Row],[Qtd]],Desc_Qtd,1),MATCH(_xlfn.XLOOKUP(TB_Vendas[[#This Row],[Código]],TB_Produtos[[#All],[Código]],TB_Produtos[[#All],[Categoria]]),Desc_Cols,0))</f>
        <v>0.15</v>
      </c>
      <c r="M17" s="70">
        <f>_xlfn.XLOOKUP(TB_Vendas[[#This Row],[Vendedor]],Vendedores!$A$4:$A$9,Vendedores!$D$4:$D$9)</f>
        <v>0.2</v>
      </c>
      <c r="N17" s="70">
        <f>IF(TB_Vendas[[#This Row],[Desc.]]&gt;TB_Vendas[[#This Row],[Desc. Vend.]],TB_Vendas[[#This Row],[Desc. Vend.]],TB_Vendas[[#This Row],[Desc.]])</f>
        <v>0.15</v>
      </c>
      <c r="O17" s="8">
        <f>TB_Vendas[[#This Row],[Preço Unitário]]*TB_Vendas[[#This Row],[Qtd]]</f>
        <v>579.79999999999995</v>
      </c>
      <c r="P17" s="1" t="s">
        <v>129</v>
      </c>
    </row>
    <row r="18" spans="1:16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VLOOKUP(TB_Vendas[[#This Row],[Código]],TB_Produtos[#All],4,)</f>
        <v>Calçado</v>
      </c>
      <c r="F18" s="1">
        <v>1</v>
      </c>
      <c r="G18" s="29" cm="1">
        <f t="array" ref="G18">_xlfn.XLOOKUP(TB_Vendas[[#This Row],[Código]],TB_Produtos[[#All],[Código]],TB_Produtos[[#All],[Preço Unitário]])</f>
        <v>249.9</v>
      </c>
      <c r="H18" s="10">
        <f>_xlfn.XMATCH(TB_Vendas[[#This Row],[Categoria]],Desc_Cols,0)</f>
        <v>4</v>
      </c>
      <c r="I18" s="10" cm="1">
        <f t="array" ref="I18">_xlfn.IFS(TB_Vendas[[#This Row],[Categoria]]='Cadastros Auxiliares'!$C$8,2,TB_Vendas[[#This Row],[Categoria]]='Cadastros Auxiliares'!$D$8,3,TB_Vendas[[#This Row],[Categoria]]='Cadastros Auxiliares'!$E$8,4)</f>
        <v>4</v>
      </c>
      <c r="J18" s="10">
        <f>VLOOKUP(TB_Vendas[[#This Row],[Qtd]],Desc_TabToda,TB_Vendas[[#This Row],[indSES]],1)</f>
        <v>0</v>
      </c>
      <c r="K18" s="70">
        <f>VLOOKUP(TB_Vendas[[#This Row],[Qtd]],Desc_TabToda,TB_Vendas[[#This Row],[Indice]],1)</f>
        <v>0</v>
      </c>
      <c r="L18" s="70" cm="1">
        <f t="array" ref="L18">INDEX(Desc_TabToda,MATCH(TB_Vendas[[#This Row],[Qtd]],Desc_Qtd,1),MATCH(_xlfn.XLOOKUP(TB_Vendas[[#This Row],[Código]],TB_Produtos[[#All],[Código]],TB_Produtos[[#All],[Categoria]]),Desc_Cols,0))</f>
        <v>0</v>
      </c>
      <c r="M18" s="70">
        <f>_xlfn.XLOOKUP(TB_Vendas[[#This Row],[Vendedor]],Vendedores!$A$4:$A$9,Vendedores!$D$4:$D$9)</f>
        <v>0.2</v>
      </c>
      <c r="N18" s="70">
        <f>IF(TB_Vendas[[#This Row],[Desc.]]&gt;TB_Vendas[[#This Row],[Desc. Vend.]],TB_Vendas[[#This Row],[Desc. Vend.]],TB_Vendas[[#This Row],[Desc.]])</f>
        <v>0</v>
      </c>
      <c r="O18" s="8">
        <f>TB_Vendas[[#This Row],[Preço Unitário]]*TB_Vendas[[#This Row],[Qtd]]</f>
        <v>249.9</v>
      </c>
      <c r="P18" s="1" t="s">
        <v>129</v>
      </c>
    </row>
    <row r="19" spans="1:16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VLOOKUP(TB_Vendas[[#This Row],[Código]],TB_Produtos[#All],4,)</f>
        <v>Vestuário</v>
      </c>
      <c r="F19" s="1">
        <v>2</v>
      </c>
      <c r="G19" s="29" cm="1">
        <f t="array" ref="G19">_xlfn.XLOOKUP(TB_Vendas[[#This Row],[Código]],TB_Produtos[[#All],[Código]],TB_Produtos[[#All],[Preço Unitário]])</f>
        <v>39.9</v>
      </c>
      <c r="H19" s="10">
        <f>_xlfn.XMATCH(TB_Vendas[[#This Row],[Categoria]],Desc_Cols,0)</f>
        <v>3</v>
      </c>
      <c r="I19" s="10" cm="1">
        <f t="array" ref="I19">_xlfn.IFS(TB_Vendas[[#This Row],[Categoria]]='Cadastros Auxiliares'!$C$8,2,TB_Vendas[[#This Row],[Categoria]]='Cadastros Auxiliares'!$D$8,3,TB_Vendas[[#This Row],[Categoria]]='Cadastros Auxiliares'!$E$8,4)</f>
        <v>3</v>
      </c>
      <c r="J19" s="10">
        <f>VLOOKUP(TB_Vendas[[#This Row],[Qtd]],Desc_TabToda,TB_Vendas[[#This Row],[indSES]],1)</f>
        <v>0.15</v>
      </c>
      <c r="K19" s="70">
        <f>VLOOKUP(TB_Vendas[[#This Row],[Qtd]],Desc_TabToda,TB_Vendas[[#This Row],[Indice]],1)</f>
        <v>0.15</v>
      </c>
      <c r="L19" s="70" cm="1">
        <f t="array" ref="L19">INDEX(Desc_TabToda,MATCH(TB_Vendas[[#This Row],[Qtd]],Desc_Qtd,1),MATCH(_xlfn.XLOOKUP(TB_Vendas[[#This Row],[Código]],TB_Produtos[[#All],[Código]],TB_Produtos[[#All],[Categoria]]),Desc_Cols,0))</f>
        <v>0.15</v>
      </c>
      <c r="M19" s="70">
        <f>_xlfn.XLOOKUP(TB_Vendas[[#This Row],[Vendedor]],Vendedores!$A$4:$A$9,Vendedores!$D$4:$D$9)</f>
        <v>0.2</v>
      </c>
      <c r="N19" s="70">
        <f>IF(TB_Vendas[[#This Row],[Desc.]]&gt;TB_Vendas[[#This Row],[Desc. Vend.]],TB_Vendas[[#This Row],[Desc. Vend.]],TB_Vendas[[#This Row],[Desc.]])</f>
        <v>0.15</v>
      </c>
      <c r="O19" s="8">
        <f>TB_Vendas[[#This Row],[Preço Unitário]]*TB_Vendas[[#This Row],[Qtd]]</f>
        <v>79.8</v>
      </c>
      <c r="P19" s="1" t="s">
        <v>129</v>
      </c>
    </row>
    <row r="20" spans="1:16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VLOOKUP(TB_Vendas[[#This Row],[Código]],TB_Produtos[#All],4,)</f>
        <v>Vestuário</v>
      </c>
      <c r="F20" s="1">
        <v>4</v>
      </c>
      <c r="G20" s="29" cm="1">
        <f t="array" ref="G20">_xlfn.XLOOKUP(TB_Vendas[[#This Row],[Código]],TB_Produtos[[#All],[Código]],TB_Produtos[[#All],[Preço Unitário]])</f>
        <v>289.89999999999998</v>
      </c>
      <c r="H20" s="10">
        <f>_xlfn.XMATCH(TB_Vendas[[#This Row],[Categoria]],Desc_Cols,0)</f>
        <v>3</v>
      </c>
      <c r="I20" s="10" cm="1">
        <f t="array" ref="I20">_xlfn.IFS(TB_Vendas[[#This Row],[Categoria]]='Cadastros Auxiliares'!$C$8,2,TB_Vendas[[#This Row],[Categoria]]='Cadastros Auxiliares'!$D$8,3,TB_Vendas[[#This Row],[Categoria]]='Cadastros Auxiliares'!$E$8,4)</f>
        <v>3</v>
      </c>
      <c r="J20" s="10">
        <f>VLOOKUP(TB_Vendas[[#This Row],[Qtd]],Desc_TabToda,TB_Vendas[[#This Row],[indSES]],1)</f>
        <v>0.2</v>
      </c>
      <c r="K20" s="70">
        <f>VLOOKUP(TB_Vendas[[#This Row],[Qtd]],Desc_TabToda,TB_Vendas[[#This Row],[Indice]],1)</f>
        <v>0.2</v>
      </c>
      <c r="L20" s="70" cm="1">
        <f t="array" ref="L20">INDEX(Desc_TabToda,MATCH(TB_Vendas[[#This Row],[Qtd]],Desc_Qtd,1),MATCH(_xlfn.XLOOKUP(TB_Vendas[[#This Row],[Código]],TB_Produtos[[#All],[Código]],TB_Produtos[[#All],[Categoria]]),Desc_Cols,0))</f>
        <v>0.2</v>
      </c>
      <c r="M20" s="70">
        <f>_xlfn.XLOOKUP(TB_Vendas[[#This Row],[Vendedor]],Vendedores!$A$4:$A$9,Vendedores!$D$4:$D$9)</f>
        <v>0.2</v>
      </c>
      <c r="N20" s="70">
        <f>IF(TB_Vendas[[#This Row],[Desc.]]&gt;TB_Vendas[[#This Row],[Desc. Vend.]],TB_Vendas[[#This Row],[Desc. Vend.]],TB_Vendas[[#This Row],[Desc.]])</f>
        <v>0.2</v>
      </c>
      <c r="O20" s="8">
        <f>TB_Vendas[[#This Row],[Preço Unitário]]*TB_Vendas[[#This Row],[Qtd]]</f>
        <v>1159.5999999999999</v>
      </c>
      <c r="P20" s="1" t="s">
        <v>129</v>
      </c>
    </row>
    <row r="21" spans="1:16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VLOOKUP(TB_Vendas[[#This Row],[Código]],TB_Produtos[#All],4,)</f>
        <v>Vestuário</v>
      </c>
      <c r="F21" s="1">
        <v>3</v>
      </c>
      <c r="G21" s="29" cm="1">
        <f t="array" ref="G21">_xlfn.XLOOKUP(TB_Vendas[[#This Row],[Código]],TB_Produtos[[#All],[Código]],TB_Produtos[[#All],[Preço Unitário]])</f>
        <v>180</v>
      </c>
      <c r="H21" s="10">
        <f>_xlfn.XMATCH(TB_Vendas[[#This Row],[Categoria]],Desc_Cols,0)</f>
        <v>3</v>
      </c>
      <c r="I21" s="10" cm="1">
        <f t="array" ref="I21">_xlfn.IFS(TB_Vendas[[#This Row],[Categoria]]='Cadastros Auxiliares'!$C$8,2,TB_Vendas[[#This Row],[Categoria]]='Cadastros Auxiliares'!$D$8,3,TB_Vendas[[#This Row],[Categoria]]='Cadastros Auxiliares'!$E$8,4)</f>
        <v>3</v>
      </c>
      <c r="J21" s="10">
        <f>VLOOKUP(TB_Vendas[[#This Row],[Qtd]],Desc_TabToda,TB_Vendas[[#This Row],[indSES]],1)</f>
        <v>0.2</v>
      </c>
      <c r="K21" s="70">
        <f>VLOOKUP(TB_Vendas[[#This Row],[Qtd]],Desc_TabToda,TB_Vendas[[#This Row],[Indice]],1)</f>
        <v>0.2</v>
      </c>
      <c r="L21" s="70" cm="1">
        <f t="array" ref="L21">INDEX(Desc_TabToda,MATCH(TB_Vendas[[#This Row],[Qtd]],Desc_Qtd,1),MATCH(_xlfn.XLOOKUP(TB_Vendas[[#This Row],[Código]],TB_Produtos[[#All],[Código]],TB_Produtos[[#All],[Categoria]]),Desc_Cols,0))</f>
        <v>0.2</v>
      </c>
      <c r="M21" s="70">
        <f>_xlfn.XLOOKUP(TB_Vendas[[#This Row],[Vendedor]],Vendedores!$A$4:$A$9,Vendedores!$D$4:$D$9)</f>
        <v>0.25</v>
      </c>
      <c r="N21" s="70">
        <f>IF(TB_Vendas[[#This Row],[Desc.]]&gt;TB_Vendas[[#This Row],[Desc. Vend.]],TB_Vendas[[#This Row],[Desc. Vend.]],TB_Vendas[[#This Row],[Desc.]])</f>
        <v>0.2</v>
      </c>
      <c r="O21" s="8">
        <f>TB_Vendas[[#This Row],[Preço Unitário]]*TB_Vendas[[#This Row],[Qtd]]</f>
        <v>540</v>
      </c>
      <c r="P21" s="1" t="s">
        <v>127</v>
      </c>
    </row>
    <row r="22" spans="1:16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VLOOKUP(TB_Vendas[[#This Row],[Código]],TB_Produtos[#All],4,)</f>
        <v>Vestuário</v>
      </c>
      <c r="F22" s="1">
        <v>2</v>
      </c>
      <c r="G22" s="29" cm="1">
        <f t="array" ref="G22">_xlfn.XLOOKUP(TB_Vendas[[#This Row],[Código]],TB_Produtos[[#All],[Código]],TB_Produtos[[#All],[Preço Unitário]])</f>
        <v>32.9</v>
      </c>
      <c r="H22" s="10">
        <f>_xlfn.XMATCH(TB_Vendas[[#This Row],[Categoria]],Desc_Cols,0)</f>
        <v>3</v>
      </c>
      <c r="I22" s="10" cm="1">
        <f t="array" ref="I22">_xlfn.IFS(TB_Vendas[[#This Row],[Categoria]]='Cadastros Auxiliares'!$C$8,2,TB_Vendas[[#This Row],[Categoria]]='Cadastros Auxiliares'!$D$8,3,TB_Vendas[[#This Row],[Categoria]]='Cadastros Auxiliares'!$E$8,4)</f>
        <v>3</v>
      </c>
      <c r="J22" s="10">
        <f>VLOOKUP(TB_Vendas[[#This Row],[Qtd]],Desc_TabToda,TB_Vendas[[#This Row],[indSES]],1)</f>
        <v>0.15</v>
      </c>
      <c r="K22" s="70">
        <f>VLOOKUP(TB_Vendas[[#This Row],[Qtd]],Desc_TabToda,TB_Vendas[[#This Row],[Indice]],1)</f>
        <v>0.15</v>
      </c>
      <c r="L22" s="70" cm="1">
        <f t="array" ref="L22">INDEX(Desc_TabToda,MATCH(TB_Vendas[[#This Row],[Qtd]],Desc_Qtd,1),MATCH(_xlfn.XLOOKUP(TB_Vendas[[#This Row],[Código]],TB_Produtos[[#All],[Código]],TB_Produtos[[#All],[Categoria]]),Desc_Cols,0))</f>
        <v>0.15</v>
      </c>
      <c r="M22" s="70">
        <f>_xlfn.XLOOKUP(TB_Vendas[[#This Row],[Vendedor]],Vendedores!$A$4:$A$9,Vendedores!$D$4:$D$9)</f>
        <v>0.2</v>
      </c>
      <c r="N22" s="70">
        <f>IF(TB_Vendas[[#This Row],[Desc.]]&gt;TB_Vendas[[#This Row],[Desc. Vend.]],TB_Vendas[[#This Row],[Desc. Vend.]],TB_Vendas[[#This Row],[Desc.]])</f>
        <v>0.15</v>
      </c>
      <c r="O22" s="8">
        <f>TB_Vendas[[#This Row],[Preço Unitário]]*TB_Vendas[[#This Row],[Qtd]]</f>
        <v>65.8</v>
      </c>
      <c r="P22" s="1" t="s">
        <v>126</v>
      </c>
    </row>
    <row r="23" spans="1:16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VLOOKUP(TB_Vendas[[#This Row],[Código]],TB_Produtos[#All],4,)</f>
        <v>Calçado</v>
      </c>
      <c r="F23" s="1">
        <v>3</v>
      </c>
      <c r="G23" s="29" cm="1">
        <f t="array" ref="G23">_xlfn.XLOOKUP(TB_Vendas[[#This Row],[Código]],TB_Produtos[[#All],[Código]],TB_Produtos[[#All],[Preço Unitário]])</f>
        <v>255</v>
      </c>
      <c r="H23" s="10">
        <f>_xlfn.XMATCH(TB_Vendas[[#This Row],[Categoria]],Desc_Cols,0)</f>
        <v>4</v>
      </c>
      <c r="I23" s="10" cm="1">
        <f t="array" ref="I23">_xlfn.IFS(TB_Vendas[[#This Row],[Categoria]]='Cadastros Auxiliares'!$C$8,2,TB_Vendas[[#This Row],[Categoria]]='Cadastros Auxiliares'!$D$8,3,TB_Vendas[[#This Row],[Categoria]]='Cadastros Auxiliares'!$E$8,4)</f>
        <v>4</v>
      </c>
      <c r="J23" s="10">
        <f>VLOOKUP(TB_Vendas[[#This Row],[Qtd]],Desc_TabToda,TB_Vendas[[#This Row],[indSES]],1)</f>
        <v>0.15</v>
      </c>
      <c r="K23" s="70">
        <f>VLOOKUP(TB_Vendas[[#This Row],[Qtd]],Desc_TabToda,TB_Vendas[[#This Row],[Indice]],1)</f>
        <v>0.15</v>
      </c>
      <c r="L23" s="70" cm="1">
        <f t="array" ref="L23">INDEX(Desc_TabToda,MATCH(TB_Vendas[[#This Row],[Qtd]],Desc_Qtd,1),MATCH(_xlfn.XLOOKUP(TB_Vendas[[#This Row],[Código]],TB_Produtos[[#All],[Código]],TB_Produtos[[#All],[Categoria]]),Desc_Cols,0))</f>
        <v>0.15</v>
      </c>
      <c r="M23" s="70">
        <f>_xlfn.XLOOKUP(TB_Vendas[[#This Row],[Vendedor]],Vendedores!$A$4:$A$9,Vendedores!$D$4:$D$9)</f>
        <v>0.2</v>
      </c>
      <c r="N23" s="70">
        <f>IF(TB_Vendas[[#This Row],[Desc.]]&gt;TB_Vendas[[#This Row],[Desc. Vend.]],TB_Vendas[[#This Row],[Desc. Vend.]],TB_Vendas[[#This Row],[Desc.]])</f>
        <v>0.15</v>
      </c>
      <c r="O23" s="8">
        <f>TB_Vendas[[#This Row],[Preço Unitário]]*TB_Vendas[[#This Row],[Qtd]]</f>
        <v>765</v>
      </c>
      <c r="P23" s="1" t="s">
        <v>129</v>
      </c>
    </row>
    <row r="24" spans="1:16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VLOOKUP(TB_Vendas[[#This Row],[Código]],TB_Produtos[#All],4,)</f>
        <v>Vestuário</v>
      </c>
      <c r="F24" s="1">
        <v>1</v>
      </c>
      <c r="G24" s="29" cm="1">
        <f t="array" ref="G24">_xlfn.XLOOKUP(TB_Vendas[[#This Row],[Código]],TB_Produtos[[#All],[Código]],TB_Produtos[[#All],[Preço Unitário]])</f>
        <v>142.9</v>
      </c>
      <c r="H24" s="10">
        <f>_xlfn.XMATCH(TB_Vendas[[#This Row],[Categoria]],Desc_Cols,0)</f>
        <v>3</v>
      </c>
      <c r="I24" s="10" cm="1">
        <f t="array" ref="I24">_xlfn.IFS(TB_Vendas[[#This Row],[Categoria]]='Cadastros Auxiliares'!$C$8,2,TB_Vendas[[#This Row],[Categoria]]='Cadastros Auxiliares'!$D$8,3,TB_Vendas[[#This Row],[Categoria]]='Cadastros Auxiliares'!$E$8,4)</f>
        <v>3</v>
      </c>
      <c r="J24" s="10">
        <f>VLOOKUP(TB_Vendas[[#This Row],[Qtd]],Desc_TabToda,TB_Vendas[[#This Row],[indSES]],1)</f>
        <v>0.1</v>
      </c>
      <c r="K24" s="70">
        <f>VLOOKUP(TB_Vendas[[#This Row],[Qtd]],Desc_TabToda,TB_Vendas[[#This Row],[Indice]],1)</f>
        <v>0.1</v>
      </c>
      <c r="L24" s="70" cm="1">
        <f t="array" ref="L24">INDEX(Desc_TabToda,MATCH(TB_Vendas[[#This Row],[Qtd]],Desc_Qtd,1),MATCH(_xlfn.XLOOKUP(TB_Vendas[[#This Row],[Código]],TB_Produtos[[#All],[Código]],TB_Produtos[[#All],[Categoria]]),Desc_Cols,0))</f>
        <v>0.1</v>
      </c>
      <c r="M24" s="70">
        <f>_xlfn.XLOOKUP(TB_Vendas[[#This Row],[Vendedor]],Vendedores!$A$4:$A$9,Vendedores!$D$4:$D$9)</f>
        <v>0.2</v>
      </c>
      <c r="N24" s="70">
        <f>IF(TB_Vendas[[#This Row],[Desc.]]&gt;TB_Vendas[[#This Row],[Desc. Vend.]],TB_Vendas[[#This Row],[Desc. Vend.]],TB_Vendas[[#This Row],[Desc.]])</f>
        <v>0.1</v>
      </c>
      <c r="O24" s="8">
        <f>TB_Vendas[[#This Row],[Preço Unitário]]*TB_Vendas[[#This Row],[Qtd]]</f>
        <v>142.9</v>
      </c>
      <c r="P24" s="1" t="s">
        <v>126</v>
      </c>
    </row>
    <row r="25" spans="1:16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VLOOKUP(TB_Vendas[[#This Row],[Código]],TB_Produtos[#All],4,)</f>
        <v>Vestuário</v>
      </c>
      <c r="F25" s="1">
        <v>4</v>
      </c>
      <c r="G25" s="29" cm="1">
        <f t="array" ref="G25">_xlfn.XLOOKUP(TB_Vendas[[#This Row],[Código]],TB_Produtos[[#All],[Código]],TB_Produtos[[#All],[Preço Unitário]])</f>
        <v>92.9</v>
      </c>
      <c r="H25" s="10">
        <f>_xlfn.XMATCH(TB_Vendas[[#This Row],[Categoria]],Desc_Cols,0)</f>
        <v>3</v>
      </c>
      <c r="I25" s="10" cm="1">
        <f t="array" ref="I25">_xlfn.IFS(TB_Vendas[[#This Row],[Categoria]]='Cadastros Auxiliares'!$C$8,2,TB_Vendas[[#This Row],[Categoria]]='Cadastros Auxiliares'!$D$8,3,TB_Vendas[[#This Row],[Categoria]]='Cadastros Auxiliares'!$E$8,4)</f>
        <v>3</v>
      </c>
      <c r="J25" s="10">
        <f>VLOOKUP(TB_Vendas[[#This Row],[Qtd]],Desc_TabToda,TB_Vendas[[#This Row],[indSES]],1)</f>
        <v>0.2</v>
      </c>
      <c r="K25" s="70">
        <f>VLOOKUP(TB_Vendas[[#This Row],[Qtd]],Desc_TabToda,TB_Vendas[[#This Row],[Indice]],1)</f>
        <v>0.2</v>
      </c>
      <c r="L25" s="70" cm="1">
        <f t="array" ref="L25">INDEX(Desc_TabToda,MATCH(TB_Vendas[[#This Row],[Qtd]],Desc_Qtd,1),MATCH(_xlfn.XLOOKUP(TB_Vendas[[#This Row],[Código]],TB_Produtos[[#All],[Código]],TB_Produtos[[#All],[Categoria]]),Desc_Cols,0))</f>
        <v>0.2</v>
      </c>
      <c r="M25" s="70">
        <f>_xlfn.XLOOKUP(TB_Vendas[[#This Row],[Vendedor]],Vendedores!$A$4:$A$9,Vendedores!$D$4:$D$9)</f>
        <v>0.1</v>
      </c>
      <c r="N25" s="70">
        <f>IF(TB_Vendas[[#This Row],[Desc.]]&gt;TB_Vendas[[#This Row],[Desc. Vend.]],TB_Vendas[[#This Row],[Desc. Vend.]],TB_Vendas[[#This Row],[Desc.]])</f>
        <v>0.1</v>
      </c>
      <c r="O25" s="8">
        <f>TB_Vendas[[#This Row],[Preço Unitário]]*TB_Vendas[[#This Row],[Qtd]]</f>
        <v>371.6</v>
      </c>
      <c r="P25" s="1" t="s">
        <v>128</v>
      </c>
    </row>
    <row r="26" spans="1:16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VLOOKUP(TB_Vendas[[#This Row],[Código]],TB_Produtos[#All],4,)</f>
        <v>Vestuário</v>
      </c>
      <c r="F26" s="1">
        <v>2</v>
      </c>
      <c r="G26" s="29" cm="1">
        <f t="array" ref="G26">_xlfn.XLOOKUP(TB_Vendas[[#This Row],[Código]],TB_Produtos[[#All],[Código]],TB_Produtos[[#All],[Preço Unitário]])</f>
        <v>54.9</v>
      </c>
      <c r="H26" s="10">
        <f>_xlfn.XMATCH(TB_Vendas[[#This Row],[Categoria]],Desc_Cols,0)</f>
        <v>3</v>
      </c>
      <c r="I26" s="10" cm="1">
        <f t="array" ref="I26">_xlfn.IFS(TB_Vendas[[#This Row],[Categoria]]='Cadastros Auxiliares'!$C$8,2,TB_Vendas[[#This Row],[Categoria]]='Cadastros Auxiliares'!$D$8,3,TB_Vendas[[#This Row],[Categoria]]='Cadastros Auxiliares'!$E$8,4)</f>
        <v>3</v>
      </c>
      <c r="J26" s="10">
        <f>VLOOKUP(TB_Vendas[[#This Row],[Qtd]],Desc_TabToda,TB_Vendas[[#This Row],[indSES]],1)</f>
        <v>0.15</v>
      </c>
      <c r="K26" s="70">
        <f>VLOOKUP(TB_Vendas[[#This Row],[Qtd]],Desc_TabToda,TB_Vendas[[#This Row],[Indice]],1)</f>
        <v>0.15</v>
      </c>
      <c r="L26" s="70" cm="1">
        <f t="array" ref="L26">INDEX(Desc_TabToda,MATCH(TB_Vendas[[#This Row],[Qtd]],Desc_Qtd,1),MATCH(_xlfn.XLOOKUP(TB_Vendas[[#This Row],[Código]],TB_Produtos[[#All],[Código]],TB_Produtos[[#All],[Categoria]]),Desc_Cols,0))</f>
        <v>0.15</v>
      </c>
      <c r="M26" s="70">
        <f>_xlfn.XLOOKUP(TB_Vendas[[#This Row],[Vendedor]],Vendedores!$A$4:$A$9,Vendedores!$D$4:$D$9)</f>
        <v>0.2</v>
      </c>
      <c r="N26" s="70">
        <f>IF(TB_Vendas[[#This Row],[Desc.]]&gt;TB_Vendas[[#This Row],[Desc. Vend.]],TB_Vendas[[#This Row],[Desc. Vend.]],TB_Vendas[[#This Row],[Desc.]])</f>
        <v>0.15</v>
      </c>
      <c r="O26" s="8">
        <f>TB_Vendas[[#This Row],[Preço Unitário]]*TB_Vendas[[#This Row],[Qtd]]</f>
        <v>109.8</v>
      </c>
      <c r="P26" s="1" t="s">
        <v>126</v>
      </c>
    </row>
    <row r="27" spans="1:16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VLOOKUP(TB_Vendas[[#This Row],[Código]],TB_Produtos[#All],4,)</f>
        <v>Vestuário</v>
      </c>
      <c r="F27" s="1">
        <v>3</v>
      </c>
      <c r="G27" s="29" cm="1">
        <f t="array" ref="G27">_xlfn.XLOOKUP(TB_Vendas[[#This Row],[Código]],TB_Produtos[[#All],[Código]],TB_Produtos[[#All],[Preço Unitário]])</f>
        <v>142.9</v>
      </c>
      <c r="H27" s="10">
        <f>_xlfn.XMATCH(TB_Vendas[[#This Row],[Categoria]],Desc_Cols,0)</f>
        <v>3</v>
      </c>
      <c r="I27" s="10" cm="1">
        <f t="array" ref="I27">_xlfn.IFS(TB_Vendas[[#This Row],[Categoria]]='Cadastros Auxiliares'!$C$8,2,TB_Vendas[[#This Row],[Categoria]]='Cadastros Auxiliares'!$D$8,3,TB_Vendas[[#This Row],[Categoria]]='Cadastros Auxiliares'!$E$8,4)</f>
        <v>3</v>
      </c>
      <c r="J27" s="10">
        <f>VLOOKUP(TB_Vendas[[#This Row],[Qtd]],Desc_TabToda,TB_Vendas[[#This Row],[indSES]],1)</f>
        <v>0.2</v>
      </c>
      <c r="K27" s="70">
        <f>VLOOKUP(TB_Vendas[[#This Row],[Qtd]],Desc_TabToda,TB_Vendas[[#This Row],[Indice]],1)</f>
        <v>0.2</v>
      </c>
      <c r="L27" s="70" cm="1">
        <f t="array" ref="L27">INDEX(Desc_TabToda,MATCH(TB_Vendas[[#This Row],[Qtd]],Desc_Qtd,1),MATCH(_xlfn.XLOOKUP(TB_Vendas[[#This Row],[Código]],TB_Produtos[[#All],[Código]],TB_Produtos[[#All],[Categoria]]),Desc_Cols,0))</f>
        <v>0.2</v>
      </c>
      <c r="M27" s="70">
        <f>_xlfn.XLOOKUP(TB_Vendas[[#This Row],[Vendedor]],Vendedores!$A$4:$A$9,Vendedores!$D$4:$D$9)</f>
        <v>0.25</v>
      </c>
      <c r="N27" s="70">
        <f>IF(TB_Vendas[[#This Row],[Desc.]]&gt;TB_Vendas[[#This Row],[Desc. Vend.]],TB_Vendas[[#This Row],[Desc. Vend.]],TB_Vendas[[#This Row],[Desc.]])</f>
        <v>0.2</v>
      </c>
      <c r="O27" s="8">
        <f>TB_Vendas[[#This Row],[Preço Unitário]]*TB_Vendas[[#This Row],[Qtd]]</f>
        <v>428.70000000000005</v>
      </c>
      <c r="P27" s="1" t="s">
        <v>127</v>
      </c>
    </row>
    <row r="28" spans="1:16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VLOOKUP(TB_Vendas[[#This Row],[Código]],TB_Produtos[#All],4,)</f>
        <v>Acessórios</v>
      </c>
      <c r="F28" s="1">
        <v>2</v>
      </c>
      <c r="G28" s="29" cm="1">
        <f t="array" ref="G28">_xlfn.XLOOKUP(TB_Vendas[[#This Row],[Código]],TB_Produtos[[#All],[Código]],TB_Produtos[[#All],[Preço Unitário]])</f>
        <v>120</v>
      </c>
      <c r="H28" s="10">
        <f>_xlfn.XMATCH(TB_Vendas[[#This Row],[Categoria]],Desc_Cols,0)</f>
        <v>2</v>
      </c>
      <c r="I28" s="10" cm="1">
        <f t="array" ref="I28">_xlfn.IFS(TB_Vendas[[#This Row],[Categoria]]='Cadastros Auxiliares'!$C$8,2,TB_Vendas[[#This Row],[Categoria]]='Cadastros Auxiliares'!$D$8,3,TB_Vendas[[#This Row],[Categoria]]='Cadastros Auxiliares'!$E$8,4)</f>
        <v>2</v>
      </c>
      <c r="J28" s="10">
        <f>VLOOKUP(TB_Vendas[[#This Row],[Qtd]],Desc_TabToda,TB_Vendas[[#This Row],[indSES]],1)</f>
        <v>0.05</v>
      </c>
      <c r="K28" s="70">
        <f>VLOOKUP(TB_Vendas[[#This Row],[Qtd]],Desc_TabToda,TB_Vendas[[#This Row],[Indice]],1)</f>
        <v>0.05</v>
      </c>
      <c r="L28" s="70" cm="1">
        <f t="array" ref="L28">INDEX(Desc_TabToda,MATCH(TB_Vendas[[#This Row],[Qtd]],Desc_Qtd,1),MATCH(_xlfn.XLOOKUP(TB_Vendas[[#This Row],[Código]],TB_Produtos[[#All],[Código]],TB_Produtos[[#All],[Categoria]]),Desc_Cols,0))</f>
        <v>0.05</v>
      </c>
      <c r="M28" s="70">
        <f>_xlfn.XLOOKUP(TB_Vendas[[#This Row],[Vendedor]],Vendedores!$A$4:$A$9,Vendedores!$D$4:$D$9)</f>
        <v>0.25</v>
      </c>
      <c r="N28" s="70">
        <f>IF(TB_Vendas[[#This Row],[Desc.]]&gt;TB_Vendas[[#This Row],[Desc. Vend.]],TB_Vendas[[#This Row],[Desc. Vend.]],TB_Vendas[[#This Row],[Desc.]])</f>
        <v>0.05</v>
      </c>
      <c r="O28" s="8">
        <f>TB_Vendas[[#This Row],[Preço Unitário]]*TB_Vendas[[#This Row],[Qtd]]</f>
        <v>240</v>
      </c>
      <c r="P28" s="1" t="s">
        <v>127</v>
      </c>
    </row>
    <row r="29" spans="1:16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VLOOKUP(TB_Vendas[[#This Row],[Código]],TB_Produtos[#All],4,)</f>
        <v>Vestuário</v>
      </c>
      <c r="F29" s="1">
        <v>1</v>
      </c>
      <c r="G29" s="29" cm="1">
        <f t="array" ref="G29">_xlfn.XLOOKUP(TB_Vendas[[#This Row],[Código]],TB_Produtos[[#All],[Código]],TB_Produtos[[#All],[Preço Unitário]])</f>
        <v>65.900000000000006</v>
      </c>
      <c r="H29" s="10">
        <f>_xlfn.XMATCH(TB_Vendas[[#This Row],[Categoria]],Desc_Cols,0)</f>
        <v>3</v>
      </c>
      <c r="I29" s="10" cm="1">
        <f t="array" ref="I29">_xlfn.IFS(TB_Vendas[[#This Row],[Categoria]]='Cadastros Auxiliares'!$C$8,2,TB_Vendas[[#This Row],[Categoria]]='Cadastros Auxiliares'!$D$8,3,TB_Vendas[[#This Row],[Categoria]]='Cadastros Auxiliares'!$E$8,4)</f>
        <v>3</v>
      </c>
      <c r="J29" s="10">
        <f>VLOOKUP(TB_Vendas[[#This Row],[Qtd]],Desc_TabToda,TB_Vendas[[#This Row],[indSES]],1)</f>
        <v>0.1</v>
      </c>
      <c r="K29" s="70">
        <f>VLOOKUP(TB_Vendas[[#This Row],[Qtd]],Desc_TabToda,TB_Vendas[[#This Row],[Indice]],1)</f>
        <v>0.1</v>
      </c>
      <c r="L29" s="70" cm="1">
        <f t="array" ref="L29">INDEX(Desc_TabToda,MATCH(TB_Vendas[[#This Row],[Qtd]],Desc_Qtd,1),MATCH(_xlfn.XLOOKUP(TB_Vendas[[#This Row],[Código]],TB_Produtos[[#All],[Código]],TB_Produtos[[#All],[Categoria]]),Desc_Cols,0))</f>
        <v>0.1</v>
      </c>
      <c r="M29" s="70">
        <f>_xlfn.XLOOKUP(TB_Vendas[[#This Row],[Vendedor]],Vendedores!$A$4:$A$9,Vendedores!$D$4:$D$9)</f>
        <v>0.2</v>
      </c>
      <c r="N29" s="70">
        <f>IF(TB_Vendas[[#This Row],[Desc.]]&gt;TB_Vendas[[#This Row],[Desc. Vend.]],TB_Vendas[[#This Row],[Desc. Vend.]],TB_Vendas[[#This Row],[Desc.]])</f>
        <v>0.1</v>
      </c>
      <c r="O29" s="8">
        <f>TB_Vendas[[#This Row],[Preço Unitário]]*TB_Vendas[[#This Row],[Qtd]]</f>
        <v>65.900000000000006</v>
      </c>
      <c r="P29" s="1" t="s">
        <v>129</v>
      </c>
    </row>
    <row r="30" spans="1:16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VLOOKUP(TB_Vendas[[#This Row],[Código]],TB_Produtos[#All],4,)</f>
        <v>Vestuário</v>
      </c>
      <c r="F30" s="1">
        <v>5</v>
      </c>
      <c r="G30" s="29" cm="1">
        <f t="array" ref="G30">_xlfn.XLOOKUP(TB_Vendas[[#This Row],[Código]],TB_Produtos[[#All],[Código]],TB_Produtos[[#All],[Preço Unitário]])</f>
        <v>32.9</v>
      </c>
      <c r="H30" s="10">
        <f>_xlfn.XMATCH(TB_Vendas[[#This Row],[Categoria]],Desc_Cols,0)</f>
        <v>3</v>
      </c>
      <c r="I30" s="10" cm="1">
        <f t="array" ref="I30">_xlfn.IFS(TB_Vendas[[#This Row],[Categoria]]='Cadastros Auxiliares'!$C$8,2,TB_Vendas[[#This Row],[Categoria]]='Cadastros Auxiliares'!$D$8,3,TB_Vendas[[#This Row],[Categoria]]='Cadastros Auxiliares'!$E$8,4)</f>
        <v>3</v>
      </c>
      <c r="J30" s="10">
        <f>VLOOKUP(TB_Vendas[[#This Row],[Qtd]],Desc_TabToda,TB_Vendas[[#This Row],[indSES]],1)</f>
        <v>0.25</v>
      </c>
      <c r="K30" s="70">
        <f>VLOOKUP(TB_Vendas[[#This Row],[Qtd]],Desc_TabToda,TB_Vendas[[#This Row],[Indice]],1)</f>
        <v>0.25</v>
      </c>
      <c r="L30" s="70" cm="1">
        <f t="array" ref="L30">INDEX(Desc_TabToda,MATCH(TB_Vendas[[#This Row],[Qtd]],Desc_Qtd,1),MATCH(_xlfn.XLOOKUP(TB_Vendas[[#This Row],[Código]],TB_Produtos[[#All],[Código]],TB_Produtos[[#All],[Categoria]]),Desc_Cols,0))</f>
        <v>0.25</v>
      </c>
      <c r="M30" s="70">
        <f>_xlfn.XLOOKUP(TB_Vendas[[#This Row],[Vendedor]],Vendedores!$A$4:$A$9,Vendedores!$D$4:$D$9)</f>
        <v>0.15</v>
      </c>
      <c r="N30" s="70">
        <f>IF(TB_Vendas[[#This Row],[Desc.]]&gt;TB_Vendas[[#This Row],[Desc. Vend.]],TB_Vendas[[#This Row],[Desc. Vend.]],TB_Vendas[[#This Row],[Desc.]])</f>
        <v>0.15</v>
      </c>
      <c r="O30" s="8">
        <f>TB_Vendas[[#This Row],[Preço Unitário]]*TB_Vendas[[#This Row],[Qtd]]</f>
        <v>164.5</v>
      </c>
      <c r="P30" s="1" t="s">
        <v>130</v>
      </c>
    </row>
    <row r="31" spans="1:16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VLOOKUP(TB_Vendas[[#This Row],[Código]],TB_Produtos[#All],4,)</f>
        <v>Vestuário</v>
      </c>
      <c r="F31" s="1">
        <v>2</v>
      </c>
      <c r="G31" s="29" cm="1">
        <f t="array" ref="G31">_xlfn.XLOOKUP(TB_Vendas[[#This Row],[Código]],TB_Produtos[[#All],[Código]],TB_Produtos[[#All],[Preço Unitário]])</f>
        <v>180</v>
      </c>
      <c r="H31" s="10">
        <f>_xlfn.XMATCH(TB_Vendas[[#This Row],[Categoria]],Desc_Cols,0)</f>
        <v>3</v>
      </c>
      <c r="I31" s="10" cm="1">
        <f t="array" ref="I31">_xlfn.IFS(TB_Vendas[[#This Row],[Categoria]]='Cadastros Auxiliares'!$C$8,2,TB_Vendas[[#This Row],[Categoria]]='Cadastros Auxiliares'!$D$8,3,TB_Vendas[[#This Row],[Categoria]]='Cadastros Auxiliares'!$E$8,4)</f>
        <v>3</v>
      </c>
      <c r="J31" s="10">
        <f>VLOOKUP(TB_Vendas[[#This Row],[Qtd]],Desc_TabToda,TB_Vendas[[#This Row],[indSES]],1)</f>
        <v>0.15</v>
      </c>
      <c r="K31" s="70">
        <f>VLOOKUP(TB_Vendas[[#This Row],[Qtd]],Desc_TabToda,TB_Vendas[[#This Row],[Indice]],1)</f>
        <v>0.15</v>
      </c>
      <c r="L31" s="70" cm="1">
        <f t="array" ref="L31">INDEX(Desc_TabToda,MATCH(TB_Vendas[[#This Row],[Qtd]],Desc_Qtd,1),MATCH(_xlfn.XLOOKUP(TB_Vendas[[#This Row],[Código]],TB_Produtos[[#All],[Código]],TB_Produtos[[#All],[Categoria]]),Desc_Cols,0))</f>
        <v>0.15</v>
      </c>
      <c r="M31" s="70">
        <f>_xlfn.XLOOKUP(TB_Vendas[[#This Row],[Vendedor]],Vendedores!$A$4:$A$9,Vendedores!$D$4:$D$9)</f>
        <v>0.25</v>
      </c>
      <c r="N31" s="70">
        <f>IF(TB_Vendas[[#This Row],[Desc.]]&gt;TB_Vendas[[#This Row],[Desc. Vend.]],TB_Vendas[[#This Row],[Desc. Vend.]],TB_Vendas[[#This Row],[Desc.]])</f>
        <v>0.15</v>
      </c>
      <c r="O31" s="8">
        <f>TB_Vendas[[#This Row],[Preço Unitário]]*TB_Vendas[[#This Row],[Qtd]]</f>
        <v>360</v>
      </c>
      <c r="P31" s="1" t="s">
        <v>127</v>
      </c>
    </row>
    <row r="32" spans="1:16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VLOOKUP(TB_Vendas[[#This Row],[Código]],TB_Produtos[#All],4,)</f>
        <v>Acessórios</v>
      </c>
      <c r="F32" s="1">
        <v>3</v>
      </c>
      <c r="G32" s="29" cm="1">
        <f t="array" ref="G32">_xlfn.XLOOKUP(TB_Vendas[[#This Row],[Código]],TB_Produtos[[#All],[Código]],TB_Produtos[[#All],[Preço Unitário]])</f>
        <v>349.9</v>
      </c>
      <c r="H32" s="10">
        <f>_xlfn.XMATCH(TB_Vendas[[#This Row],[Categoria]],Desc_Cols,0)</f>
        <v>2</v>
      </c>
      <c r="I32" s="10" cm="1">
        <f t="array" ref="I32">_xlfn.IFS(TB_Vendas[[#This Row],[Categoria]]='Cadastros Auxiliares'!$C$8,2,TB_Vendas[[#This Row],[Categoria]]='Cadastros Auxiliares'!$D$8,3,TB_Vendas[[#This Row],[Categoria]]='Cadastros Auxiliares'!$E$8,4)</f>
        <v>2</v>
      </c>
      <c r="J32" s="10">
        <f>VLOOKUP(TB_Vendas[[#This Row],[Qtd]],Desc_TabToda,TB_Vendas[[#This Row],[indSES]],1)</f>
        <v>0.15</v>
      </c>
      <c r="K32" s="70">
        <f>VLOOKUP(TB_Vendas[[#This Row],[Qtd]],Desc_TabToda,TB_Vendas[[#This Row],[Indice]],1)</f>
        <v>0.15</v>
      </c>
      <c r="L32" s="70" cm="1">
        <f t="array" ref="L32">INDEX(Desc_TabToda,MATCH(TB_Vendas[[#This Row],[Qtd]],Desc_Qtd,1),MATCH(_xlfn.XLOOKUP(TB_Vendas[[#This Row],[Código]],TB_Produtos[[#All],[Código]],TB_Produtos[[#All],[Categoria]]),Desc_Cols,0))</f>
        <v>0.15</v>
      </c>
      <c r="M32" s="70">
        <f>_xlfn.XLOOKUP(TB_Vendas[[#This Row],[Vendedor]],Vendedores!$A$4:$A$9,Vendedores!$D$4:$D$9)</f>
        <v>0.2</v>
      </c>
      <c r="N32" s="70">
        <f>IF(TB_Vendas[[#This Row],[Desc.]]&gt;TB_Vendas[[#This Row],[Desc. Vend.]],TB_Vendas[[#This Row],[Desc. Vend.]],TB_Vendas[[#This Row],[Desc.]])</f>
        <v>0.15</v>
      </c>
      <c r="O32" s="8">
        <f>TB_Vendas[[#This Row],[Preço Unitário]]*TB_Vendas[[#This Row],[Qtd]]</f>
        <v>1049.6999999999998</v>
      </c>
      <c r="P32" s="1" t="s">
        <v>126</v>
      </c>
    </row>
    <row r="33" spans="1:16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VLOOKUP(TB_Vendas[[#This Row],[Código]],TB_Produtos[#All],4,)</f>
        <v>Vestuário</v>
      </c>
      <c r="F33" s="1">
        <v>1</v>
      </c>
      <c r="G33" s="29" cm="1">
        <f t="array" ref="G33">_xlfn.XLOOKUP(TB_Vendas[[#This Row],[Código]],TB_Produtos[[#All],[Código]],TB_Produtos[[#All],[Preço Unitário]])</f>
        <v>72.5</v>
      </c>
      <c r="H33" s="10">
        <f>_xlfn.XMATCH(TB_Vendas[[#This Row],[Categoria]],Desc_Cols,0)</f>
        <v>3</v>
      </c>
      <c r="I33" s="10" cm="1">
        <f t="array" ref="I33">_xlfn.IFS(TB_Vendas[[#This Row],[Categoria]]='Cadastros Auxiliares'!$C$8,2,TB_Vendas[[#This Row],[Categoria]]='Cadastros Auxiliares'!$D$8,3,TB_Vendas[[#This Row],[Categoria]]='Cadastros Auxiliares'!$E$8,4)</f>
        <v>3</v>
      </c>
      <c r="J33" s="10">
        <f>VLOOKUP(TB_Vendas[[#This Row],[Qtd]],Desc_TabToda,TB_Vendas[[#This Row],[indSES]],1)</f>
        <v>0.1</v>
      </c>
      <c r="K33" s="70">
        <f>VLOOKUP(TB_Vendas[[#This Row],[Qtd]],Desc_TabToda,TB_Vendas[[#This Row],[Indice]],1)</f>
        <v>0.1</v>
      </c>
      <c r="L33" s="70" cm="1">
        <f t="array" ref="L33">INDEX(Desc_TabToda,MATCH(TB_Vendas[[#This Row],[Qtd]],Desc_Qtd,1),MATCH(_xlfn.XLOOKUP(TB_Vendas[[#This Row],[Código]],TB_Produtos[[#All],[Código]],TB_Produtos[[#All],[Categoria]]),Desc_Cols,0))</f>
        <v>0.1</v>
      </c>
      <c r="M33" s="70">
        <f>_xlfn.XLOOKUP(TB_Vendas[[#This Row],[Vendedor]],Vendedores!$A$4:$A$9,Vendedores!$D$4:$D$9)</f>
        <v>0.1</v>
      </c>
      <c r="N33" s="70">
        <f>IF(TB_Vendas[[#This Row],[Desc.]]&gt;TB_Vendas[[#This Row],[Desc. Vend.]],TB_Vendas[[#This Row],[Desc. Vend.]],TB_Vendas[[#This Row],[Desc.]])</f>
        <v>0.1</v>
      </c>
      <c r="O33" s="8">
        <f>TB_Vendas[[#This Row],[Preço Unitário]]*TB_Vendas[[#This Row],[Qtd]]</f>
        <v>72.5</v>
      </c>
      <c r="P33" s="1" t="s">
        <v>128</v>
      </c>
    </row>
    <row r="34" spans="1:16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VLOOKUP(TB_Vendas[[#This Row],[Código]],TB_Produtos[#All],4,)</f>
        <v>Vestuário</v>
      </c>
      <c r="F34" s="1">
        <v>4</v>
      </c>
      <c r="G34" s="29" cm="1">
        <f t="array" ref="G34">_xlfn.XLOOKUP(TB_Vendas[[#This Row],[Código]],TB_Produtos[[#All],[Código]],TB_Produtos[[#All],[Preço Unitário]])</f>
        <v>259.89999999999998</v>
      </c>
      <c r="H34" s="10">
        <f>_xlfn.XMATCH(TB_Vendas[[#This Row],[Categoria]],Desc_Cols,0)</f>
        <v>3</v>
      </c>
      <c r="I34" s="10" cm="1">
        <f t="array" ref="I34">_xlfn.IFS(TB_Vendas[[#This Row],[Categoria]]='Cadastros Auxiliares'!$C$8,2,TB_Vendas[[#This Row],[Categoria]]='Cadastros Auxiliares'!$D$8,3,TB_Vendas[[#This Row],[Categoria]]='Cadastros Auxiliares'!$E$8,4)</f>
        <v>3</v>
      </c>
      <c r="J34" s="10">
        <f>VLOOKUP(TB_Vendas[[#This Row],[Qtd]],Desc_TabToda,TB_Vendas[[#This Row],[indSES]],1)</f>
        <v>0.2</v>
      </c>
      <c r="K34" s="70">
        <f>VLOOKUP(TB_Vendas[[#This Row],[Qtd]],Desc_TabToda,TB_Vendas[[#This Row],[Indice]],1)</f>
        <v>0.2</v>
      </c>
      <c r="L34" s="70" cm="1">
        <f t="array" ref="L34">INDEX(Desc_TabToda,MATCH(TB_Vendas[[#This Row],[Qtd]],Desc_Qtd,1),MATCH(_xlfn.XLOOKUP(TB_Vendas[[#This Row],[Código]],TB_Produtos[[#All],[Código]],TB_Produtos[[#All],[Categoria]]),Desc_Cols,0))</f>
        <v>0.2</v>
      </c>
      <c r="M34" s="70">
        <f>_xlfn.XLOOKUP(TB_Vendas[[#This Row],[Vendedor]],Vendedores!$A$4:$A$9,Vendedores!$D$4:$D$9)</f>
        <v>0.2</v>
      </c>
      <c r="N34" s="70">
        <f>IF(TB_Vendas[[#This Row],[Desc.]]&gt;TB_Vendas[[#This Row],[Desc. Vend.]],TB_Vendas[[#This Row],[Desc. Vend.]],TB_Vendas[[#This Row],[Desc.]])</f>
        <v>0.2</v>
      </c>
      <c r="O34" s="8">
        <f>TB_Vendas[[#This Row],[Preço Unitário]]*TB_Vendas[[#This Row],[Qtd]]</f>
        <v>1039.5999999999999</v>
      </c>
      <c r="P34" s="1" t="s">
        <v>126</v>
      </c>
    </row>
    <row r="35" spans="1:16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VLOOKUP(TB_Vendas[[#This Row],[Código]],TB_Produtos[#All],4,)</f>
        <v>Vestuário</v>
      </c>
      <c r="F35" s="1">
        <v>3</v>
      </c>
      <c r="G35" s="29" cm="1">
        <f t="array" ref="G35">_xlfn.XLOOKUP(TB_Vendas[[#This Row],[Código]],TB_Produtos[[#All],[Código]],TB_Produtos[[#All],[Preço Unitário]])</f>
        <v>25.9</v>
      </c>
      <c r="H35" s="10">
        <f>_xlfn.XMATCH(TB_Vendas[[#This Row],[Categoria]],Desc_Cols,0)</f>
        <v>3</v>
      </c>
      <c r="I35" s="10" cm="1">
        <f t="array" ref="I35">_xlfn.IFS(TB_Vendas[[#This Row],[Categoria]]='Cadastros Auxiliares'!$C$8,2,TB_Vendas[[#This Row],[Categoria]]='Cadastros Auxiliares'!$D$8,3,TB_Vendas[[#This Row],[Categoria]]='Cadastros Auxiliares'!$E$8,4)</f>
        <v>3</v>
      </c>
      <c r="J35" s="10">
        <f>VLOOKUP(TB_Vendas[[#This Row],[Qtd]],Desc_TabToda,TB_Vendas[[#This Row],[indSES]],1)</f>
        <v>0.2</v>
      </c>
      <c r="K35" s="70">
        <f>VLOOKUP(TB_Vendas[[#This Row],[Qtd]],Desc_TabToda,TB_Vendas[[#This Row],[Indice]],1)</f>
        <v>0.2</v>
      </c>
      <c r="L35" s="70" cm="1">
        <f t="array" ref="L35">INDEX(Desc_TabToda,MATCH(TB_Vendas[[#This Row],[Qtd]],Desc_Qtd,1),MATCH(_xlfn.XLOOKUP(TB_Vendas[[#This Row],[Código]],TB_Produtos[[#All],[Código]],TB_Produtos[[#All],[Categoria]]),Desc_Cols,0))</f>
        <v>0.2</v>
      </c>
      <c r="M35" s="70">
        <f>_xlfn.XLOOKUP(TB_Vendas[[#This Row],[Vendedor]],Vendedores!$A$4:$A$9,Vendedores!$D$4:$D$9)</f>
        <v>0.25</v>
      </c>
      <c r="N35" s="70">
        <f>IF(TB_Vendas[[#This Row],[Desc.]]&gt;TB_Vendas[[#This Row],[Desc. Vend.]],TB_Vendas[[#This Row],[Desc. Vend.]],TB_Vendas[[#This Row],[Desc.]])</f>
        <v>0.2</v>
      </c>
      <c r="O35" s="8">
        <f>TB_Vendas[[#This Row],[Preço Unitário]]*TB_Vendas[[#This Row],[Qtd]]</f>
        <v>77.699999999999989</v>
      </c>
      <c r="P35" s="1" t="s">
        <v>127</v>
      </c>
    </row>
    <row r="36" spans="1:16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VLOOKUP(TB_Vendas[[#This Row],[Código]],TB_Produtos[#All],4,)</f>
        <v>Acessórios</v>
      </c>
      <c r="F36" s="1">
        <v>2</v>
      </c>
      <c r="G36" s="29" cm="1">
        <f t="array" ref="G36">_xlfn.XLOOKUP(TB_Vendas[[#This Row],[Código]],TB_Produtos[[#All],[Código]],TB_Produtos[[#All],[Preço Unitário]])</f>
        <v>145</v>
      </c>
      <c r="H36" s="10">
        <f>_xlfn.XMATCH(TB_Vendas[[#This Row],[Categoria]],Desc_Cols,0)</f>
        <v>2</v>
      </c>
      <c r="I36" s="10" cm="1">
        <f t="array" ref="I36">_xlfn.IFS(TB_Vendas[[#This Row],[Categoria]]='Cadastros Auxiliares'!$C$8,2,TB_Vendas[[#This Row],[Categoria]]='Cadastros Auxiliares'!$D$8,3,TB_Vendas[[#This Row],[Categoria]]='Cadastros Auxiliares'!$E$8,4)</f>
        <v>2</v>
      </c>
      <c r="J36" s="10">
        <f>VLOOKUP(TB_Vendas[[#This Row],[Qtd]],Desc_TabToda,TB_Vendas[[#This Row],[indSES]],1)</f>
        <v>0.05</v>
      </c>
      <c r="K36" s="70">
        <f>VLOOKUP(TB_Vendas[[#This Row],[Qtd]],Desc_TabToda,TB_Vendas[[#This Row],[Indice]],1)</f>
        <v>0.05</v>
      </c>
      <c r="L36" s="70" cm="1">
        <f t="array" ref="L36">INDEX(Desc_TabToda,MATCH(TB_Vendas[[#This Row],[Qtd]],Desc_Qtd,1),MATCH(_xlfn.XLOOKUP(TB_Vendas[[#This Row],[Código]],TB_Produtos[[#All],[Código]],TB_Produtos[[#All],[Categoria]]),Desc_Cols,0))</f>
        <v>0.05</v>
      </c>
      <c r="M36" s="70">
        <f>_xlfn.XLOOKUP(TB_Vendas[[#This Row],[Vendedor]],Vendedores!$A$4:$A$9,Vendedores!$D$4:$D$9)</f>
        <v>0.2</v>
      </c>
      <c r="N36" s="70">
        <f>IF(TB_Vendas[[#This Row],[Desc.]]&gt;TB_Vendas[[#This Row],[Desc. Vend.]],TB_Vendas[[#This Row],[Desc. Vend.]],TB_Vendas[[#This Row],[Desc.]])</f>
        <v>0.05</v>
      </c>
      <c r="O36" s="8">
        <f>TB_Vendas[[#This Row],[Preço Unitário]]*TB_Vendas[[#This Row],[Qtd]]</f>
        <v>290</v>
      </c>
      <c r="P36" s="1" t="s">
        <v>126</v>
      </c>
    </row>
    <row r="37" spans="1:16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VLOOKUP(TB_Vendas[[#This Row],[Código]],TB_Produtos[#All],4,)</f>
        <v>Acessórios</v>
      </c>
      <c r="F37" s="1">
        <v>1</v>
      </c>
      <c r="G37" s="29" cm="1">
        <f t="array" ref="G37">_xlfn.XLOOKUP(TB_Vendas[[#This Row],[Código]],TB_Produtos[[#All],[Código]],TB_Produtos[[#All],[Preço Unitário]])</f>
        <v>39.9</v>
      </c>
      <c r="H37" s="10">
        <f>_xlfn.XMATCH(TB_Vendas[[#This Row],[Categoria]],Desc_Cols,0)</f>
        <v>2</v>
      </c>
      <c r="I37" s="10" cm="1">
        <f t="array" ref="I37">_xlfn.IFS(TB_Vendas[[#This Row],[Categoria]]='Cadastros Auxiliares'!$C$8,2,TB_Vendas[[#This Row],[Categoria]]='Cadastros Auxiliares'!$D$8,3,TB_Vendas[[#This Row],[Categoria]]='Cadastros Auxiliares'!$E$8,4)</f>
        <v>2</v>
      </c>
      <c r="J37" s="10">
        <f>VLOOKUP(TB_Vendas[[#This Row],[Qtd]],Desc_TabToda,TB_Vendas[[#This Row],[indSES]],1)</f>
        <v>0</v>
      </c>
      <c r="K37" s="70">
        <f>VLOOKUP(TB_Vendas[[#This Row],[Qtd]],Desc_TabToda,TB_Vendas[[#This Row],[Indice]],1)</f>
        <v>0</v>
      </c>
      <c r="L37" s="70" cm="1">
        <f t="array" ref="L37">INDEX(Desc_TabToda,MATCH(TB_Vendas[[#This Row],[Qtd]],Desc_Qtd,1),MATCH(_xlfn.XLOOKUP(TB_Vendas[[#This Row],[Código]],TB_Produtos[[#All],[Código]],TB_Produtos[[#All],[Categoria]]),Desc_Cols,0))</f>
        <v>0</v>
      </c>
      <c r="M37" s="70">
        <f>_xlfn.XLOOKUP(TB_Vendas[[#This Row],[Vendedor]],Vendedores!$A$4:$A$9,Vendedores!$D$4:$D$9)</f>
        <v>0.25</v>
      </c>
      <c r="N37" s="70">
        <f>IF(TB_Vendas[[#This Row],[Desc.]]&gt;TB_Vendas[[#This Row],[Desc. Vend.]],TB_Vendas[[#This Row],[Desc. Vend.]],TB_Vendas[[#This Row],[Desc.]])</f>
        <v>0</v>
      </c>
      <c r="O37" s="8">
        <f>TB_Vendas[[#This Row],[Preço Unitário]]*TB_Vendas[[#This Row],[Qtd]]</f>
        <v>39.9</v>
      </c>
      <c r="P37" s="1" t="s">
        <v>127</v>
      </c>
    </row>
    <row r="38" spans="1:16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VLOOKUP(TB_Vendas[[#This Row],[Código]],TB_Produtos[#All],4,)</f>
        <v>Acessórios</v>
      </c>
      <c r="F38" s="1">
        <v>3</v>
      </c>
      <c r="G38" s="29" cm="1">
        <f t="array" ref="G38">_xlfn.XLOOKUP(TB_Vendas[[#This Row],[Código]],TB_Produtos[[#All],[Código]],TB_Produtos[[#All],[Preço Unitário]])</f>
        <v>349.9</v>
      </c>
      <c r="H38" s="10">
        <f>_xlfn.XMATCH(TB_Vendas[[#This Row],[Categoria]],Desc_Cols,0)</f>
        <v>2</v>
      </c>
      <c r="I38" s="10" cm="1">
        <f t="array" ref="I38">_xlfn.IFS(TB_Vendas[[#This Row],[Categoria]]='Cadastros Auxiliares'!$C$8,2,TB_Vendas[[#This Row],[Categoria]]='Cadastros Auxiliares'!$D$8,3,TB_Vendas[[#This Row],[Categoria]]='Cadastros Auxiliares'!$E$8,4)</f>
        <v>2</v>
      </c>
      <c r="J38" s="10">
        <f>VLOOKUP(TB_Vendas[[#This Row],[Qtd]],Desc_TabToda,TB_Vendas[[#This Row],[indSES]],1)</f>
        <v>0.15</v>
      </c>
      <c r="K38" s="70">
        <f>VLOOKUP(TB_Vendas[[#This Row],[Qtd]],Desc_TabToda,TB_Vendas[[#This Row],[Indice]],1)</f>
        <v>0.15</v>
      </c>
      <c r="L38" s="70" cm="1">
        <f t="array" ref="L38">INDEX(Desc_TabToda,MATCH(TB_Vendas[[#This Row],[Qtd]],Desc_Qtd,1),MATCH(_xlfn.XLOOKUP(TB_Vendas[[#This Row],[Código]],TB_Produtos[[#All],[Código]],TB_Produtos[[#All],[Categoria]]),Desc_Cols,0))</f>
        <v>0.15</v>
      </c>
      <c r="M38" s="70">
        <f>_xlfn.XLOOKUP(TB_Vendas[[#This Row],[Vendedor]],Vendedores!$A$4:$A$9,Vendedores!$D$4:$D$9)</f>
        <v>0.2</v>
      </c>
      <c r="N38" s="70">
        <f>IF(TB_Vendas[[#This Row],[Desc.]]&gt;TB_Vendas[[#This Row],[Desc. Vend.]],TB_Vendas[[#This Row],[Desc. Vend.]],TB_Vendas[[#This Row],[Desc.]])</f>
        <v>0.15</v>
      </c>
      <c r="O38" s="8">
        <f>TB_Vendas[[#This Row],[Preço Unitário]]*TB_Vendas[[#This Row],[Qtd]]</f>
        <v>1049.6999999999998</v>
      </c>
      <c r="P38" s="1" t="s">
        <v>129</v>
      </c>
    </row>
    <row r="39" spans="1:16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VLOOKUP(TB_Vendas[[#This Row],[Código]],TB_Produtos[#All],4,)</f>
        <v>Calçado</v>
      </c>
      <c r="F39" s="1">
        <v>4</v>
      </c>
      <c r="G39" s="29" cm="1">
        <f t="array" ref="G39">_xlfn.XLOOKUP(TB_Vendas[[#This Row],[Código]],TB_Produtos[[#All],[Código]],TB_Produtos[[#All],[Preço Unitário]])</f>
        <v>89.9</v>
      </c>
      <c r="H39" s="10">
        <f>_xlfn.XMATCH(TB_Vendas[[#This Row],[Categoria]],Desc_Cols,0)</f>
        <v>4</v>
      </c>
      <c r="I39" s="10" cm="1">
        <f t="array" ref="I39">_xlfn.IFS(TB_Vendas[[#This Row],[Categoria]]='Cadastros Auxiliares'!$C$8,2,TB_Vendas[[#This Row],[Categoria]]='Cadastros Auxiliares'!$D$8,3,TB_Vendas[[#This Row],[Categoria]]='Cadastros Auxiliares'!$E$8,4)</f>
        <v>4</v>
      </c>
      <c r="J39" s="10">
        <f>VLOOKUP(TB_Vendas[[#This Row],[Qtd]],Desc_TabToda,TB_Vendas[[#This Row],[indSES]],1)</f>
        <v>0.15</v>
      </c>
      <c r="K39" s="70">
        <f>VLOOKUP(TB_Vendas[[#This Row],[Qtd]],Desc_TabToda,TB_Vendas[[#This Row],[Indice]],1)</f>
        <v>0.15</v>
      </c>
      <c r="L39" s="70" cm="1">
        <f t="array" ref="L39">INDEX(Desc_TabToda,MATCH(TB_Vendas[[#This Row],[Qtd]],Desc_Qtd,1),MATCH(_xlfn.XLOOKUP(TB_Vendas[[#This Row],[Código]],TB_Produtos[[#All],[Código]],TB_Produtos[[#All],[Categoria]]),Desc_Cols,0))</f>
        <v>0.15</v>
      </c>
      <c r="M39" s="70">
        <f>_xlfn.XLOOKUP(TB_Vendas[[#This Row],[Vendedor]],Vendedores!$A$4:$A$9,Vendedores!$D$4:$D$9)</f>
        <v>0.2</v>
      </c>
      <c r="N39" s="70">
        <f>IF(TB_Vendas[[#This Row],[Desc.]]&gt;TB_Vendas[[#This Row],[Desc. Vend.]],TB_Vendas[[#This Row],[Desc. Vend.]],TB_Vendas[[#This Row],[Desc.]])</f>
        <v>0.15</v>
      </c>
      <c r="O39" s="8">
        <f>TB_Vendas[[#This Row],[Preço Unitário]]*TB_Vendas[[#This Row],[Qtd]]</f>
        <v>359.6</v>
      </c>
      <c r="P39" s="1" t="s">
        <v>126</v>
      </c>
    </row>
    <row r="40" spans="1:16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VLOOKUP(TB_Vendas[[#This Row],[Código]],TB_Produtos[#All],4,)</f>
        <v>Calçado</v>
      </c>
      <c r="F40" s="1">
        <v>2</v>
      </c>
      <c r="G40" s="29" cm="1">
        <f t="array" ref="G40">_xlfn.XLOOKUP(TB_Vendas[[#This Row],[Código]],TB_Produtos[[#All],[Código]],TB_Produtos[[#All],[Preço Unitário]])</f>
        <v>89.9</v>
      </c>
      <c r="H40" s="10">
        <f>_xlfn.XMATCH(TB_Vendas[[#This Row],[Categoria]],Desc_Cols,0)</f>
        <v>4</v>
      </c>
      <c r="I40" s="10" cm="1">
        <f t="array" ref="I40">_xlfn.IFS(TB_Vendas[[#This Row],[Categoria]]='Cadastros Auxiliares'!$C$8,2,TB_Vendas[[#This Row],[Categoria]]='Cadastros Auxiliares'!$D$8,3,TB_Vendas[[#This Row],[Categoria]]='Cadastros Auxiliares'!$E$8,4)</f>
        <v>4</v>
      </c>
      <c r="J40" s="10">
        <f>VLOOKUP(TB_Vendas[[#This Row],[Qtd]],Desc_TabToda,TB_Vendas[[#This Row],[indSES]],1)</f>
        <v>0.1</v>
      </c>
      <c r="K40" s="70">
        <f>VLOOKUP(TB_Vendas[[#This Row],[Qtd]],Desc_TabToda,TB_Vendas[[#This Row],[Indice]],1)</f>
        <v>0.1</v>
      </c>
      <c r="L40" s="70" cm="1">
        <f t="array" ref="L40">INDEX(Desc_TabToda,MATCH(TB_Vendas[[#This Row],[Qtd]],Desc_Qtd,1),MATCH(_xlfn.XLOOKUP(TB_Vendas[[#This Row],[Código]],TB_Produtos[[#All],[Código]],TB_Produtos[[#All],[Categoria]]),Desc_Cols,0))</f>
        <v>0.1</v>
      </c>
      <c r="M40" s="70">
        <f>_xlfn.XLOOKUP(TB_Vendas[[#This Row],[Vendedor]],Vendedores!$A$4:$A$9,Vendedores!$D$4:$D$9)</f>
        <v>0.2</v>
      </c>
      <c r="N40" s="70">
        <f>IF(TB_Vendas[[#This Row],[Desc.]]&gt;TB_Vendas[[#This Row],[Desc. Vend.]],TB_Vendas[[#This Row],[Desc. Vend.]],TB_Vendas[[#This Row],[Desc.]])</f>
        <v>0.1</v>
      </c>
      <c r="O40" s="8">
        <f>TB_Vendas[[#This Row],[Preço Unitário]]*TB_Vendas[[#This Row],[Qtd]]</f>
        <v>179.8</v>
      </c>
      <c r="P40" s="1" t="s">
        <v>129</v>
      </c>
    </row>
    <row r="41" spans="1:16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VLOOKUP(TB_Vendas[[#This Row],[Código]],TB_Produtos[#All],4,)</f>
        <v>Vestuário</v>
      </c>
      <c r="F41" s="1">
        <v>3</v>
      </c>
      <c r="G41" s="29" cm="1">
        <f t="array" ref="G41">_xlfn.XLOOKUP(TB_Vendas[[#This Row],[Código]],TB_Produtos[[#All],[Código]],TB_Produtos[[#All],[Preço Unitário]])</f>
        <v>69.900000000000006</v>
      </c>
      <c r="H41" s="10">
        <f>_xlfn.XMATCH(TB_Vendas[[#This Row],[Categoria]],Desc_Cols,0)</f>
        <v>3</v>
      </c>
      <c r="I41" s="10" cm="1">
        <f t="array" ref="I41">_xlfn.IFS(TB_Vendas[[#This Row],[Categoria]]='Cadastros Auxiliares'!$C$8,2,TB_Vendas[[#This Row],[Categoria]]='Cadastros Auxiliares'!$D$8,3,TB_Vendas[[#This Row],[Categoria]]='Cadastros Auxiliares'!$E$8,4)</f>
        <v>3</v>
      </c>
      <c r="J41" s="10">
        <f>VLOOKUP(TB_Vendas[[#This Row],[Qtd]],Desc_TabToda,TB_Vendas[[#This Row],[indSES]],1)</f>
        <v>0.2</v>
      </c>
      <c r="K41" s="70">
        <f>VLOOKUP(TB_Vendas[[#This Row],[Qtd]],Desc_TabToda,TB_Vendas[[#This Row],[Indice]],1)</f>
        <v>0.2</v>
      </c>
      <c r="L41" s="70" cm="1">
        <f t="array" ref="L41">INDEX(Desc_TabToda,MATCH(TB_Vendas[[#This Row],[Qtd]],Desc_Qtd,1),MATCH(_xlfn.XLOOKUP(TB_Vendas[[#This Row],[Código]],TB_Produtos[[#All],[Código]],TB_Produtos[[#All],[Categoria]]),Desc_Cols,0))</f>
        <v>0.2</v>
      </c>
      <c r="M41" s="70">
        <f>_xlfn.XLOOKUP(TB_Vendas[[#This Row],[Vendedor]],Vendedores!$A$4:$A$9,Vendedores!$D$4:$D$9)</f>
        <v>0.2</v>
      </c>
      <c r="N41" s="70">
        <f>IF(TB_Vendas[[#This Row],[Desc.]]&gt;TB_Vendas[[#This Row],[Desc. Vend.]],TB_Vendas[[#This Row],[Desc. Vend.]],TB_Vendas[[#This Row],[Desc.]])</f>
        <v>0.2</v>
      </c>
      <c r="O41" s="8">
        <f>TB_Vendas[[#This Row],[Preço Unitário]]*TB_Vendas[[#This Row],[Qtd]]</f>
        <v>209.70000000000002</v>
      </c>
      <c r="P41" s="1" t="s">
        <v>126</v>
      </c>
    </row>
    <row r="42" spans="1:16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VLOOKUP(TB_Vendas[[#This Row],[Código]],TB_Produtos[#All],4,)</f>
        <v>Acessórios</v>
      </c>
      <c r="F42" s="1">
        <v>1</v>
      </c>
      <c r="G42" s="29" cm="1">
        <f t="array" ref="G42">_xlfn.XLOOKUP(TB_Vendas[[#This Row],[Código]],TB_Produtos[[#All],[Código]],TB_Produtos[[#All],[Preço Unitário]])</f>
        <v>145</v>
      </c>
      <c r="H42" s="10">
        <f>_xlfn.XMATCH(TB_Vendas[[#This Row],[Categoria]],Desc_Cols,0)</f>
        <v>2</v>
      </c>
      <c r="I42" s="10" cm="1">
        <f t="array" ref="I42">_xlfn.IFS(TB_Vendas[[#This Row],[Categoria]]='Cadastros Auxiliares'!$C$8,2,TB_Vendas[[#This Row],[Categoria]]='Cadastros Auxiliares'!$D$8,3,TB_Vendas[[#This Row],[Categoria]]='Cadastros Auxiliares'!$E$8,4)</f>
        <v>2</v>
      </c>
      <c r="J42" s="10">
        <f>VLOOKUP(TB_Vendas[[#This Row],[Qtd]],Desc_TabToda,TB_Vendas[[#This Row],[indSES]],1)</f>
        <v>0</v>
      </c>
      <c r="K42" s="70">
        <f>VLOOKUP(TB_Vendas[[#This Row],[Qtd]],Desc_TabToda,TB_Vendas[[#This Row],[Indice]],1)</f>
        <v>0</v>
      </c>
      <c r="L42" s="70" cm="1">
        <f t="array" ref="L42">INDEX(Desc_TabToda,MATCH(TB_Vendas[[#This Row],[Qtd]],Desc_Qtd,1),MATCH(_xlfn.XLOOKUP(TB_Vendas[[#This Row],[Código]],TB_Produtos[[#All],[Código]],TB_Produtos[[#All],[Categoria]]),Desc_Cols,0))</f>
        <v>0</v>
      </c>
      <c r="M42" s="70">
        <f>_xlfn.XLOOKUP(TB_Vendas[[#This Row],[Vendedor]],Vendedores!$A$4:$A$9,Vendedores!$D$4:$D$9)</f>
        <v>0.15</v>
      </c>
      <c r="N42" s="70">
        <f>IF(TB_Vendas[[#This Row],[Desc.]]&gt;TB_Vendas[[#This Row],[Desc. Vend.]],TB_Vendas[[#This Row],[Desc. Vend.]],TB_Vendas[[#This Row],[Desc.]])</f>
        <v>0</v>
      </c>
      <c r="O42" s="8">
        <f>TB_Vendas[[#This Row],[Preço Unitário]]*TB_Vendas[[#This Row],[Qtd]]</f>
        <v>145</v>
      </c>
      <c r="P42" s="1" t="s">
        <v>130</v>
      </c>
    </row>
    <row r="43" spans="1:16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VLOOKUP(TB_Vendas[[#This Row],[Código]],TB_Produtos[#All],4,)</f>
        <v>Vestuário</v>
      </c>
      <c r="F43" s="1">
        <v>4</v>
      </c>
      <c r="G43" s="29" cm="1">
        <f t="array" ref="G43">_xlfn.XLOOKUP(TB_Vendas[[#This Row],[Código]],TB_Produtos[[#All],[Código]],TB_Produtos[[#All],[Preço Unitário]])</f>
        <v>46.9</v>
      </c>
      <c r="H43" s="10">
        <f>_xlfn.XMATCH(TB_Vendas[[#This Row],[Categoria]],Desc_Cols,0)</f>
        <v>3</v>
      </c>
      <c r="I43" s="10" cm="1">
        <f t="array" ref="I43">_xlfn.IFS(TB_Vendas[[#This Row],[Categoria]]='Cadastros Auxiliares'!$C$8,2,TB_Vendas[[#This Row],[Categoria]]='Cadastros Auxiliares'!$D$8,3,TB_Vendas[[#This Row],[Categoria]]='Cadastros Auxiliares'!$E$8,4)</f>
        <v>3</v>
      </c>
      <c r="J43" s="10">
        <f>VLOOKUP(TB_Vendas[[#This Row],[Qtd]],Desc_TabToda,TB_Vendas[[#This Row],[indSES]],1)</f>
        <v>0.2</v>
      </c>
      <c r="K43" s="70">
        <f>VLOOKUP(TB_Vendas[[#This Row],[Qtd]],Desc_TabToda,TB_Vendas[[#This Row],[Indice]],1)</f>
        <v>0.2</v>
      </c>
      <c r="L43" s="70" cm="1">
        <f t="array" ref="L43">INDEX(Desc_TabToda,MATCH(TB_Vendas[[#This Row],[Qtd]],Desc_Qtd,1),MATCH(_xlfn.XLOOKUP(TB_Vendas[[#This Row],[Código]],TB_Produtos[[#All],[Código]],TB_Produtos[[#All],[Categoria]]),Desc_Cols,0))</f>
        <v>0.2</v>
      </c>
      <c r="M43" s="70">
        <f>_xlfn.XLOOKUP(TB_Vendas[[#This Row],[Vendedor]],Vendedores!$A$4:$A$9,Vendedores!$D$4:$D$9)</f>
        <v>0.2</v>
      </c>
      <c r="N43" s="70">
        <f>IF(TB_Vendas[[#This Row],[Desc.]]&gt;TB_Vendas[[#This Row],[Desc. Vend.]],TB_Vendas[[#This Row],[Desc. Vend.]],TB_Vendas[[#This Row],[Desc.]])</f>
        <v>0.2</v>
      </c>
      <c r="O43" s="8">
        <f>TB_Vendas[[#This Row],[Preço Unitário]]*TB_Vendas[[#This Row],[Qtd]]</f>
        <v>187.6</v>
      </c>
      <c r="P43" s="1" t="s">
        <v>126</v>
      </c>
    </row>
    <row r="44" spans="1:16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VLOOKUP(TB_Vendas[[#This Row],[Código]],TB_Produtos[#All],4,)</f>
        <v>Vestuário</v>
      </c>
      <c r="F44" s="1">
        <v>2</v>
      </c>
      <c r="G44" s="29" cm="1">
        <f t="array" ref="G44">_xlfn.XLOOKUP(TB_Vendas[[#This Row],[Código]],TB_Produtos[[#All],[Código]],TB_Produtos[[#All],[Preço Unitário]])</f>
        <v>72.5</v>
      </c>
      <c r="H44" s="10">
        <f>_xlfn.XMATCH(TB_Vendas[[#This Row],[Categoria]],Desc_Cols,0)</f>
        <v>3</v>
      </c>
      <c r="I44" s="10" cm="1">
        <f t="array" ref="I44">_xlfn.IFS(TB_Vendas[[#This Row],[Categoria]]='Cadastros Auxiliares'!$C$8,2,TB_Vendas[[#This Row],[Categoria]]='Cadastros Auxiliares'!$D$8,3,TB_Vendas[[#This Row],[Categoria]]='Cadastros Auxiliares'!$E$8,4)</f>
        <v>3</v>
      </c>
      <c r="J44" s="10">
        <f>VLOOKUP(TB_Vendas[[#This Row],[Qtd]],Desc_TabToda,TB_Vendas[[#This Row],[indSES]],1)</f>
        <v>0.15</v>
      </c>
      <c r="K44" s="70">
        <f>VLOOKUP(TB_Vendas[[#This Row],[Qtd]],Desc_TabToda,TB_Vendas[[#This Row],[Indice]],1)</f>
        <v>0.15</v>
      </c>
      <c r="L44" s="70" cm="1">
        <f t="array" ref="L44">INDEX(Desc_TabToda,MATCH(TB_Vendas[[#This Row],[Qtd]],Desc_Qtd,1),MATCH(_xlfn.XLOOKUP(TB_Vendas[[#This Row],[Código]],TB_Produtos[[#All],[Código]],TB_Produtos[[#All],[Categoria]]),Desc_Cols,0))</f>
        <v>0.15</v>
      </c>
      <c r="M44" s="70">
        <f>_xlfn.XLOOKUP(TB_Vendas[[#This Row],[Vendedor]],Vendedores!$A$4:$A$9,Vendedores!$D$4:$D$9)</f>
        <v>0.15</v>
      </c>
      <c r="N44" s="70">
        <f>IF(TB_Vendas[[#This Row],[Desc.]]&gt;TB_Vendas[[#This Row],[Desc. Vend.]],TB_Vendas[[#This Row],[Desc. Vend.]],TB_Vendas[[#This Row],[Desc.]])</f>
        <v>0.15</v>
      </c>
      <c r="O44" s="8">
        <f>TB_Vendas[[#This Row],[Preço Unitário]]*TB_Vendas[[#This Row],[Qtd]]</f>
        <v>145</v>
      </c>
      <c r="P44" s="1" t="s">
        <v>130</v>
      </c>
    </row>
    <row r="45" spans="1:16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VLOOKUP(TB_Vendas[[#This Row],[Código]],TB_Produtos[#All],4,)</f>
        <v>Vestuário</v>
      </c>
      <c r="F45" s="1">
        <v>3</v>
      </c>
      <c r="G45" s="29" cm="1">
        <f t="array" ref="G45">_xlfn.XLOOKUP(TB_Vendas[[#This Row],[Código]],TB_Produtos[[#All],[Código]],TB_Produtos[[#All],[Preço Unitário]])</f>
        <v>140</v>
      </c>
      <c r="H45" s="10">
        <f>_xlfn.XMATCH(TB_Vendas[[#This Row],[Categoria]],Desc_Cols,0)</f>
        <v>3</v>
      </c>
      <c r="I45" s="10" cm="1">
        <f t="array" ref="I45">_xlfn.IFS(TB_Vendas[[#This Row],[Categoria]]='Cadastros Auxiliares'!$C$8,2,TB_Vendas[[#This Row],[Categoria]]='Cadastros Auxiliares'!$D$8,3,TB_Vendas[[#This Row],[Categoria]]='Cadastros Auxiliares'!$E$8,4)</f>
        <v>3</v>
      </c>
      <c r="J45" s="10">
        <f>VLOOKUP(TB_Vendas[[#This Row],[Qtd]],Desc_TabToda,TB_Vendas[[#This Row],[indSES]],1)</f>
        <v>0.2</v>
      </c>
      <c r="K45" s="70">
        <f>VLOOKUP(TB_Vendas[[#This Row],[Qtd]],Desc_TabToda,TB_Vendas[[#This Row],[Indice]],1)</f>
        <v>0.2</v>
      </c>
      <c r="L45" s="70" cm="1">
        <f t="array" ref="L45">INDEX(Desc_TabToda,MATCH(TB_Vendas[[#This Row],[Qtd]],Desc_Qtd,1),MATCH(_xlfn.XLOOKUP(TB_Vendas[[#This Row],[Código]],TB_Produtos[[#All],[Código]],TB_Produtos[[#All],[Categoria]]),Desc_Cols,0))</f>
        <v>0.2</v>
      </c>
      <c r="M45" s="70">
        <f>_xlfn.XLOOKUP(TB_Vendas[[#This Row],[Vendedor]],Vendedores!$A$4:$A$9,Vendedores!$D$4:$D$9)</f>
        <v>0.2</v>
      </c>
      <c r="N45" s="70">
        <f>IF(TB_Vendas[[#This Row],[Desc.]]&gt;TB_Vendas[[#This Row],[Desc. Vend.]],TB_Vendas[[#This Row],[Desc. Vend.]],TB_Vendas[[#This Row],[Desc.]])</f>
        <v>0.2</v>
      </c>
      <c r="O45" s="8">
        <f>TB_Vendas[[#This Row],[Preço Unitário]]*TB_Vendas[[#This Row],[Qtd]]</f>
        <v>420</v>
      </c>
      <c r="P45" s="1" t="s">
        <v>129</v>
      </c>
    </row>
    <row r="46" spans="1:16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VLOOKUP(TB_Vendas[[#This Row],[Código]],TB_Produtos[#All],4,)</f>
        <v>Vestuário</v>
      </c>
      <c r="F46" s="1">
        <v>1</v>
      </c>
      <c r="G46" s="29" cm="1">
        <f t="array" ref="G46">_xlfn.XLOOKUP(TB_Vendas[[#This Row],[Código]],TB_Produtos[[#All],[Código]],TB_Produtos[[#All],[Preço Unitário]])</f>
        <v>91.4</v>
      </c>
      <c r="H46" s="10">
        <f>_xlfn.XMATCH(TB_Vendas[[#This Row],[Categoria]],Desc_Cols,0)</f>
        <v>3</v>
      </c>
      <c r="I46" s="10" cm="1">
        <f t="array" ref="I46">_xlfn.IFS(TB_Vendas[[#This Row],[Categoria]]='Cadastros Auxiliares'!$C$8,2,TB_Vendas[[#This Row],[Categoria]]='Cadastros Auxiliares'!$D$8,3,TB_Vendas[[#This Row],[Categoria]]='Cadastros Auxiliares'!$E$8,4)</f>
        <v>3</v>
      </c>
      <c r="J46" s="10">
        <f>VLOOKUP(TB_Vendas[[#This Row],[Qtd]],Desc_TabToda,TB_Vendas[[#This Row],[indSES]],1)</f>
        <v>0.1</v>
      </c>
      <c r="K46" s="70">
        <f>VLOOKUP(TB_Vendas[[#This Row],[Qtd]],Desc_TabToda,TB_Vendas[[#This Row],[Indice]],1)</f>
        <v>0.1</v>
      </c>
      <c r="L46" s="70" cm="1">
        <f t="array" ref="L46">INDEX(Desc_TabToda,MATCH(TB_Vendas[[#This Row],[Qtd]],Desc_Qtd,1),MATCH(_xlfn.XLOOKUP(TB_Vendas[[#This Row],[Código]],TB_Produtos[[#All],[Código]],TB_Produtos[[#All],[Categoria]]),Desc_Cols,0))</f>
        <v>0.1</v>
      </c>
      <c r="M46" s="70">
        <f>_xlfn.XLOOKUP(TB_Vendas[[#This Row],[Vendedor]],Vendedores!$A$4:$A$9,Vendedores!$D$4:$D$9)</f>
        <v>0.25</v>
      </c>
      <c r="N46" s="70">
        <f>IF(TB_Vendas[[#This Row],[Desc.]]&gt;TB_Vendas[[#This Row],[Desc. Vend.]],TB_Vendas[[#This Row],[Desc. Vend.]],TB_Vendas[[#This Row],[Desc.]])</f>
        <v>0.1</v>
      </c>
      <c r="O46" s="8">
        <f>TB_Vendas[[#This Row],[Preço Unitário]]*TB_Vendas[[#This Row],[Qtd]]</f>
        <v>91.4</v>
      </c>
      <c r="P46" s="1" t="s">
        <v>127</v>
      </c>
    </row>
    <row r="47" spans="1:16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VLOOKUP(TB_Vendas[[#This Row],[Código]],TB_Produtos[#All],4,)</f>
        <v>Acessórios</v>
      </c>
      <c r="F47" s="1">
        <v>2</v>
      </c>
      <c r="G47" s="29" cm="1">
        <f t="array" ref="G47">_xlfn.XLOOKUP(TB_Vendas[[#This Row],[Código]],TB_Produtos[[#All],[Código]],TB_Produtos[[#All],[Preço Unitário]])</f>
        <v>349.9</v>
      </c>
      <c r="H47" s="10">
        <f>_xlfn.XMATCH(TB_Vendas[[#This Row],[Categoria]],Desc_Cols,0)</f>
        <v>2</v>
      </c>
      <c r="I47" s="10" cm="1">
        <f t="array" ref="I47">_xlfn.IFS(TB_Vendas[[#This Row],[Categoria]]='Cadastros Auxiliares'!$C$8,2,TB_Vendas[[#This Row],[Categoria]]='Cadastros Auxiliares'!$D$8,3,TB_Vendas[[#This Row],[Categoria]]='Cadastros Auxiliares'!$E$8,4)</f>
        <v>2</v>
      </c>
      <c r="J47" s="10">
        <f>VLOOKUP(TB_Vendas[[#This Row],[Qtd]],Desc_TabToda,TB_Vendas[[#This Row],[indSES]],1)</f>
        <v>0.05</v>
      </c>
      <c r="K47" s="70">
        <f>VLOOKUP(TB_Vendas[[#This Row],[Qtd]],Desc_TabToda,TB_Vendas[[#This Row],[Indice]],1)</f>
        <v>0.05</v>
      </c>
      <c r="L47" s="70" cm="1">
        <f t="array" ref="L47">INDEX(Desc_TabToda,MATCH(TB_Vendas[[#This Row],[Qtd]],Desc_Qtd,1),MATCH(_xlfn.XLOOKUP(TB_Vendas[[#This Row],[Código]],TB_Produtos[[#All],[Código]],TB_Produtos[[#All],[Categoria]]),Desc_Cols,0))</f>
        <v>0.05</v>
      </c>
      <c r="M47" s="70">
        <f>_xlfn.XLOOKUP(TB_Vendas[[#This Row],[Vendedor]],Vendedores!$A$4:$A$9,Vendedores!$D$4:$D$9)</f>
        <v>0.2</v>
      </c>
      <c r="N47" s="70">
        <f>IF(TB_Vendas[[#This Row],[Desc.]]&gt;TB_Vendas[[#This Row],[Desc. Vend.]],TB_Vendas[[#This Row],[Desc. Vend.]],TB_Vendas[[#This Row],[Desc.]])</f>
        <v>0.05</v>
      </c>
      <c r="O47" s="8">
        <f>TB_Vendas[[#This Row],[Preço Unitário]]*TB_Vendas[[#This Row],[Qtd]]</f>
        <v>699.8</v>
      </c>
      <c r="P47" s="1" t="s">
        <v>129</v>
      </c>
    </row>
    <row r="48" spans="1:16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VLOOKUP(TB_Vendas[[#This Row],[Código]],TB_Produtos[#All],4,)</f>
        <v>Vestuário</v>
      </c>
      <c r="F48" s="1">
        <v>3</v>
      </c>
      <c r="G48" s="29" cm="1">
        <f t="array" ref="G48">_xlfn.XLOOKUP(TB_Vendas[[#This Row],[Código]],TB_Produtos[[#All],[Código]],TB_Produtos[[#All],[Preço Unitário]])</f>
        <v>65.900000000000006</v>
      </c>
      <c r="H48" s="10">
        <f>_xlfn.XMATCH(TB_Vendas[[#This Row],[Categoria]],Desc_Cols,0)</f>
        <v>3</v>
      </c>
      <c r="I48" s="10" cm="1">
        <f t="array" ref="I48">_xlfn.IFS(TB_Vendas[[#This Row],[Categoria]]='Cadastros Auxiliares'!$C$8,2,TB_Vendas[[#This Row],[Categoria]]='Cadastros Auxiliares'!$D$8,3,TB_Vendas[[#This Row],[Categoria]]='Cadastros Auxiliares'!$E$8,4)</f>
        <v>3</v>
      </c>
      <c r="J48" s="10">
        <f>VLOOKUP(TB_Vendas[[#This Row],[Qtd]],Desc_TabToda,TB_Vendas[[#This Row],[indSES]],1)</f>
        <v>0.2</v>
      </c>
      <c r="K48" s="70">
        <f>VLOOKUP(TB_Vendas[[#This Row],[Qtd]],Desc_TabToda,TB_Vendas[[#This Row],[Indice]],1)</f>
        <v>0.2</v>
      </c>
      <c r="L48" s="70" cm="1">
        <f t="array" ref="L48">INDEX(Desc_TabToda,MATCH(TB_Vendas[[#This Row],[Qtd]],Desc_Qtd,1),MATCH(_xlfn.XLOOKUP(TB_Vendas[[#This Row],[Código]],TB_Produtos[[#All],[Código]],TB_Produtos[[#All],[Categoria]]),Desc_Cols,0))</f>
        <v>0.2</v>
      </c>
      <c r="M48" s="70">
        <f>_xlfn.XLOOKUP(TB_Vendas[[#This Row],[Vendedor]],Vendedores!$A$4:$A$9,Vendedores!$D$4:$D$9)</f>
        <v>0.25</v>
      </c>
      <c r="N48" s="70">
        <f>IF(TB_Vendas[[#This Row],[Desc.]]&gt;TB_Vendas[[#This Row],[Desc. Vend.]],TB_Vendas[[#This Row],[Desc. Vend.]],TB_Vendas[[#This Row],[Desc.]])</f>
        <v>0.2</v>
      </c>
      <c r="O48" s="8">
        <f>TB_Vendas[[#This Row],[Preço Unitário]]*TB_Vendas[[#This Row],[Qtd]]</f>
        <v>197.70000000000002</v>
      </c>
      <c r="P48" s="1" t="s">
        <v>127</v>
      </c>
    </row>
    <row r="49" spans="1:16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VLOOKUP(TB_Vendas[[#This Row],[Código]],TB_Produtos[#All],4,)</f>
        <v>Vestuário</v>
      </c>
      <c r="F49" s="1">
        <v>2</v>
      </c>
      <c r="G49" s="29" cm="1">
        <f t="array" ref="G49">_xlfn.XLOOKUP(TB_Vendas[[#This Row],[Código]],TB_Produtos[[#All],[Código]],TB_Produtos[[#All],[Preço Unitário]])</f>
        <v>91.4</v>
      </c>
      <c r="H49" s="10">
        <f>_xlfn.XMATCH(TB_Vendas[[#This Row],[Categoria]],Desc_Cols,0)</f>
        <v>3</v>
      </c>
      <c r="I49" s="10" cm="1">
        <f t="array" ref="I49">_xlfn.IFS(TB_Vendas[[#This Row],[Categoria]]='Cadastros Auxiliares'!$C$8,2,TB_Vendas[[#This Row],[Categoria]]='Cadastros Auxiliares'!$D$8,3,TB_Vendas[[#This Row],[Categoria]]='Cadastros Auxiliares'!$E$8,4)</f>
        <v>3</v>
      </c>
      <c r="J49" s="10">
        <f>VLOOKUP(TB_Vendas[[#This Row],[Qtd]],Desc_TabToda,TB_Vendas[[#This Row],[indSES]],1)</f>
        <v>0.15</v>
      </c>
      <c r="K49" s="70">
        <f>VLOOKUP(TB_Vendas[[#This Row],[Qtd]],Desc_TabToda,TB_Vendas[[#This Row],[Indice]],1)</f>
        <v>0.15</v>
      </c>
      <c r="L49" s="70" cm="1">
        <f t="array" ref="L49">INDEX(Desc_TabToda,MATCH(TB_Vendas[[#This Row],[Qtd]],Desc_Qtd,1),MATCH(_xlfn.XLOOKUP(TB_Vendas[[#This Row],[Código]],TB_Produtos[[#All],[Código]],TB_Produtos[[#All],[Categoria]]),Desc_Cols,0))</f>
        <v>0.15</v>
      </c>
      <c r="M49" s="70">
        <f>_xlfn.XLOOKUP(TB_Vendas[[#This Row],[Vendedor]],Vendedores!$A$4:$A$9,Vendedores!$D$4:$D$9)</f>
        <v>0.2</v>
      </c>
      <c r="N49" s="70">
        <f>IF(TB_Vendas[[#This Row],[Desc.]]&gt;TB_Vendas[[#This Row],[Desc. Vend.]],TB_Vendas[[#This Row],[Desc. Vend.]],TB_Vendas[[#This Row],[Desc.]])</f>
        <v>0.15</v>
      </c>
      <c r="O49" s="8">
        <f>TB_Vendas[[#This Row],[Preço Unitário]]*TB_Vendas[[#This Row],[Qtd]]</f>
        <v>182.8</v>
      </c>
      <c r="P49" s="1" t="s">
        <v>126</v>
      </c>
    </row>
    <row r="50" spans="1:16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VLOOKUP(TB_Vendas[[#This Row],[Código]],TB_Produtos[#All],4,)</f>
        <v>Acessórios</v>
      </c>
      <c r="F50" s="1">
        <v>4</v>
      </c>
      <c r="G50" s="29" cm="1">
        <f t="array" ref="G50">_xlfn.XLOOKUP(TB_Vendas[[#This Row],[Código]],TB_Produtos[[#All],[Código]],TB_Produtos[[#All],[Preço Unitário]])</f>
        <v>259.89999999999998</v>
      </c>
      <c r="H50" s="10">
        <f>_xlfn.XMATCH(TB_Vendas[[#This Row],[Categoria]],Desc_Cols,0)</f>
        <v>2</v>
      </c>
      <c r="I50" s="10" cm="1">
        <f t="array" ref="I50">_xlfn.IFS(TB_Vendas[[#This Row],[Categoria]]='Cadastros Auxiliares'!$C$8,2,TB_Vendas[[#This Row],[Categoria]]='Cadastros Auxiliares'!$D$8,3,TB_Vendas[[#This Row],[Categoria]]='Cadastros Auxiliares'!$E$8,4)</f>
        <v>2</v>
      </c>
      <c r="J50" s="10">
        <f>VLOOKUP(TB_Vendas[[#This Row],[Qtd]],Desc_TabToda,TB_Vendas[[#This Row],[indSES]],1)</f>
        <v>0.15</v>
      </c>
      <c r="K50" s="70">
        <f>VLOOKUP(TB_Vendas[[#This Row],[Qtd]],Desc_TabToda,TB_Vendas[[#This Row],[Indice]],1)</f>
        <v>0.15</v>
      </c>
      <c r="L50" s="70" cm="1">
        <f t="array" ref="L50">INDEX(Desc_TabToda,MATCH(TB_Vendas[[#This Row],[Qtd]],Desc_Qtd,1),MATCH(_xlfn.XLOOKUP(TB_Vendas[[#This Row],[Código]],TB_Produtos[[#All],[Código]],TB_Produtos[[#All],[Categoria]]),Desc_Cols,0))</f>
        <v>0.15</v>
      </c>
      <c r="M50" s="70">
        <f>_xlfn.XLOOKUP(TB_Vendas[[#This Row],[Vendedor]],Vendedores!$A$4:$A$9,Vendedores!$D$4:$D$9)</f>
        <v>0.25</v>
      </c>
      <c r="N50" s="70">
        <f>IF(TB_Vendas[[#This Row],[Desc.]]&gt;TB_Vendas[[#This Row],[Desc. Vend.]],TB_Vendas[[#This Row],[Desc. Vend.]],TB_Vendas[[#This Row],[Desc.]])</f>
        <v>0.15</v>
      </c>
      <c r="O50" s="8">
        <f>TB_Vendas[[#This Row],[Preço Unitário]]*TB_Vendas[[#This Row],[Qtd]]</f>
        <v>1039.5999999999999</v>
      </c>
      <c r="P50" s="1" t="s">
        <v>127</v>
      </c>
    </row>
    <row r="51" spans="1:16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VLOOKUP(TB_Vendas[[#This Row],[Código]],TB_Produtos[#All],4,)</f>
        <v>Acessórios</v>
      </c>
      <c r="F51" s="1">
        <v>3</v>
      </c>
      <c r="G51" s="29" cm="1">
        <f t="array" ref="G51">_xlfn.XLOOKUP(TB_Vendas[[#This Row],[Código]],TB_Produtos[[#All],[Código]],TB_Produtos[[#All],[Preço Unitário]])</f>
        <v>145</v>
      </c>
      <c r="H51" s="10">
        <f>_xlfn.XMATCH(TB_Vendas[[#This Row],[Categoria]],Desc_Cols,0)</f>
        <v>2</v>
      </c>
      <c r="I51" s="10" cm="1">
        <f t="array" ref="I51">_xlfn.IFS(TB_Vendas[[#This Row],[Categoria]]='Cadastros Auxiliares'!$C$8,2,TB_Vendas[[#This Row],[Categoria]]='Cadastros Auxiliares'!$D$8,3,TB_Vendas[[#This Row],[Categoria]]='Cadastros Auxiliares'!$E$8,4)</f>
        <v>2</v>
      </c>
      <c r="J51" s="10">
        <f>VLOOKUP(TB_Vendas[[#This Row],[Qtd]],Desc_TabToda,TB_Vendas[[#This Row],[indSES]],1)</f>
        <v>0.15</v>
      </c>
      <c r="K51" s="70">
        <f>VLOOKUP(TB_Vendas[[#This Row],[Qtd]],Desc_TabToda,TB_Vendas[[#This Row],[Indice]],1)</f>
        <v>0.15</v>
      </c>
      <c r="L51" s="70" cm="1">
        <f t="array" ref="L51">INDEX(Desc_TabToda,MATCH(TB_Vendas[[#This Row],[Qtd]],Desc_Qtd,1),MATCH(_xlfn.XLOOKUP(TB_Vendas[[#This Row],[Código]],TB_Produtos[[#All],[Código]],TB_Produtos[[#All],[Categoria]]),Desc_Cols,0))</f>
        <v>0.15</v>
      </c>
      <c r="M51" s="70">
        <f>_xlfn.XLOOKUP(TB_Vendas[[#This Row],[Vendedor]],Vendedores!$A$4:$A$9,Vendedores!$D$4:$D$9)</f>
        <v>0.2</v>
      </c>
      <c r="N51" s="70">
        <f>IF(TB_Vendas[[#This Row],[Desc.]]&gt;TB_Vendas[[#This Row],[Desc. Vend.]],TB_Vendas[[#This Row],[Desc. Vend.]],TB_Vendas[[#This Row],[Desc.]])</f>
        <v>0.15</v>
      </c>
      <c r="O51" s="8">
        <f>TB_Vendas[[#This Row],[Preço Unitário]]*TB_Vendas[[#This Row],[Qtd]]</f>
        <v>435</v>
      </c>
      <c r="P51" s="1" t="s">
        <v>126</v>
      </c>
    </row>
    <row r="52" spans="1:16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VLOOKUP(TB_Vendas[[#This Row],[Código]],TB_Produtos[#All],4,)</f>
        <v>Vestuário</v>
      </c>
      <c r="F52" s="1">
        <v>2</v>
      </c>
      <c r="G52" s="29" cm="1">
        <f t="array" ref="G52">_xlfn.XLOOKUP(TB_Vendas[[#This Row],[Código]],TB_Produtos[[#All],[Código]],TB_Produtos[[#All],[Preço Unitário]])</f>
        <v>142.9</v>
      </c>
      <c r="H52" s="10">
        <f>_xlfn.XMATCH(TB_Vendas[[#This Row],[Categoria]],Desc_Cols,0)</f>
        <v>3</v>
      </c>
      <c r="I52" s="10" cm="1">
        <f t="array" ref="I52">_xlfn.IFS(TB_Vendas[[#This Row],[Categoria]]='Cadastros Auxiliares'!$C$8,2,TB_Vendas[[#This Row],[Categoria]]='Cadastros Auxiliares'!$D$8,3,TB_Vendas[[#This Row],[Categoria]]='Cadastros Auxiliares'!$E$8,4)</f>
        <v>3</v>
      </c>
      <c r="J52" s="10">
        <f>VLOOKUP(TB_Vendas[[#This Row],[Qtd]],Desc_TabToda,TB_Vendas[[#This Row],[indSES]],1)</f>
        <v>0.15</v>
      </c>
      <c r="K52" s="70">
        <f>VLOOKUP(TB_Vendas[[#This Row],[Qtd]],Desc_TabToda,TB_Vendas[[#This Row],[Indice]],1)</f>
        <v>0.15</v>
      </c>
      <c r="L52" s="70" cm="1">
        <f t="array" ref="L52">INDEX(Desc_TabToda,MATCH(TB_Vendas[[#This Row],[Qtd]],Desc_Qtd,1),MATCH(_xlfn.XLOOKUP(TB_Vendas[[#This Row],[Código]],TB_Produtos[[#All],[Código]],TB_Produtos[[#All],[Categoria]]),Desc_Cols,0))</f>
        <v>0.15</v>
      </c>
      <c r="M52" s="70">
        <f>_xlfn.XLOOKUP(TB_Vendas[[#This Row],[Vendedor]],Vendedores!$A$4:$A$9,Vendedores!$D$4:$D$9)</f>
        <v>0.1</v>
      </c>
      <c r="N52" s="70">
        <f>IF(TB_Vendas[[#This Row],[Desc.]]&gt;TB_Vendas[[#This Row],[Desc. Vend.]],TB_Vendas[[#This Row],[Desc. Vend.]],TB_Vendas[[#This Row],[Desc.]])</f>
        <v>0.1</v>
      </c>
      <c r="O52" s="8">
        <f>TB_Vendas[[#This Row],[Preço Unitário]]*TB_Vendas[[#This Row],[Qtd]]</f>
        <v>285.8</v>
      </c>
      <c r="P52" s="1" t="s">
        <v>128</v>
      </c>
    </row>
    <row r="53" spans="1:16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VLOOKUP(TB_Vendas[[#This Row],[Código]],TB_Produtos[#All],4,)</f>
        <v>Vestuário</v>
      </c>
      <c r="F53" s="1">
        <v>2</v>
      </c>
      <c r="G53" s="29" cm="1">
        <f t="array" ref="G53">_xlfn.XLOOKUP(TB_Vendas[[#This Row],[Código]],TB_Produtos[[#All],[Código]],TB_Produtos[[#All],[Preço Unitário]])</f>
        <v>180</v>
      </c>
      <c r="H53" s="10">
        <f>_xlfn.XMATCH(TB_Vendas[[#This Row],[Categoria]],Desc_Cols,0)</f>
        <v>3</v>
      </c>
      <c r="I53" s="10" cm="1">
        <f t="array" ref="I53">_xlfn.IFS(TB_Vendas[[#This Row],[Categoria]]='Cadastros Auxiliares'!$C$8,2,TB_Vendas[[#This Row],[Categoria]]='Cadastros Auxiliares'!$D$8,3,TB_Vendas[[#This Row],[Categoria]]='Cadastros Auxiliares'!$E$8,4)</f>
        <v>3</v>
      </c>
      <c r="J53" s="10">
        <f>VLOOKUP(TB_Vendas[[#This Row],[Qtd]],Desc_TabToda,TB_Vendas[[#This Row],[indSES]],1)</f>
        <v>0.15</v>
      </c>
      <c r="K53" s="70">
        <f>VLOOKUP(TB_Vendas[[#This Row],[Qtd]],Desc_TabToda,TB_Vendas[[#This Row],[Indice]],1)</f>
        <v>0.15</v>
      </c>
      <c r="L53" s="70" cm="1">
        <f t="array" ref="L53">INDEX(Desc_TabToda,MATCH(TB_Vendas[[#This Row],[Qtd]],Desc_Qtd,1),MATCH(_xlfn.XLOOKUP(TB_Vendas[[#This Row],[Código]],TB_Produtos[[#All],[Código]],TB_Produtos[[#All],[Categoria]]),Desc_Cols,0))</f>
        <v>0.15</v>
      </c>
      <c r="M53" s="70">
        <f>_xlfn.XLOOKUP(TB_Vendas[[#This Row],[Vendedor]],Vendedores!$A$4:$A$9,Vendedores!$D$4:$D$9)</f>
        <v>0.2</v>
      </c>
      <c r="N53" s="70">
        <f>IF(TB_Vendas[[#This Row],[Desc.]]&gt;TB_Vendas[[#This Row],[Desc. Vend.]],TB_Vendas[[#This Row],[Desc. Vend.]],TB_Vendas[[#This Row],[Desc.]])</f>
        <v>0.15</v>
      </c>
      <c r="O53" s="8">
        <f>TB_Vendas[[#This Row],[Preço Unitário]]*TB_Vendas[[#This Row],[Qtd]]</f>
        <v>360</v>
      </c>
      <c r="P53" s="1" t="s">
        <v>126</v>
      </c>
    </row>
    <row r="54" spans="1:16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VLOOKUP(TB_Vendas[[#This Row],[Código]],TB_Produtos[#All],4,)</f>
        <v>Vestuário</v>
      </c>
      <c r="F54" s="1">
        <v>2</v>
      </c>
      <c r="G54" s="29" cm="1">
        <f t="array" ref="G54">_xlfn.XLOOKUP(TB_Vendas[[#This Row],[Código]],TB_Produtos[[#All],[Código]],TB_Produtos[[#All],[Preço Unitário]])</f>
        <v>42.5</v>
      </c>
      <c r="H54" s="10">
        <f>_xlfn.XMATCH(TB_Vendas[[#This Row],[Categoria]],Desc_Cols,0)</f>
        <v>3</v>
      </c>
      <c r="I54" s="10" cm="1">
        <f t="array" ref="I54">_xlfn.IFS(TB_Vendas[[#This Row],[Categoria]]='Cadastros Auxiliares'!$C$8,2,TB_Vendas[[#This Row],[Categoria]]='Cadastros Auxiliares'!$D$8,3,TB_Vendas[[#This Row],[Categoria]]='Cadastros Auxiliares'!$E$8,4)</f>
        <v>3</v>
      </c>
      <c r="J54" s="10">
        <f>VLOOKUP(TB_Vendas[[#This Row],[Qtd]],Desc_TabToda,TB_Vendas[[#This Row],[indSES]],1)</f>
        <v>0.15</v>
      </c>
      <c r="K54" s="70">
        <f>VLOOKUP(TB_Vendas[[#This Row],[Qtd]],Desc_TabToda,TB_Vendas[[#This Row],[Indice]],1)</f>
        <v>0.15</v>
      </c>
      <c r="L54" s="70" cm="1">
        <f t="array" ref="L54">INDEX(Desc_TabToda,MATCH(TB_Vendas[[#This Row],[Qtd]],Desc_Qtd,1),MATCH(_xlfn.XLOOKUP(TB_Vendas[[#This Row],[Código]],TB_Produtos[[#All],[Código]],TB_Produtos[[#All],[Categoria]]),Desc_Cols,0))</f>
        <v>0.15</v>
      </c>
      <c r="M54" s="70">
        <f>_xlfn.XLOOKUP(TB_Vendas[[#This Row],[Vendedor]],Vendedores!$A$4:$A$9,Vendedores!$D$4:$D$9)</f>
        <v>0.1</v>
      </c>
      <c r="N54" s="70">
        <f>IF(TB_Vendas[[#This Row],[Desc.]]&gt;TB_Vendas[[#This Row],[Desc. Vend.]],TB_Vendas[[#This Row],[Desc. Vend.]],TB_Vendas[[#This Row],[Desc.]])</f>
        <v>0.1</v>
      </c>
      <c r="O54" s="8">
        <f>TB_Vendas[[#This Row],[Preço Unitário]]*TB_Vendas[[#This Row],[Qtd]]</f>
        <v>85</v>
      </c>
      <c r="P54" s="1" t="s">
        <v>128</v>
      </c>
    </row>
    <row r="55" spans="1:16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VLOOKUP(TB_Vendas[[#This Row],[Código]],TB_Produtos[#All],4,)</f>
        <v>Vestuário</v>
      </c>
      <c r="F55" s="1">
        <v>1</v>
      </c>
      <c r="G55" s="29" cm="1">
        <f t="array" ref="G55">_xlfn.XLOOKUP(TB_Vendas[[#This Row],[Código]],TB_Produtos[[#All],[Código]],TB_Produtos[[#All],[Preço Unitário]])</f>
        <v>65.900000000000006</v>
      </c>
      <c r="H55" s="10">
        <f>_xlfn.XMATCH(TB_Vendas[[#This Row],[Categoria]],Desc_Cols,0)</f>
        <v>3</v>
      </c>
      <c r="I55" s="10" cm="1">
        <f t="array" ref="I55">_xlfn.IFS(TB_Vendas[[#This Row],[Categoria]]='Cadastros Auxiliares'!$C$8,2,TB_Vendas[[#This Row],[Categoria]]='Cadastros Auxiliares'!$D$8,3,TB_Vendas[[#This Row],[Categoria]]='Cadastros Auxiliares'!$E$8,4)</f>
        <v>3</v>
      </c>
      <c r="J55" s="10">
        <f>VLOOKUP(TB_Vendas[[#This Row],[Qtd]],Desc_TabToda,TB_Vendas[[#This Row],[indSES]],1)</f>
        <v>0.1</v>
      </c>
      <c r="K55" s="70">
        <f>VLOOKUP(TB_Vendas[[#This Row],[Qtd]],Desc_TabToda,TB_Vendas[[#This Row],[Indice]],1)</f>
        <v>0.1</v>
      </c>
      <c r="L55" s="70" cm="1">
        <f t="array" ref="L55">INDEX(Desc_TabToda,MATCH(TB_Vendas[[#This Row],[Qtd]],Desc_Qtd,1),MATCH(_xlfn.XLOOKUP(TB_Vendas[[#This Row],[Código]],TB_Produtos[[#All],[Código]],TB_Produtos[[#All],[Categoria]]),Desc_Cols,0))</f>
        <v>0.1</v>
      </c>
      <c r="M55" s="70">
        <f>_xlfn.XLOOKUP(TB_Vendas[[#This Row],[Vendedor]],Vendedores!$A$4:$A$9,Vendedores!$D$4:$D$9)</f>
        <v>0.25</v>
      </c>
      <c r="N55" s="70">
        <f>IF(TB_Vendas[[#This Row],[Desc.]]&gt;TB_Vendas[[#This Row],[Desc. Vend.]],TB_Vendas[[#This Row],[Desc. Vend.]],TB_Vendas[[#This Row],[Desc.]])</f>
        <v>0.1</v>
      </c>
      <c r="O55" s="8">
        <f>TB_Vendas[[#This Row],[Preço Unitário]]*TB_Vendas[[#This Row],[Qtd]]</f>
        <v>65.900000000000006</v>
      </c>
      <c r="P55" s="1" t="s">
        <v>127</v>
      </c>
    </row>
    <row r="56" spans="1:16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VLOOKUP(TB_Vendas[[#This Row],[Código]],TB_Produtos[#All],4,)</f>
        <v>Vestuário</v>
      </c>
      <c r="F56" s="1">
        <v>1</v>
      </c>
      <c r="G56" s="29" cm="1">
        <f t="array" ref="G56">_xlfn.XLOOKUP(TB_Vendas[[#This Row],[Código]],TB_Produtos[[#All],[Código]],TB_Produtos[[#All],[Preço Unitário]])</f>
        <v>180</v>
      </c>
      <c r="H56" s="10">
        <f>_xlfn.XMATCH(TB_Vendas[[#This Row],[Categoria]],Desc_Cols,0)</f>
        <v>3</v>
      </c>
      <c r="I56" s="10" cm="1">
        <f t="array" ref="I56">_xlfn.IFS(TB_Vendas[[#This Row],[Categoria]]='Cadastros Auxiliares'!$C$8,2,TB_Vendas[[#This Row],[Categoria]]='Cadastros Auxiliares'!$D$8,3,TB_Vendas[[#This Row],[Categoria]]='Cadastros Auxiliares'!$E$8,4)</f>
        <v>3</v>
      </c>
      <c r="J56" s="10">
        <f>VLOOKUP(TB_Vendas[[#This Row],[Qtd]],Desc_TabToda,TB_Vendas[[#This Row],[indSES]],1)</f>
        <v>0.1</v>
      </c>
      <c r="K56" s="70">
        <f>VLOOKUP(TB_Vendas[[#This Row],[Qtd]],Desc_TabToda,TB_Vendas[[#This Row],[Indice]],1)</f>
        <v>0.1</v>
      </c>
      <c r="L56" s="70" cm="1">
        <f t="array" ref="L56">INDEX(Desc_TabToda,MATCH(TB_Vendas[[#This Row],[Qtd]],Desc_Qtd,1),MATCH(_xlfn.XLOOKUP(TB_Vendas[[#This Row],[Código]],TB_Produtos[[#All],[Código]],TB_Produtos[[#All],[Categoria]]),Desc_Cols,0))</f>
        <v>0.1</v>
      </c>
      <c r="M56" s="70">
        <f>_xlfn.XLOOKUP(TB_Vendas[[#This Row],[Vendedor]],Vendedores!$A$4:$A$9,Vendedores!$D$4:$D$9)</f>
        <v>0.1</v>
      </c>
      <c r="N56" s="70">
        <f>IF(TB_Vendas[[#This Row],[Desc.]]&gt;TB_Vendas[[#This Row],[Desc. Vend.]],TB_Vendas[[#This Row],[Desc. Vend.]],TB_Vendas[[#This Row],[Desc.]])</f>
        <v>0.1</v>
      </c>
      <c r="O56" s="8">
        <f>TB_Vendas[[#This Row],[Preço Unitário]]*TB_Vendas[[#This Row],[Qtd]]</f>
        <v>180</v>
      </c>
      <c r="P56" s="1" t="s">
        <v>128</v>
      </c>
    </row>
    <row r="57" spans="1:16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VLOOKUP(TB_Vendas[[#This Row],[Código]],TB_Produtos[#All],4,)</f>
        <v>Vestuário</v>
      </c>
      <c r="F57" s="1">
        <v>3</v>
      </c>
      <c r="G57" s="29" cm="1">
        <f t="array" ref="G57">_xlfn.XLOOKUP(TB_Vendas[[#This Row],[Código]],TB_Produtos[[#All],[Código]],TB_Produtos[[#All],[Preço Unitário]])</f>
        <v>32.9</v>
      </c>
      <c r="H57" s="10">
        <f>_xlfn.XMATCH(TB_Vendas[[#This Row],[Categoria]],Desc_Cols,0)</f>
        <v>3</v>
      </c>
      <c r="I57" s="10" cm="1">
        <f t="array" ref="I57">_xlfn.IFS(TB_Vendas[[#This Row],[Categoria]]='Cadastros Auxiliares'!$C$8,2,TB_Vendas[[#This Row],[Categoria]]='Cadastros Auxiliares'!$D$8,3,TB_Vendas[[#This Row],[Categoria]]='Cadastros Auxiliares'!$E$8,4)</f>
        <v>3</v>
      </c>
      <c r="J57" s="10">
        <f>VLOOKUP(TB_Vendas[[#This Row],[Qtd]],Desc_TabToda,TB_Vendas[[#This Row],[indSES]],1)</f>
        <v>0.2</v>
      </c>
      <c r="K57" s="70">
        <f>VLOOKUP(TB_Vendas[[#This Row],[Qtd]],Desc_TabToda,TB_Vendas[[#This Row],[Indice]],1)</f>
        <v>0.2</v>
      </c>
      <c r="L57" s="70" cm="1">
        <f t="array" ref="L57">INDEX(Desc_TabToda,MATCH(TB_Vendas[[#This Row],[Qtd]],Desc_Qtd,1),MATCH(_xlfn.XLOOKUP(TB_Vendas[[#This Row],[Código]],TB_Produtos[[#All],[Código]],TB_Produtos[[#All],[Categoria]]),Desc_Cols,0))</f>
        <v>0.2</v>
      </c>
      <c r="M57" s="70">
        <f>_xlfn.XLOOKUP(TB_Vendas[[#This Row],[Vendedor]],Vendedores!$A$4:$A$9,Vendedores!$D$4:$D$9)</f>
        <v>0.25</v>
      </c>
      <c r="N57" s="70">
        <f>IF(TB_Vendas[[#This Row],[Desc.]]&gt;TB_Vendas[[#This Row],[Desc. Vend.]],TB_Vendas[[#This Row],[Desc. Vend.]],TB_Vendas[[#This Row],[Desc.]])</f>
        <v>0.2</v>
      </c>
      <c r="O57" s="8">
        <f>TB_Vendas[[#This Row],[Preço Unitário]]*TB_Vendas[[#This Row],[Qtd]]</f>
        <v>98.699999999999989</v>
      </c>
      <c r="P57" s="1" t="s">
        <v>127</v>
      </c>
    </row>
    <row r="58" spans="1:16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VLOOKUP(TB_Vendas[[#This Row],[Código]],TB_Produtos[#All],4,)</f>
        <v>Vestuário</v>
      </c>
      <c r="F58" s="1">
        <v>4</v>
      </c>
      <c r="G58" s="29" cm="1">
        <f t="array" ref="G58">_xlfn.XLOOKUP(TB_Vendas[[#This Row],[Código]],TB_Produtos[[#All],[Código]],TB_Produtos[[#All],[Preço Unitário]])</f>
        <v>92.9</v>
      </c>
      <c r="H58" s="10">
        <f>_xlfn.XMATCH(TB_Vendas[[#This Row],[Categoria]],Desc_Cols,0)</f>
        <v>3</v>
      </c>
      <c r="I58" s="10" cm="1">
        <f t="array" ref="I58">_xlfn.IFS(TB_Vendas[[#This Row],[Categoria]]='Cadastros Auxiliares'!$C$8,2,TB_Vendas[[#This Row],[Categoria]]='Cadastros Auxiliares'!$D$8,3,TB_Vendas[[#This Row],[Categoria]]='Cadastros Auxiliares'!$E$8,4)</f>
        <v>3</v>
      </c>
      <c r="J58" s="10">
        <f>VLOOKUP(TB_Vendas[[#This Row],[Qtd]],Desc_TabToda,TB_Vendas[[#This Row],[indSES]],1)</f>
        <v>0.2</v>
      </c>
      <c r="K58" s="70">
        <f>VLOOKUP(TB_Vendas[[#This Row],[Qtd]],Desc_TabToda,TB_Vendas[[#This Row],[Indice]],1)</f>
        <v>0.2</v>
      </c>
      <c r="L58" s="70" cm="1">
        <f t="array" ref="L58">INDEX(Desc_TabToda,MATCH(TB_Vendas[[#This Row],[Qtd]],Desc_Qtd,1),MATCH(_xlfn.XLOOKUP(TB_Vendas[[#This Row],[Código]],TB_Produtos[[#All],[Código]],TB_Produtos[[#All],[Categoria]]),Desc_Cols,0))</f>
        <v>0.2</v>
      </c>
      <c r="M58" s="70">
        <f>_xlfn.XLOOKUP(TB_Vendas[[#This Row],[Vendedor]],Vendedores!$A$4:$A$9,Vendedores!$D$4:$D$9)</f>
        <v>0.2</v>
      </c>
      <c r="N58" s="70">
        <f>IF(TB_Vendas[[#This Row],[Desc.]]&gt;TB_Vendas[[#This Row],[Desc. Vend.]],TB_Vendas[[#This Row],[Desc. Vend.]],TB_Vendas[[#This Row],[Desc.]])</f>
        <v>0.2</v>
      </c>
      <c r="O58" s="8">
        <f>TB_Vendas[[#This Row],[Preço Unitário]]*TB_Vendas[[#This Row],[Qtd]]</f>
        <v>371.6</v>
      </c>
      <c r="P58" s="1" t="s">
        <v>126</v>
      </c>
    </row>
    <row r="59" spans="1:16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VLOOKUP(TB_Vendas[[#This Row],[Código]],TB_Produtos[#All],4,)</f>
        <v>Calçado</v>
      </c>
      <c r="F59" s="1">
        <v>2</v>
      </c>
      <c r="G59" s="29" cm="1">
        <f t="array" ref="G59">_xlfn.XLOOKUP(TB_Vendas[[#This Row],[Código]],TB_Produtos[[#All],[Código]],TB_Produtos[[#All],[Preço Unitário]])</f>
        <v>259.89999999999998</v>
      </c>
      <c r="H59" s="10">
        <f>_xlfn.XMATCH(TB_Vendas[[#This Row],[Categoria]],Desc_Cols,0)</f>
        <v>4</v>
      </c>
      <c r="I59" s="10" cm="1">
        <f t="array" ref="I59">_xlfn.IFS(TB_Vendas[[#This Row],[Categoria]]='Cadastros Auxiliares'!$C$8,2,TB_Vendas[[#This Row],[Categoria]]='Cadastros Auxiliares'!$D$8,3,TB_Vendas[[#This Row],[Categoria]]='Cadastros Auxiliares'!$E$8,4)</f>
        <v>4</v>
      </c>
      <c r="J59" s="10">
        <f>VLOOKUP(TB_Vendas[[#This Row],[Qtd]],Desc_TabToda,TB_Vendas[[#This Row],[indSES]],1)</f>
        <v>0.1</v>
      </c>
      <c r="K59" s="70">
        <f>VLOOKUP(TB_Vendas[[#This Row],[Qtd]],Desc_TabToda,TB_Vendas[[#This Row],[Indice]],1)</f>
        <v>0.1</v>
      </c>
      <c r="L59" s="70" cm="1">
        <f t="array" ref="L59">INDEX(Desc_TabToda,MATCH(TB_Vendas[[#This Row],[Qtd]],Desc_Qtd,1),MATCH(_xlfn.XLOOKUP(TB_Vendas[[#This Row],[Código]],TB_Produtos[[#All],[Código]],TB_Produtos[[#All],[Categoria]]),Desc_Cols,0))</f>
        <v>0.1</v>
      </c>
      <c r="M59" s="70">
        <f>_xlfn.XLOOKUP(TB_Vendas[[#This Row],[Vendedor]],Vendedores!$A$4:$A$9,Vendedores!$D$4:$D$9)</f>
        <v>0.1</v>
      </c>
      <c r="N59" s="70">
        <f>IF(TB_Vendas[[#This Row],[Desc.]]&gt;TB_Vendas[[#This Row],[Desc. Vend.]],TB_Vendas[[#This Row],[Desc. Vend.]],TB_Vendas[[#This Row],[Desc.]])</f>
        <v>0.1</v>
      </c>
      <c r="O59" s="8">
        <f>TB_Vendas[[#This Row],[Preço Unitário]]*TB_Vendas[[#This Row],[Qtd]]</f>
        <v>519.79999999999995</v>
      </c>
      <c r="P59" s="1" t="s">
        <v>128</v>
      </c>
    </row>
    <row r="60" spans="1:16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VLOOKUP(TB_Vendas[[#This Row],[Código]],TB_Produtos[#All],4,)</f>
        <v>Vestuário</v>
      </c>
      <c r="F60" s="1">
        <v>1</v>
      </c>
      <c r="G60" s="29" cm="1">
        <f t="array" ref="G60">_xlfn.XLOOKUP(TB_Vendas[[#This Row],[Código]],TB_Produtos[[#All],[Código]],TB_Produtos[[#All],[Preço Unitário]])</f>
        <v>259.89999999999998</v>
      </c>
      <c r="H60" s="10">
        <f>_xlfn.XMATCH(TB_Vendas[[#This Row],[Categoria]],Desc_Cols,0)</f>
        <v>3</v>
      </c>
      <c r="I60" s="10" cm="1">
        <f t="array" ref="I60">_xlfn.IFS(TB_Vendas[[#This Row],[Categoria]]='Cadastros Auxiliares'!$C$8,2,TB_Vendas[[#This Row],[Categoria]]='Cadastros Auxiliares'!$D$8,3,TB_Vendas[[#This Row],[Categoria]]='Cadastros Auxiliares'!$E$8,4)</f>
        <v>3</v>
      </c>
      <c r="J60" s="10">
        <f>VLOOKUP(TB_Vendas[[#This Row],[Qtd]],Desc_TabToda,TB_Vendas[[#This Row],[indSES]],1)</f>
        <v>0.1</v>
      </c>
      <c r="K60" s="70">
        <f>VLOOKUP(TB_Vendas[[#This Row],[Qtd]],Desc_TabToda,TB_Vendas[[#This Row],[Indice]],1)</f>
        <v>0.1</v>
      </c>
      <c r="L60" s="70" cm="1">
        <f t="array" ref="L60">INDEX(Desc_TabToda,MATCH(TB_Vendas[[#This Row],[Qtd]],Desc_Qtd,1),MATCH(_xlfn.XLOOKUP(TB_Vendas[[#This Row],[Código]],TB_Produtos[[#All],[Código]],TB_Produtos[[#All],[Categoria]]),Desc_Cols,0))</f>
        <v>0.1</v>
      </c>
      <c r="M60" s="70">
        <f>_xlfn.XLOOKUP(TB_Vendas[[#This Row],[Vendedor]],Vendedores!$A$4:$A$9,Vendedores!$D$4:$D$9)</f>
        <v>0.15</v>
      </c>
      <c r="N60" s="70">
        <f>IF(TB_Vendas[[#This Row],[Desc.]]&gt;TB_Vendas[[#This Row],[Desc. Vend.]],TB_Vendas[[#This Row],[Desc. Vend.]],TB_Vendas[[#This Row],[Desc.]])</f>
        <v>0.1</v>
      </c>
      <c r="O60" s="8">
        <f>TB_Vendas[[#This Row],[Preço Unitário]]*TB_Vendas[[#This Row],[Qtd]]</f>
        <v>259.89999999999998</v>
      </c>
      <c r="P60" s="1" t="s">
        <v>130</v>
      </c>
    </row>
    <row r="61" spans="1:16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VLOOKUP(TB_Vendas[[#This Row],[Código]],TB_Produtos[#All],4,)</f>
        <v>Vestuário</v>
      </c>
      <c r="F61" s="1">
        <v>5</v>
      </c>
      <c r="G61" s="29" cm="1">
        <f t="array" ref="G61">_xlfn.XLOOKUP(TB_Vendas[[#This Row],[Código]],TB_Produtos[[#All],[Código]],TB_Produtos[[#All],[Preço Unitário]])</f>
        <v>42.5</v>
      </c>
      <c r="H61" s="10">
        <f>_xlfn.XMATCH(TB_Vendas[[#This Row],[Categoria]],Desc_Cols,0)</f>
        <v>3</v>
      </c>
      <c r="I61" s="10" cm="1">
        <f t="array" ref="I61">_xlfn.IFS(TB_Vendas[[#This Row],[Categoria]]='Cadastros Auxiliares'!$C$8,2,TB_Vendas[[#This Row],[Categoria]]='Cadastros Auxiliares'!$D$8,3,TB_Vendas[[#This Row],[Categoria]]='Cadastros Auxiliares'!$E$8,4)</f>
        <v>3</v>
      </c>
      <c r="J61" s="10">
        <f>VLOOKUP(TB_Vendas[[#This Row],[Qtd]],Desc_TabToda,TB_Vendas[[#This Row],[indSES]],1)</f>
        <v>0.25</v>
      </c>
      <c r="K61" s="70">
        <f>VLOOKUP(TB_Vendas[[#This Row],[Qtd]],Desc_TabToda,TB_Vendas[[#This Row],[Indice]],1)</f>
        <v>0.25</v>
      </c>
      <c r="L61" s="70" cm="1">
        <f t="array" ref="L61">INDEX(Desc_TabToda,MATCH(TB_Vendas[[#This Row],[Qtd]],Desc_Qtd,1),MATCH(_xlfn.XLOOKUP(TB_Vendas[[#This Row],[Código]],TB_Produtos[[#All],[Código]],TB_Produtos[[#All],[Categoria]]),Desc_Cols,0))</f>
        <v>0.25</v>
      </c>
      <c r="M61" s="70">
        <f>_xlfn.XLOOKUP(TB_Vendas[[#This Row],[Vendedor]],Vendedores!$A$4:$A$9,Vendedores!$D$4:$D$9)</f>
        <v>0.15</v>
      </c>
      <c r="N61" s="70">
        <f>IF(TB_Vendas[[#This Row],[Desc.]]&gt;TB_Vendas[[#This Row],[Desc. Vend.]],TB_Vendas[[#This Row],[Desc. Vend.]],TB_Vendas[[#This Row],[Desc.]])</f>
        <v>0.15</v>
      </c>
      <c r="O61" s="8">
        <f>TB_Vendas[[#This Row],[Preço Unitário]]*TB_Vendas[[#This Row],[Qtd]]</f>
        <v>212.5</v>
      </c>
      <c r="P61" s="1" t="s">
        <v>130</v>
      </c>
    </row>
    <row r="62" spans="1:16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VLOOKUP(TB_Vendas[[#This Row],[Código]],TB_Produtos[#All],4,)</f>
        <v>Vestuário</v>
      </c>
      <c r="F62" s="1">
        <v>2</v>
      </c>
      <c r="G62" s="29" cm="1">
        <f t="array" ref="G62">_xlfn.XLOOKUP(TB_Vendas[[#This Row],[Código]],TB_Produtos[[#All],[Código]],TB_Produtos[[#All],[Preço Unitário]])</f>
        <v>32.9</v>
      </c>
      <c r="H62" s="10">
        <f>_xlfn.XMATCH(TB_Vendas[[#This Row],[Categoria]],Desc_Cols,0)</f>
        <v>3</v>
      </c>
      <c r="I62" s="10" cm="1">
        <f t="array" ref="I62">_xlfn.IFS(TB_Vendas[[#This Row],[Categoria]]='Cadastros Auxiliares'!$C$8,2,TB_Vendas[[#This Row],[Categoria]]='Cadastros Auxiliares'!$D$8,3,TB_Vendas[[#This Row],[Categoria]]='Cadastros Auxiliares'!$E$8,4)</f>
        <v>3</v>
      </c>
      <c r="J62" s="10">
        <f>VLOOKUP(TB_Vendas[[#This Row],[Qtd]],Desc_TabToda,TB_Vendas[[#This Row],[indSES]],1)</f>
        <v>0.15</v>
      </c>
      <c r="K62" s="70">
        <f>VLOOKUP(TB_Vendas[[#This Row],[Qtd]],Desc_TabToda,TB_Vendas[[#This Row],[Indice]],1)</f>
        <v>0.15</v>
      </c>
      <c r="L62" s="70" cm="1">
        <f t="array" ref="L62">INDEX(Desc_TabToda,MATCH(TB_Vendas[[#This Row],[Qtd]],Desc_Qtd,1),MATCH(_xlfn.XLOOKUP(TB_Vendas[[#This Row],[Código]],TB_Produtos[[#All],[Código]],TB_Produtos[[#All],[Categoria]]),Desc_Cols,0))</f>
        <v>0.15</v>
      </c>
      <c r="M62" s="70">
        <f>_xlfn.XLOOKUP(TB_Vendas[[#This Row],[Vendedor]],Vendedores!$A$4:$A$9,Vendedores!$D$4:$D$9)</f>
        <v>0.15</v>
      </c>
      <c r="N62" s="70">
        <f>IF(TB_Vendas[[#This Row],[Desc.]]&gt;TB_Vendas[[#This Row],[Desc. Vend.]],TB_Vendas[[#This Row],[Desc. Vend.]],TB_Vendas[[#This Row],[Desc.]])</f>
        <v>0.15</v>
      </c>
      <c r="O62" s="8">
        <f>TB_Vendas[[#This Row],[Preço Unitário]]*TB_Vendas[[#This Row],[Qtd]]</f>
        <v>65.8</v>
      </c>
      <c r="P62" s="1" t="s">
        <v>130</v>
      </c>
    </row>
    <row r="63" spans="1:16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VLOOKUP(TB_Vendas[[#This Row],[Código]],TB_Produtos[#All],4,)</f>
        <v>Vestuário</v>
      </c>
      <c r="F63" s="1">
        <v>3</v>
      </c>
      <c r="G63" s="29" cm="1">
        <f t="array" ref="G63">_xlfn.XLOOKUP(TB_Vendas[[#This Row],[Código]],TB_Produtos[[#All],[Código]],TB_Produtos[[#All],[Preço Unitário]])</f>
        <v>92.9</v>
      </c>
      <c r="H63" s="10">
        <f>_xlfn.XMATCH(TB_Vendas[[#This Row],[Categoria]],Desc_Cols,0)</f>
        <v>3</v>
      </c>
      <c r="I63" s="10" cm="1">
        <f t="array" ref="I63">_xlfn.IFS(TB_Vendas[[#This Row],[Categoria]]='Cadastros Auxiliares'!$C$8,2,TB_Vendas[[#This Row],[Categoria]]='Cadastros Auxiliares'!$D$8,3,TB_Vendas[[#This Row],[Categoria]]='Cadastros Auxiliares'!$E$8,4)</f>
        <v>3</v>
      </c>
      <c r="J63" s="10">
        <f>VLOOKUP(TB_Vendas[[#This Row],[Qtd]],Desc_TabToda,TB_Vendas[[#This Row],[indSES]],1)</f>
        <v>0.2</v>
      </c>
      <c r="K63" s="70">
        <f>VLOOKUP(TB_Vendas[[#This Row],[Qtd]],Desc_TabToda,TB_Vendas[[#This Row],[Indice]],1)</f>
        <v>0.2</v>
      </c>
      <c r="L63" s="70" cm="1">
        <f t="array" ref="L63">INDEX(Desc_TabToda,MATCH(TB_Vendas[[#This Row],[Qtd]],Desc_Qtd,1),MATCH(_xlfn.XLOOKUP(TB_Vendas[[#This Row],[Código]],TB_Produtos[[#All],[Código]],TB_Produtos[[#All],[Categoria]]),Desc_Cols,0))</f>
        <v>0.2</v>
      </c>
      <c r="M63" s="70">
        <f>_xlfn.XLOOKUP(TB_Vendas[[#This Row],[Vendedor]],Vendedores!$A$4:$A$9,Vendedores!$D$4:$D$9)</f>
        <v>0.2</v>
      </c>
      <c r="N63" s="70">
        <f>IF(TB_Vendas[[#This Row],[Desc.]]&gt;TB_Vendas[[#This Row],[Desc. Vend.]],TB_Vendas[[#This Row],[Desc. Vend.]],TB_Vendas[[#This Row],[Desc.]])</f>
        <v>0.2</v>
      </c>
      <c r="O63" s="8">
        <f>TB_Vendas[[#This Row],[Preço Unitário]]*TB_Vendas[[#This Row],[Qtd]]</f>
        <v>278.70000000000005</v>
      </c>
      <c r="P63" s="1" t="s">
        <v>126</v>
      </c>
    </row>
    <row r="64" spans="1:16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VLOOKUP(TB_Vendas[[#This Row],[Código]],TB_Produtos[#All],4,)</f>
        <v>Vestuário</v>
      </c>
      <c r="F64" s="1">
        <v>10</v>
      </c>
      <c r="G64" s="29" cm="1">
        <f t="array" ref="G64">_xlfn.XLOOKUP(TB_Vendas[[#This Row],[Código]],TB_Produtos[[#All],[Código]],TB_Produtos[[#All],[Preço Unitário]])</f>
        <v>25.9</v>
      </c>
      <c r="H64" s="10">
        <f>_xlfn.XMATCH(TB_Vendas[[#This Row],[Categoria]],Desc_Cols,0)</f>
        <v>3</v>
      </c>
      <c r="I64" s="10" cm="1">
        <f t="array" ref="I64">_xlfn.IFS(TB_Vendas[[#This Row],[Categoria]]='Cadastros Auxiliares'!$C$8,2,TB_Vendas[[#This Row],[Categoria]]='Cadastros Auxiliares'!$D$8,3,TB_Vendas[[#This Row],[Categoria]]='Cadastros Auxiliares'!$E$8,4)</f>
        <v>3</v>
      </c>
      <c r="J64" s="10">
        <f>VLOOKUP(TB_Vendas[[#This Row],[Qtd]],Desc_TabToda,TB_Vendas[[#This Row],[indSES]],1)</f>
        <v>0.3</v>
      </c>
      <c r="K64" s="70">
        <f>VLOOKUP(TB_Vendas[[#This Row],[Qtd]],Desc_TabToda,TB_Vendas[[#This Row],[Indice]],1)</f>
        <v>0.3</v>
      </c>
      <c r="L64" s="70" cm="1">
        <f t="array" ref="L64">INDEX(Desc_TabToda,MATCH(TB_Vendas[[#This Row],[Qtd]],Desc_Qtd,1),MATCH(_xlfn.XLOOKUP(TB_Vendas[[#This Row],[Código]],TB_Produtos[[#All],[Código]],TB_Produtos[[#All],[Categoria]]),Desc_Cols,0))</f>
        <v>0.3</v>
      </c>
      <c r="M64" s="70">
        <f>_xlfn.XLOOKUP(TB_Vendas[[#This Row],[Vendedor]],Vendedores!$A$4:$A$9,Vendedores!$D$4:$D$9)</f>
        <v>0.2</v>
      </c>
      <c r="N64" s="70">
        <f>IF(TB_Vendas[[#This Row],[Desc.]]&gt;TB_Vendas[[#This Row],[Desc. Vend.]],TB_Vendas[[#This Row],[Desc. Vend.]],TB_Vendas[[#This Row],[Desc.]])</f>
        <v>0.2</v>
      </c>
      <c r="O64" s="8">
        <f>TB_Vendas[[#This Row],[Preço Unitário]]*TB_Vendas[[#This Row],[Qtd]]</f>
        <v>259</v>
      </c>
      <c r="P64" s="1" t="s">
        <v>126</v>
      </c>
    </row>
    <row r="65" spans="1:16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VLOOKUP(TB_Vendas[[#This Row],[Código]],TB_Produtos[#All],4,)</f>
        <v>Vestuário</v>
      </c>
      <c r="F65" s="1">
        <v>1</v>
      </c>
      <c r="G65" s="29" cm="1">
        <f t="array" ref="G65">_xlfn.XLOOKUP(TB_Vendas[[#This Row],[Código]],TB_Produtos[[#All],[Código]],TB_Produtos[[#All],[Preço Unitário]])</f>
        <v>72.5</v>
      </c>
      <c r="H65" s="10">
        <f>_xlfn.XMATCH(TB_Vendas[[#This Row],[Categoria]],Desc_Cols,0)</f>
        <v>3</v>
      </c>
      <c r="I65" s="10" cm="1">
        <f t="array" ref="I65">_xlfn.IFS(TB_Vendas[[#This Row],[Categoria]]='Cadastros Auxiliares'!$C$8,2,TB_Vendas[[#This Row],[Categoria]]='Cadastros Auxiliares'!$D$8,3,TB_Vendas[[#This Row],[Categoria]]='Cadastros Auxiliares'!$E$8,4)</f>
        <v>3</v>
      </c>
      <c r="J65" s="10">
        <f>VLOOKUP(TB_Vendas[[#This Row],[Qtd]],Desc_TabToda,TB_Vendas[[#This Row],[indSES]],1)</f>
        <v>0.1</v>
      </c>
      <c r="K65" s="70">
        <f>VLOOKUP(TB_Vendas[[#This Row],[Qtd]],Desc_TabToda,TB_Vendas[[#This Row],[Indice]],1)</f>
        <v>0.1</v>
      </c>
      <c r="L65" s="70" cm="1">
        <f t="array" ref="L65">INDEX(Desc_TabToda,MATCH(TB_Vendas[[#This Row],[Qtd]],Desc_Qtd,1),MATCH(_xlfn.XLOOKUP(TB_Vendas[[#This Row],[Código]],TB_Produtos[[#All],[Código]],TB_Produtos[[#All],[Categoria]]),Desc_Cols,0))</f>
        <v>0.1</v>
      </c>
      <c r="M65" s="70">
        <f>_xlfn.XLOOKUP(TB_Vendas[[#This Row],[Vendedor]],Vendedores!$A$4:$A$9,Vendedores!$D$4:$D$9)</f>
        <v>0.25</v>
      </c>
      <c r="N65" s="70">
        <f>IF(TB_Vendas[[#This Row],[Desc.]]&gt;TB_Vendas[[#This Row],[Desc. Vend.]],TB_Vendas[[#This Row],[Desc. Vend.]],TB_Vendas[[#This Row],[Desc.]])</f>
        <v>0.1</v>
      </c>
      <c r="O65" s="8">
        <f>TB_Vendas[[#This Row],[Preço Unitário]]*TB_Vendas[[#This Row],[Qtd]]</f>
        <v>72.5</v>
      </c>
      <c r="P65" s="1" t="s">
        <v>127</v>
      </c>
    </row>
    <row r="66" spans="1:16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VLOOKUP(TB_Vendas[[#This Row],[Código]],TB_Produtos[#All],4,)</f>
        <v>Vestuário</v>
      </c>
      <c r="F66" s="1">
        <v>4</v>
      </c>
      <c r="G66" s="29" cm="1">
        <f t="array" ref="G66">_xlfn.XLOOKUP(TB_Vendas[[#This Row],[Código]],TB_Produtos[[#All],[Código]],TB_Produtos[[#All],[Preço Unitário]])</f>
        <v>302.89999999999998</v>
      </c>
      <c r="H66" s="10">
        <f>_xlfn.XMATCH(TB_Vendas[[#This Row],[Categoria]],Desc_Cols,0)</f>
        <v>3</v>
      </c>
      <c r="I66" s="10" cm="1">
        <f t="array" ref="I66">_xlfn.IFS(TB_Vendas[[#This Row],[Categoria]]='Cadastros Auxiliares'!$C$8,2,TB_Vendas[[#This Row],[Categoria]]='Cadastros Auxiliares'!$D$8,3,TB_Vendas[[#This Row],[Categoria]]='Cadastros Auxiliares'!$E$8,4)</f>
        <v>3</v>
      </c>
      <c r="J66" s="10">
        <f>VLOOKUP(TB_Vendas[[#This Row],[Qtd]],Desc_TabToda,TB_Vendas[[#This Row],[indSES]],1)</f>
        <v>0.2</v>
      </c>
      <c r="K66" s="70">
        <f>VLOOKUP(TB_Vendas[[#This Row],[Qtd]],Desc_TabToda,TB_Vendas[[#This Row],[Indice]],1)</f>
        <v>0.2</v>
      </c>
      <c r="L66" s="70" cm="1">
        <f t="array" ref="L66">INDEX(Desc_TabToda,MATCH(TB_Vendas[[#This Row],[Qtd]],Desc_Qtd,1),MATCH(_xlfn.XLOOKUP(TB_Vendas[[#This Row],[Código]],TB_Produtos[[#All],[Código]],TB_Produtos[[#All],[Categoria]]),Desc_Cols,0))</f>
        <v>0.2</v>
      </c>
      <c r="M66" s="70">
        <f>_xlfn.XLOOKUP(TB_Vendas[[#This Row],[Vendedor]],Vendedores!$A$4:$A$9,Vendedores!$D$4:$D$9)</f>
        <v>0.15</v>
      </c>
      <c r="N66" s="70">
        <f>IF(TB_Vendas[[#This Row],[Desc.]]&gt;TB_Vendas[[#This Row],[Desc. Vend.]],TB_Vendas[[#This Row],[Desc. Vend.]],TB_Vendas[[#This Row],[Desc.]])</f>
        <v>0.15</v>
      </c>
      <c r="O66" s="8">
        <f>TB_Vendas[[#This Row],[Preço Unitário]]*TB_Vendas[[#This Row],[Qtd]]</f>
        <v>1211.5999999999999</v>
      </c>
      <c r="P66" s="1" t="s">
        <v>130</v>
      </c>
    </row>
    <row r="67" spans="1:16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VLOOKUP(TB_Vendas[[#This Row],[Código]],TB_Produtos[#All],4,)</f>
        <v>Vestuário</v>
      </c>
      <c r="F67" s="1">
        <v>8</v>
      </c>
      <c r="G67" s="29" cm="1">
        <f t="array" ref="G67">_xlfn.XLOOKUP(TB_Vendas[[#This Row],[Código]],TB_Produtos[[#All],[Código]],TB_Produtos[[#All],[Preço Unitário]])</f>
        <v>289.89999999999998</v>
      </c>
      <c r="H67" s="10">
        <f>_xlfn.XMATCH(TB_Vendas[[#This Row],[Categoria]],Desc_Cols,0)</f>
        <v>3</v>
      </c>
      <c r="I67" s="10" cm="1">
        <f t="array" ref="I67">_xlfn.IFS(TB_Vendas[[#This Row],[Categoria]]='Cadastros Auxiliares'!$C$8,2,TB_Vendas[[#This Row],[Categoria]]='Cadastros Auxiliares'!$D$8,3,TB_Vendas[[#This Row],[Categoria]]='Cadastros Auxiliares'!$E$8,4)</f>
        <v>3</v>
      </c>
      <c r="J67" s="10">
        <f>VLOOKUP(TB_Vendas[[#This Row],[Qtd]],Desc_TabToda,TB_Vendas[[#This Row],[indSES]],1)</f>
        <v>0.25</v>
      </c>
      <c r="K67" s="70">
        <f>VLOOKUP(TB_Vendas[[#This Row],[Qtd]],Desc_TabToda,TB_Vendas[[#This Row],[Indice]],1)</f>
        <v>0.25</v>
      </c>
      <c r="L67" s="70" cm="1">
        <f t="array" ref="L67">INDEX(Desc_TabToda,MATCH(TB_Vendas[[#This Row],[Qtd]],Desc_Qtd,1),MATCH(_xlfn.XLOOKUP(TB_Vendas[[#This Row],[Código]],TB_Produtos[[#All],[Código]],TB_Produtos[[#All],[Categoria]]),Desc_Cols,0))</f>
        <v>0.25</v>
      </c>
      <c r="M67" s="70">
        <f>_xlfn.XLOOKUP(TB_Vendas[[#This Row],[Vendedor]],Vendedores!$A$4:$A$9,Vendedores!$D$4:$D$9)</f>
        <v>0.2</v>
      </c>
      <c r="N67" s="70">
        <f>IF(TB_Vendas[[#This Row],[Desc.]]&gt;TB_Vendas[[#This Row],[Desc. Vend.]],TB_Vendas[[#This Row],[Desc. Vend.]],TB_Vendas[[#This Row],[Desc.]])</f>
        <v>0.2</v>
      </c>
      <c r="O67" s="8">
        <f>TB_Vendas[[#This Row],[Preço Unitário]]*TB_Vendas[[#This Row],[Qtd]]</f>
        <v>2319.1999999999998</v>
      </c>
      <c r="P67" s="1" t="s">
        <v>126</v>
      </c>
    </row>
    <row r="68" spans="1:16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VLOOKUP(TB_Vendas[[#This Row],[Código]],TB_Produtos[#All],4,)</f>
        <v>Vestuário</v>
      </c>
      <c r="F68" s="1">
        <v>2</v>
      </c>
      <c r="G68" s="29" cm="1">
        <f t="array" ref="G68">_xlfn.XLOOKUP(TB_Vendas[[#This Row],[Código]],TB_Produtos[[#All],[Código]],TB_Produtos[[#All],[Preço Unitário]])</f>
        <v>54.9</v>
      </c>
      <c r="H68" s="10">
        <f>_xlfn.XMATCH(TB_Vendas[[#This Row],[Categoria]],Desc_Cols,0)</f>
        <v>3</v>
      </c>
      <c r="I68" s="10" cm="1">
        <f t="array" ref="I68">_xlfn.IFS(TB_Vendas[[#This Row],[Categoria]]='Cadastros Auxiliares'!$C$8,2,TB_Vendas[[#This Row],[Categoria]]='Cadastros Auxiliares'!$D$8,3,TB_Vendas[[#This Row],[Categoria]]='Cadastros Auxiliares'!$E$8,4)</f>
        <v>3</v>
      </c>
      <c r="J68" s="10">
        <f>VLOOKUP(TB_Vendas[[#This Row],[Qtd]],Desc_TabToda,TB_Vendas[[#This Row],[indSES]],1)</f>
        <v>0.15</v>
      </c>
      <c r="K68" s="70">
        <f>VLOOKUP(TB_Vendas[[#This Row],[Qtd]],Desc_TabToda,TB_Vendas[[#This Row],[Indice]],1)</f>
        <v>0.15</v>
      </c>
      <c r="L68" s="70" cm="1">
        <f t="array" ref="L68">INDEX(Desc_TabToda,MATCH(TB_Vendas[[#This Row],[Qtd]],Desc_Qtd,1),MATCH(_xlfn.XLOOKUP(TB_Vendas[[#This Row],[Código]],TB_Produtos[[#All],[Código]],TB_Produtos[[#All],[Categoria]]),Desc_Cols,0))</f>
        <v>0.15</v>
      </c>
      <c r="M68" s="70">
        <f>_xlfn.XLOOKUP(TB_Vendas[[#This Row],[Vendedor]],Vendedores!$A$4:$A$9,Vendedores!$D$4:$D$9)</f>
        <v>0.2</v>
      </c>
      <c r="N68" s="70">
        <f>IF(TB_Vendas[[#This Row],[Desc.]]&gt;TB_Vendas[[#This Row],[Desc. Vend.]],TB_Vendas[[#This Row],[Desc. Vend.]],TB_Vendas[[#This Row],[Desc.]])</f>
        <v>0.15</v>
      </c>
      <c r="O68" s="8">
        <f>TB_Vendas[[#This Row],[Preço Unitário]]*TB_Vendas[[#This Row],[Qtd]]</f>
        <v>109.8</v>
      </c>
      <c r="P68" s="1" t="s">
        <v>126</v>
      </c>
    </row>
    <row r="69" spans="1:16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VLOOKUP(TB_Vendas[[#This Row],[Código]],TB_Produtos[#All],4,)</f>
        <v>Vestuário</v>
      </c>
      <c r="F69" s="1">
        <v>2</v>
      </c>
      <c r="G69" s="29" cm="1">
        <f t="array" ref="G69">_xlfn.XLOOKUP(TB_Vendas[[#This Row],[Código]],TB_Produtos[[#All],[Código]],TB_Produtos[[#All],[Preço Unitário]])</f>
        <v>39.9</v>
      </c>
      <c r="H69" s="10">
        <f>_xlfn.XMATCH(TB_Vendas[[#This Row],[Categoria]],Desc_Cols,0)</f>
        <v>3</v>
      </c>
      <c r="I69" s="10" cm="1">
        <f t="array" ref="I69">_xlfn.IFS(TB_Vendas[[#This Row],[Categoria]]='Cadastros Auxiliares'!$C$8,2,TB_Vendas[[#This Row],[Categoria]]='Cadastros Auxiliares'!$D$8,3,TB_Vendas[[#This Row],[Categoria]]='Cadastros Auxiliares'!$E$8,4)</f>
        <v>3</v>
      </c>
      <c r="J69" s="10">
        <f>VLOOKUP(TB_Vendas[[#This Row],[Qtd]],Desc_TabToda,TB_Vendas[[#This Row],[indSES]],1)</f>
        <v>0.15</v>
      </c>
      <c r="K69" s="70">
        <f>VLOOKUP(TB_Vendas[[#This Row],[Qtd]],Desc_TabToda,TB_Vendas[[#This Row],[Indice]],1)</f>
        <v>0.15</v>
      </c>
      <c r="L69" s="70" cm="1">
        <f t="array" ref="L69">INDEX(Desc_TabToda,MATCH(TB_Vendas[[#This Row],[Qtd]],Desc_Qtd,1),MATCH(_xlfn.XLOOKUP(TB_Vendas[[#This Row],[Código]],TB_Produtos[[#All],[Código]],TB_Produtos[[#All],[Categoria]]),Desc_Cols,0))</f>
        <v>0.15</v>
      </c>
      <c r="M69" s="70">
        <f>_xlfn.XLOOKUP(TB_Vendas[[#This Row],[Vendedor]],Vendedores!$A$4:$A$9,Vendedores!$D$4:$D$9)</f>
        <v>0.15</v>
      </c>
      <c r="N69" s="70">
        <f>IF(TB_Vendas[[#This Row],[Desc.]]&gt;TB_Vendas[[#This Row],[Desc. Vend.]],TB_Vendas[[#This Row],[Desc. Vend.]],TB_Vendas[[#This Row],[Desc.]])</f>
        <v>0.15</v>
      </c>
      <c r="O69" s="8">
        <f>TB_Vendas[[#This Row],[Preço Unitário]]*TB_Vendas[[#This Row],[Qtd]]</f>
        <v>79.8</v>
      </c>
      <c r="P69" s="1" t="s">
        <v>130</v>
      </c>
    </row>
    <row r="70" spans="1:16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VLOOKUP(TB_Vendas[[#This Row],[Código]],TB_Produtos[#All],4,)</f>
        <v>Vestuário</v>
      </c>
      <c r="F70" s="1">
        <v>7</v>
      </c>
      <c r="G70" s="29" cm="1">
        <f t="array" ref="G70">_xlfn.XLOOKUP(TB_Vendas[[#This Row],[Código]],TB_Produtos[[#All],[Código]],TB_Produtos[[#All],[Preço Unitário]])</f>
        <v>54.9</v>
      </c>
      <c r="H70" s="10">
        <f>_xlfn.XMATCH(TB_Vendas[[#This Row],[Categoria]],Desc_Cols,0)</f>
        <v>3</v>
      </c>
      <c r="I70" s="10" cm="1">
        <f t="array" ref="I70">_xlfn.IFS(TB_Vendas[[#This Row],[Categoria]]='Cadastros Auxiliares'!$C$8,2,TB_Vendas[[#This Row],[Categoria]]='Cadastros Auxiliares'!$D$8,3,TB_Vendas[[#This Row],[Categoria]]='Cadastros Auxiliares'!$E$8,4)</f>
        <v>3</v>
      </c>
      <c r="J70" s="10">
        <f>VLOOKUP(TB_Vendas[[#This Row],[Qtd]],Desc_TabToda,TB_Vendas[[#This Row],[indSES]],1)</f>
        <v>0.25</v>
      </c>
      <c r="K70" s="70">
        <f>VLOOKUP(TB_Vendas[[#This Row],[Qtd]],Desc_TabToda,TB_Vendas[[#This Row],[Indice]],1)</f>
        <v>0.25</v>
      </c>
      <c r="L70" s="70" cm="1">
        <f t="array" ref="L70">INDEX(Desc_TabToda,MATCH(TB_Vendas[[#This Row],[Qtd]],Desc_Qtd,1),MATCH(_xlfn.XLOOKUP(TB_Vendas[[#This Row],[Código]],TB_Produtos[[#All],[Código]],TB_Produtos[[#All],[Categoria]]),Desc_Cols,0))</f>
        <v>0.25</v>
      </c>
      <c r="M70" s="70">
        <f>_xlfn.XLOOKUP(TB_Vendas[[#This Row],[Vendedor]],Vendedores!$A$4:$A$9,Vendedores!$D$4:$D$9)</f>
        <v>0.2</v>
      </c>
      <c r="N70" s="70">
        <f>IF(TB_Vendas[[#This Row],[Desc.]]&gt;TB_Vendas[[#This Row],[Desc. Vend.]],TB_Vendas[[#This Row],[Desc. Vend.]],TB_Vendas[[#This Row],[Desc.]])</f>
        <v>0.2</v>
      </c>
      <c r="O70" s="8">
        <f>TB_Vendas[[#This Row],[Preço Unitário]]*TB_Vendas[[#This Row],[Qtd]]</f>
        <v>384.3</v>
      </c>
      <c r="P70" s="1" t="s">
        <v>129</v>
      </c>
    </row>
    <row r="71" spans="1:16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VLOOKUP(TB_Vendas[[#This Row],[Código]],TB_Produtos[#All],4,)</f>
        <v>Vestuário</v>
      </c>
      <c r="F71" s="1">
        <v>4</v>
      </c>
      <c r="G71" s="29" cm="1">
        <f t="array" ref="G71">_xlfn.XLOOKUP(TB_Vendas[[#This Row],[Código]],TB_Produtos[[#All],[Código]],TB_Produtos[[#All],[Preço Unitário]])</f>
        <v>299.89999999999998</v>
      </c>
      <c r="H71" s="10">
        <f>_xlfn.XMATCH(TB_Vendas[[#This Row],[Categoria]],Desc_Cols,0)</f>
        <v>3</v>
      </c>
      <c r="I71" s="10" cm="1">
        <f t="array" ref="I71">_xlfn.IFS(TB_Vendas[[#This Row],[Categoria]]='Cadastros Auxiliares'!$C$8,2,TB_Vendas[[#This Row],[Categoria]]='Cadastros Auxiliares'!$D$8,3,TB_Vendas[[#This Row],[Categoria]]='Cadastros Auxiliares'!$E$8,4)</f>
        <v>3</v>
      </c>
      <c r="J71" s="10">
        <f>VLOOKUP(TB_Vendas[[#This Row],[Qtd]],Desc_TabToda,TB_Vendas[[#This Row],[indSES]],1)</f>
        <v>0.2</v>
      </c>
      <c r="K71" s="70">
        <f>VLOOKUP(TB_Vendas[[#This Row],[Qtd]],Desc_TabToda,TB_Vendas[[#This Row],[Indice]],1)</f>
        <v>0.2</v>
      </c>
      <c r="L71" s="70" cm="1">
        <f t="array" ref="L71">INDEX(Desc_TabToda,MATCH(TB_Vendas[[#This Row],[Qtd]],Desc_Qtd,1),MATCH(_xlfn.XLOOKUP(TB_Vendas[[#This Row],[Código]],TB_Produtos[[#All],[Código]],TB_Produtos[[#All],[Categoria]]),Desc_Cols,0))</f>
        <v>0.2</v>
      </c>
      <c r="M71" s="70">
        <f>_xlfn.XLOOKUP(TB_Vendas[[#This Row],[Vendedor]],Vendedores!$A$4:$A$9,Vendedores!$D$4:$D$9)</f>
        <v>0.15</v>
      </c>
      <c r="N71" s="70">
        <f>IF(TB_Vendas[[#This Row],[Desc.]]&gt;TB_Vendas[[#This Row],[Desc. Vend.]],TB_Vendas[[#This Row],[Desc. Vend.]],TB_Vendas[[#This Row],[Desc.]])</f>
        <v>0.15</v>
      </c>
      <c r="O71" s="8">
        <f>TB_Vendas[[#This Row],[Preço Unitário]]*TB_Vendas[[#This Row],[Qtd]]</f>
        <v>1199.5999999999999</v>
      </c>
      <c r="P71" s="1" t="s">
        <v>130</v>
      </c>
    </row>
    <row r="72" spans="1:16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VLOOKUP(TB_Vendas[[#This Row],[Código]],TB_Produtos[#All],4,)</f>
        <v>Vestuário</v>
      </c>
      <c r="F72" s="1">
        <v>3</v>
      </c>
      <c r="G72" s="29" cm="1">
        <f t="array" ref="G72">_xlfn.XLOOKUP(TB_Vendas[[#This Row],[Código]],TB_Produtos[[#All],[Código]],TB_Produtos[[#All],[Preço Unitário]])</f>
        <v>259.89999999999998</v>
      </c>
      <c r="H72" s="10">
        <f>_xlfn.XMATCH(TB_Vendas[[#This Row],[Categoria]],Desc_Cols,0)</f>
        <v>3</v>
      </c>
      <c r="I72" s="10" cm="1">
        <f t="array" ref="I72">_xlfn.IFS(TB_Vendas[[#This Row],[Categoria]]='Cadastros Auxiliares'!$C$8,2,TB_Vendas[[#This Row],[Categoria]]='Cadastros Auxiliares'!$D$8,3,TB_Vendas[[#This Row],[Categoria]]='Cadastros Auxiliares'!$E$8,4)</f>
        <v>3</v>
      </c>
      <c r="J72" s="10">
        <f>VLOOKUP(TB_Vendas[[#This Row],[Qtd]],Desc_TabToda,TB_Vendas[[#This Row],[indSES]],1)</f>
        <v>0.2</v>
      </c>
      <c r="K72" s="70">
        <f>VLOOKUP(TB_Vendas[[#This Row],[Qtd]],Desc_TabToda,TB_Vendas[[#This Row],[Indice]],1)</f>
        <v>0.2</v>
      </c>
      <c r="L72" s="70" cm="1">
        <f t="array" ref="L72">INDEX(Desc_TabToda,MATCH(TB_Vendas[[#This Row],[Qtd]],Desc_Qtd,1),MATCH(_xlfn.XLOOKUP(TB_Vendas[[#This Row],[Código]],TB_Produtos[[#All],[Código]],TB_Produtos[[#All],[Categoria]]),Desc_Cols,0))</f>
        <v>0.2</v>
      </c>
      <c r="M72" s="70">
        <f>_xlfn.XLOOKUP(TB_Vendas[[#This Row],[Vendedor]],Vendedores!$A$4:$A$9,Vendedores!$D$4:$D$9)</f>
        <v>0.2</v>
      </c>
      <c r="N72" s="70">
        <f>IF(TB_Vendas[[#This Row],[Desc.]]&gt;TB_Vendas[[#This Row],[Desc. Vend.]],TB_Vendas[[#This Row],[Desc. Vend.]],TB_Vendas[[#This Row],[Desc.]])</f>
        <v>0.2</v>
      </c>
      <c r="O72" s="8">
        <f>TB_Vendas[[#This Row],[Preço Unitário]]*TB_Vendas[[#This Row],[Qtd]]</f>
        <v>779.69999999999993</v>
      </c>
      <c r="P72" s="1" t="s">
        <v>129</v>
      </c>
    </row>
    <row r="73" spans="1:16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VLOOKUP(TB_Vendas[[#This Row],[Código]],TB_Produtos[#All],4,)</f>
        <v>Vestuário</v>
      </c>
      <c r="F73" s="1">
        <v>9</v>
      </c>
      <c r="G73" s="29" cm="1">
        <f t="array" ref="G73">_xlfn.XLOOKUP(TB_Vendas[[#This Row],[Código]],TB_Produtos[[#All],[Código]],TB_Produtos[[#All],[Preço Unitário]])</f>
        <v>72.5</v>
      </c>
      <c r="H73" s="10">
        <f>_xlfn.XMATCH(TB_Vendas[[#This Row],[Categoria]],Desc_Cols,0)</f>
        <v>3</v>
      </c>
      <c r="I73" s="10" cm="1">
        <f t="array" ref="I73">_xlfn.IFS(TB_Vendas[[#This Row],[Categoria]]='Cadastros Auxiliares'!$C$8,2,TB_Vendas[[#This Row],[Categoria]]='Cadastros Auxiliares'!$D$8,3,TB_Vendas[[#This Row],[Categoria]]='Cadastros Auxiliares'!$E$8,4)</f>
        <v>3</v>
      </c>
      <c r="J73" s="10">
        <f>VLOOKUP(TB_Vendas[[#This Row],[Qtd]],Desc_TabToda,TB_Vendas[[#This Row],[indSES]],1)</f>
        <v>0.25</v>
      </c>
      <c r="K73" s="70">
        <f>VLOOKUP(TB_Vendas[[#This Row],[Qtd]],Desc_TabToda,TB_Vendas[[#This Row],[Indice]],1)</f>
        <v>0.25</v>
      </c>
      <c r="L73" s="70" cm="1">
        <f t="array" ref="L73">INDEX(Desc_TabToda,MATCH(TB_Vendas[[#This Row],[Qtd]],Desc_Qtd,1),MATCH(_xlfn.XLOOKUP(TB_Vendas[[#This Row],[Código]],TB_Produtos[[#All],[Código]],TB_Produtos[[#All],[Categoria]]),Desc_Cols,0))</f>
        <v>0.25</v>
      </c>
      <c r="M73" s="70">
        <f>_xlfn.XLOOKUP(TB_Vendas[[#This Row],[Vendedor]],Vendedores!$A$4:$A$9,Vendedores!$D$4:$D$9)</f>
        <v>0.1</v>
      </c>
      <c r="N73" s="70">
        <f>IF(TB_Vendas[[#This Row],[Desc.]]&gt;TB_Vendas[[#This Row],[Desc. Vend.]],TB_Vendas[[#This Row],[Desc. Vend.]],TB_Vendas[[#This Row],[Desc.]])</f>
        <v>0.1</v>
      </c>
      <c r="O73" s="8">
        <f>TB_Vendas[[#This Row],[Preço Unitário]]*TB_Vendas[[#This Row],[Qtd]]</f>
        <v>652.5</v>
      </c>
      <c r="P73" s="1" t="s">
        <v>128</v>
      </c>
    </row>
    <row r="74" spans="1:16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VLOOKUP(TB_Vendas[[#This Row],[Código]],TB_Produtos[#All],4,)</f>
        <v>Vestuário</v>
      </c>
      <c r="F74" s="1">
        <v>4</v>
      </c>
      <c r="G74" s="29" cm="1">
        <f t="array" ref="G74">_xlfn.XLOOKUP(TB_Vendas[[#This Row],[Código]],TB_Produtos[[#All],[Código]],TB_Produtos[[#All],[Preço Unitário]])</f>
        <v>300</v>
      </c>
      <c r="H74" s="10">
        <f>_xlfn.XMATCH(TB_Vendas[[#This Row],[Categoria]],Desc_Cols,0)</f>
        <v>3</v>
      </c>
      <c r="I74" s="10" cm="1">
        <f t="array" ref="I74">_xlfn.IFS(TB_Vendas[[#This Row],[Categoria]]='Cadastros Auxiliares'!$C$8,2,TB_Vendas[[#This Row],[Categoria]]='Cadastros Auxiliares'!$D$8,3,TB_Vendas[[#This Row],[Categoria]]='Cadastros Auxiliares'!$E$8,4)</f>
        <v>3</v>
      </c>
      <c r="J74" s="10">
        <f>VLOOKUP(TB_Vendas[[#This Row],[Qtd]],Desc_TabToda,TB_Vendas[[#This Row],[indSES]],1)</f>
        <v>0.2</v>
      </c>
      <c r="K74" s="70">
        <f>VLOOKUP(TB_Vendas[[#This Row],[Qtd]],Desc_TabToda,TB_Vendas[[#This Row],[Indice]],1)</f>
        <v>0.2</v>
      </c>
      <c r="L74" s="70" cm="1">
        <f t="array" ref="L74">INDEX(Desc_TabToda,MATCH(TB_Vendas[[#This Row],[Qtd]],Desc_Qtd,1),MATCH(_xlfn.XLOOKUP(TB_Vendas[[#This Row],[Código]],TB_Produtos[[#All],[Código]],TB_Produtos[[#All],[Categoria]]),Desc_Cols,0))</f>
        <v>0.2</v>
      </c>
      <c r="M74" s="70">
        <f>_xlfn.XLOOKUP(TB_Vendas[[#This Row],[Vendedor]],Vendedores!$A$4:$A$9,Vendedores!$D$4:$D$9)</f>
        <v>0.15</v>
      </c>
      <c r="N74" s="70">
        <f>IF(TB_Vendas[[#This Row],[Desc.]]&gt;TB_Vendas[[#This Row],[Desc. Vend.]],TB_Vendas[[#This Row],[Desc. Vend.]],TB_Vendas[[#This Row],[Desc.]])</f>
        <v>0.15</v>
      </c>
      <c r="O74" s="8">
        <f>TB_Vendas[[#This Row],[Preço Unitário]]*TB_Vendas[[#This Row],[Qtd]]</f>
        <v>1200</v>
      </c>
      <c r="P74" s="1" t="s">
        <v>130</v>
      </c>
    </row>
    <row r="75" spans="1:16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VLOOKUP(TB_Vendas[[#This Row],[Código]],TB_Produtos[#All],4,)</f>
        <v>Vestuário</v>
      </c>
      <c r="F75" s="1">
        <v>9</v>
      </c>
      <c r="G75" s="29" cm="1">
        <f t="array" ref="G75">_xlfn.XLOOKUP(TB_Vendas[[#This Row],[Código]],TB_Produtos[[#All],[Código]],TB_Produtos[[#All],[Preço Unitário]])</f>
        <v>65.900000000000006</v>
      </c>
      <c r="H75" s="10">
        <f>_xlfn.XMATCH(TB_Vendas[[#This Row],[Categoria]],Desc_Cols,0)</f>
        <v>3</v>
      </c>
      <c r="I75" s="10" cm="1">
        <f t="array" ref="I75">_xlfn.IFS(TB_Vendas[[#This Row],[Categoria]]='Cadastros Auxiliares'!$C$8,2,TB_Vendas[[#This Row],[Categoria]]='Cadastros Auxiliares'!$D$8,3,TB_Vendas[[#This Row],[Categoria]]='Cadastros Auxiliares'!$E$8,4)</f>
        <v>3</v>
      </c>
      <c r="J75" s="10">
        <f>VLOOKUP(TB_Vendas[[#This Row],[Qtd]],Desc_TabToda,TB_Vendas[[#This Row],[indSES]],1)</f>
        <v>0.25</v>
      </c>
      <c r="K75" s="70">
        <f>VLOOKUP(TB_Vendas[[#This Row],[Qtd]],Desc_TabToda,TB_Vendas[[#This Row],[Indice]],1)</f>
        <v>0.25</v>
      </c>
      <c r="L75" s="70" cm="1">
        <f t="array" ref="L75">INDEX(Desc_TabToda,MATCH(TB_Vendas[[#This Row],[Qtd]],Desc_Qtd,1),MATCH(_xlfn.XLOOKUP(TB_Vendas[[#This Row],[Código]],TB_Produtos[[#All],[Código]],TB_Produtos[[#All],[Categoria]]),Desc_Cols,0))</f>
        <v>0.25</v>
      </c>
      <c r="M75" s="70">
        <f>_xlfn.XLOOKUP(TB_Vendas[[#This Row],[Vendedor]],Vendedores!$A$4:$A$9,Vendedores!$D$4:$D$9)</f>
        <v>0.15</v>
      </c>
      <c r="N75" s="70">
        <f>IF(TB_Vendas[[#This Row],[Desc.]]&gt;TB_Vendas[[#This Row],[Desc. Vend.]],TB_Vendas[[#This Row],[Desc. Vend.]],TB_Vendas[[#This Row],[Desc.]])</f>
        <v>0.15</v>
      </c>
      <c r="O75" s="8">
        <f>TB_Vendas[[#This Row],[Preço Unitário]]*TB_Vendas[[#This Row],[Qtd]]</f>
        <v>593.1</v>
      </c>
      <c r="P75" s="1" t="s">
        <v>130</v>
      </c>
    </row>
    <row r="76" spans="1:16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VLOOKUP(TB_Vendas[[#This Row],[Código]],TB_Produtos[#All],4,)</f>
        <v>Vestuário</v>
      </c>
      <c r="F76" s="1">
        <v>10</v>
      </c>
      <c r="G76" s="29" cm="1">
        <f t="array" ref="G76">_xlfn.XLOOKUP(TB_Vendas[[#This Row],[Código]],TB_Produtos[[#All],[Código]],TB_Produtos[[#All],[Preço Unitário]])</f>
        <v>92.9</v>
      </c>
      <c r="H76" s="10">
        <f>_xlfn.XMATCH(TB_Vendas[[#This Row],[Categoria]],Desc_Cols,0)</f>
        <v>3</v>
      </c>
      <c r="I76" s="10" cm="1">
        <f t="array" ref="I76">_xlfn.IFS(TB_Vendas[[#This Row],[Categoria]]='Cadastros Auxiliares'!$C$8,2,TB_Vendas[[#This Row],[Categoria]]='Cadastros Auxiliares'!$D$8,3,TB_Vendas[[#This Row],[Categoria]]='Cadastros Auxiliares'!$E$8,4)</f>
        <v>3</v>
      </c>
      <c r="J76" s="10">
        <f>VLOOKUP(TB_Vendas[[#This Row],[Qtd]],Desc_TabToda,TB_Vendas[[#This Row],[indSES]],1)</f>
        <v>0.3</v>
      </c>
      <c r="K76" s="70">
        <f>VLOOKUP(TB_Vendas[[#This Row],[Qtd]],Desc_TabToda,TB_Vendas[[#This Row],[Indice]],1)</f>
        <v>0.3</v>
      </c>
      <c r="L76" s="70" cm="1">
        <f t="array" ref="L76">INDEX(Desc_TabToda,MATCH(TB_Vendas[[#This Row],[Qtd]],Desc_Qtd,1),MATCH(_xlfn.XLOOKUP(TB_Vendas[[#This Row],[Código]],TB_Produtos[[#All],[Código]],TB_Produtos[[#All],[Categoria]]),Desc_Cols,0))</f>
        <v>0.3</v>
      </c>
      <c r="M76" s="70">
        <f>_xlfn.XLOOKUP(TB_Vendas[[#This Row],[Vendedor]],Vendedores!$A$4:$A$9,Vendedores!$D$4:$D$9)</f>
        <v>0.15</v>
      </c>
      <c r="N76" s="70">
        <f>IF(TB_Vendas[[#This Row],[Desc.]]&gt;TB_Vendas[[#This Row],[Desc. Vend.]],TB_Vendas[[#This Row],[Desc. Vend.]],TB_Vendas[[#This Row],[Desc.]])</f>
        <v>0.15</v>
      </c>
      <c r="O76" s="8">
        <f>TB_Vendas[[#This Row],[Preço Unitário]]*TB_Vendas[[#This Row],[Qtd]]</f>
        <v>929</v>
      </c>
      <c r="P76" s="1" t="s">
        <v>130</v>
      </c>
    </row>
    <row r="77" spans="1:16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VLOOKUP(TB_Vendas[[#This Row],[Código]],TB_Produtos[#All],4,)</f>
        <v>Calçado</v>
      </c>
      <c r="F77" s="1">
        <v>1</v>
      </c>
      <c r="G77" s="29" cm="1">
        <f t="array" ref="G77">_xlfn.XLOOKUP(TB_Vendas[[#This Row],[Código]],TB_Produtos[[#All],[Código]],TB_Produtos[[#All],[Preço Unitário]])</f>
        <v>89.9</v>
      </c>
      <c r="H77" s="10">
        <f>_xlfn.XMATCH(TB_Vendas[[#This Row],[Categoria]],Desc_Cols,0)</f>
        <v>4</v>
      </c>
      <c r="I77" s="10" cm="1">
        <f t="array" ref="I77">_xlfn.IFS(TB_Vendas[[#This Row],[Categoria]]='Cadastros Auxiliares'!$C$8,2,TB_Vendas[[#This Row],[Categoria]]='Cadastros Auxiliares'!$D$8,3,TB_Vendas[[#This Row],[Categoria]]='Cadastros Auxiliares'!$E$8,4)</f>
        <v>4</v>
      </c>
      <c r="J77" s="10">
        <f>VLOOKUP(TB_Vendas[[#This Row],[Qtd]],Desc_TabToda,TB_Vendas[[#This Row],[indSES]],1)</f>
        <v>0</v>
      </c>
      <c r="K77" s="70">
        <f>VLOOKUP(TB_Vendas[[#This Row],[Qtd]],Desc_TabToda,TB_Vendas[[#This Row],[Indice]],1)</f>
        <v>0</v>
      </c>
      <c r="L77" s="70" cm="1">
        <f t="array" ref="L77">INDEX(Desc_TabToda,MATCH(TB_Vendas[[#This Row],[Qtd]],Desc_Qtd,1),MATCH(_xlfn.XLOOKUP(TB_Vendas[[#This Row],[Código]],TB_Produtos[[#All],[Código]],TB_Produtos[[#All],[Categoria]]),Desc_Cols,0))</f>
        <v>0</v>
      </c>
      <c r="M77" s="70">
        <f>_xlfn.XLOOKUP(TB_Vendas[[#This Row],[Vendedor]],Vendedores!$A$4:$A$9,Vendedores!$D$4:$D$9)</f>
        <v>0.1</v>
      </c>
      <c r="N77" s="70">
        <f>IF(TB_Vendas[[#This Row],[Desc.]]&gt;TB_Vendas[[#This Row],[Desc. Vend.]],TB_Vendas[[#This Row],[Desc. Vend.]],TB_Vendas[[#This Row],[Desc.]])</f>
        <v>0</v>
      </c>
      <c r="O77" s="8">
        <f>TB_Vendas[[#This Row],[Preço Unitário]]*TB_Vendas[[#This Row],[Qtd]]</f>
        <v>89.9</v>
      </c>
      <c r="P77" s="1" t="s">
        <v>128</v>
      </c>
    </row>
    <row r="78" spans="1:16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VLOOKUP(TB_Vendas[[#This Row],[Código]],TB_Produtos[#All],4,)</f>
        <v>Vestuário</v>
      </c>
      <c r="F78" s="1">
        <v>2</v>
      </c>
      <c r="G78" s="29" cm="1">
        <f t="array" ref="G78">_xlfn.XLOOKUP(TB_Vendas[[#This Row],[Código]],TB_Produtos[[#All],[Código]],TB_Produtos[[#All],[Preço Unitário]])</f>
        <v>49.9</v>
      </c>
      <c r="H78" s="10">
        <f>_xlfn.XMATCH(TB_Vendas[[#This Row],[Categoria]],Desc_Cols,0)</f>
        <v>3</v>
      </c>
      <c r="I78" s="10" cm="1">
        <f t="array" ref="I78">_xlfn.IFS(TB_Vendas[[#This Row],[Categoria]]='Cadastros Auxiliares'!$C$8,2,TB_Vendas[[#This Row],[Categoria]]='Cadastros Auxiliares'!$D$8,3,TB_Vendas[[#This Row],[Categoria]]='Cadastros Auxiliares'!$E$8,4)</f>
        <v>3</v>
      </c>
      <c r="J78" s="10">
        <f>VLOOKUP(TB_Vendas[[#This Row],[Qtd]],Desc_TabToda,TB_Vendas[[#This Row],[indSES]],1)</f>
        <v>0.15</v>
      </c>
      <c r="K78" s="70">
        <f>VLOOKUP(TB_Vendas[[#This Row],[Qtd]],Desc_TabToda,TB_Vendas[[#This Row],[Indice]],1)</f>
        <v>0.15</v>
      </c>
      <c r="L78" s="70" cm="1">
        <f t="array" ref="L78">INDEX(Desc_TabToda,MATCH(TB_Vendas[[#This Row],[Qtd]],Desc_Qtd,1),MATCH(_xlfn.XLOOKUP(TB_Vendas[[#This Row],[Código]],TB_Produtos[[#All],[Código]],TB_Produtos[[#All],[Categoria]]),Desc_Cols,0))</f>
        <v>0.15</v>
      </c>
      <c r="M78" s="70">
        <f>_xlfn.XLOOKUP(TB_Vendas[[#This Row],[Vendedor]],Vendedores!$A$4:$A$9,Vendedores!$D$4:$D$9)</f>
        <v>0.1</v>
      </c>
      <c r="N78" s="70">
        <f>IF(TB_Vendas[[#This Row],[Desc.]]&gt;TB_Vendas[[#This Row],[Desc. Vend.]],TB_Vendas[[#This Row],[Desc. Vend.]],TB_Vendas[[#This Row],[Desc.]])</f>
        <v>0.1</v>
      </c>
      <c r="O78" s="8">
        <f>TB_Vendas[[#This Row],[Preço Unitário]]*TB_Vendas[[#This Row],[Qtd]]</f>
        <v>99.8</v>
      </c>
      <c r="P78" s="1" t="s">
        <v>128</v>
      </c>
    </row>
    <row r="79" spans="1:16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VLOOKUP(TB_Vendas[[#This Row],[Código]],TB_Produtos[#All],4,)</f>
        <v>Vestuário</v>
      </c>
      <c r="F79" s="1">
        <v>8</v>
      </c>
      <c r="G79" s="29" cm="1">
        <f t="array" ref="G79">_xlfn.XLOOKUP(TB_Vendas[[#This Row],[Código]],TB_Produtos[[#All],[Código]],TB_Produtos[[#All],[Preço Unitário]])</f>
        <v>70</v>
      </c>
      <c r="H79" s="10">
        <f>_xlfn.XMATCH(TB_Vendas[[#This Row],[Categoria]],Desc_Cols,0)</f>
        <v>3</v>
      </c>
      <c r="I79" s="10" cm="1">
        <f t="array" ref="I79">_xlfn.IFS(TB_Vendas[[#This Row],[Categoria]]='Cadastros Auxiliares'!$C$8,2,TB_Vendas[[#This Row],[Categoria]]='Cadastros Auxiliares'!$D$8,3,TB_Vendas[[#This Row],[Categoria]]='Cadastros Auxiliares'!$E$8,4)</f>
        <v>3</v>
      </c>
      <c r="J79" s="10">
        <f>VLOOKUP(TB_Vendas[[#This Row],[Qtd]],Desc_TabToda,TB_Vendas[[#This Row],[indSES]],1)</f>
        <v>0.25</v>
      </c>
      <c r="K79" s="70">
        <f>VLOOKUP(TB_Vendas[[#This Row],[Qtd]],Desc_TabToda,TB_Vendas[[#This Row],[Indice]],1)</f>
        <v>0.25</v>
      </c>
      <c r="L79" s="70" cm="1">
        <f t="array" ref="L79">INDEX(Desc_TabToda,MATCH(TB_Vendas[[#This Row],[Qtd]],Desc_Qtd,1),MATCH(_xlfn.XLOOKUP(TB_Vendas[[#This Row],[Código]],TB_Produtos[[#All],[Código]],TB_Produtos[[#All],[Categoria]]),Desc_Cols,0))</f>
        <v>0.25</v>
      </c>
      <c r="M79" s="70">
        <f>_xlfn.XLOOKUP(TB_Vendas[[#This Row],[Vendedor]],Vendedores!$A$4:$A$9,Vendedores!$D$4:$D$9)</f>
        <v>0.25</v>
      </c>
      <c r="N79" s="70">
        <f>IF(TB_Vendas[[#This Row],[Desc.]]&gt;TB_Vendas[[#This Row],[Desc. Vend.]],TB_Vendas[[#This Row],[Desc. Vend.]],TB_Vendas[[#This Row],[Desc.]])</f>
        <v>0.25</v>
      </c>
      <c r="O79" s="8">
        <f>TB_Vendas[[#This Row],[Preço Unitário]]*TB_Vendas[[#This Row],[Qtd]]</f>
        <v>560</v>
      </c>
      <c r="P79" s="1" t="s">
        <v>127</v>
      </c>
    </row>
    <row r="80" spans="1:16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VLOOKUP(TB_Vendas[[#This Row],[Código]],TB_Produtos[#All],4,)</f>
        <v>Vestuário</v>
      </c>
      <c r="F80" s="1">
        <v>5</v>
      </c>
      <c r="G80" s="29" cm="1">
        <f t="array" ref="G80">_xlfn.XLOOKUP(TB_Vendas[[#This Row],[Código]],TB_Produtos[[#All],[Código]],TB_Produtos[[#All],[Preço Unitário]])</f>
        <v>46.9</v>
      </c>
      <c r="H80" s="10">
        <f>_xlfn.XMATCH(TB_Vendas[[#This Row],[Categoria]],Desc_Cols,0)</f>
        <v>3</v>
      </c>
      <c r="I80" s="10" cm="1">
        <f t="array" ref="I80">_xlfn.IFS(TB_Vendas[[#This Row],[Categoria]]='Cadastros Auxiliares'!$C$8,2,TB_Vendas[[#This Row],[Categoria]]='Cadastros Auxiliares'!$D$8,3,TB_Vendas[[#This Row],[Categoria]]='Cadastros Auxiliares'!$E$8,4)</f>
        <v>3</v>
      </c>
      <c r="J80" s="10">
        <f>VLOOKUP(TB_Vendas[[#This Row],[Qtd]],Desc_TabToda,TB_Vendas[[#This Row],[indSES]],1)</f>
        <v>0.25</v>
      </c>
      <c r="K80" s="70">
        <f>VLOOKUP(TB_Vendas[[#This Row],[Qtd]],Desc_TabToda,TB_Vendas[[#This Row],[Indice]],1)</f>
        <v>0.25</v>
      </c>
      <c r="L80" s="70" cm="1">
        <f t="array" ref="L80">INDEX(Desc_TabToda,MATCH(TB_Vendas[[#This Row],[Qtd]],Desc_Qtd,1),MATCH(_xlfn.XLOOKUP(TB_Vendas[[#This Row],[Código]],TB_Produtos[[#All],[Código]],TB_Produtos[[#All],[Categoria]]),Desc_Cols,0))</f>
        <v>0.25</v>
      </c>
      <c r="M80" s="70">
        <f>_xlfn.XLOOKUP(TB_Vendas[[#This Row],[Vendedor]],Vendedores!$A$4:$A$9,Vendedores!$D$4:$D$9)</f>
        <v>0.1</v>
      </c>
      <c r="N80" s="70">
        <f>IF(TB_Vendas[[#This Row],[Desc.]]&gt;TB_Vendas[[#This Row],[Desc. Vend.]],TB_Vendas[[#This Row],[Desc. Vend.]],TB_Vendas[[#This Row],[Desc.]])</f>
        <v>0.1</v>
      </c>
      <c r="O80" s="8">
        <f>TB_Vendas[[#This Row],[Preço Unitário]]*TB_Vendas[[#This Row],[Qtd]]</f>
        <v>234.5</v>
      </c>
      <c r="P80" s="1" t="s">
        <v>128</v>
      </c>
    </row>
    <row r="81" spans="1:16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VLOOKUP(TB_Vendas[[#This Row],[Código]],TB_Produtos[#All],4,)</f>
        <v>Vestuário</v>
      </c>
      <c r="F81" s="1">
        <v>10</v>
      </c>
      <c r="G81" s="29" cm="1">
        <f t="array" ref="G81">_xlfn.XLOOKUP(TB_Vendas[[#This Row],[Código]],TB_Produtos[[#All],[Código]],TB_Produtos[[#All],[Preço Unitário]])</f>
        <v>289.89999999999998</v>
      </c>
      <c r="H81" s="10">
        <f>_xlfn.XMATCH(TB_Vendas[[#This Row],[Categoria]],Desc_Cols,0)</f>
        <v>3</v>
      </c>
      <c r="I81" s="10" cm="1">
        <f t="array" ref="I81">_xlfn.IFS(TB_Vendas[[#This Row],[Categoria]]='Cadastros Auxiliares'!$C$8,2,TB_Vendas[[#This Row],[Categoria]]='Cadastros Auxiliares'!$D$8,3,TB_Vendas[[#This Row],[Categoria]]='Cadastros Auxiliares'!$E$8,4)</f>
        <v>3</v>
      </c>
      <c r="J81" s="10">
        <f>VLOOKUP(TB_Vendas[[#This Row],[Qtd]],Desc_TabToda,TB_Vendas[[#This Row],[indSES]],1)</f>
        <v>0.3</v>
      </c>
      <c r="K81" s="70">
        <f>VLOOKUP(TB_Vendas[[#This Row],[Qtd]],Desc_TabToda,TB_Vendas[[#This Row],[Indice]],1)</f>
        <v>0.3</v>
      </c>
      <c r="L81" s="70" cm="1">
        <f t="array" ref="L81">INDEX(Desc_TabToda,MATCH(TB_Vendas[[#This Row],[Qtd]],Desc_Qtd,1),MATCH(_xlfn.XLOOKUP(TB_Vendas[[#This Row],[Código]],TB_Produtos[[#All],[Código]],TB_Produtos[[#All],[Categoria]]),Desc_Cols,0))</f>
        <v>0.3</v>
      </c>
      <c r="M81" s="70">
        <f>_xlfn.XLOOKUP(TB_Vendas[[#This Row],[Vendedor]],Vendedores!$A$4:$A$9,Vendedores!$D$4:$D$9)</f>
        <v>0.25</v>
      </c>
      <c r="N81" s="70">
        <f>IF(TB_Vendas[[#This Row],[Desc.]]&gt;TB_Vendas[[#This Row],[Desc. Vend.]],TB_Vendas[[#This Row],[Desc. Vend.]],TB_Vendas[[#This Row],[Desc.]])</f>
        <v>0.25</v>
      </c>
      <c r="O81" s="8">
        <f>TB_Vendas[[#This Row],[Preço Unitário]]*TB_Vendas[[#This Row],[Qtd]]</f>
        <v>2899</v>
      </c>
      <c r="P81" s="1" t="s">
        <v>127</v>
      </c>
    </row>
    <row r="82" spans="1:16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VLOOKUP(TB_Vendas[[#This Row],[Código]],TB_Produtos[#All],4,)</f>
        <v>Vestuário</v>
      </c>
      <c r="F82" s="1">
        <v>1</v>
      </c>
      <c r="G82" s="29" cm="1">
        <f t="array" ref="G82">_xlfn.XLOOKUP(TB_Vendas[[#This Row],[Código]],TB_Produtos[[#All],[Código]],TB_Produtos[[#All],[Preço Unitário]])</f>
        <v>42.5</v>
      </c>
      <c r="H82" s="10">
        <f>_xlfn.XMATCH(TB_Vendas[[#This Row],[Categoria]],Desc_Cols,0)</f>
        <v>3</v>
      </c>
      <c r="I82" s="10" cm="1">
        <f t="array" ref="I82">_xlfn.IFS(TB_Vendas[[#This Row],[Categoria]]='Cadastros Auxiliares'!$C$8,2,TB_Vendas[[#This Row],[Categoria]]='Cadastros Auxiliares'!$D$8,3,TB_Vendas[[#This Row],[Categoria]]='Cadastros Auxiliares'!$E$8,4)</f>
        <v>3</v>
      </c>
      <c r="J82" s="10">
        <f>VLOOKUP(TB_Vendas[[#This Row],[Qtd]],Desc_TabToda,TB_Vendas[[#This Row],[indSES]],1)</f>
        <v>0.1</v>
      </c>
      <c r="K82" s="70">
        <f>VLOOKUP(TB_Vendas[[#This Row],[Qtd]],Desc_TabToda,TB_Vendas[[#This Row],[Indice]],1)</f>
        <v>0.1</v>
      </c>
      <c r="L82" s="70" cm="1">
        <f t="array" ref="L82">INDEX(Desc_TabToda,MATCH(TB_Vendas[[#This Row],[Qtd]],Desc_Qtd,1),MATCH(_xlfn.XLOOKUP(TB_Vendas[[#This Row],[Código]],TB_Produtos[[#All],[Código]],TB_Produtos[[#All],[Categoria]]),Desc_Cols,0))</f>
        <v>0.1</v>
      </c>
      <c r="M82" s="70">
        <f>_xlfn.XLOOKUP(TB_Vendas[[#This Row],[Vendedor]],Vendedores!$A$4:$A$9,Vendedores!$D$4:$D$9)</f>
        <v>0.1</v>
      </c>
      <c r="N82" s="70">
        <f>IF(TB_Vendas[[#This Row],[Desc.]]&gt;TB_Vendas[[#This Row],[Desc. Vend.]],TB_Vendas[[#This Row],[Desc. Vend.]],TB_Vendas[[#This Row],[Desc.]])</f>
        <v>0.1</v>
      </c>
      <c r="O82" s="8">
        <f>TB_Vendas[[#This Row],[Preço Unitário]]*TB_Vendas[[#This Row],[Qtd]]</f>
        <v>42.5</v>
      </c>
      <c r="P82" s="1" t="s">
        <v>128</v>
      </c>
    </row>
    <row r="83" spans="1:16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VLOOKUP(TB_Vendas[[#This Row],[Código]],TB_Produtos[#All],4,)</f>
        <v>Calçado</v>
      </c>
      <c r="F83" s="1">
        <v>2</v>
      </c>
      <c r="G83" s="29" cm="1">
        <f t="array" ref="G83">_xlfn.XLOOKUP(TB_Vendas[[#This Row],[Código]],TB_Produtos[[#All],[Código]],TB_Produtos[[#All],[Preço Unitário]])</f>
        <v>89.9</v>
      </c>
      <c r="H83" s="10">
        <f>_xlfn.XMATCH(TB_Vendas[[#This Row],[Categoria]],Desc_Cols,0)</f>
        <v>4</v>
      </c>
      <c r="I83" s="10" cm="1">
        <f t="array" ref="I83">_xlfn.IFS(TB_Vendas[[#This Row],[Categoria]]='Cadastros Auxiliares'!$C$8,2,TB_Vendas[[#This Row],[Categoria]]='Cadastros Auxiliares'!$D$8,3,TB_Vendas[[#This Row],[Categoria]]='Cadastros Auxiliares'!$E$8,4)</f>
        <v>4</v>
      </c>
      <c r="J83" s="10">
        <f>VLOOKUP(TB_Vendas[[#This Row],[Qtd]],Desc_TabToda,TB_Vendas[[#This Row],[indSES]],1)</f>
        <v>0.1</v>
      </c>
      <c r="K83" s="70">
        <f>VLOOKUP(TB_Vendas[[#This Row],[Qtd]],Desc_TabToda,TB_Vendas[[#This Row],[Indice]],1)</f>
        <v>0.1</v>
      </c>
      <c r="L83" s="70" cm="1">
        <f t="array" ref="L83">INDEX(Desc_TabToda,MATCH(TB_Vendas[[#This Row],[Qtd]],Desc_Qtd,1),MATCH(_xlfn.XLOOKUP(TB_Vendas[[#This Row],[Código]],TB_Produtos[[#All],[Código]],TB_Produtos[[#All],[Categoria]]),Desc_Cols,0))</f>
        <v>0.1</v>
      </c>
      <c r="M83" s="70">
        <f>_xlfn.XLOOKUP(TB_Vendas[[#This Row],[Vendedor]],Vendedores!$A$4:$A$9,Vendedores!$D$4:$D$9)</f>
        <v>0.25</v>
      </c>
      <c r="N83" s="70">
        <f>IF(TB_Vendas[[#This Row],[Desc.]]&gt;TB_Vendas[[#This Row],[Desc. Vend.]],TB_Vendas[[#This Row],[Desc. Vend.]],TB_Vendas[[#This Row],[Desc.]])</f>
        <v>0.1</v>
      </c>
      <c r="O83" s="8">
        <f>TB_Vendas[[#This Row],[Preço Unitário]]*TB_Vendas[[#This Row],[Qtd]]</f>
        <v>179.8</v>
      </c>
      <c r="P83" s="1" t="s">
        <v>127</v>
      </c>
    </row>
    <row r="84" spans="1:16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VLOOKUP(TB_Vendas[[#This Row],[Código]],TB_Produtos[#All],4,)</f>
        <v>Calçado</v>
      </c>
      <c r="F84" s="1">
        <v>3</v>
      </c>
      <c r="G84" s="29" cm="1">
        <f t="array" ref="G84">_xlfn.XLOOKUP(TB_Vendas[[#This Row],[Código]],TB_Produtos[[#All],[Código]],TB_Produtos[[#All],[Preço Unitário]])</f>
        <v>255</v>
      </c>
      <c r="H84" s="10">
        <f>_xlfn.XMATCH(TB_Vendas[[#This Row],[Categoria]],Desc_Cols,0)</f>
        <v>4</v>
      </c>
      <c r="I84" s="10" cm="1">
        <f t="array" ref="I84">_xlfn.IFS(TB_Vendas[[#This Row],[Categoria]]='Cadastros Auxiliares'!$C$8,2,TB_Vendas[[#This Row],[Categoria]]='Cadastros Auxiliares'!$D$8,3,TB_Vendas[[#This Row],[Categoria]]='Cadastros Auxiliares'!$E$8,4)</f>
        <v>4</v>
      </c>
      <c r="J84" s="10">
        <f>VLOOKUP(TB_Vendas[[#This Row],[Qtd]],Desc_TabToda,TB_Vendas[[#This Row],[indSES]],1)</f>
        <v>0.15</v>
      </c>
      <c r="K84" s="70">
        <f>VLOOKUP(TB_Vendas[[#This Row],[Qtd]],Desc_TabToda,TB_Vendas[[#This Row],[Indice]],1)</f>
        <v>0.15</v>
      </c>
      <c r="L84" s="70" cm="1">
        <f t="array" ref="L84">INDEX(Desc_TabToda,MATCH(TB_Vendas[[#This Row],[Qtd]],Desc_Qtd,1),MATCH(_xlfn.XLOOKUP(TB_Vendas[[#This Row],[Código]],TB_Produtos[[#All],[Código]],TB_Produtos[[#All],[Categoria]]),Desc_Cols,0))</f>
        <v>0.15</v>
      </c>
      <c r="M84" s="70">
        <f>_xlfn.XLOOKUP(TB_Vendas[[#This Row],[Vendedor]],Vendedores!$A$4:$A$9,Vendedores!$D$4:$D$9)</f>
        <v>0.2</v>
      </c>
      <c r="N84" s="70">
        <f>IF(TB_Vendas[[#This Row],[Desc.]]&gt;TB_Vendas[[#This Row],[Desc. Vend.]],TB_Vendas[[#This Row],[Desc. Vend.]],TB_Vendas[[#This Row],[Desc.]])</f>
        <v>0.15</v>
      </c>
      <c r="O84" s="8">
        <f>TB_Vendas[[#This Row],[Preço Unitário]]*TB_Vendas[[#This Row],[Qtd]]</f>
        <v>765</v>
      </c>
      <c r="P84" s="1" t="s">
        <v>126</v>
      </c>
    </row>
    <row r="85" spans="1:16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VLOOKUP(TB_Vendas[[#This Row],[Código]],TB_Produtos[#All],4,)</f>
        <v>Vestuário</v>
      </c>
      <c r="F85" s="1">
        <v>6</v>
      </c>
      <c r="G85" s="29" cm="1">
        <f t="array" ref="G85">_xlfn.XLOOKUP(TB_Vendas[[#This Row],[Código]],TB_Produtos[[#All],[Código]],TB_Produtos[[#All],[Preço Unitário]])</f>
        <v>42.5</v>
      </c>
      <c r="H85" s="10">
        <f>_xlfn.XMATCH(TB_Vendas[[#This Row],[Categoria]],Desc_Cols,0)</f>
        <v>3</v>
      </c>
      <c r="I85" s="10" cm="1">
        <f t="array" ref="I85">_xlfn.IFS(TB_Vendas[[#This Row],[Categoria]]='Cadastros Auxiliares'!$C$8,2,TB_Vendas[[#This Row],[Categoria]]='Cadastros Auxiliares'!$D$8,3,TB_Vendas[[#This Row],[Categoria]]='Cadastros Auxiliares'!$E$8,4)</f>
        <v>3</v>
      </c>
      <c r="J85" s="10">
        <f>VLOOKUP(TB_Vendas[[#This Row],[Qtd]],Desc_TabToda,TB_Vendas[[#This Row],[indSES]],1)</f>
        <v>0.25</v>
      </c>
      <c r="K85" s="70">
        <f>VLOOKUP(TB_Vendas[[#This Row],[Qtd]],Desc_TabToda,TB_Vendas[[#This Row],[Indice]],1)</f>
        <v>0.25</v>
      </c>
      <c r="L85" s="70" cm="1">
        <f t="array" ref="L85">INDEX(Desc_TabToda,MATCH(TB_Vendas[[#This Row],[Qtd]],Desc_Qtd,1),MATCH(_xlfn.XLOOKUP(TB_Vendas[[#This Row],[Código]],TB_Produtos[[#All],[Código]],TB_Produtos[[#All],[Categoria]]),Desc_Cols,0))</f>
        <v>0.25</v>
      </c>
      <c r="M85" s="70">
        <f>_xlfn.XLOOKUP(TB_Vendas[[#This Row],[Vendedor]],Vendedores!$A$4:$A$9,Vendedores!$D$4:$D$9)</f>
        <v>0.2</v>
      </c>
      <c r="N85" s="70">
        <f>IF(TB_Vendas[[#This Row],[Desc.]]&gt;TB_Vendas[[#This Row],[Desc. Vend.]],TB_Vendas[[#This Row],[Desc. Vend.]],TB_Vendas[[#This Row],[Desc.]])</f>
        <v>0.2</v>
      </c>
      <c r="O85" s="8">
        <f>TB_Vendas[[#This Row],[Preço Unitário]]*TB_Vendas[[#This Row],[Qtd]]</f>
        <v>255</v>
      </c>
      <c r="P85" s="1" t="s">
        <v>129</v>
      </c>
    </row>
    <row r="86" spans="1:16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VLOOKUP(TB_Vendas[[#This Row],[Código]],TB_Produtos[#All],4,)</f>
        <v>Vestuário</v>
      </c>
      <c r="F86" s="1">
        <v>8</v>
      </c>
      <c r="G86" s="29" cm="1">
        <f t="array" ref="G86">_xlfn.XLOOKUP(TB_Vendas[[#This Row],[Código]],TB_Produtos[[#All],[Código]],TB_Produtos[[#All],[Preço Unitário]])</f>
        <v>39.9</v>
      </c>
      <c r="H86" s="10">
        <f>_xlfn.XMATCH(TB_Vendas[[#This Row],[Categoria]],Desc_Cols,0)</f>
        <v>3</v>
      </c>
      <c r="I86" s="10" cm="1">
        <f t="array" ref="I86">_xlfn.IFS(TB_Vendas[[#This Row],[Categoria]]='Cadastros Auxiliares'!$C$8,2,TB_Vendas[[#This Row],[Categoria]]='Cadastros Auxiliares'!$D$8,3,TB_Vendas[[#This Row],[Categoria]]='Cadastros Auxiliares'!$E$8,4)</f>
        <v>3</v>
      </c>
      <c r="J86" s="10">
        <f>VLOOKUP(TB_Vendas[[#This Row],[Qtd]],Desc_TabToda,TB_Vendas[[#This Row],[indSES]],1)</f>
        <v>0.25</v>
      </c>
      <c r="K86" s="70">
        <f>VLOOKUP(TB_Vendas[[#This Row],[Qtd]],Desc_TabToda,TB_Vendas[[#This Row],[Indice]],1)</f>
        <v>0.25</v>
      </c>
      <c r="L86" s="70" cm="1">
        <f t="array" ref="L86">INDEX(Desc_TabToda,MATCH(TB_Vendas[[#This Row],[Qtd]],Desc_Qtd,1),MATCH(_xlfn.XLOOKUP(TB_Vendas[[#This Row],[Código]],TB_Produtos[[#All],[Código]],TB_Produtos[[#All],[Categoria]]),Desc_Cols,0))</f>
        <v>0.25</v>
      </c>
      <c r="M86" s="70">
        <f>_xlfn.XLOOKUP(TB_Vendas[[#This Row],[Vendedor]],Vendedores!$A$4:$A$9,Vendedores!$D$4:$D$9)</f>
        <v>0.25</v>
      </c>
      <c r="N86" s="70">
        <f>IF(TB_Vendas[[#This Row],[Desc.]]&gt;TB_Vendas[[#This Row],[Desc. Vend.]],TB_Vendas[[#This Row],[Desc. Vend.]],TB_Vendas[[#This Row],[Desc.]])</f>
        <v>0.25</v>
      </c>
      <c r="O86" s="8">
        <f>TB_Vendas[[#This Row],[Preço Unitário]]*TB_Vendas[[#This Row],[Qtd]]</f>
        <v>319.2</v>
      </c>
      <c r="P86" s="1" t="s">
        <v>127</v>
      </c>
    </row>
  </sheetData>
  <phoneticPr fontId="12" type="noConversion"/>
  <conditionalFormatting sqref="F4:N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opLeftCell="B1" zoomScale="70" zoomScaleNormal="70" workbookViewId="0">
      <selection activeCell="D15" sqref="D15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>
      <c r="A1" s="43"/>
      <c r="B1" s="47" t="s">
        <v>144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6" t="s">
        <v>153</v>
      </c>
      <c r="C4" s="86"/>
      <c r="D4" s="42"/>
      <c r="E4" s="86" t="s">
        <v>160</v>
      </c>
      <c r="F4" s="86"/>
    </row>
    <row r="5" spans="1:9" ht="5.25" customHeight="1" thickBot="1"/>
    <row r="6" spans="1:9" ht="24.6" customHeight="1" thickBot="1">
      <c r="B6" s="72" t="s">
        <v>154</v>
      </c>
      <c r="C6" s="71" t="s">
        <v>38</v>
      </c>
      <c r="E6" s="72" t="s">
        <v>159</v>
      </c>
      <c r="F6" s="76">
        <v>45024</v>
      </c>
    </row>
    <row r="7" spans="1:9" ht="24.6" customHeight="1" thickTop="1" thickBot="1">
      <c r="B7" s="72" t="s">
        <v>155</v>
      </c>
      <c r="C7" s="50" t="str">
        <f>IFERROR(VLOOKUP(C6,TB_Produtos[#All],2,FALSE),"Não encontrado")</f>
        <v>Calça jeans</v>
      </c>
      <c r="E7" s="72" t="s">
        <v>162</v>
      </c>
      <c r="F7" s="50" t="str">
        <f>_xlfn.XLOOKUP(WEEKDAY(F6),'Cadastros Auxiliares'!B4:I4,'Cadastros Auxiliares'!B5:I5,"Erro")</f>
        <v>Sábado</v>
      </c>
      <c r="G7" s="49"/>
    </row>
    <row r="8" spans="1:9" ht="24.6" customHeight="1" thickTop="1" thickBot="1">
      <c r="B8" s="73" t="s">
        <v>156</v>
      </c>
      <c r="C8" s="48" t="str" cm="1">
        <f t="array" ref="C8">_xlfn.XLOOKUP(C6,TB_Produtos[[#All],[Código]],TB_Produtos[[#All],[Tamanho]],"Não encontrado")</f>
        <v>P</v>
      </c>
      <c r="E8" s="73" t="s">
        <v>163</v>
      </c>
      <c r="F8" s="77"/>
      <c r="G8" s="49"/>
    </row>
    <row r="9" spans="1:9" ht="24.6" customHeight="1" thickTop="1" thickBot="1">
      <c r="B9" s="74" t="s">
        <v>157</v>
      </c>
      <c r="C9" s="48" t="str">
        <f>VLOOKUP($C$6,Produtos!B6:G66,4,0)</f>
        <v>Vestuário</v>
      </c>
      <c r="E9" s="75" t="s">
        <v>161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4" t="s">
        <v>164</v>
      </c>
      <c r="C10" s="48">
        <f>_xlfn.XLOOKUP($C$6,Produtos!$B$6:$B$66,Produtos!$G$6:$G$66,"")</f>
        <v>85.9</v>
      </c>
      <c r="G10" s="49"/>
    </row>
    <row r="11" spans="1:9" ht="24.6" customHeight="1" thickTop="1" thickBot="1">
      <c r="B11" s="72" t="s">
        <v>158</v>
      </c>
      <c r="C11" s="50" cm="1">
        <f t="array" ref="C11">_xlfn.XLOOKUP(C6,TB_Produtos[[#All],[Código]],TB_Produtos[[#All],[Estoque]],"Erro")</f>
        <v>11</v>
      </c>
      <c r="G11" s="49"/>
    </row>
    <row r="12" spans="1:9" ht="22.8" thickTop="1" thickBot="1">
      <c r="B12" s="78" t="s">
        <v>165</v>
      </c>
      <c r="C12" s="51" t="str" cm="1">
        <f t="array" ref="C12">_xlfn.IFS(C11=0,"Estoque zerado",C11&gt;=_xlfn.XLOOKUP(C9,'Cadastros Auxiliares'!G8:G11,'Cadastros Auxiliares'!H8:H11),"Estoque OK",1,"Rever estoque")</f>
        <v>Estoque OK</v>
      </c>
      <c r="E12" s="79"/>
    </row>
    <row r="13" spans="1:9" ht="23.4">
      <c r="E13" s="80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5"/>
  <sheetViews>
    <sheetView topLeftCell="A2" zoomScale="92" zoomScaleNormal="92" workbookViewId="0">
      <selection activeCell="C23" sqref="C23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2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b">
        <f>Vendas!L5=INDEX(B8:E13,MATCH(B22,B8:B13,1),MATCH(B21,B8:E8,0))</f>
        <v>0</v>
      </c>
      <c r="H5" s="55" t="s">
        <v>142</v>
      </c>
      <c r="I5" s="55" t="s">
        <v>143</v>
      </c>
    </row>
    <row r="7" spans="2:10" ht="15" thickBot="1"/>
    <row r="8" spans="2:10" ht="43.8" thickBot="1">
      <c r="B8" s="60" t="s">
        <v>152</v>
      </c>
      <c r="C8" s="61" t="s">
        <v>13</v>
      </c>
      <c r="D8" s="61" t="s">
        <v>12</v>
      </c>
      <c r="E8" s="61" t="s">
        <v>14</v>
      </c>
      <c r="G8" s="61" t="s">
        <v>10</v>
      </c>
      <c r="H8" s="60" t="s">
        <v>166</v>
      </c>
    </row>
    <row r="9" spans="2:10" ht="17.399999999999999" thickBot="1">
      <c r="B9" s="55">
        <v>1</v>
      </c>
      <c r="C9" s="59">
        <v>0</v>
      </c>
      <c r="D9" s="59">
        <v>0.1</v>
      </c>
      <c r="E9" s="62">
        <v>0</v>
      </c>
      <c r="G9" s="62" t="s">
        <v>13</v>
      </c>
      <c r="H9" s="81">
        <v>5</v>
      </c>
    </row>
    <row r="10" spans="2:10" ht="17.399999999999999" thickBot="1">
      <c r="B10" s="55">
        <v>2</v>
      </c>
      <c r="C10" s="59">
        <v>0.05</v>
      </c>
      <c r="D10" s="59">
        <v>0.15</v>
      </c>
      <c r="E10" s="62">
        <v>0.1</v>
      </c>
      <c r="G10" s="62" t="s">
        <v>12</v>
      </c>
      <c r="H10" s="81">
        <v>10</v>
      </c>
    </row>
    <row r="11" spans="2:10" ht="17.399999999999999" thickBot="1">
      <c r="B11" s="55">
        <v>3</v>
      </c>
      <c r="C11" s="59">
        <v>0.15</v>
      </c>
      <c r="D11" s="59">
        <v>0.2</v>
      </c>
      <c r="E11" s="62">
        <v>0.15</v>
      </c>
      <c r="G11" s="62" t="s">
        <v>14</v>
      </c>
      <c r="H11" s="81">
        <v>15</v>
      </c>
    </row>
    <row r="12" spans="2:10" ht="17.399999999999999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20" spans="2:4">
      <c r="B20" s="82" t="s">
        <v>110</v>
      </c>
      <c r="C20">
        <f>MATCH(B21,B8:E8,0)</f>
        <v>3</v>
      </c>
    </row>
    <row r="21" spans="2:4">
      <c r="B21" t="str" cm="1">
        <f t="array" ref="B21">_xlfn.XLOOKUP(B20,TB_Produtos[[#All],[Código]],TB_Produtos[[#All],[Categoria]])</f>
        <v>Vestuário</v>
      </c>
    </row>
    <row r="22" spans="2:4">
      <c r="B22">
        <v>2</v>
      </c>
    </row>
    <row r="25" spans="2:4">
      <c r="B25" s="83">
        <f>VLOOKUP(B22,B8:E13,MATCH(B21,B8:E8,0),TRUE)</f>
        <v>0.15</v>
      </c>
      <c r="D25">
        <f>INDEX(B8:E13,MATCH(B22,B8:B13,1),MATCH(B21,B8:E8,0))</f>
        <v>0.15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6150EB-1545-4D68-A234-4E0D33250A3B}">
          <x14:formula1>
            <xm:f>Produtos!$B$7:$B$66</xm:f>
          </x14:formula1>
          <xm:sqref>B20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7" t="s">
        <v>78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Q2" s="87" t="s">
        <v>79</v>
      </c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K2" s="87" t="s">
        <v>80</v>
      </c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9"/>
    </row>
    <row r="3" spans="3:80" ht="9.75" customHeight="1" thickBot="1">
      <c r="W3" s="90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  <c r="AQ3" s="90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2"/>
      <c r="BK3" s="90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2"/>
    </row>
    <row r="4" spans="3:80" ht="9.75" customHeight="1">
      <c r="W4" s="102">
        <f>COUNTA(TB_Produtos[Código])</f>
        <v>60</v>
      </c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Q4" s="102">
        <f>SUM(TB_Vendas[Qtd])</f>
        <v>250</v>
      </c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4"/>
      <c r="BK4" s="111">
        <f>SUM(TB_Vendas[Total])</f>
        <v>33304.799999999988</v>
      </c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3"/>
    </row>
    <row r="5" spans="3:80" ht="9.75" customHeight="1">
      <c r="W5" s="105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Q5" s="105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  <c r="BK5" s="114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6"/>
    </row>
    <row r="6" spans="3:80" ht="9.75" customHeight="1">
      <c r="W6" s="105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7"/>
      <c r="AQ6" s="105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7"/>
      <c r="BK6" s="114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6"/>
    </row>
    <row r="7" spans="3:80" ht="9.75" customHeight="1" thickBot="1">
      <c r="W7" s="108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10"/>
      <c r="BK7" s="117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9"/>
    </row>
    <row r="8" spans="3:80" ht="9.75" customHeight="1" thickBot="1"/>
    <row r="9" spans="3:80" ht="9.75" customHeight="1">
      <c r="C9" s="87" t="s">
        <v>81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9"/>
    </row>
    <row r="10" spans="3:80" ht="9.75" customHeight="1" thickBot="1">
      <c r="C10" s="90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2"/>
    </row>
    <row r="11" spans="3:80" ht="9.75" customHeight="1"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5"/>
    </row>
    <row r="12" spans="3:80" ht="9.75" customHeight="1"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8"/>
    </row>
    <row r="13" spans="3:80" ht="9.75" customHeight="1">
      <c r="C13" s="96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8"/>
    </row>
    <row r="14" spans="3:80" ht="9.75" customHeight="1">
      <c r="C14" s="9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8"/>
    </row>
    <row r="15" spans="3:80" ht="9.75" customHeight="1"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8"/>
    </row>
    <row r="16" spans="3:80" ht="9.75" customHeight="1">
      <c r="C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8"/>
    </row>
    <row r="17" spans="3:80" ht="9.75" customHeight="1"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8"/>
    </row>
    <row r="18" spans="3:80" ht="9.75" customHeight="1">
      <c r="C18" s="9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8"/>
    </row>
    <row r="19" spans="3:80" ht="9.75" customHeight="1">
      <c r="C19" s="9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8"/>
    </row>
    <row r="20" spans="3:80" ht="9.75" customHeight="1"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8"/>
    </row>
    <row r="21" spans="3:80" ht="9.75" customHeight="1"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8"/>
    </row>
    <row r="22" spans="3:80" ht="9.75" customHeight="1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8"/>
    </row>
    <row r="23" spans="3:80" ht="9.75" customHeight="1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8"/>
    </row>
    <row r="24" spans="3:80" ht="9.75" customHeight="1" thickBot="1"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1"/>
    </row>
    <row r="25" spans="3:80" ht="9.75" customHeight="1" thickBot="1"/>
    <row r="26" spans="3:80" ht="9.75" customHeight="1">
      <c r="C26" s="87" t="s">
        <v>82</v>
      </c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9"/>
      <c r="AO26" s="13"/>
      <c r="AP26" s="13"/>
      <c r="AQ26" s="87" t="s">
        <v>83</v>
      </c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9"/>
    </row>
    <row r="27" spans="3:80" ht="9.75" customHeight="1" thickBot="1"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2"/>
      <c r="AO27" s="13"/>
      <c r="AP27" s="13"/>
      <c r="AQ27" s="90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2"/>
    </row>
    <row r="28" spans="3:80" ht="9.75" customHeight="1"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5"/>
      <c r="AQ28" s="93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5"/>
    </row>
    <row r="29" spans="3:80" ht="9.75" customHeight="1">
      <c r="C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8"/>
      <c r="AQ29" s="96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8"/>
    </row>
    <row r="30" spans="3:80" ht="9.75" customHeight="1"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8"/>
      <c r="AQ30" s="96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8"/>
    </row>
    <row r="31" spans="3:80" ht="9.75" customHeight="1"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8"/>
      <c r="AQ31" s="96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8"/>
    </row>
    <row r="32" spans="3:80" ht="9.75" customHeight="1">
      <c r="C32" s="96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8"/>
      <c r="AQ32" s="96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8"/>
    </row>
    <row r="33" spans="3:80" ht="9.75" customHeight="1">
      <c r="C33" s="96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8"/>
      <c r="AQ33" s="96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8"/>
    </row>
    <row r="34" spans="3:80" ht="9.75" customHeight="1">
      <c r="C34" s="96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8"/>
      <c r="AQ34" s="96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8"/>
    </row>
    <row r="35" spans="3:80" ht="9.75" customHeight="1">
      <c r="C35" s="96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8"/>
      <c r="AQ35" s="96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8"/>
    </row>
    <row r="36" spans="3:80" ht="9.75" customHeight="1"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8"/>
      <c r="AQ36" s="96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8"/>
    </row>
    <row r="37" spans="3:80" ht="9.75" customHeight="1">
      <c r="C37" s="96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8"/>
      <c r="AQ37" s="96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8"/>
    </row>
    <row r="38" spans="3:80" ht="9.75" customHeight="1">
      <c r="C38" s="96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8"/>
      <c r="AQ38" s="96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8"/>
    </row>
    <row r="39" spans="3:80" ht="9.75" customHeight="1"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8"/>
      <c r="AQ39" s="96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8"/>
    </row>
    <row r="40" spans="3:80" ht="9.75" customHeight="1">
      <c r="C40" s="96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8"/>
      <c r="AQ40" s="96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8"/>
    </row>
    <row r="41" spans="3:80" ht="9.75" customHeight="1"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8"/>
      <c r="AQ41" s="96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8"/>
    </row>
    <row r="42" spans="3:80" ht="9.75" customHeight="1">
      <c r="C42" s="96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8"/>
      <c r="AQ42" s="96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8"/>
    </row>
    <row r="43" spans="3:80" ht="9.75" customHeight="1"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8"/>
      <c r="AQ43" s="96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8"/>
    </row>
    <row r="44" spans="3:80" ht="9.75" customHeight="1"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8"/>
      <c r="AQ44" s="96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8"/>
    </row>
    <row r="45" spans="3:80" ht="9.75" customHeight="1"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Q45" s="96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8"/>
    </row>
    <row r="46" spans="3:80" ht="9.75" customHeight="1" thickBot="1">
      <c r="C46" s="99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Q46" s="99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1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Desc_Cols</vt:lpstr>
      <vt:lpstr>Desc_Qtd</vt:lpstr>
      <vt:lpstr>Desc_TabToda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Kennedy Menezes</cp:lastModifiedBy>
  <cp:lastPrinted>2023-06-07T14:57:58Z</cp:lastPrinted>
  <dcterms:created xsi:type="dcterms:W3CDTF">2023-06-02T17:54:12Z</dcterms:created>
  <dcterms:modified xsi:type="dcterms:W3CDTF">2025-01-17T13:58:59Z</dcterms:modified>
</cp:coreProperties>
</file>