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enez\KR\Programação\00.Estudos\DataEng\DataEngPills\Excel BI\"/>
    </mc:Choice>
  </mc:AlternateContent>
  <xr:revisionPtr revIDLastSave="0" documentId="13_ncr:1_{9B524E59-F1D7-450B-82EB-628160C0615F}" xr6:coauthVersionLast="47" xr6:coauthVersionMax="47" xr10:uidLastSave="{00000000-0000-0000-0000-000000000000}"/>
  <bookViews>
    <workbookView xWindow="-108" yWindow="-108" windowWidth="23256" windowHeight="13176" tabRatio="871" firstSheet="2" activeTab="10" xr2:uid="{87BE7180-3E81-4FE5-B433-FFDBA552102C}"/>
  </bookViews>
  <sheets>
    <sheet name="Produtos" sheetId="2" r:id="rId1"/>
    <sheet name="ranking" sheetId="34" state="hidden" r:id="rId2"/>
    <sheet name="Fornecedor" sheetId="3" r:id="rId3"/>
    <sheet name="Entradas" sheetId="4" r:id="rId4"/>
    <sheet name="Top 5 Produtos Mais Vendidos" sheetId="33" state="hidden" r:id="rId5"/>
    <sheet name="Saídas" sheetId="5" r:id="rId6"/>
    <sheet name="Consulta" sheetId="6" r:id="rId7"/>
    <sheet name="Controle de Estoque" sheetId="7" r:id="rId8"/>
    <sheet name="Quadro de Resumo" sheetId="8" r:id="rId9"/>
    <sheet name="Dashboard" sheetId="31" r:id="rId10"/>
    <sheet name="Base de Cálculos" sheetId="32" r:id="rId11"/>
  </sheets>
  <definedNames>
    <definedName name="CriteriosConsultaProduto">'Quadro de Resumo'!$AM$7:$AM$8</definedName>
    <definedName name="Lista_Produtos" localSheetId="9">TB_Produtos[[#All],[Produto]]</definedName>
    <definedName name="Lista_Produtos">TB_Produtos[[#All],[Produto]]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32" l="1"/>
  <c r="I5" i="32"/>
  <c r="I6" i="32"/>
  <c r="I7" i="32"/>
  <c r="I8" i="32"/>
  <c r="I9" i="32"/>
  <c r="I10" i="32"/>
  <c r="I11" i="32"/>
  <c r="I12" i="32"/>
  <c r="I13" i="32"/>
  <c r="I14" i="32"/>
  <c r="I3" i="32"/>
  <c r="H4" i="32"/>
  <c r="H5" i="32"/>
  <c r="H6" i="32"/>
  <c r="H7" i="32"/>
  <c r="H8" i="32"/>
  <c r="H9" i="32"/>
  <c r="H10" i="32"/>
  <c r="H11" i="32"/>
  <c r="H12" i="32"/>
  <c r="H13" i="32"/>
  <c r="H14" i="32"/>
  <c r="H3" i="32"/>
  <c r="G4" i="32"/>
  <c r="G5" i="32"/>
  <c r="G6" i="32"/>
  <c r="G7" i="32"/>
  <c r="G8" i="32"/>
  <c r="G9" i="32"/>
  <c r="G10" i="32"/>
  <c r="G11" i="32"/>
  <c r="G12" i="32"/>
  <c r="G13" i="32"/>
  <c r="G14" i="32"/>
  <c r="G3" i="32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B2" i="34"/>
  <c r="B4" i="34"/>
  <c r="B5" i="34"/>
  <c r="B6" i="34"/>
  <c r="B7" i="34"/>
  <c r="B8" i="34"/>
  <c r="B9" i="34"/>
  <c r="B10" i="34"/>
  <c r="B12" i="34"/>
  <c r="B13" i="34"/>
  <c r="B15" i="34"/>
  <c r="B20" i="34"/>
  <c r="B22" i="34"/>
  <c r="B23" i="34"/>
  <c r="B24" i="34"/>
  <c r="B25" i="34"/>
  <c r="B27" i="34"/>
  <c r="A1" i="34" a="1"/>
  <c r="A1" i="34" s="1"/>
  <c r="B2" i="33"/>
  <c r="B3" i="33"/>
  <c r="D4" i="32" s="1"/>
  <c r="B4" i="32" s="1"/>
  <c r="C4" i="32" s="1"/>
  <c r="B4" i="33"/>
  <c r="B5" i="33"/>
  <c r="B6" i="33"/>
  <c r="B7" i="33"/>
  <c r="B8" i="33"/>
  <c r="B9" i="33"/>
  <c r="B10" i="33"/>
  <c r="B11" i="33"/>
  <c r="B12" i="33"/>
  <c r="B13" i="33"/>
  <c r="B14" i="33"/>
  <c r="B15" i="33"/>
  <c r="B16" i="33"/>
  <c r="B17" i="33"/>
  <c r="B18" i="33"/>
  <c r="B19" i="33"/>
  <c r="B20" i="33"/>
  <c r="B21" i="33"/>
  <c r="B22" i="33"/>
  <c r="B23" i="33"/>
  <c r="B24" i="33"/>
  <c r="B25" i="33"/>
  <c r="B26" i="33"/>
  <c r="B27" i="33"/>
  <c r="B28" i="33"/>
  <c r="B29" i="33"/>
  <c r="B30" i="33"/>
  <c r="B31" i="33"/>
  <c r="B1" i="33"/>
  <c r="D5" i="32" s="1"/>
  <c r="B5" i="32" s="1"/>
  <c r="C5" i="32" s="1"/>
  <c r="A1" i="33" a="1"/>
  <c r="A1" i="33" s="1"/>
  <c r="C8" i="7"/>
  <c r="D8" i="7"/>
  <c r="F8" i="7"/>
  <c r="B13" i="4"/>
  <c r="H13" i="4" a="1"/>
  <c r="H13" i="4" s="1"/>
  <c r="I13" i="4" s="1"/>
  <c r="B60" i="5"/>
  <c r="G60" i="5" a="1"/>
  <c r="G60" i="5" s="1"/>
  <c r="H60" i="5" s="1"/>
  <c r="B18" i="4"/>
  <c r="H18" i="4" a="1"/>
  <c r="H18" i="4" s="1"/>
  <c r="I18" i="4" s="1"/>
  <c r="I8" i="7" s="1"/>
  <c r="B59" i="5"/>
  <c r="G59" i="5" a="1"/>
  <c r="G59" i="5" s="1"/>
  <c r="H59" i="5" s="1"/>
  <c r="B56" i="5"/>
  <c r="G56" i="5" a="1"/>
  <c r="G56" i="5" s="1"/>
  <c r="H56" i="5" s="1"/>
  <c r="B51" i="5"/>
  <c r="G51" i="5" a="1"/>
  <c r="G51" i="5" s="1"/>
  <c r="H51" i="5" s="1"/>
  <c r="B47" i="5"/>
  <c r="G47" i="5" a="1"/>
  <c r="G47" i="5" s="1"/>
  <c r="H47" i="5" s="1"/>
  <c r="B37" i="5"/>
  <c r="G37" i="5" a="1"/>
  <c r="G37" i="5" s="1"/>
  <c r="H37" i="5" s="1"/>
  <c r="B31" i="5"/>
  <c r="G31" i="5" a="1"/>
  <c r="G31" i="5" s="1"/>
  <c r="H31" i="5" s="1"/>
  <c r="B22" i="5"/>
  <c r="G22" i="5" a="1"/>
  <c r="G22" i="5" s="1"/>
  <c r="H22" i="5" s="1"/>
  <c r="B56" i="4"/>
  <c r="H56" i="4" a="1"/>
  <c r="H56" i="4" s="1"/>
  <c r="I56" i="4" s="1"/>
  <c r="B50" i="4"/>
  <c r="H50" i="4" a="1"/>
  <c r="H50" i="4" s="1"/>
  <c r="I50" i="4" s="1"/>
  <c r="B46" i="4"/>
  <c r="H46" i="4" a="1"/>
  <c r="H46" i="4" s="1"/>
  <c r="I46" i="4" s="1"/>
  <c r="B32" i="4"/>
  <c r="H32" i="4" a="1"/>
  <c r="H32" i="4" s="1"/>
  <c r="I32" i="4" s="1"/>
  <c r="B15" i="5"/>
  <c r="G15" i="5" a="1"/>
  <c r="G15" i="5" s="1"/>
  <c r="H15" i="5" s="1"/>
  <c r="B8" i="5"/>
  <c r="G8" i="5" a="1"/>
  <c r="G8" i="5" s="1"/>
  <c r="H8" i="5" s="1"/>
  <c r="B9" i="4"/>
  <c r="H9" i="4" a="1"/>
  <c r="H9" i="4" s="1"/>
  <c r="I9" i="4" s="1"/>
  <c r="B49" i="5"/>
  <c r="G49" i="5" a="1"/>
  <c r="G49" i="5" s="1"/>
  <c r="H49" i="5" s="1"/>
  <c r="B49" i="4"/>
  <c r="H49" i="4" a="1"/>
  <c r="H49" i="4" s="1"/>
  <c r="I49" i="4" s="1"/>
  <c r="B45" i="5"/>
  <c r="G45" i="5" a="1"/>
  <c r="G45" i="5" s="1"/>
  <c r="H45" i="5" s="1"/>
  <c r="B44" i="4"/>
  <c r="H44" i="4" a="1"/>
  <c r="H44" i="4" s="1"/>
  <c r="I44" i="4" s="1"/>
  <c r="B39" i="5"/>
  <c r="G39" i="5" a="1"/>
  <c r="G39" i="5" s="1"/>
  <c r="H39" i="5" s="1"/>
  <c r="B38" i="4"/>
  <c r="H38" i="4" a="1"/>
  <c r="H38" i="4" s="1"/>
  <c r="I38" i="4" s="1"/>
  <c r="B36" i="5"/>
  <c r="G36" i="5" a="1"/>
  <c r="G36" i="5" s="1"/>
  <c r="H36" i="5" s="1"/>
  <c r="B36" i="4"/>
  <c r="H36" i="4" a="1"/>
  <c r="H36" i="4" s="1"/>
  <c r="I36" i="4" s="1"/>
  <c r="B27" i="5"/>
  <c r="G27" i="5" a="1"/>
  <c r="G27" i="5" s="1"/>
  <c r="H27" i="5" s="1"/>
  <c r="B29" i="4"/>
  <c r="H29" i="4" a="1"/>
  <c r="H29" i="4" s="1"/>
  <c r="I29" i="4" s="1"/>
  <c r="B23" i="5"/>
  <c r="G23" i="5" a="1"/>
  <c r="G23" i="5" s="1"/>
  <c r="H23" i="5" s="1"/>
  <c r="B23" i="4"/>
  <c r="H23" i="4" a="1"/>
  <c r="H23" i="4" s="1"/>
  <c r="I23" i="4" s="1"/>
  <c r="B16" i="5"/>
  <c r="G16" i="5" a="1"/>
  <c r="G16" i="5" s="1"/>
  <c r="H16" i="5" s="1"/>
  <c r="B19" i="4"/>
  <c r="H19" i="4" a="1"/>
  <c r="H19" i="4" s="1"/>
  <c r="I19" i="4" s="1"/>
  <c r="B12" i="5"/>
  <c r="G12" i="5" a="1"/>
  <c r="G12" i="5" s="1"/>
  <c r="H12" i="5" s="1"/>
  <c r="B9" i="5"/>
  <c r="G9" i="5" a="1"/>
  <c r="G9" i="5" s="1"/>
  <c r="H9" i="5" s="1"/>
  <c r="B8" i="4"/>
  <c r="H8" i="4" a="1"/>
  <c r="H8" i="4" s="1"/>
  <c r="I8" i="4" s="1"/>
  <c r="B52" i="5"/>
  <c r="G52" i="5" a="1"/>
  <c r="G52" i="5" s="1"/>
  <c r="H52" i="5" s="1"/>
  <c r="B52" i="4"/>
  <c r="H52" i="4" a="1"/>
  <c r="H52" i="4" s="1"/>
  <c r="I52" i="4" s="1"/>
  <c r="B48" i="5"/>
  <c r="G48" i="5" a="1"/>
  <c r="G48" i="5" s="1"/>
  <c r="H48" i="5" s="1"/>
  <c r="B38" i="5"/>
  <c r="G38" i="5" a="1"/>
  <c r="G38" i="5" s="1"/>
  <c r="H38" i="5" s="1"/>
  <c r="B35" i="5"/>
  <c r="G35" i="5" a="1"/>
  <c r="G35" i="5" s="1"/>
  <c r="H35" i="5" s="1"/>
  <c r="B32" i="5"/>
  <c r="G32" i="5" a="1"/>
  <c r="G32" i="5" s="1"/>
  <c r="H32" i="5" s="1"/>
  <c r="B28" i="5"/>
  <c r="G28" i="5" a="1"/>
  <c r="G28" i="5" s="1"/>
  <c r="H28" i="5" s="1"/>
  <c r="B17" i="5"/>
  <c r="G17" i="5" a="1"/>
  <c r="G17" i="5" s="1"/>
  <c r="H17" i="5" s="1"/>
  <c r="B13" i="5"/>
  <c r="G13" i="5" a="1"/>
  <c r="G13" i="5" s="1"/>
  <c r="H13" i="5" s="1"/>
  <c r="B57" i="4"/>
  <c r="H57" i="4" a="1"/>
  <c r="H57" i="4" s="1"/>
  <c r="I57" i="4" s="1"/>
  <c r="B47" i="4"/>
  <c r="H47" i="4" a="1"/>
  <c r="H47" i="4" s="1"/>
  <c r="I47" i="4" s="1"/>
  <c r="B41" i="4"/>
  <c r="H41" i="4" a="1"/>
  <c r="H41" i="4" s="1"/>
  <c r="I41" i="4" s="1"/>
  <c r="B37" i="4"/>
  <c r="H37" i="4" a="1"/>
  <c r="H37" i="4" s="1"/>
  <c r="I37" i="4" s="1"/>
  <c r="B33" i="4"/>
  <c r="H33" i="4" a="1"/>
  <c r="H33" i="4" s="1"/>
  <c r="I33" i="4" s="1"/>
  <c r="B24" i="4"/>
  <c r="H24" i="4" a="1"/>
  <c r="H24" i="4" s="1"/>
  <c r="I24" i="4" s="1"/>
  <c r="B20" i="4"/>
  <c r="H20" i="4" a="1"/>
  <c r="H20" i="4" s="1"/>
  <c r="I20" i="4" s="1"/>
  <c r="B14" i="4"/>
  <c r="H14" i="4" a="1"/>
  <c r="H14" i="4" s="1"/>
  <c r="I14" i="4" s="1"/>
  <c r="B26" i="4"/>
  <c r="H26" i="4" a="1"/>
  <c r="H26" i="4" s="1"/>
  <c r="I26" i="4" s="1"/>
  <c r="C12" i="7"/>
  <c r="D11" i="7"/>
  <c r="C11" i="7"/>
  <c r="D10" i="7"/>
  <c r="C10" i="7"/>
  <c r="C7" i="7"/>
  <c r="D6" i="7"/>
  <c r="C6" i="7"/>
  <c r="B54" i="4"/>
  <c r="H54" i="4" a="1"/>
  <c r="H54" i="4" s="1"/>
  <c r="I54" i="4" s="1"/>
  <c r="D3" i="32" l="1"/>
  <c r="B3" i="32" s="1"/>
  <c r="C3" i="32" s="1"/>
  <c r="D7" i="32"/>
  <c r="B7" i="32" s="1"/>
  <c r="C7" i="32" s="1"/>
  <c r="D6" i="32"/>
  <c r="B6" i="32" s="1"/>
  <c r="C6" i="32" s="1"/>
  <c r="E8" i="7"/>
  <c r="G8" i="7" s="1" a="1"/>
  <c r="G8" i="7" s="1"/>
  <c r="E6" i="7"/>
  <c r="E10" i="7"/>
  <c r="E11" i="7"/>
  <c r="B30" i="5"/>
  <c r="G30" i="5" a="1"/>
  <c r="G30" i="5" s="1"/>
  <c r="H30" i="5" s="1"/>
  <c r="B62" i="5"/>
  <c r="G62" i="5" a="1"/>
  <c r="G62" i="5" s="1"/>
  <c r="H62" i="5" s="1"/>
  <c r="B42" i="5"/>
  <c r="G42" i="5" a="1"/>
  <c r="G42" i="5" s="1"/>
  <c r="H42" i="5" s="1"/>
  <c r="B59" i="4"/>
  <c r="H59" i="4" a="1"/>
  <c r="H59" i="4" s="1"/>
  <c r="I59" i="4" s="1"/>
  <c r="B58" i="4"/>
  <c r="H58" i="4" a="1"/>
  <c r="H58" i="4" s="1"/>
  <c r="I58" i="4" s="1"/>
  <c r="B7" i="4" l="1"/>
  <c r="B10" i="4"/>
  <c r="B11" i="4"/>
  <c r="B12" i="4"/>
  <c r="B15" i="4"/>
  <c r="B16" i="4"/>
  <c r="B17" i="4"/>
  <c r="B21" i="4"/>
  <c r="B22" i="4"/>
  <c r="B25" i="4"/>
  <c r="B27" i="4"/>
  <c r="B28" i="4"/>
  <c r="B30" i="4"/>
  <c r="B31" i="4"/>
  <c r="B34" i="4"/>
  <c r="B35" i="4"/>
  <c r="B39" i="4"/>
  <c r="B40" i="4"/>
  <c r="B42" i="4"/>
  <c r="B43" i="4"/>
  <c r="B45" i="4"/>
  <c r="B48" i="4"/>
  <c r="B51" i="4"/>
  <c r="B53" i="4"/>
  <c r="B55" i="4"/>
  <c r="B6" i="4"/>
  <c r="B7" i="5" l="1"/>
  <c r="B10" i="5"/>
  <c r="B11" i="5"/>
  <c r="B14" i="5"/>
  <c r="B18" i="5"/>
  <c r="B19" i="5"/>
  <c r="B20" i="5"/>
  <c r="B21" i="5"/>
  <c r="B24" i="5"/>
  <c r="B25" i="5"/>
  <c r="B26" i="5"/>
  <c r="B29" i="5"/>
  <c r="B33" i="5"/>
  <c r="B34" i="5"/>
  <c r="B40" i="5"/>
  <c r="B41" i="5"/>
  <c r="B43" i="5"/>
  <c r="B44" i="5"/>
  <c r="B46" i="5"/>
  <c r="B50" i="5"/>
  <c r="B53" i="5"/>
  <c r="B54" i="5"/>
  <c r="B55" i="5"/>
  <c r="B57" i="5"/>
  <c r="B58" i="5"/>
  <c r="B61" i="5"/>
  <c r="B6" i="5"/>
  <c r="N8" i="8" l="1"/>
  <c r="G6" i="5" a="1"/>
  <c r="G6" i="5" s="1"/>
  <c r="G11" i="5" l="1" a="1"/>
  <c r="G11" i="5" s="1"/>
  <c r="G7" i="5" a="1"/>
  <c r="G7" i="5" s="1"/>
  <c r="G10" i="5" a="1"/>
  <c r="G10" i="5" s="1"/>
  <c r="G14" i="5" a="1"/>
  <c r="G14" i="5" s="1"/>
  <c r="G18" i="5" a="1"/>
  <c r="G18" i="5" s="1"/>
  <c r="G19" i="5" a="1"/>
  <c r="G19" i="5" s="1"/>
  <c r="G20" i="5" a="1"/>
  <c r="G20" i="5" s="1"/>
  <c r="G21" i="5" a="1"/>
  <c r="G21" i="5" s="1"/>
  <c r="G24" i="5" a="1"/>
  <c r="G24" i="5" s="1"/>
  <c r="G25" i="5" a="1"/>
  <c r="G25" i="5" s="1"/>
  <c r="G26" i="5" a="1"/>
  <c r="G26" i="5" s="1"/>
  <c r="G29" i="5" a="1"/>
  <c r="G29" i="5" s="1"/>
  <c r="G33" i="5" a="1"/>
  <c r="G33" i="5" s="1"/>
  <c r="G34" i="5" a="1"/>
  <c r="G34" i="5" s="1"/>
  <c r="G40" i="5" a="1"/>
  <c r="G40" i="5" s="1"/>
  <c r="G41" i="5" a="1"/>
  <c r="G41" i="5" s="1"/>
  <c r="G43" i="5" a="1"/>
  <c r="G43" i="5" s="1"/>
  <c r="G44" i="5" a="1"/>
  <c r="G44" i="5" s="1"/>
  <c r="G46" i="5" a="1"/>
  <c r="G46" i="5" s="1"/>
  <c r="G50" i="5" a="1"/>
  <c r="G50" i="5" s="1"/>
  <c r="G53" i="5" a="1"/>
  <c r="G53" i="5" s="1"/>
  <c r="G54" i="5" a="1"/>
  <c r="G54" i="5" s="1"/>
  <c r="G55" i="5" a="1"/>
  <c r="G55" i="5" s="1"/>
  <c r="G57" i="5" a="1"/>
  <c r="G57" i="5" s="1"/>
  <c r="G58" i="5" a="1"/>
  <c r="G58" i="5" s="1"/>
  <c r="G61" i="5" a="1"/>
  <c r="G61" i="5" s="1"/>
  <c r="F6" i="7"/>
  <c r="F7" i="7"/>
  <c r="F9" i="7"/>
  <c r="F10" i="7"/>
  <c r="F11" i="7"/>
  <c r="F12" i="7"/>
  <c r="F13" i="7"/>
  <c r="F14" i="7"/>
  <c r="F15" i="7"/>
  <c r="D7" i="7"/>
  <c r="D9" i="7"/>
  <c r="D12" i="7"/>
  <c r="D13" i="7"/>
  <c r="D14" i="7"/>
  <c r="D15" i="7"/>
  <c r="C9" i="7"/>
  <c r="C13" i="7"/>
  <c r="C14" i="7"/>
  <c r="C15" i="7"/>
  <c r="E9" i="7" l="1"/>
  <c r="G9" i="7" s="1" a="1"/>
  <c r="G9" i="7" s="1"/>
  <c r="E12" i="7"/>
  <c r="G12" i="7" s="1" a="1"/>
  <c r="G12" i="7" s="1"/>
  <c r="G11" i="7" a="1"/>
  <c r="G11" i="7" s="1"/>
  <c r="G10" i="7" a="1"/>
  <c r="G10" i="7" s="1"/>
  <c r="E15" i="7"/>
  <c r="G15" i="7" s="1" a="1"/>
  <c r="G15" i="7" s="1"/>
  <c r="E7" i="7"/>
  <c r="G7" i="7" s="1" a="1"/>
  <c r="G7" i="7" s="1"/>
  <c r="E14" i="7"/>
  <c r="G14" i="7" s="1" a="1"/>
  <c r="G14" i="7" s="1"/>
  <c r="E13" i="7"/>
  <c r="G13" i="7" s="1" a="1"/>
  <c r="G13" i="7" s="1"/>
  <c r="G6" i="7" a="1"/>
  <c r="G6" i="7" s="1"/>
  <c r="F6" i="6"/>
  <c r="F8" i="6"/>
  <c r="F10" i="6" s="1"/>
  <c r="AM11" i="8" l="1"/>
  <c r="N11" i="8"/>
  <c r="H6" i="5"/>
  <c r="H7" i="5"/>
  <c r="H10" i="5"/>
  <c r="H11" i="5"/>
  <c r="H14" i="5"/>
  <c r="H18" i="5"/>
  <c r="H19" i="5"/>
  <c r="H20" i="5"/>
  <c r="H21" i="5"/>
  <c r="B21" i="34" s="1"/>
  <c r="H24" i="5"/>
  <c r="H25" i="5"/>
  <c r="B18" i="34" s="1"/>
  <c r="H26" i="5"/>
  <c r="H29" i="5"/>
  <c r="H33" i="5"/>
  <c r="H34" i="5"/>
  <c r="H40" i="5"/>
  <c r="B14" i="34" s="1"/>
  <c r="H41" i="5"/>
  <c r="H43" i="5"/>
  <c r="H44" i="5"/>
  <c r="H46" i="5"/>
  <c r="H50" i="5"/>
  <c r="H53" i="5"/>
  <c r="H54" i="5"/>
  <c r="H55" i="5"/>
  <c r="H57" i="5"/>
  <c r="H58" i="5"/>
  <c r="H61" i="5"/>
  <c r="H6" i="4" a="1"/>
  <c r="H6" i="4" s="1"/>
  <c r="I6" i="4" s="1"/>
  <c r="H7" i="4" a="1"/>
  <c r="H7" i="4" s="1"/>
  <c r="I7" i="4" s="1"/>
  <c r="H10" i="4" a="1"/>
  <c r="H10" i="4" s="1"/>
  <c r="I10" i="4" s="1"/>
  <c r="H11" i="4" a="1"/>
  <c r="H11" i="4" s="1"/>
  <c r="I11" i="4" s="1"/>
  <c r="H12" i="4" a="1"/>
  <c r="H12" i="4" s="1"/>
  <c r="I12" i="4" s="1"/>
  <c r="H15" i="4" a="1"/>
  <c r="H15" i="4" s="1"/>
  <c r="I15" i="4" s="1"/>
  <c r="H16" i="4" a="1"/>
  <c r="H16" i="4" s="1"/>
  <c r="I16" i="4" s="1"/>
  <c r="H17" i="4" a="1"/>
  <c r="H17" i="4" s="1"/>
  <c r="I17" i="4" s="1"/>
  <c r="H21" i="4" a="1"/>
  <c r="H21" i="4" s="1"/>
  <c r="I21" i="4" s="1"/>
  <c r="H22" i="4" a="1"/>
  <c r="H22" i="4" s="1"/>
  <c r="I22" i="4" s="1"/>
  <c r="H25" i="4" a="1"/>
  <c r="H25" i="4" s="1"/>
  <c r="I25" i="4" s="1"/>
  <c r="H27" i="4" a="1"/>
  <c r="H27" i="4" s="1"/>
  <c r="I27" i="4" s="1"/>
  <c r="H28" i="4" a="1"/>
  <c r="H28" i="4" s="1"/>
  <c r="I28" i="4" s="1"/>
  <c r="H30" i="4" a="1"/>
  <c r="H30" i="4" s="1"/>
  <c r="I30" i="4" s="1"/>
  <c r="H31" i="4" a="1"/>
  <c r="H31" i="4" s="1"/>
  <c r="I31" i="4" s="1"/>
  <c r="H34" i="4" a="1"/>
  <c r="H34" i="4" s="1"/>
  <c r="I34" i="4" s="1"/>
  <c r="H35" i="4" a="1"/>
  <c r="H35" i="4" s="1"/>
  <c r="I35" i="4" s="1"/>
  <c r="H39" i="4" a="1"/>
  <c r="H39" i="4" s="1"/>
  <c r="I39" i="4" s="1"/>
  <c r="H40" i="4" a="1"/>
  <c r="H40" i="4" s="1"/>
  <c r="I40" i="4" s="1"/>
  <c r="H42" i="4" a="1"/>
  <c r="H42" i="4" s="1"/>
  <c r="I42" i="4" s="1"/>
  <c r="H43" i="4" a="1"/>
  <c r="H43" i="4" s="1"/>
  <c r="I43" i="4" s="1"/>
  <c r="H45" i="4" a="1"/>
  <c r="H45" i="4" s="1"/>
  <c r="I45" i="4" s="1"/>
  <c r="I13" i="7" s="1"/>
  <c r="H48" i="4" a="1"/>
  <c r="H48" i="4" s="1"/>
  <c r="I48" i="4" s="1"/>
  <c r="H51" i="4" a="1"/>
  <c r="H51" i="4" s="1"/>
  <c r="I51" i="4" s="1"/>
  <c r="H53" i="4" a="1"/>
  <c r="H53" i="4" s="1"/>
  <c r="I53" i="4" s="1"/>
  <c r="H55" i="4" a="1"/>
  <c r="H55" i="4" s="1"/>
  <c r="I55" i="4" s="1"/>
  <c r="AX4" i="31" l="1"/>
  <c r="B11" i="34"/>
  <c r="B26" i="34"/>
  <c r="B17" i="34"/>
  <c r="H8" i="7"/>
  <c r="J8" i="7" s="1"/>
  <c r="H13" i="7"/>
  <c r="B19" i="34"/>
  <c r="B16" i="34"/>
  <c r="B1" i="34"/>
  <c r="B3" i="34"/>
  <c r="AF4" i="31"/>
  <c r="H11" i="7"/>
  <c r="I11" i="7"/>
  <c r="I10" i="7"/>
  <c r="I12" i="7"/>
  <c r="I15" i="7"/>
  <c r="I14" i="7"/>
  <c r="H10" i="7"/>
  <c r="H14" i="7"/>
  <c r="F12" i="6"/>
  <c r="I9" i="7"/>
  <c r="AM17" i="8"/>
  <c r="N17" i="8"/>
  <c r="I7" i="7"/>
  <c r="J13" i="7"/>
  <c r="I6" i="7"/>
  <c r="H6" i="7"/>
  <c r="H15" i="7"/>
  <c r="H7" i="7"/>
  <c r="AM14" i="8"/>
  <c r="H9" i="7"/>
  <c r="N14" i="8"/>
  <c r="H12" i="7"/>
  <c r="F14" i="6"/>
  <c r="BP4" i="31" l="1"/>
  <c r="C14" i="32"/>
  <c r="C15" i="32"/>
  <c r="C16" i="32"/>
  <c r="C12" i="32"/>
  <c r="C13" i="32"/>
  <c r="J11" i="7"/>
  <c r="J10" i="7"/>
  <c r="J12" i="7"/>
  <c r="J9" i="7"/>
  <c r="J15" i="7"/>
  <c r="J14" i="7"/>
  <c r="AM20" i="8"/>
  <c r="AM23" i="8" s="1"/>
  <c r="J7" i="7"/>
  <c r="N20" i="8"/>
  <c r="N23" i="8" s="1"/>
  <c r="J6" i="7"/>
  <c r="Q40" i="31" l="1"/>
  <c r="B15" i="32"/>
  <c r="G40" i="31" s="1"/>
  <c r="Q37" i="31"/>
  <c r="B14" i="32"/>
  <c r="G37" i="31" s="1"/>
  <c r="B13" i="32"/>
  <c r="G34" i="31" s="1"/>
  <c r="Q34" i="31"/>
  <c r="Q31" i="31"/>
  <c r="B12" i="32"/>
  <c r="G31" i="31" s="1"/>
  <c r="Q43" i="31"/>
  <c r="B16" i="32"/>
  <c r="G43" i="31" s="1"/>
  <c r="N9" i="7"/>
  <c r="P9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<sst xmlns="http://schemas.openxmlformats.org/spreadsheetml/2006/main" count="358" uniqueCount="128">
  <si>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</si>
  <si>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</si>
  <si>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</si>
  <si>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</si>
  <si>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</si>
  <si>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</si>
  <si>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</si>
  <si>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</si>
  <si>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</si>
  <si>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</si>
  <si>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</si>
  <si>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</si>
  <si>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</si>
  <si>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</si>
  <si>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</si>
  <si>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</si>
  <si>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</si>
  <si>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</si>
  <si>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</si>
  <si>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</si>
  <si>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</si>
  <si>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</si>
  <si>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</si>
  <si>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</si>
  <si>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</si>
  <si>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</si>
  <si>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</si>
  <si>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</si>
  <si>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</si>
  <si>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</si>
  <si>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</si>
  <si>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</si>
  <si>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</si>
  <si>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</si>
  <si>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</si>
  <si>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</si>
  <si>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</si>
  <si>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</si>
  <si>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</si>
  <si>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</si>
  <si>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</si>
  <si>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</si>
  <si>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</si>
  <si>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</si>
  <si>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</si>
  <si>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</si>
  <si>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</si>
  <si>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</si>
  <si>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</si>
  <si>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</si>
  <si>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</si>
  <si>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</si>
  <si>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</si>
  <si>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</si>
  <si>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</si>
  <si>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</si>
  <si>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</si>
  <si>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</si>
  <si>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</si>
  <si>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</si>
  <si>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</si>
  <si>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""</t>
  </si>
  <si>
    <t>Data</t>
  </si>
  <si>
    <t>Fornecedor</t>
  </si>
  <si>
    <t>Quantidade Comprada</t>
  </si>
  <si>
    <t>Valor da Compra</t>
  </si>
  <si>
    <t>Controle de Saídas</t>
  </si>
  <si>
    <t>Quantidade Vendida</t>
  </si>
  <si>
    <t>Valor de Venda</t>
  </si>
  <si>
    <t xml:space="preserve">Consulta </t>
  </si>
  <si>
    <t>&lt;10/05/2022</t>
  </si>
  <si>
    <t/>
  </si>
  <si>
    <t xml:space="preserve">Quantidade em Estoque </t>
  </si>
  <si>
    <t>Controle de Estoque</t>
  </si>
  <si>
    <t>Entradas</t>
  </si>
  <si>
    <t xml:space="preserve">Saídas </t>
  </si>
  <si>
    <t>Saldo em Estoque</t>
  </si>
  <si>
    <t>Status do Estoque</t>
  </si>
  <si>
    <t>Custo Total</t>
  </si>
  <si>
    <t>Lucro</t>
  </si>
  <si>
    <t>Produto Mais Rentável</t>
  </si>
  <si>
    <t>Quadro de Resumo</t>
  </si>
  <si>
    <t>Dados 2022</t>
  </si>
  <si>
    <t>Consulta por Produto</t>
  </si>
  <si>
    <t xml:space="preserve">Produtos Vendidos: </t>
  </si>
  <si>
    <t xml:space="preserve">Dados: </t>
  </si>
  <si>
    <t xml:space="preserve">Qtd em Estoque: </t>
  </si>
  <si>
    <t xml:space="preserve">Faturamento: </t>
  </si>
  <si>
    <t xml:space="preserve">Despesas: </t>
  </si>
  <si>
    <t xml:space="preserve">Lucro: </t>
  </si>
  <si>
    <t xml:space="preserve">% Lucro: </t>
  </si>
  <si>
    <r>
      <rPr>
        <b/>
        <sz val="24"/>
        <color rgb="FF1A261A"/>
        <rFont val="Barlow"/>
      </rPr>
      <t>DASHBOARD</t>
    </r>
    <r>
      <rPr>
        <sz val="24"/>
        <color rgb="FF1A261A"/>
        <rFont val="Barlow"/>
      </rPr>
      <t xml:space="preserve"> </t>
    </r>
    <r>
      <rPr>
        <b/>
        <sz val="24"/>
        <color rgb="FF1A261A"/>
        <rFont val="Barlow"/>
      </rPr>
      <t xml:space="preserve">  </t>
    </r>
  </si>
  <si>
    <t>FATURAMENTO</t>
  </si>
  <si>
    <t>DESPESAS</t>
  </si>
  <si>
    <t>LUCRO</t>
  </si>
  <si>
    <t>TOP 5 PRODUTOS MAIS VENDIDOS</t>
  </si>
  <si>
    <t>FATURAMENTO X DESPESA</t>
  </si>
  <si>
    <t>ENTRADA X SAÍDA MENSAL</t>
  </si>
  <si>
    <t>ENTRADA X SAÍDA ANUAL</t>
  </si>
  <si>
    <t>RANKING FATURAMENTO</t>
  </si>
  <si>
    <t>1º</t>
  </si>
  <si>
    <t>2º</t>
  </si>
  <si>
    <t>3º</t>
  </si>
  <si>
    <t>4º</t>
  </si>
  <si>
    <t>5º</t>
  </si>
  <si>
    <t>Top 5 mais vendidos</t>
  </si>
  <si>
    <t>Saídas</t>
  </si>
  <si>
    <t>Ranking Faturamento</t>
  </si>
  <si>
    <t>Faturamento</t>
  </si>
  <si>
    <t>Mês</t>
  </si>
  <si>
    <t>Faturamento vs. Despesas</t>
  </si>
  <si>
    <t>N. Mês</t>
  </si>
  <si>
    <t>Despesas</t>
  </si>
  <si>
    <t>Produto:</t>
  </si>
  <si>
    <t>Entradas e Saídas (Qtd)</t>
  </si>
  <si>
    <t xml:space="preserve">Entradas 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</si>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</sst>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  <numFmt numFmtId="167" formatCode="mmm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4"/>
      <color theme="0"/>
      <name val="Arial Rounded MT Bold"/>
      <family val="2"/>
    </font>
    <font>
      <b/>
      <sz val="28"/>
      <color rgb="FF093364"/>
      <name val="Calibri"/>
      <family val="2"/>
      <scheme val="minor"/>
    </font>
    <font>
      <b/>
      <sz val="11"/>
      <color theme="0"/>
      <name val="Arial Rounded MT Bold"/>
      <family val="2"/>
    </font>
    <font>
      <b/>
      <sz val="12.5"/>
      <color theme="0"/>
      <name val="Arial Rounded MT Bold"/>
      <family val="2"/>
    </font>
    <font>
      <b/>
      <sz val="28"/>
      <name val="Calibri"/>
      <family val="2"/>
      <scheme val="minor"/>
    </font>
    <font>
      <b/>
      <sz val="22"/>
      <color theme="7" tint="-0.49998474074526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26"/>
      <color rgb="FF030303"/>
      <name val="Calibri"/>
      <family val="2"/>
      <scheme val="minor"/>
    </font>
    <font>
      <b/>
      <sz val="28"/>
      <color rgb="FF030303"/>
      <name val="Calibri"/>
      <family val="2"/>
      <scheme val="minor"/>
    </font>
    <font>
      <sz val="11"/>
      <color rgb="FF030303"/>
      <name val="Calibri"/>
      <family val="2"/>
      <scheme val="minor"/>
    </font>
    <font>
      <sz val="35"/>
      <color rgb="FF764600"/>
      <name val="JasmineUPC"/>
      <family val="1"/>
      <charset val="222"/>
    </font>
    <font>
      <b/>
      <sz val="25"/>
      <color rgb="FF030303"/>
      <name val="Calibri"/>
      <family val="2"/>
      <scheme val="minor"/>
    </font>
    <font>
      <b/>
      <sz val="16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26"/>
      <color rgb="FF1A261A"/>
      <name val="Barlow"/>
    </font>
    <font>
      <b/>
      <sz val="16"/>
      <color theme="0"/>
      <name val="Barlow"/>
    </font>
    <font>
      <b/>
      <sz val="13"/>
      <color rgb="FF1A261A"/>
      <name val="Barlow"/>
    </font>
    <font>
      <b/>
      <sz val="13.5"/>
      <color rgb="FF1A261A"/>
      <name val="Barlow"/>
    </font>
    <font>
      <sz val="24"/>
      <color rgb="FF1A261A"/>
      <name val="Barlow"/>
    </font>
    <font>
      <b/>
      <sz val="24"/>
      <color rgb="FF1A261A"/>
      <name val="Barlow"/>
    </font>
    <font>
      <sz val="11"/>
      <name val="Barlow"/>
    </font>
    <font>
      <b/>
      <sz val="11"/>
      <name val="Barlow"/>
    </font>
    <font>
      <b/>
      <sz val="24"/>
      <color theme="0"/>
      <name val="Barlow ExtraBold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Barlow"/>
    </font>
    <font>
      <sz val="11"/>
      <color rgb="FF002060"/>
      <name val="Barlow"/>
    </font>
    <font>
      <b/>
      <sz val="11"/>
      <color theme="0"/>
      <name val="Barlow"/>
    </font>
    <font>
      <sz val="11"/>
      <color rgb="FF4472C4"/>
      <name val="Barlow"/>
    </font>
    <font>
      <b/>
      <sz val="11"/>
      <color theme="1"/>
      <name val="Barlow"/>
    </font>
    <font>
      <b/>
      <sz val="12"/>
      <name val="Barlow"/>
    </font>
    <font>
      <b/>
      <sz val="12"/>
      <color theme="1"/>
      <name val="Barlow"/>
    </font>
    <font>
      <b/>
      <sz val="18"/>
      <color theme="0"/>
      <name val="Calibri"/>
      <family val="2"/>
      <scheme val="minor"/>
    </font>
    <font>
      <sz val="11"/>
      <color rgb="FFEBC282"/>
      <name val="Calibri"/>
      <family val="2"/>
      <scheme val="minor"/>
    </font>
    <font>
      <b/>
      <sz val="14"/>
      <name val="Barlow"/>
    </font>
    <font>
      <b/>
      <sz val="15"/>
      <color theme="0"/>
      <name val="Barlow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13829"/>
        <bgColor indexed="64"/>
      </patternFill>
    </fill>
    <fill>
      <patternFill patternType="solid">
        <fgColor rgb="FFB39563"/>
        <bgColor indexed="64"/>
      </patternFill>
    </fill>
    <fill>
      <patternFill patternType="solid">
        <fgColor rgb="FF9B8357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EBC282"/>
        <bgColor indexed="64"/>
      </patternFill>
    </fill>
    <fill>
      <patternFill patternType="solid">
        <fgColor rgb="FFEBC282"/>
        <bgColor theme="4"/>
      </patternFill>
    </fill>
    <fill>
      <patternFill patternType="solid">
        <fgColor rgb="FF373A3A"/>
        <bgColor indexed="64"/>
      </patternFill>
    </fill>
    <fill>
      <patternFill patternType="solid">
        <fgColor rgb="FFE7B667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787674"/>
      </left>
      <right/>
      <top style="medium">
        <color rgb="FF787674"/>
      </top>
      <bottom/>
      <diagonal/>
    </border>
    <border>
      <left/>
      <right/>
      <top style="medium">
        <color rgb="FF787674"/>
      </top>
      <bottom/>
      <diagonal/>
    </border>
    <border>
      <left/>
      <right style="medium">
        <color rgb="FF787674"/>
      </right>
      <top style="medium">
        <color rgb="FF787674"/>
      </top>
      <bottom/>
      <diagonal/>
    </border>
    <border>
      <left style="medium">
        <color rgb="FF787674"/>
      </left>
      <right/>
      <top/>
      <bottom/>
      <diagonal/>
    </border>
    <border>
      <left/>
      <right style="medium">
        <color rgb="FF787674"/>
      </right>
      <top/>
      <bottom/>
      <diagonal/>
    </border>
    <border>
      <left style="medium">
        <color rgb="FF787674"/>
      </left>
      <right/>
      <top/>
      <bottom style="medium">
        <color rgb="FF787674"/>
      </bottom>
      <diagonal/>
    </border>
    <border>
      <left/>
      <right/>
      <top/>
      <bottom style="medium">
        <color rgb="FF787674"/>
      </bottom>
      <diagonal/>
    </border>
    <border>
      <left/>
      <right style="medium">
        <color rgb="FF787674"/>
      </right>
      <top/>
      <bottom style="medium">
        <color rgb="FF787674"/>
      </bottom>
      <diagonal/>
    </border>
    <border>
      <left/>
      <right/>
      <top style="medium">
        <color rgb="FFE8D7A4"/>
      </top>
      <bottom/>
      <diagonal/>
    </border>
    <border>
      <left/>
      <right/>
      <top/>
      <bottom style="medium">
        <color rgb="FFE8D7A4"/>
      </bottom>
      <diagonal/>
    </border>
    <border>
      <left style="thick">
        <color rgb="FFE8D7A4"/>
      </left>
      <right/>
      <top/>
      <bottom/>
      <diagonal/>
    </border>
    <border>
      <left/>
      <right style="thick">
        <color rgb="FFE8D7A4"/>
      </right>
      <top/>
      <bottom/>
      <diagonal/>
    </border>
    <border>
      <left style="thick">
        <color rgb="FFE8D7A4"/>
      </left>
      <right/>
      <top/>
      <bottom style="medium">
        <color rgb="FFE8D7A4"/>
      </bottom>
      <diagonal/>
    </border>
    <border>
      <left style="thick">
        <color rgb="FFE8D7A4"/>
      </left>
      <right/>
      <top style="medium">
        <color rgb="FF787674"/>
      </top>
      <bottom/>
      <diagonal/>
    </border>
    <border>
      <left/>
      <right style="thick">
        <color rgb="FFE8D7A4"/>
      </right>
      <top style="medium">
        <color rgb="FF78767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rgb="FF787674"/>
      </bottom>
      <diagonal/>
    </border>
    <border>
      <left/>
      <right style="thin">
        <color indexed="64"/>
      </right>
      <top/>
      <bottom style="medium">
        <color rgb="FF787674"/>
      </bottom>
      <diagonal/>
    </border>
    <border>
      <left style="thin">
        <color indexed="64"/>
      </left>
      <right/>
      <top style="medium">
        <color rgb="FF787674"/>
      </top>
      <bottom/>
      <diagonal/>
    </border>
    <border>
      <left/>
      <right style="thin">
        <color indexed="64"/>
      </right>
      <top style="medium">
        <color rgb="FF787674"/>
      </top>
      <bottom/>
      <diagonal/>
    </border>
    <border>
      <left style="thin">
        <color indexed="64"/>
      </left>
      <right/>
      <top/>
      <bottom style="medium">
        <color rgb="FFE8D7A4"/>
      </bottom>
      <diagonal/>
    </border>
    <border>
      <left/>
      <right style="thin">
        <color indexed="64"/>
      </right>
      <top/>
      <bottom style="medium">
        <color rgb="FFE8D7A4"/>
      </bottom>
      <diagonal/>
    </border>
    <border>
      <left style="thin">
        <color indexed="64"/>
      </left>
      <right/>
      <top style="medium">
        <color rgb="FFE8D7A4"/>
      </top>
      <bottom/>
      <diagonal/>
    </border>
    <border>
      <left style="thick">
        <color rgb="FFE8D7A4"/>
      </left>
      <right/>
      <top/>
      <bottom style="thin">
        <color indexed="64"/>
      </bottom>
      <diagonal/>
    </border>
    <border>
      <left/>
      <right style="thick">
        <color rgb="FFE8D7A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40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0" fontId="10" fillId="0" borderId="0" xfId="0" applyFont="1"/>
    <xf numFmtId="0" fontId="7" fillId="0" borderId="0" xfId="0" applyFont="1"/>
    <xf numFmtId="0" fontId="13" fillId="0" borderId="0" xfId="0" applyFont="1"/>
    <xf numFmtId="4" fontId="15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" fontId="20" fillId="0" borderId="0" xfId="0" applyNumberFormat="1" applyFont="1" applyAlignment="1">
      <alignment vertical="center"/>
    </xf>
    <xf numFmtId="0" fontId="21" fillId="0" borderId="0" xfId="0" applyFont="1"/>
    <xf numFmtId="0" fontId="20" fillId="0" borderId="0" xfId="0" applyFont="1" applyAlignment="1">
      <alignment vertical="center"/>
    </xf>
    <xf numFmtId="4" fontId="19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4" fontId="23" fillId="0" borderId="0" xfId="0" applyNumberFormat="1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/>
    <xf numFmtId="0" fontId="0" fillId="3" borderId="0" xfId="0" applyFill="1"/>
    <xf numFmtId="44" fontId="0" fillId="3" borderId="0" xfId="1" applyFont="1" applyFill="1"/>
    <xf numFmtId="0" fontId="22" fillId="0" borderId="0" xfId="0" applyFont="1" applyAlignment="1">
      <alignment vertical="center" wrapText="1"/>
    </xf>
    <xf numFmtId="0" fontId="0" fillId="5" borderId="0" xfId="0" applyFill="1"/>
    <xf numFmtId="44" fontId="0" fillId="5" borderId="0" xfId="1" applyFont="1" applyFill="1"/>
    <xf numFmtId="0" fontId="32" fillId="0" borderId="0" xfId="0" applyFont="1"/>
    <xf numFmtId="0" fontId="32" fillId="0" borderId="0" xfId="0" applyFont="1" applyAlignment="1">
      <alignment horizontal="center"/>
    </xf>
    <xf numFmtId="164" fontId="32" fillId="0" borderId="0" xfId="1" applyNumberFormat="1" applyFont="1" applyFill="1" applyBorder="1"/>
    <xf numFmtId="0" fontId="34" fillId="3" borderId="0" xfId="0" applyFont="1" applyFill="1" applyAlignment="1">
      <alignment vertical="center"/>
    </xf>
    <xf numFmtId="44" fontId="0" fillId="3" borderId="0" xfId="1" applyFont="1" applyFill="1" applyAlignment="1"/>
    <xf numFmtId="14" fontId="5" fillId="4" borderId="0" xfId="0" applyNumberFormat="1" applyFont="1" applyFill="1" applyAlignment="1">
      <alignment horizontal="center" vertical="center" wrapText="1"/>
    </xf>
    <xf numFmtId="14" fontId="35" fillId="4" borderId="0" xfId="0" applyNumberFormat="1" applyFont="1" applyFill="1" applyAlignment="1">
      <alignment horizontal="center" vertical="center" wrapText="1"/>
    </xf>
    <xf numFmtId="14" fontId="32" fillId="0" borderId="0" xfId="0" applyNumberFormat="1" applyFont="1"/>
    <xf numFmtId="0" fontId="32" fillId="0" borderId="0" xfId="0" applyFont="1" applyAlignment="1">
      <alignment horizontal="left"/>
    </xf>
    <xf numFmtId="0" fontId="32" fillId="0" borderId="0" xfId="1" applyNumberFormat="1" applyFont="1" applyFill="1" applyBorder="1" applyAlignment="1">
      <alignment horizontal="center"/>
    </xf>
    <xf numFmtId="164" fontId="38" fillId="0" borderId="0" xfId="0" applyNumberFormat="1" applyFont="1"/>
    <xf numFmtId="14" fontId="32" fillId="0" borderId="0" xfId="0" applyNumberFormat="1" applyFont="1" applyAlignment="1">
      <alignment horizontal="right"/>
    </xf>
    <xf numFmtId="0" fontId="32" fillId="0" borderId="0" xfId="1" applyNumberFormat="1" applyFont="1" applyFill="1" applyAlignment="1">
      <alignment horizontal="center"/>
    </xf>
    <xf numFmtId="14" fontId="6" fillId="4" borderId="0" xfId="0" applyNumberFormat="1" applyFont="1" applyFill="1" applyAlignment="1">
      <alignment horizontal="center"/>
    </xf>
    <xf numFmtId="0" fontId="6" fillId="4" borderId="0" xfId="0" applyFont="1" applyFill="1"/>
    <xf numFmtId="0" fontId="36" fillId="4" borderId="0" xfId="0" applyFont="1" applyFill="1"/>
    <xf numFmtId="0" fontId="37" fillId="0" borderId="0" xfId="0" applyFont="1" applyAlignment="1">
      <alignment horizontal="center"/>
    </xf>
    <xf numFmtId="164" fontId="38" fillId="0" borderId="0" xfId="1" applyNumberFormat="1" applyFont="1"/>
    <xf numFmtId="0" fontId="41" fillId="6" borderId="1" xfId="0" quotePrefix="1" applyFont="1" applyFill="1" applyBorder="1" applyAlignment="1">
      <alignment horizontal="center" vertical="center"/>
    </xf>
    <xf numFmtId="1" fontId="41" fillId="6" borderId="1" xfId="0" applyNumberFormat="1" applyFont="1" applyFill="1" applyBorder="1" applyAlignment="1">
      <alignment horizontal="center" vertical="center"/>
    </xf>
    <xf numFmtId="1" fontId="41" fillId="6" borderId="0" xfId="0" applyNumberFormat="1" applyFont="1" applyFill="1" applyAlignment="1">
      <alignment horizontal="center" vertical="center"/>
    </xf>
    <xf numFmtId="164" fontId="41" fillId="6" borderId="0" xfId="0" applyNumberFormat="1" applyFont="1" applyFill="1" applyAlignment="1">
      <alignment horizontal="center" vertical="center"/>
    </xf>
    <xf numFmtId="0" fontId="30" fillId="0" borderId="0" xfId="0" applyFont="1" applyAlignment="1">
      <alignment vertical="center" wrapText="1"/>
    </xf>
    <xf numFmtId="0" fontId="2" fillId="7" borderId="0" xfId="0" applyFont="1" applyFill="1" applyAlignment="1">
      <alignment horizontal="center"/>
    </xf>
    <xf numFmtId="0" fontId="0" fillId="7" borderId="0" xfId="0" applyFill="1"/>
    <xf numFmtId="0" fontId="42" fillId="8" borderId="0" xfId="0" applyFont="1" applyFill="1" applyAlignment="1">
      <alignment horizontal="center" vertical="center"/>
    </xf>
    <xf numFmtId="0" fontId="4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1" fontId="40" fillId="7" borderId="0" xfId="0" applyNumberFormat="1" applyFont="1" applyFill="1" applyAlignment="1">
      <alignment horizontal="center" vertical="center"/>
    </xf>
    <xf numFmtId="0" fontId="39" fillId="7" borderId="0" xfId="0" applyFont="1" applyFill="1" applyAlignment="1">
      <alignment horizontal="center"/>
    </xf>
    <xf numFmtId="0" fontId="33" fillId="8" borderId="0" xfId="0" applyFont="1" applyFill="1" applyAlignment="1">
      <alignment horizontal="right" vertical="center"/>
    </xf>
    <xf numFmtId="0" fontId="39" fillId="8" borderId="0" xfId="0" applyFont="1" applyFill="1" applyAlignment="1">
      <alignment horizontal="right" vertical="center"/>
    </xf>
    <xf numFmtId="0" fontId="39" fillId="7" borderId="1" xfId="0" applyFont="1" applyFill="1" applyBorder="1" applyAlignment="1">
      <alignment horizontal="center"/>
    </xf>
    <xf numFmtId="0" fontId="39" fillId="8" borderId="0" xfId="0" applyFont="1" applyFill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0" fontId="9" fillId="7" borderId="7" xfId="0" applyFont="1" applyFill="1" applyBorder="1" applyAlignment="1">
      <alignment vertical="top"/>
    </xf>
    <xf numFmtId="0" fontId="9" fillId="7" borderId="0" xfId="0" applyFont="1" applyFill="1" applyAlignment="1">
      <alignment vertical="top"/>
    </xf>
    <xf numFmtId="0" fontId="9" fillId="7" borderId="8" xfId="0" applyFont="1" applyFill="1" applyBorder="1" applyAlignment="1">
      <alignment vertical="top"/>
    </xf>
    <xf numFmtId="0" fontId="0" fillId="7" borderId="7" xfId="0" applyFill="1" applyBorder="1"/>
    <xf numFmtId="0" fontId="6" fillId="7" borderId="0" xfId="0" applyFont="1" applyFill="1"/>
    <xf numFmtId="0" fontId="0" fillId="7" borderId="9" xfId="0" applyFill="1" applyBorder="1"/>
    <xf numFmtId="0" fontId="0" fillId="7" borderId="10" xfId="0" applyFill="1" applyBorder="1"/>
    <xf numFmtId="0" fontId="5" fillId="7" borderId="0" xfId="0" applyFont="1" applyFill="1"/>
    <xf numFmtId="0" fontId="0" fillId="7" borderId="8" xfId="0" applyFill="1" applyBorder="1"/>
    <xf numFmtId="0" fontId="33" fillId="7" borderId="0" xfId="0" applyFont="1" applyFill="1"/>
    <xf numFmtId="0" fontId="0" fillId="7" borderId="11" xfId="0" applyFill="1" applyBorder="1"/>
    <xf numFmtId="0" fontId="0" fillId="9" borderId="0" xfId="0" applyFill="1"/>
    <xf numFmtId="0" fontId="37" fillId="7" borderId="0" xfId="0" applyFont="1" applyFill="1"/>
    <xf numFmtId="0" fontId="41" fillId="7" borderId="0" xfId="0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6" fillId="4" borderId="0" xfId="0" applyFont="1" applyFill="1" applyAlignment="1">
      <alignment horizontal="center"/>
    </xf>
    <xf numFmtId="0" fontId="0" fillId="2" borderId="22" xfId="0" applyFill="1" applyBorder="1"/>
    <xf numFmtId="0" fontId="0" fillId="2" borderId="0" xfId="0" applyFill="1"/>
    <xf numFmtId="0" fontId="0" fillId="2" borderId="23" xfId="0" applyFill="1" applyBorder="1"/>
    <xf numFmtId="0" fontId="43" fillId="7" borderId="0" xfId="0" applyFont="1" applyFill="1" applyAlignment="1">
      <alignment horizontal="center"/>
    </xf>
    <xf numFmtId="164" fontId="8" fillId="2" borderId="2" xfId="0" applyNumberFormat="1" applyFont="1" applyFill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2" fillId="7" borderId="0" xfId="0" applyFont="1" applyFill="1" applyAlignment="1">
      <alignment horizontal="right" vertical="center"/>
    </xf>
    <xf numFmtId="0" fontId="33" fillId="2" borderId="0" xfId="0" applyFont="1" applyFill="1" applyAlignment="1">
      <alignment horizontal="center" vertical="center"/>
    </xf>
    <xf numFmtId="164" fontId="33" fillId="2" borderId="0" xfId="0" applyNumberFormat="1" applyFont="1" applyFill="1" applyAlignment="1">
      <alignment horizontal="center" vertical="center"/>
    </xf>
    <xf numFmtId="10" fontId="33" fillId="2" borderId="0" xfId="3" applyNumberFormat="1" applyFont="1" applyFill="1" applyBorder="1" applyAlignment="1">
      <alignment horizontal="center" vertical="center"/>
    </xf>
    <xf numFmtId="0" fontId="43" fillId="7" borderId="0" xfId="0" applyFont="1" applyFill="1" applyAlignment="1">
      <alignment horizontal="right" vertical="center"/>
    </xf>
    <xf numFmtId="0" fontId="43" fillId="7" borderId="18" xfId="0" applyFont="1" applyFill="1" applyBorder="1" applyAlignment="1">
      <alignment horizontal="right" vertical="center"/>
    </xf>
    <xf numFmtId="164" fontId="41" fillId="2" borderId="12" xfId="0" applyNumberFormat="1" applyFont="1" applyFill="1" applyBorder="1" applyAlignment="1">
      <alignment horizontal="center" vertical="center"/>
    </xf>
    <xf numFmtId="0" fontId="41" fillId="2" borderId="13" xfId="0" applyFont="1" applyFill="1" applyBorder="1" applyAlignment="1">
      <alignment horizontal="center" vertical="center"/>
    </xf>
    <xf numFmtId="0" fontId="41" fillId="2" borderId="14" xfId="0" applyFont="1" applyFill="1" applyBorder="1" applyAlignment="1">
      <alignment horizontal="center" vertical="center"/>
    </xf>
    <xf numFmtId="0" fontId="41" fillId="2" borderId="15" xfId="0" applyFont="1" applyFill="1" applyBorder="1" applyAlignment="1">
      <alignment horizontal="center" vertical="center"/>
    </xf>
    <xf numFmtId="0" fontId="41" fillId="2" borderId="16" xfId="0" applyFont="1" applyFill="1" applyBorder="1" applyAlignment="1">
      <alignment horizontal="center" vertical="center"/>
    </xf>
    <xf numFmtId="0" fontId="41" fillId="2" borderId="17" xfId="0" applyFont="1" applyFill="1" applyBorder="1" applyAlignment="1">
      <alignment horizontal="center" vertical="center"/>
    </xf>
    <xf numFmtId="10" fontId="41" fillId="2" borderId="12" xfId="3" applyNumberFormat="1" applyFont="1" applyFill="1" applyBorder="1" applyAlignment="1">
      <alignment horizontal="center" vertical="center"/>
    </xf>
    <xf numFmtId="10" fontId="41" fillId="2" borderId="13" xfId="3" applyNumberFormat="1" applyFont="1" applyFill="1" applyBorder="1" applyAlignment="1">
      <alignment horizontal="center" vertical="center"/>
    </xf>
    <xf numFmtId="10" fontId="41" fillId="2" borderId="14" xfId="3" applyNumberFormat="1" applyFont="1" applyFill="1" applyBorder="1" applyAlignment="1">
      <alignment horizontal="center" vertical="center"/>
    </xf>
    <xf numFmtId="10" fontId="41" fillId="2" borderId="15" xfId="3" applyNumberFormat="1" applyFont="1" applyFill="1" applyBorder="1" applyAlignment="1">
      <alignment horizontal="center" vertical="center"/>
    </xf>
    <xf numFmtId="10" fontId="41" fillId="2" borderId="16" xfId="3" applyNumberFormat="1" applyFont="1" applyFill="1" applyBorder="1" applyAlignment="1">
      <alignment horizontal="center" vertical="center"/>
    </xf>
    <xf numFmtId="10" fontId="41" fillId="2" borderId="17" xfId="3" applyNumberFormat="1" applyFont="1" applyFill="1" applyBorder="1" applyAlignment="1">
      <alignment horizontal="center" vertical="center"/>
    </xf>
    <xf numFmtId="0" fontId="41" fillId="2" borderId="12" xfId="0" applyFont="1" applyFill="1" applyBorder="1" applyAlignment="1" applyProtection="1">
      <alignment horizontal="center" vertical="center"/>
      <protection locked="0"/>
    </xf>
    <xf numFmtId="0" fontId="41" fillId="2" borderId="13" xfId="0" applyFont="1" applyFill="1" applyBorder="1" applyAlignment="1" applyProtection="1">
      <alignment horizontal="center" vertical="center"/>
      <protection locked="0"/>
    </xf>
    <xf numFmtId="0" fontId="41" fillId="2" borderId="14" xfId="0" applyFont="1" applyFill="1" applyBorder="1" applyAlignment="1" applyProtection="1">
      <alignment horizontal="center" vertical="center"/>
      <protection locked="0"/>
    </xf>
    <xf numFmtId="0" fontId="41" fillId="2" borderId="15" xfId="0" applyFont="1" applyFill="1" applyBorder="1" applyAlignment="1" applyProtection="1">
      <alignment horizontal="center" vertical="center"/>
      <protection locked="0"/>
    </xf>
    <xf numFmtId="0" fontId="41" fillId="2" borderId="16" xfId="0" applyFont="1" applyFill="1" applyBorder="1" applyAlignment="1" applyProtection="1">
      <alignment horizontal="center" vertical="center"/>
      <protection locked="0"/>
    </xf>
    <xf numFmtId="0" fontId="41" fillId="2" borderId="17" xfId="0" applyFont="1" applyFill="1" applyBorder="1" applyAlignment="1" applyProtection="1">
      <alignment horizontal="center" vertical="center"/>
      <protection locked="0"/>
    </xf>
    <xf numFmtId="0" fontId="41" fillId="2" borderId="12" xfId="0" applyFont="1" applyFill="1" applyBorder="1" applyAlignment="1">
      <alignment horizontal="center" vertical="center"/>
    </xf>
    <xf numFmtId="164" fontId="41" fillId="2" borderId="13" xfId="0" applyNumberFormat="1" applyFont="1" applyFill="1" applyBorder="1" applyAlignment="1">
      <alignment horizontal="center" vertical="center"/>
    </xf>
    <xf numFmtId="164" fontId="41" fillId="2" borderId="14" xfId="0" applyNumberFormat="1" applyFont="1" applyFill="1" applyBorder="1" applyAlignment="1">
      <alignment horizontal="center" vertical="center"/>
    </xf>
    <xf numFmtId="164" fontId="41" fillId="2" borderId="15" xfId="0" applyNumberFormat="1" applyFont="1" applyFill="1" applyBorder="1" applyAlignment="1">
      <alignment horizontal="center" vertical="center"/>
    </xf>
    <xf numFmtId="164" fontId="41" fillId="2" borderId="16" xfId="0" applyNumberFormat="1" applyFont="1" applyFill="1" applyBorder="1" applyAlignment="1">
      <alignment horizontal="center" vertical="center"/>
    </xf>
    <xf numFmtId="164" fontId="41" fillId="2" borderId="17" xfId="0" applyNumberFormat="1" applyFont="1" applyFill="1" applyBorder="1" applyAlignment="1">
      <alignment horizontal="center" vertical="center"/>
    </xf>
    <xf numFmtId="0" fontId="44" fillId="10" borderId="4" xfId="0" applyFont="1" applyFill="1" applyBorder="1" applyAlignment="1">
      <alignment horizontal="center" vertical="center"/>
    </xf>
    <xf numFmtId="0" fontId="44" fillId="10" borderId="5" xfId="0" applyFont="1" applyFill="1" applyBorder="1" applyAlignment="1">
      <alignment horizontal="center" vertical="center"/>
    </xf>
    <xf numFmtId="0" fontId="44" fillId="10" borderId="6" xfId="0" applyFont="1" applyFill="1" applyBorder="1" applyAlignment="1">
      <alignment horizontal="center" vertical="center"/>
    </xf>
    <xf numFmtId="0" fontId="44" fillId="10" borderId="7" xfId="0" applyFont="1" applyFill="1" applyBorder="1" applyAlignment="1">
      <alignment horizontal="center" vertical="center"/>
    </xf>
    <xf numFmtId="0" fontId="44" fillId="10" borderId="0" xfId="0" applyFont="1" applyFill="1" applyAlignment="1">
      <alignment horizontal="center" vertical="center"/>
    </xf>
    <xf numFmtId="0" fontId="44" fillId="10" borderId="8" xfId="0" applyFont="1" applyFill="1" applyBorder="1" applyAlignment="1">
      <alignment horizontal="center" vertical="center"/>
    </xf>
    <xf numFmtId="0" fontId="45" fillId="7" borderId="16" xfId="0" applyFont="1" applyFill="1" applyBorder="1" applyAlignment="1">
      <alignment horizontal="center" vertical="top"/>
    </xf>
    <xf numFmtId="0" fontId="30" fillId="0" borderId="0" xfId="0" applyFont="1" applyAlignment="1">
      <alignment horizontal="center" wrapText="1"/>
    </xf>
    <xf numFmtId="0" fontId="47" fillId="3" borderId="19" xfId="0" applyFont="1" applyFill="1" applyBorder="1" applyAlignment="1">
      <alignment horizontal="center" vertical="center"/>
    </xf>
    <xf numFmtId="0" fontId="47" fillId="3" borderId="20" xfId="0" applyFont="1" applyFill="1" applyBorder="1" applyAlignment="1">
      <alignment horizontal="center" vertical="center"/>
    </xf>
    <xf numFmtId="0" fontId="47" fillId="3" borderId="21" xfId="0" applyFont="1" applyFill="1" applyBorder="1" applyAlignment="1">
      <alignment horizontal="center" vertical="center"/>
    </xf>
    <xf numFmtId="0" fontId="47" fillId="3" borderId="24" xfId="0" applyFont="1" applyFill="1" applyBorder="1" applyAlignment="1">
      <alignment horizontal="center" vertical="center"/>
    </xf>
    <xf numFmtId="0" fontId="47" fillId="3" borderId="25" xfId="0" applyFont="1" applyFill="1" applyBorder="1" applyAlignment="1">
      <alignment horizontal="center" vertical="center"/>
    </xf>
    <xf numFmtId="0" fontId="47" fillId="3" borderId="26" xfId="0" applyFont="1" applyFill="1" applyBorder="1" applyAlignment="1">
      <alignment horizontal="center" vertical="center"/>
    </xf>
    <xf numFmtId="165" fontId="26" fillId="2" borderId="22" xfId="0" applyNumberFormat="1" applyFont="1" applyFill="1" applyBorder="1" applyAlignment="1">
      <alignment horizontal="center" vertical="center"/>
    </xf>
    <xf numFmtId="165" fontId="26" fillId="2" borderId="0" xfId="0" applyNumberFormat="1" applyFont="1" applyFill="1" applyAlignment="1">
      <alignment horizontal="center" vertical="center"/>
    </xf>
    <xf numFmtId="165" fontId="26" fillId="2" borderId="23" xfId="0" applyNumberFormat="1" applyFont="1" applyFill="1" applyBorder="1" applyAlignment="1">
      <alignment horizontal="center" vertical="center"/>
    </xf>
    <xf numFmtId="165" fontId="26" fillId="2" borderId="24" xfId="0" applyNumberFormat="1" applyFont="1" applyFill="1" applyBorder="1" applyAlignment="1">
      <alignment horizontal="center" vertical="center"/>
    </xf>
    <xf numFmtId="165" fontId="26" fillId="2" borderId="25" xfId="0" applyNumberFormat="1" applyFont="1" applyFill="1" applyBorder="1" applyAlignment="1">
      <alignment horizontal="center" vertical="center"/>
    </xf>
    <xf numFmtId="165" fontId="26" fillId="2" borderId="26" xfId="0" applyNumberFormat="1" applyFont="1" applyFill="1" applyBorder="1" applyAlignment="1">
      <alignment horizontal="center" vertical="center"/>
    </xf>
    <xf numFmtId="9" fontId="26" fillId="2" borderId="22" xfId="3" applyFont="1" applyFill="1" applyBorder="1" applyAlignment="1">
      <alignment horizontal="center" vertical="center"/>
    </xf>
    <xf numFmtId="9" fontId="26" fillId="2" borderId="0" xfId="3" applyFont="1" applyFill="1" applyBorder="1" applyAlignment="1">
      <alignment horizontal="center" vertical="center"/>
    </xf>
    <xf numFmtId="9" fontId="26" fillId="2" borderId="23" xfId="3" applyFont="1" applyFill="1" applyBorder="1" applyAlignment="1">
      <alignment horizontal="center" vertical="center"/>
    </xf>
    <xf numFmtId="9" fontId="26" fillId="2" borderId="24" xfId="3" applyFont="1" applyFill="1" applyBorder="1" applyAlignment="1">
      <alignment horizontal="center" vertical="center"/>
    </xf>
    <xf numFmtId="9" fontId="26" fillId="2" borderId="25" xfId="3" applyFont="1" applyFill="1" applyBorder="1" applyAlignment="1">
      <alignment horizontal="center" vertical="center"/>
    </xf>
    <xf numFmtId="9" fontId="26" fillId="2" borderId="26" xfId="3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8" fillId="2" borderId="20" xfId="0" applyFont="1" applyFill="1" applyBorder="1" applyAlignment="1">
      <alignment horizontal="center"/>
    </xf>
    <xf numFmtId="0" fontId="46" fillId="0" borderId="20" xfId="0" applyFont="1" applyBorder="1" applyAlignment="1">
      <alignment horizontal="center" vertical="center"/>
    </xf>
    <xf numFmtId="0" fontId="46" fillId="0" borderId="28" xfId="0" applyFont="1" applyBorder="1" applyAlignment="1">
      <alignment horizontal="center" vertical="center"/>
    </xf>
    <xf numFmtId="165" fontId="29" fillId="0" borderId="32" xfId="0" applyNumberFormat="1" applyFont="1" applyBorder="1" applyAlignment="1">
      <alignment horizontal="center" vertical="center"/>
    </xf>
    <xf numFmtId="165" fontId="29" fillId="0" borderId="20" xfId="0" applyNumberFormat="1" applyFont="1" applyBorder="1" applyAlignment="1">
      <alignment horizontal="center" vertical="center"/>
    </xf>
    <xf numFmtId="165" fontId="29" fillId="0" borderId="33" xfId="0" applyNumberFormat="1" applyFont="1" applyBorder="1" applyAlignment="1">
      <alignment horizontal="center" vertical="center"/>
    </xf>
    <xf numFmtId="165" fontId="29" fillId="0" borderId="29" xfId="0" applyNumberFormat="1" applyFont="1" applyBorder="1" applyAlignment="1">
      <alignment horizontal="center" vertical="center"/>
    </xf>
    <xf numFmtId="165" fontId="29" fillId="0" borderId="30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65" fontId="29" fillId="0" borderId="32" xfId="0" applyNumberFormat="1" applyFont="1" applyBorder="1" applyAlignment="1">
      <alignment horizontal="left" vertical="center"/>
    </xf>
    <xf numFmtId="165" fontId="29" fillId="0" borderId="20" xfId="0" applyNumberFormat="1" applyFont="1" applyBorder="1" applyAlignment="1">
      <alignment horizontal="left" vertical="center"/>
    </xf>
    <xf numFmtId="165" fontId="29" fillId="0" borderId="29" xfId="0" applyNumberFormat="1" applyFont="1" applyBorder="1" applyAlignment="1">
      <alignment horizontal="left" vertical="center"/>
    </xf>
    <xf numFmtId="165" fontId="29" fillId="0" borderId="31" xfId="0" applyNumberFormat="1" applyFont="1" applyBorder="1" applyAlignment="1">
      <alignment horizontal="left" vertical="center"/>
    </xf>
    <xf numFmtId="165" fontId="29" fillId="0" borderId="28" xfId="0" applyNumberFormat="1" applyFont="1" applyBorder="1" applyAlignment="1">
      <alignment horizontal="left" vertical="center"/>
    </xf>
    <xf numFmtId="0" fontId="11" fillId="0" borderId="0" xfId="0" applyFont="1" applyAlignment="1">
      <alignment horizontal="center"/>
    </xf>
    <xf numFmtId="4" fontId="12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6" fillId="0" borderId="27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47" fillId="3" borderId="12" xfId="0" applyFont="1" applyFill="1" applyBorder="1" applyAlignment="1">
      <alignment horizontal="center" vertical="center"/>
    </xf>
    <xf numFmtId="0" fontId="47" fillId="3" borderId="13" xfId="0" applyFont="1" applyFill="1" applyBorder="1" applyAlignment="1">
      <alignment horizontal="center" vertical="center"/>
    </xf>
    <xf numFmtId="0" fontId="47" fillId="3" borderId="14" xfId="0" applyFont="1" applyFill="1" applyBorder="1" applyAlignment="1">
      <alignment horizontal="center" vertical="center"/>
    </xf>
    <xf numFmtId="0" fontId="47" fillId="3" borderId="35" xfId="0" applyFont="1" applyFill="1" applyBorder="1" applyAlignment="1">
      <alignment horizontal="center" vertical="center"/>
    </xf>
    <xf numFmtId="0" fontId="47" fillId="3" borderId="36" xfId="0" applyFont="1" applyFill="1" applyBorder="1" applyAlignment="1">
      <alignment horizontal="center" vertical="center"/>
    </xf>
    <xf numFmtId="0" fontId="46" fillId="0" borderId="37" xfId="0" applyFont="1" applyBorder="1" applyAlignment="1">
      <alignment horizontal="center" vertical="center"/>
    </xf>
    <xf numFmtId="165" fontId="29" fillId="0" borderId="38" xfId="0" applyNumberFormat="1" applyFont="1" applyBorder="1" applyAlignment="1">
      <alignment horizontal="left" vertical="center"/>
    </xf>
    <xf numFmtId="0" fontId="46" fillId="0" borderId="34" xfId="0" applyFont="1" applyBorder="1" applyAlignment="1">
      <alignment horizontal="center" vertical="center"/>
    </xf>
    <xf numFmtId="0" fontId="46" fillId="0" borderId="0" xfId="0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left" vertical="center"/>
    </xf>
    <xf numFmtId="165" fontId="29" fillId="0" borderId="18" xfId="0" applyNumberFormat="1" applyFont="1" applyBorder="1" applyAlignment="1">
      <alignment horizontal="left" vertical="center"/>
    </xf>
    <xf numFmtId="0" fontId="46" fillId="0" borderId="39" xfId="0" applyFont="1" applyBorder="1" applyAlignment="1">
      <alignment horizontal="center" vertical="center"/>
    </xf>
    <xf numFmtId="165" fontId="29" fillId="0" borderId="40" xfId="0" applyNumberFormat="1" applyFont="1" applyBorder="1" applyAlignment="1">
      <alignment horizontal="left" vertical="center"/>
    </xf>
    <xf numFmtId="0" fontId="46" fillId="0" borderId="41" xfId="0" applyFont="1" applyBorder="1" applyAlignment="1">
      <alignment horizontal="center" vertical="center"/>
    </xf>
    <xf numFmtId="0" fontId="46" fillId="0" borderId="15" xfId="0" applyFont="1" applyBorder="1" applyAlignment="1">
      <alignment horizontal="center" vertical="center"/>
    </xf>
    <xf numFmtId="0" fontId="46" fillId="0" borderId="16" xfId="0" applyFont="1" applyBorder="1" applyAlignment="1">
      <alignment horizontal="center" vertical="center"/>
    </xf>
    <xf numFmtId="165" fontId="29" fillId="0" borderId="42" xfId="0" applyNumberFormat="1" applyFont="1" applyBorder="1" applyAlignment="1">
      <alignment horizontal="center" vertical="center"/>
    </xf>
    <xf numFmtId="165" fontId="29" fillId="0" borderId="16" xfId="0" applyNumberFormat="1" applyFont="1" applyBorder="1" applyAlignment="1">
      <alignment horizontal="center" vertical="center"/>
    </xf>
    <xf numFmtId="165" fontId="29" fillId="0" borderId="43" xfId="0" applyNumberFormat="1" applyFont="1" applyBorder="1" applyAlignment="1">
      <alignment horizontal="center" vertical="center"/>
    </xf>
    <xf numFmtId="165" fontId="29" fillId="0" borderId="42" xfId="0" applyNumberFormat="1" applyFont="1" applyBorder="1" applyAlignment="1">
      <alignment horizontal="left" vertical="center"/>
    </xf>
    <xf numFmtId="165" fontId="29" fillId="0" borderId="16" xfId="0" applyNumberFormat="1" applyFont="1" applyBorder="1" applyAlignment="1">
      <alignment horizontal="left" vertical="center"/>
    </xf>
    <xf numFmtId="165" fontId="29" fillId="0" borderId="17" xfId="0" applyNumberFormat="1" applyFont="1" applyBorder="1" applyAlignment="1">
      <alignment horizontal="left" vertic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/>
    <xf numFmtId="0" fontId="0" fillId="0" borderId="49" xfId="0" applyBorder="1"/>
    <xf numFmtId="167" fontId="0" fillId="0" borderId="0" xfId="0" applyNumberFormat="1" applyBorder="1"/>
    <xf numFmtId="164" fontId="0" fillId="0" borderId="0" xfId="0" applyNumberFormat="1" applyBorder="1"/>
    <xf numFmtId="164" fontId="0" fillId="0" borderId="49" xfId="0" applyNumberFormat="1" applyBorder="1"/>
    <xf numFmtId="0" fontId="0" fillId="0" borderId="50" xfId="0" applyBorder="1"/>
    <xf numFmtId="167" fontId="0" fillId="0" borderId="51" xfId="0" applyNumberFormat="1" applyBorder="1"/>
    <xf numFmtId="164" fontId="0" fillId="0" borderId="51" xfId="0" applyNumberFormat="1" applyBorder="1"/>
    <xf numFmtId="164" fontId="0" fillId="0" borderId="52" xfId="0" applyNumberFormat="1" applyBorder="1"/>
    <xf numFmtId="0" fontId="0" fillId="0" borderId="48" xfId="0" applyBorder="1" applyAlignment="1">
      <alignment horizontal="center"/>
    </xf>
    <xf numFmtId="0" fontId="0" fillId="0" borderId="51" xfId="0" applyBorder="1"/>
    <xf numFmtId="0" fontId="0" fillId="0" borderId="52" xfId="0" applyBorder="1"/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28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7" fillId="3" borderId="22" xfId="0" applyFont="1" applyFill="1" applyBorder="1" applyAlignment="1">
      <alignment horizontal="center" vertical="center"/>
    </xf>
    <xf numFmtId="0" fontId="47" fillId="3" borderId="0" xfId="0" applyFont="1" applyFill="1" applyBorder="1" applyAlignment="1">
      <alignment horizontal="center" vertical="center"/>
    </xf>
    <xf numFmtId="0" fontId="47" fillId="3" borderId="23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34" xfId="0" applyFill="1" applyBorder="1"/>
    <xf numFmtId="0" fontId="0" fillId="2" borderId="0" xfId="0" applyFill="1" applyBorder="1"/>
    <xf numFmtId="0" fontId="0" fillId="2" borderId="18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0" borderId="44" xfId="0" applyBorder="1"/>
    <xf numFmtId="0" fontId="0" fillId="0" borderId="44" xfId="0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55" xfId="0" applyBorder="1"/>
  </cellXfs>
  <cellStyles count="4">
    <cellStyle name="Hyperlink" xfId="2" xr:uid="{00000000-000B-0000-0000-000008000000}"/>
    <cellStyle name="Moeda" xfId="1" builtinId="4"/>
    <cellStyle name="Normal" xfId="0" builtinId="0"/>
    <cellStyle name="Porcentagem" xfId="3" builtinId="5"/>
  </cellStyles>
  <dxfs count="44"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horizontal="center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3956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43"/>
    </tableStyle>
  </tableStyles>
  <colors>
    <mruColors>
      <color rgb="FF313829"/>
      <color rgb="FF1A261A"/>
      <color rgb="FF787674"/>
      <color rgb="FF373A3A"/>
      <color rgb="FF343C2C"/>
      <color rgb="FFB39563"/>
      <color rgb="FFEBC282"/>
      <color rgb="FFE7B667"/>
      <color rgb="FFA58C5F"/>
      <color rgb="FFB29D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'Base de Cálculos'!$C$2</c:f>
              <c:strCache>
                <c:ptCount val="1"/>
                <c:pt idx="0">
                  <c:v>Entradas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de Cálculos'!$B$3:$B$7</c:f>
              <c:strCache>
                <c:ptCount val="5"/>
                <c:pt idx="0">
                  <c:v>Café</c:v>
                </c:pt>
                <c:pt idx="1">
                  <c:v>Chocolate Quente</c:v>
                </c:pt>
                <c:pt idx="2">
                  <c:v>Pão de Queijo</c:v>
                </c:pt>
                <c:pt idx="3">
                  <c:v>Coxinha</c:v>
                </c:pt>
                <c:pt idx="4">
                  <c:v>Refrigerante</c:v>
                </c:pt>
              </c:strCache>
            </c:strRef>
          </c:cat>
          <c:val>
            <c:numRef>
              <c:f>'Base de Cálculos'!$C$3:$C$7</c:f>
              <c:numCache>
                <c:formatCode>General</c:formatCode>
                <c:ptCount val="5"/>
                <c:pt idx="0">
                  <c:v>1635</c:v>
                </c:pt>
                <c:pt idx="1">
                  <c:v>750</c:v>
                </c:pt>
                <c:pt idx="2">
                  <c:v>620</c:v>
                </c:pt>
                <c:pt idx="3">
                  <c:v>550</c:v>
                </c:pt>
                <c:pt idx="4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8E-4FDA-8EB1-0860795955E3}"/>
            </c:ext>
          </c:extLst>
        </c:ser>
        <c:ser>
          <c:idx val="1"/>
          <c:order val="1"/>
          <c:tx>
            <c:strRef>
              <c:f>'Base de Cálculos'!$D$2</c:f>
              <c:strCache>
                <c:ptCount val="1"/>
                <c:pt idx="0">
                  <c:v>Saídas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de Cálculos'!$B$3:$B$7</c:f>
              <c:strCache>
                <c:ptCount val="5"/>
                <c:pt idx="0">
                  <c:v>Café</c:v>
                </c:pt>
                <c:pt idx="1">
                  <c:v>Chocolate Quente</c:v>
                </c:pt>
                <c:pt idx="2">
                  <c:v>Pão de Queijo</c:v>
                </c:pt>
                <c:pt idx="3">
                  <c:v>Coxinha</c:v>
                </c:pt>
                <c:pt idx="4">
                  <c:v>Refrigerante</c:v>
                </c:pt>
              </c:strCache>
            </c:strRef>
          </c:cat>
          <c:val>
            <c:numRef>
              <c:f>'Base de Cálculos'!$D$3:$D$7</c:f>
              <c:numCache>
                <c:formatCode>General</c:formatCode>
                <c:ptCount val="5"/>
                <c:pt idx="0">
                  <c:v>945</c:v>
                </c:pt>
                <c:pt idx="1">
                  <c:v>500</c:v>
                </c:pt>
                <c:pt idx="2">
                  <c:v>400</c:v>
                </c:pt>
                <c:pt idx="3">
                  <c:v>245</c:v>
                </c:pt>
                <c:pt idx="4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8E-4FDA-8EB1-0860795955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4266159"/>
        <c:axId val="94267599"/>
      </c:barChart>
      <c:catAx>
        <c:axId val="94266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267599"/>
        <c:crosses val="autoZero"/>
        <c:auto val="1"/>
        <c:lblAlgn val="ctr"/>
        <c:lblOffset val="100"/>
        <c:noMultiLvlLbl val="0"/>
      </c:catAx>
      <c:valAx>
        <c:axId val="94267599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426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>
          <a:solidFill>
            <a:schemeClr val="dk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530947716042535E-2"/>
          <c:y val="0.26506352198932881"/>
          <c:w val="0.88825465478786991"/>
          <c:h val="0.56794326765492342"/>
        </c:manualLayout>
      </c:layout>
      <c:lineChart>
        <c:grouping val="standard"/>
        <c:varyColors val="0"/>
        <c:ser>
          <c:idx val="0"/>
          <c:order val="0"/>
          <c:tx>
            <c:strRef>
              <c:f>'Base de Cálculos'!$H$2</c:f>
              <c:strCache>
                <c:ptCount val="1"/>
                <c:pt idx="0">
                  <c:v>Faturamento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'Base de Cálculos'!$G$3:$G$14</c:f>
              <c:numCache>
                <c:formatCode>mmm</c:formatCode>
                <c:ptCount val="12"/>
                <c:pt idx="0">
                  <c:v>1</c:v>
                </c:pt>
                <c:pt idx="1">
                  <c:v>32</c:v>
                </c:pt>
                <c:pt idx="2">
                  <c:v>61</c:v>
                </c:pt>
                <c:pt idx="3">
                  <c:v>92</c:v>
                </c:pt>
                <c:pt idx="4">
                  <c:v>122</c:v>
                </c:pt>
                <c:pt idx="5">
                  <c:v>153</c:v>
                </c:pt>
                <c:pt idx="6">
                  <c:v>183</c:v>
                </c:pt>
                <c:pt idx="7">
                  <c:v>214</c:v>
                </c:pt>
                <c:pt idx="8">
                  <c:v>245</c:v>
                </c:pt>
                <c:pt idx="9">
                  <c:v>275</c:v>
                </c:pt>
                <c:pt idx="10">
                  <c:v>306</c:v>
                </c:pt>
                <c:pt idx="11">
                  <c:v>336</c:v>
                </c:pt>
              </c:numCache>
            </c:numRef>
          </c:cat>
          <c:val>
            <c:numRef>
              <c:f>'Base de Cálculos'!$H$3:$H$14</c:f>
              <c:numCache>
                <c:formatCode>_-[$R$-416]\ * #,##0.00_-;\-[$R$-416]\ * #,##0.00_-;_-[$R$-416]\ * "-"??_-;_-@_-</c:formatCode>
                <c:ptCount val="12"/>
                <c:pt idx="0">
                  <c:v>1475</c:v>
                </c:pt>
                <c:pt idx="1">
                  <c:v>1652.5</c:v>
                </c:pt>
                <c:pt idx="2">
                  <c:v>2302.5</c:v>
                </c:pt>
                <c:pt idx="3">
                  <c:v>1507.5</c:v>
                </c:pt>
                <c:pt idx="4">
                  <c:v>1372</c:v>
                </c:pt>
                <c:pt idx="5">
                  <c:v>1145</c:v>
                </c:pt>
                <c:pt idx="6">
                  <c:v>2217.5</c:v>
                </c:pt>
                <c:pt idx="7">
                  <c:v>1621.5</c:v>
                </c:pt>
                <c:pt idx="8">
                  <c:v>2234</c:v>
                </c:pt>
                <c:pt idx="9">
                  <c:v>1508</c:v>
                </c:pt>
                <c:pt idx="10">
                  <c:v>811.5</c:v>
                </c:pt>
                <c:pt idx="11">
                  <c:v>1195.5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2A-4CEE-9023-CEFDD475DD4F}"/>
            </c:ext>
          </c:extLst>
        </c:ser>
        <c:ser>
          <c:idx val="1"/>
          <c:order val="1"/>
          <c:tx>
            <c:strRef>
              <c:f>'Base de Cálculos'!$I$2</c:f>
              <c:strCache>
                <c:ptCount val="1"/>
                <c:pt idx="0">
                  <c:v>Despesas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'Base de Cálculos'!$G$3:$G$14</c:f>
              <c:numCache>
                <c:formatCode>mmm</c:formatCode>
                <c:ptCount val="12"/>
                <c:pt idx="0">
                  <c:v>1</c:v>
                </c:pt>
                <c:pt idx="1">
                  <c:v>32</c:v>
                </c:pt>
                <c:pt idx="2">
                  <c:v>61</c:v>
                </c:pt>
                <c:pt idx="3">
                  <c:v>92</c:v>
                </c:pt>
                <c:pt idx="4">
                  <c:v>122</c:v>
                </c:pt>
                <c:pt idx="5">
                  <c:v>153</c:v>
                </c:pt>
                <c:pt idx="6">
                  <c:v>183</c:v>
                </c:pt>
                <c:pt idx="7">
                  <c:v>214</c:v>
                </c:pt>
                <c:pt idx="8">
                  <c:v>245</c:v>
                </c:pt>
                <c:pt idx="9">
                  <c:v>275</c:v>
                </c:pt>
                <c:pt idx="10">
                  <c:v>306</c:v>
                </c:pt>
                <c:pt idx="11">
                  <c:v>336</c:v>
                </c:pt>
              </c:numCache>
            </c:numRef>
          </c:cat>
          <c:val>
            <c:numRef>
              <c:f>'Base de Cálculos'!$I$3:$I$14</c:f>
              <c:numCache>
                <c:formatCode>_-[$R$-416]\ * #,##0.00_-;\-[$R$-416]\ * #,##0.00_-;_-[$R$-416]\ * "-"??_-;_-@_-</c:formatCode>
                <c:ptCount val="12"/>
                <c:pt idx="0">
                  <c:v>297.5</c:v>
                </c:pt>
                <c:pt idx="1">
                  <c:v>378.75</c:v>
                </c:pt>
                <c:pt idx="2">
                  <c:v>922.5</c:v>
                </c:pt>
                <c:pt idx="3">
                  <c:v>362.5</c:v>
                </c:pt>
                <c:pt idx="4">
                  <c:v>723.75</c:v>
                </c:pt>
                <c:pt idx="5">
                  <c:v>376.25</c:v>
                </c:pt>
                <c:pt idx="6">
                  <c:v>355</c:v>
                </c:pt>
                <c:pt idx="7">
                  <c:v>431.25</c:v>
                </c:pt>
                <c:pt idx="8">
                  <c:v>806</c:v>
                </c:pt>
                <c:pt idx="9">
                  <c:v>247.75</c:v>
                </c:pt>
                <c:pt idx="10">
                  <c:v>218.75</c:v>
                </c:pt>
                <c:pt idx="11">
                  <c:v>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2A-4CEE-9023-CEFDD475DD4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51170223"/>
        <c:axId val="451164943"/>
      </c:lineChart>
      <c:dateAx>
        <c:axId val="451170223"/>
        <c:scaling>
          <c:orientation val="minMax"/>
        </c:scaling>
        <c:delete val="0"/>
        <c:axPos val="b"/>
        <c:numFmt formatCode="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1164943"/>
        <c:crosses val="autoZero"/>
        <c:auto val="1"/>
        <c:lblOffset val="100"/>
        <c:baseTimeUnit val="months"/>
      </c:dateAx>
      <c:valAx>
        <c:axId val="451164943"/>
        <c:scaling>
          <c:orientation val="minMax"/>
        </c:scaling>
        <c:delete val="0"/>
        <c:axPos val="l"/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117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1094510</xdr:colOff>
      <xdr:row>0</xdr:row>
      <xdr:rowOff>658092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18C730F-C230-2E70-3DF3-1C9A7D935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6729" cy="5611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360218</xdr:colOff>
      <xdr:row>0</xdr:row>
      <xdr:rowOff>76199</xdr:rowOff>
    </xdr:from>
    <xdr:to>
      <xdr:col>2</xdr:col>
      <xdr:colOff>983674</xdr:colOff>
      <xdr:row>0</xdr:row>
      <xdr:rowOff>637309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8CF01F9-FDFB-4D8C-9BB5-B0295C433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8" y="76199"/>
          <a:ext cx="2216729" cy="5611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23553</xdr:colOff>
      <xdr:row>0</xdr:row>
      <xdr:rowOff>76199</xdr:rowOff>
    </xdr:from>
    <xdr:to>
      <xdr:col>4</xdr:col>
      <xdr:colOff>504257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8AF855A-3F4A-459E-BBF7-B2FA93773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15933</xdr:colOff>
      <xdr:row>0</xdr:row>
      <xdr:rowOff>76199</xdr:rowOff>
    </xdr:from>
    <xdr:to>
      <xdr:col>4</xdr:col>
      <xdr:colOff>393224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6FB358B-4560-43C5-BF07-D26A36FB5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69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693</xdr:colOff>
      <xdr:row>0</xdr:row>
      <xdr:rowOff>76199</xdr:rowOff>
    </xdr:from>
    <xdr:to>
      <xdr:col>5</xdr:col>
      <xdr:colOff>372689</xdr:colOff>
      <xdr:row>0</xdr:row>
      <xdr:rowOff>637309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24A4C03-ADA0-4574-85F8-78F72B922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2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23553</xdr:colOff>
      <xdr:row>0</xdr:row>
      <xdr:rowOff>76199</xdr:rowOff>
    </xdr:from>
    <xdr:to>
      <xdr:col>3</xdr:col>
      <xdr:colOff>45029</xdr:colOff>
      <xdr:row>0</xdr:row>
      <xdr:rowOff>637309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7B480CB-C864-4D0A-8790-49E349F10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25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0</xdr:row>
      <xdr:rowOff>60960</xdr:rowOff>
    </xdr:from>
    <xdr:to>
      <xdr:col>15</xdr:col>
      <xdr:colOff>67196</xdr:colOff>
      <xdr:row>0</xdr:row>
      <xdr:rowOff>622070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7AF63C5-019A-43E3-B90C-29B774B6E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" y="60960"/>
          <a:ext cx="2216036" cy="56111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59167</xdr:colOff>
      <xdr:row>5</xdr:row>
      <xdr:rowOff>21066</xdr:rowOff>
    </xdr:from>
    <xdr:to>
      <xdr:col>31</xdr:col>
      <xdr:colOff>892</xdr:colOff>
      <xdr:row>5</xdr:row>
      <xdr:rowOff>21066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B2C68D8B-FC6B-4889-8500-246D0F124237}"/>
            </a:ext>
            <a:ext uri="{147F2762-F138-4A5C-976F-8EAC2B608ADB}">
              <a16:predDERef xmlns:a16="http://schemas.microsoft.com/office/drawing/2014/main" pred="{1F36D36E-57C6-45FA-9E9A-4EF9D0FC68A8}"/>
            </a:ext>
          </a:extLst>
        </xdr:cNvPr>
        <xdr:cNvCxnSpPr/>
      </xdr:nvCxnSpPr>
      <xdr:spPr>
        <a:xfrm>
          <a:off x="59167" y="592566"/>
          <a:ext cx="4429905" cy="0"/>
        </a:xfrm>
        <a:prstGeom prst="line">
          <a:avLst/>
        </a:prstGeom>
        <a:ln w="19050">
          <a:solidFill>
            <a:srgbClr val="775A4F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15240</xdr:colOff>
      <xdr:row>0</xdr:row>
      <xdr:rowOff>30480</xdr:rowOff>
    </xdr:from>
    <xdr:to>
      <xdr:col>29</xdr:col>
      <xdr:colOff>95250</xdr:colOff>
      <xdr:row>4</xdr:row>
      <xdr:rowOff>114299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14E050CF-13DE-4047-8AAB-8FF225BBF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1720" y="30480"/>
          <a:ext cx="1950720" cy="541019"/>
        </a:xfrm>
        <a:prstGeom prst="rect">
          <a:avLst/>
        </a:prstGeom>
      </xdr:spPr>
    </xdr:pic>
    <xdr:clientData/>
  </xdr:twoCellAnchor>
  <xdr:twoCellAnchor>
    <xdr:from>
      <xdr:col>2</xdr:col>
      <xdr:colOff>15240</xdr:colOff>
      <xdr:row>9</xdr:row>
      <xdr:rowOff>15240</xdr:rowOff>
    </xdr:from>
    <xdr:to>
      <xdr:col>24</xdr:col>
      <xdr:colOff>114300</xdr:colOff>
      <xdr:row>26</xdr:row>
      <xdr:rowOff>91440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9380C9B-8469-6864-A9AA-C15AFF6FF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22860</xdr:colOff>
      <xdr:row>10</xdr:row>
      <xdr:rowOff>15240</xdr:rowOff>
    </xdr:from>
    <xdr:to>
      <xdr:col>83</xdr:col>
      <xdr:colOff>83820</xdr:colOff>
      <xdr:row>26</xdr:row>
      <xdr:rowOff>91440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97258006-C9B4-9297-353D-E503B938E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F31" totalsRowShown="0" headerRowDxfId="42" dataDxfId="41">
  <autoFilter ref="B4:F31" xr:uid="{BF78AD2E-2996-4673-93A5-FBABBADBFCAD}"/>
  <tableColumns count="5">
    <tableColumn id="1" xr3:uid="{377E90C8-0A45-4737-AC04-4C7CDB0AEAE2}" name="Produto" dataDxfId="40"/>
    <tableColumn id="2" xr3:uid="{4EB804C9-8A27-4783-BD36-FB9E656AE6E9}" name="Unidade de Medida" dataDxfId="39"/>
    <tableColumn id="3" xr3:uid="{A21D3E1F-EEC0-4E4A-BE5D-F1FC07B6F8D6}" name="Estoque Mínimo" dataDxfId="38"/>
    <tableColumn id="4" xr3:uid="{56ACBABD-1CFA-40E7-BC2B-DBA4120CD2CF}" name="Custo Unitário" dataDxfId="37" dataCellStyle="Moeda"/>
    <tableColumn id="5" xr3:uid="{96CD541B-A2C4-4577-95D7-DC8135FFC00B}" name="Preço Unitário" dataDxfId="36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E9" totalsRowShown="0" headerRowDxfId="35" dataDxfId="34">
  <autoFilter ref="B5:E9" xr:uid="{3FE8CB29-2D3F-4475-8076-85314FAA5C42}"/>
  <tableColumns count="4">
    <tableColumn id="1" xr3:uid="{5957F8AA-CE75-4BE8-A28F-E63751C6F321}" name="Empresa" dataDxfId="33"/>
    <tableColumn id="2" xr3:uid="{714E240A-6400-4353-BAFA-98056A75BEB8}" name="Telefone" dataDxfId="32"/>
    <tableColumn id="3" xr3:uid="{83F2A368-4F63-4459-A8E0-C24478833107}" name="Responsável" dataDxfId="31"/>
    <tableColumn id="4" xr3:uid="{B26AA4D1-77D3-4E4E-8E26-1DD67159E60C}" name="E-mail" dataDxfId="30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I59" totalsRowShown="0" headerRowDxfId="29" dataDxfId="28">
  <autoFilter ref="B5:I59" xr:uid="{96889516-6D39-4469-A223-4B0F7168EF79}"/>
  <tableColumns count="8">
    <tableColumn id="7" xr3:uid="{4AF3EAC0-F872-46A1-9540-C49902B0DCA4}" name="&quot;&quot;" dataDxfId="27">
      <calculatedColumnFormula>MONTH(TB_Entradas[[#This Row],[Data]])</calculatedColumnFormula>
    </tableColumn>
    <tableColumn id="8" xr3:uid="{3C73B3F7-29E5-44EE-93C7-3CEA2CF3A38D}" name="Mês" dataDxfId="2">
      <calculatedColumnFormula>MONTH(TB_Entradas[[#This Row],[Data]])</calculatedColumnFormula>
    </tableColumn>
    <tableColumn id="1" xr3:uid="{701AD28A-1CD8-44C9-BCEB-958AEB0E91DD}" name="Data" dataDxfId="26"/>
    <tableColumn id="2" xr3:uid="{F247CE0B-0EF4-4B75-A4B5-2205D8CF8B59}" name="Produto" dataDxfId="25"/>
    <tableColumn id="3" xr3:uid="{1A5D1499-6E9D-496F-95A9-F290D6FBA0EA}" name="Fornecedor" dataDxfId="24"/>
    <tableColumn id="4" xr3:uid="{8E9FF413-1C84-4664-AA13-4DDF2E3D7D9D}" name="Quantidade Comprada" dataDxfId="23" dataCellStyle="Moeda"/>
    <tableColumn id="5" xr3:uid="{A02F7FDA-CBAC-4B18-A2AB-0654AA440E5C}" name="Custo Unitário" dataDxfId="22">
      <calculatedColumnFormula array="1">_xlfn.XLOOKUP(TB_Entradas[[#This Row],[Produto]],TB_Produtos[[#All],[Produto]],TB_Produtos[[#All],[Custo Unitário]],"Produto não Encontrado",0,1)</calculatedColumnFormula>
    </tableColumn>
    <tableColumn id="6" xr3:uid="{C58A77A0-4427-4854-BE4E-4859DEF6E459}" name="Valor da Compra" dataDxfId="21">
      <calculatedColumnFormula>IFERROR(TB_Entradas[[#This Row],[Quantidade Comprada]]*TB_Entradas[[#This Row],[Custo Unitário]],"Erro ao calcular")</calculatedColumnFormula>
    </tableColumn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585A-A0FE-42A4-967D-5B04DAD1156E}" name="TB_Saídas" displayName="TB_Saídas" ref="B5:H62" totalsRowShown="0" headerRowDxfId="20" dataDxfId="19">
  <autoFilter ref="B5:H62" xr:uid="{586A585A-A0FE-42A4-967D-5B04DAD1156E}"/>
  <tableColumns count="7">
    <tableColumn id="7" xr3:uid="{1596BF95-EC92-45A1-A4DC-822BF85970E2}" name="&quot;&quot;" dataDxfId="18">
      <calculatedColumnFormula>MONTH(TB_Saídas[[#This Row],[Data]])</calculatedColumnFormula>
    </tableColumn>
    <tableColumn id="6" xr3:uid="{F3F34B57-E336-4372-99EC-4C5F49711DEA}" name="Mês" dataDxfId="3">
      <calculatedColumnFormula>MONTH(TB_Saídas[[#This Row],[Data]])</calculatedColumnFormula>
    </tableColumn>
    <tableColumn id="1" xr3:uid="{B4F598A6-4052-4062-950B-44B21BB57036}" name="Data" dataDxfId="17"/>
    <tableColumn id="2" xr3:uid="{370468ED-B740-49DE-AB89-5354284A2ABF}" name="Produto" dataDxfId="16"/>
    <tableColumn id="3" xr3:uid="{BE1ABBF0-3358-4840-B3C0-322DEDC290E1}" name="Quantidade Vendida" dataDxfId="15"/>
    <tableColumn id="4" xr3:uid="{561D4B7F-EDFE-4DF1-8FB5-D94F09D99A20}" name="Preço Unitário" dataDxfId="14" dataCellStyle="Moeda">
      <calculatedColumnFormula array="1">_xlfn.XLOOKUP(TB_Saídas[[#This Row],[Produto]],TB_Produtos[[#All],[Produto]],TB_Produtos[[#All],[Preço Unitário]],"Produto não Encontrado",0,1)</calculatedColumnFormula>
    </tableColumn>
    <tableColumn id="5" xr3:uid="{E2ABB07D-4494-43CF-A1D0-BB7188F908E0}" name="Valor de Venda" dataDxfId="13">
      <calculatedColumnFormula>IFERROR(TB_Saídas[[#This Row],[Quantidade Vendida]]*TB_Saídas[[#This Row],[Preço Unitário]],"Não foi possível calcular")</calculatedColumnFormula>
    </tableColumn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7EF29C-00D0-4030-B676-536CD20FE6BA}" name="TB_ControleEstoque" displayName="TB_ControleEstoque" ref="B5:J15" totalsRowShown="0" headerRowDxfId="12">
  <autoFilter ref="B5:J15" xr:uid="{347EF29C-00D0-4030-B676-536CD20FE6BA}"/>
  <tableColumns count="9">
    <tableColumn id="1" xr3:uid="{78F980A1-14CD-4F6E-AB99-C4BA00BC2581}" name="Produto"/>
    <tableColumn id="2" xr3:uid="{9FA7D6B5-DE47-4204-B1E9-DAFE01D4EAF5}" name="Entradas" dataDxfId="11">
      <calculatedColumnFormula>IFERROR(SUMIF(TB_Entradas[Produto],TB_ControleEstoque[[#This Row],[Produto]],TB_Entradas[Quantidade Comprada]),0)</calculatedColumnFormula>
    </tableColumn>
    <tableColumn id="3" xr3:uid="{04DB3B99-65C1-4C73-B7D8-37E1EF01C436}" name="Saídas " dataDxfId="10">
      <calculatedColumnFormula>IFERROR(SUMIF(TB_Saídas[Produto],TB_ControleEstoque[[#This Row],[Produto]],TB_Saídas[Quantidade Vendida]),0)</calculatedColumnFormula>
    </tableColumn>
    <tableColumn id="4" xr3:uid="{B85F1C2D-6598-4EDB-AA8B-8C804F21F72A}" name="Saldo em Estoque" dataDxfId="9">
      <calculatedColumnFormula>TB_ControleEstoque[[#This Row],[Entradas]]-TB_ControleEstoque[[#This Row],[Saídas ]]</calculatedColumnFormula>
    </tableColumn>
    <tableColumn id="5" xr3:uid="{758D7A90-134E-40AE-9F13-5CDB85014396}" name="Estoque Mínimo" dataDxfId="8">
      <calculatedColumnFormula>_xlfn.XLOOKUP(TB_ControleEstoque[[#This Row],[Produto]],TB_Produtos[Produto],TB_Produtos[Estoque Mínimo],"Erro",0,1)</calculatedColumnFormula>
    </tableColumn>
    <tableColumn id="6" xr3:uid="{4FAD9CB5-0E7D-4896-A58D-3F8ECEA4574F}" name="Status do Estoque" dataDxfId="7">
      <calculatedColumnFormula array="1">_xlfn.IFS(TB_ControleEstoque[[#This Row],[Saldo em Estoque]]&gt;TB_ControleEstoque[[#This Row],[Estoque Mínimo]],"Estoque OK",TB_ControleEstoque[[#This Row],[Saldo em Estoque]]=0,"Estoque Zerado",1,"Repor Estoque")</calculatedColumnFormula>
    </tableColumn>
    <tableColumn id="7" xr3:uid="{0A19DE5A-1DA5-4990-856A-1447B740447E}" name="Valor de Venda" dataDxfId="6">
      <calculatedColumnFormula>SUMIFS(TB_Saídas[Valor de Venda],TB_Saídas[Produto],TB_ControleEstoque[[#This Row],[Produto]])</calculatedColumnFormula>
    </tableColumn>
    <tableColumn id="8" xr3:uid="{DB00E371-8CEA-4DB3-9B0C-5445F8370CE3}" name="Custo Total" dataDxfId="5">
      <calculatedColumnFormula>SUMIFS(TB_Entradas[Valor da Compra],TB_Entradas[Produto],TB_ControleEstoque[[#This Row],[Produto]])</calculatedColumnFormula>
    </tableColumn>
    <tableColumn id="9" xr3:uid="{15E00F21-6DB5-437E-ABC8-BDF107CA8A75}" name="Lucro" dataDxfId="4">
      <calculatedColumnFormula>TB_ControleEstoque[[#This Row],[Valor de Venda]]-TB_ControleEstoque[[#This Row],[Custo Total]]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Serenatto Caf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13829"/>
      </a:accent1>
      <a:accent2>
        <a:srgbClr val="1A261A"/>
      </a:accent2>
      <a:accent3>
        <a:srgbClr val="B39563"/>
      </a:accent3>
      <a:accent4>
        <a:srgbClr val="787674"/>
      </a:accent4>
      <a:accent5>
        <a:srgbClr val="C9B1AC"/>
      </a:accent5>
      <a:accent6>
        <a:srgbClr val="E8D7A4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2.xml"/><Relationship Id="rId4" Type="http://schemas.openxmlformats.org/officeDocument/2006/relationships/hyperlink" Target="mailto:claudia@salgadosgran.com.b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I31"/>
  <sheetViews>
    <sheetView showGridLines="0" zoomScale="140" zoomScaleNormal="140" workbookViewId="0">
      <selection activeCell="G5" sqref="G5"/>
    </sheetView>
  </sheetViews>
  <sheetFormatPr defaultColWidth="9.109375" defaultRowHeight="14.4" x14ac:dyDescent="0.3"/>
  <cols>
    <col min="1" max="1" width="5.33203125" customWidth="1"/>
    <col min="2" max="2" width="16.33203125" bestFit="1" customWidth="1"/>
    <col min="3" max="3" width="22.5546875" bestFit="1" customWidth="1"/>
    <col min="4" max="4" width="19.6640625" bestFit="1" customWidth="1"/>
    <col min="5" max="5" width="18.44140625" customWidth="1"/>
    <col min="6" max="6" width="20.44140625" style="1" customWidth="1"/>
    <col min="8" max="8" width="13.5546875" customWidth="1"/>
    <col min="9" max="9" width="15.33203125" customWidth="1"/>
  </cols>
  <sheetData>
    <row r="1" spans="2:9" s="29" customFormat="1" ht="60" customHeight="1" x14ac:dyDescent="0.3">
      <c r="E1" s="37" t="s">
        <v>0</v>
      </c>
      <c r="F1" s="38"/>
    </row>
    <row r="2" spans="2:9" s="32" customFormat="1" ht="6" customHeight="1" x14ac:dyDescent="0.3">
      <c r="F2" s="33"/>
    </row>
    <row r="4" spans="2:9" x14ac:dyDescent="0.3">
      <c r="B4" s="47" t="s">
        <v>1</v>
      </c>
      <c r="C4" s="47" t="s">
        <v>2</v>
      </c>
      <c r="D4" s="47" t="s">
        <v>3</v>
      </c>
      <c r="E4" s="47" t="s">
        <v>4</v>
      </c>
      <c r="F4" s="47" t="s">
        <v>5</v>
      </c>
    </row>
    <row r="5" spans="2:9" ht="16.2" x14ac:dyDescent="0.35">
      <c r="B5" s="34" t="s">
        <v>6</v>
      </c>
      <c r="C5" s="35" t="s">
        <v>7</v>
      </c>
      <c r="D5" s="35">
        <v>50</v>
      </c>
      <c r="E5" s="36">
        <v>2</v>
      </c>
      <c r="F5" s="36">
        <v>6</v>
      </c>
      <c r="G5" s="3"/>
      <c r="H5" s="3"/>
    </row>
    <row r="6" spans="2:9" ht="16.2" x14ac:dyDescent="0.35">
      <c r="B6" s="34" t="s">
        <v>8</v>
      </c>
      <c r="C6" s="35" t="s">
        <v>9</v>
      </c>
      <c r="D6" s="35">
        <v>5</v>
      </c>
      <c r="E6" s="36">
        <v>1.5</v>
      </c>
      <c r="F6" s="36">
        <v>3</v>
      </c>
      <c r="H6" s="3"/>
    </row>
    <row r="7" spans="2:9" ht="16.2" x14ac:dyDescent="0.35">
      <c r="B7" s="34" t="s">
        <v>10</v>
      </c>
      <c r="C7" s="35" t="s">
        <v>9</v>
      </c>
      <c r="D7" s="35">
        <v>50</v>
      </c>
      <c r="E7" s="36">
        <v>0.5</v>
      </c>
      <c r="F7" s="36">
        <v>6.5</v>
      </c>
      <c r="H7" s="3"/>
    </row>
    <row r="8" spans="2:9" ht="16.2" x14ac:dyDescent="0.35">
      <c r="B8" s="34" t="s">
        <v>11</v>
      </c>
      <c r="C8" s="35" t="s">
        <v>9</v>
      </c>
      <c r="D8" s="35">
        <v>50</v>
      </c>
      <c r="E8" s="36">
        <v>1</v>
      </c>
      <c r="F8" s="36">
        <v>4.5</v>
      </c>
      <c r="H8" s="3"/>
    </row>
    <row r="9" spans="2:9" ht="16.2" x14ac:dyDescent="0.35">
      <c r="B9" s="34" t="s">
        <v>12</v>
      </c>
      <c r="C9" s="35" t="s">
        <v>9</v>
      </c>
      <c r="D9" s="35">
        <v>50</v>
      </c>
      <c r="E9" s="36">
        <v>1</v>
      </c>
      <c r="F9" s="36">
        <v>4</v>
      </c>
      <c r="H9" s="3"/>
      <c r="I9" s="10"/>
    </row>
    <row r="10" spans="2:9" ht="16.2" x14ac:dyDescent="0.35">
      <c r="B10" s="34" t="s">
        <v>13</v>
      </c>
      <c r="C10" s="35" t="s">
        <v>9</v>
      </c>
      <c r="D10" s="35">
        <v>50</v>
      </c>
      <c r="E10" s="36">
        <v>1</v>
      </c>
      <c r="F10" s="36">
        <v>4</v>
      </c>
    </row>
    <row r="11" spans="2:9" ht="16.2" x14ac:dyDescent="0.35">
      <c r="B11" s="34" t="s">
        <v>14</v>
      </c>
      <c r="C11" s="35" t="s">
        <v>9</v>
      </c>
      <c r="D11" s="35">
        <v>50</v>
      </c>
      <c r="E11" s="36">
        <v>0.5</v>
      </c>
      <c r="F11" s="36">
        <v>4</v>
      </c>
    </row>
    <row r="12" spans="2:9" ht="16.2" x14ac:dyDescent="0.35">
      <c r="B12" s="34" t="s">
        <v>15</v>
      </c>
      <c r="C12" s="35" t="s">
        <v>16</v>
      </c>
      <c r="D12" s="35">
        <v>15</v>
      </c>
      <c r="E12" s="36">
        <v>0.5</v>
      </c>
      <c r="F12" s="36">
        <v>2</v>
      </c>
    </row>
    <row r="13" spans="2:9" ht="16.2" x14ac:dyDescent="0.35">
      <c r="B13" s="34" t="s">
        <v>17</v>
      </c>
      <c r="C13" s="35" t="s">
        <v>16</v>
      </c>
      <c r="D13" s="35">
        <v>15</v>
      </c>
      <c r="E13" s="36">
        <v>0.25</v>
      </c>
      <c r="F13" s="36">
        <v>1</v>
      </c>
    </row>
    <row r="14" spans="2:9" ht="16.2" x14ac:dyDescent="0.35">
      <c r="B14" s="34" t="s">
        <v>18</v>
      </c>
      <c r="C14" s="35" t="s">
        <v>16</v>
      </c>
      <c r="D14" s="35">
        <v>15</v>
      </c>
      <c r="E14" s="36">
        <v>0.25</v>
      </c>
      <c r="F14" s="36">
        <v>1</v>
      </c>
    </row>
    <row r="15" spans="2:9" ht="16.2" x14ac:dyDescent="0.35">
      <c r="B15" s="34" t="s">
        <v>19</v>
      </c>
      <c r="C15" s="35" t="s">
        <v>20</v>
      </c>
      <c r="D15" s="35">
        <v>10</v>
      </c>
      <c r="E15" s="36">
        <v>0.25</v>
      </c>
      <c r="F15" s="36">
        <v>8.5</v>
      </c>
    </row>
    <row r="16" spans="2:9" ht="16.2" x14ac:dyDescent="0.35">
      <c r="B16" s="34" t="s">
        <v>21</v>
      </c>
      <c r="C16" s="35" t="s">
        <v>20</v>
      </c>
      <c r="D16" s="35">
        <v>12</v>
      </c>
      <c r="E16" s="36">
        <v>10</v>
      </c>
      <c r="F16" s="36">
        <v>5</v>
      </c>
    </row>
    <row r="17" spans="2:6" ht="16.2" x14ac:dyDescent="0.35">
      <c r="B17" s="34" t="s">
        <v>22</v>
      </c>
      <c r="C17" s="35" t="s">
        <v>9</v>
      </c>
      <c r="D17" s="35">
        <v>4</v>
      </c>
      <c r="E17" s="36">
        <v>2</v>
      </c>
      <c r="F17" s="36">
        <v>2</v>
      </c>
    </row>
    <row r="18" spans="2:6" ht="16.2" x14ac:dyDescent="0.35">
      <c r="B18" s="34" t="s">
        <v>23</v>
      </c>
      <c r="C18" s="35" t="s">
        <v>16</v>
      </c>
      <c r="D18" s="35">
        <v>10</v>
      </c>
      <c r="E18" s="36">
        <v>1</v>
      </c>
      <c r="F18" s="36">
        <v>5</v>
      </c>
    </row>
    <row r="19" spans="2:6" ht="16.2" x14ac:dyDescent="0.35">
      <c r="B19" s="34" t="s">
        <v>24</v>
      </c>
      <c r="C19" s="35" t="s">
        <v>16</v>
      </c>
      <c r="D19" s="35">
        <v>2</v>
      </c>
      <c r="E19" s="36">
        <v>0.75</v>
      </c>
      <c r="F19" s="36">
        <v>1.5</v>
      </c>
    </row>
    <row r="20" spans="2:6" ht="16.2" x14ac:dyDescent="0.35">
      <c r="B20" s="34" t="s">
        <v>25</v>
      </c>
      <c r="C20" s="35" t="s">
        <v>9</v>
      </c>
      <c r="D20" s="35">
        <v>10</v>
      </c>
      <c r="E20" s="36">
        <v>0.25</v>
      </c>
      <c r="F20" s="36">
        <v>7.5</v>
      </c>
    </row>
    <row r="21" spans="2:6" ht="16.2" x14ac:dyDescent="0.35">
      <c r="B21" s="34" t="s">
        <v>26</v>
      </c>
      <c r="C21" s="35" t="s">
        <v>16</v>
      </c>
      <c r="D21" s="35">
        <v>5</v>
      </c>
      <c r="E21" s="36">
        <v>0.75</v>
      </c>
      <c r="F21" s="36">
        <v>10</v>
      </c>
    </row>
    <row r="22" spans="2:6" ht="16.2" x14ac:dyDescent="0.35">
      <c r="B22" s="34" t="s">
        <v>27</v>
      </c>
      <c r="C22" s="35" t="s">
        <v>9</v>
      </c>
      <c r="D22" s="35">
        <v>2</v>
      </c>
      <c r="E22" s="36">
        <v>8</v>
      </c>
      <c r="F22" s="36">
        <v>15</v>
      </c>
    </row>
    <row r="23" spans="2:6" ht="16.2" x14ac:dyDescent="0.35">
      <c r="B23" s="34" t="s">
        <v>28</v>
      </c>
      <c r="C23" s="35" t="s">
        <v>9</v>
      </c>
      <c r="D23" s="35">
        <v>2</v>
      </c>
      <c r="E23" s="36">
        <v>4.5</v>
      </c>
      <c r="F23" s="36">
        <v>15</v>
      </c>
    </row>
    <row r="24" spans="2:6" ht="16.2" x14ac:dyDescent="0.35">
      <c r="B24" s="34" t="s">
        <v>29</v>
      </c>
      <c r="C24" s="35" t="s">
        <v>30</v>
      </c>
      <c r="D24" s="35">
        <v>5</v>
      </c>
      <c r="E24" s="36">
        <v>0.25</v>
      </c>
      <c r="F24" s="36">
        <v>2</v>
      </c>
    </row>
    <row r="25" spans="2:6" ht="16.2" x14ac:dyDescent="0.35">
      <c r="B25" s="34" t="s">
        <v>31</v>
      </c>
      <c r="C25" s="35" t="s">
        <v>30</v>
      </c>
      <c r="D25" s="35">
        <v>5</v>
      </c>
      <c r="E25" s="36">
        <v>0.75</v>
      </c>
      <c r="F25" s="36">
        <v>8</v>
      </c>
    </row>
    <row r="26" spans="2:6" ht="16.2" x14ac:dyDescent="0.35">
      <c r="B26" s="34" t="s">
        <v>32</v>
      </c>
      <c r="C26" s="35" t="s">
        <v>9</v>
      </c>
      <c r="D26" s="35">
        <v>2</v>
      </c>
      <c r="E26" s="36">
        <v>1</v>
      </c>
      <c r="F26" s="36">
        <v>3</v>
      </c>
    </row>
    <row r="27" spans="2:6" ht="16.2" x14ac:dyDescent="0.35">
      <c r="B27" s="34" t="s">
        <v>33</v>
      </c>
      <c r="C27" s="35" t="s">
        <v>9</v>
      </c>
      <c r="D27" s="35">
        <v>2</v>
      </c>
      <c r="E27" s="36">
        <v>2.5</v>
      </c>
      <c r="F27" s="36">
        <v>3.5</v>
      </c>
    </row>
    <row r="28" spans="2:6" ht="16.2" x14ac:dyDescent="0.35">
      <c r="B28" s="34" t="s">
        <v>34</v>
      </c>
      <c r="C28" s="35" t="s">
        <v>9</v>
      </c>
      <c r="D28" s="35">
        <v>2</v>
      </c>
      <c r="E28" s="36">
        <v>1.5</v>
      </c>
      <c r="F28" s="36">
        <v>3</v>
      </c>
    </row>
    <row r="29" spans="2:6" ht="16.2" x14ac:dyDescent="0.35">
      <c r="B29" s="34" t="s">
        <v>35</v>
      </c>
      <c r="C29" s="35" t="s">
        <v>9</v>
      </c>
      <c r="D29" s="35">
        <v>2</v>
      </c>
      <c r="E29" s="36">
        <v>3</v>
      </c>
      <c r="F29" s="36">
        <v>4.5</v>
      </c>
    </row>
    <row r="30" spans="2:6" ht="16.2" x14ac:dyDescent="0.35">
      <c r="B30" s="34" t="s">
        <v>36</v>
      </c>
      <c r="C30" s="35" t="s">
        <v>16</v>
      </c>
      <c r="D30" s="35">
        <v>10</v>
      </c>
      <c r="E30" s="36">
        <v>2</v>
      </c>
      <c r="F30" s="36">
        <v>8</v>
      </c>
    </row>
    <row r="31" spans="2:6" ht="16.2" x14ac:dyDescent="0.35">
      <c r="B31" s="34" t="s">
        <v>37</v>
      </c>
      <c r="C31" s="35" t="s">
        <v>9</v>
      </c>
      <c r="D31" s="35">
        <v>10</v>
      </c>
      <c r="E31" s="36">
        <v>0.25</v>
      </c>
      <c r="F31" s="36">
        <v>5</v>
      </c>
    </row>
  </sheetData>
  <dataValidations count="1">
    <dataValidation type="custom" allowBlank="1" showInputMessage="1" showErrorMessage="1" errorTitle="Produto Duplicado" error="Não é permitido cadastrar dois produtos com mesmo nome na base de dados!" sqref="B5:B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059D-1877-4903-BB98-7F16CBAA754E}">
  <dimension ref="A1:B27"/>
  <sheetViews>
    <sheetView workbookViewId="0">
      <selection activeCell="G11" sqref="G11"/>
    </sheetView>
  </sheetViews>
  <sheetFormatPr defaultRowHeight="14.4" x14ac:dyDescent="0.3"/>
  <cols>
    <col min="1" max="1" width="15.88671875" bestFit="1" customWidth="1"/>
  </cols>
  <sheetData>
    <row r="1" spans="1:2" x14ac:dyDescent="0.3">
      <c r="A1" t="str" cm="1">
        <f t="array" ref="A1:A27">TB_Produtos[Produto]</f>
        <v>Café</v>
      </c>
      <c r="B1">
        <f>SUMIF(TB_Saídas[Produto],A1,TB_Saídas[Valor de Venda])</f>
        <v>5670</v>
      </c>
    </row>
    <row r="2" spans="1:2" x14ac:dyDescent="0.3">
      <c r="A2" t="str">
        <v>Pão</v>
      </c>
      <c r="B2">
        <f>SUMIF(TB_Saídas[Produto],A2,TB_Saídas[Valor de Venda])</f>
        <v>0</v>
      </c>
    </row>
    <row r="3" spans="1:2" x14ac:dyDescent="0.3">
      <c r="A3" t="str">
        <v>Coxinha</v>
      </c>
      <c r="B3">
        <f>SUMIF(TB_Saídas[Produto],A3,TB_Saídas[Valor de Venda])</f>
        <v>1592.5</v>
      </c>
    </row>
    <row r="4" spans="1:2" x14ac:dyDescent="0.3">
      <c r="A4" t="str">
        <v>Esfiha</v>
      </c>
      <c r="B4">
        <f>SUMIF(TB_Saídas[Produto],A4,TB_Saídas[Valor de Venda])</f>
        <v>0</v>
      </c>
    </row>
    <row r="5" spans="1:2" x14ac:dyDescent="0.3">
      <c r="A5" t="str">
        <v>Risoles</v>
      </c>
      <c r="B5">
        <f>SUMIF(TB_Saídas[Produto],A5,TB_Saídas[Valor de Venda])</f>
        <v>0</v>
      </c>
    </row>
    <row r="6" spans="1:2" x14ac:dyDescent="0.3">
      <c r="A6" t="str">
        <v>Empada</v>
      </c>
      <c r="B6">
        <f>SUMIF(TB_Saídas[Produto],A6,TB_Saídas[Valor de Venda])</f>
        <v>0</v>
      </c>
    </row>
    <row r="7" spans="1:2" x14ac:dyDescent="0.3">
      <c r="A7" t="str">
        <v>Quibe</v>
      </c>
      <c r="B7">
        <f>SUMIF(TB_Saídas[Produto],A7,TB_Saídas[Valor de Venda])</f>
        <v>0</v>
      </c>
    </row>
    <row r="8" spans="1:2" x14ac:dyDescent="0.3">
      <c r="A8" t="str">
        <v>Chá</v>
      </c>
      <c r="B8">
        <f>SUMIF(TB_Saídas[Produto],A8,TB_Saídas[Valor de Venda])</f>
        <v>0</v>
      </c>
    </row>
    <row r="9" spans="1:2" x14ac:dyDescent="0.3">
      <c r="A9" t="str">
        <v>Manteiga</v>
      </c>
      <c r="B9">
        <f>SUMIF(TB_Saídas[Produto],A9,TB_Saídas[Valor de Venda])</f>
        <v>0</v>
      </c>
    </row>
    <row r="10" spans="1:2" x14ac:dyDescent="0.3">
      <c r="A10" t="str">
        <v>Requeijão</v>
      </c>
      <c r="B10">
        <f>SUMIF(TB_Saídas[Produto],A10,TB_Saídas[Valor de Venda])</f>
        <v>0</v>
      </c>
    </row>
    <row r="11" spans="1:2" x14ac:dyDescent="0.3">
      <c r="A11" t="str">
        <v>Chocolate Quente</v>
      </c>
      <c r="B11">
        <f>SUMIF(TB_Saídas[Produto],A11,TB_Saídas[Valor de Venda])</f>
        <v>4250</v>
      </c>
    </row>
    <row r="12" spans="1:2" x14ac:dyDescent="0.3">
      <c r="A12" t="str">
        <v xml:space="preserve">Leite </v>
      </c>
      <c r="B12">
        <f>SUMIF(TB_Saídas[Produto],A12,TB_Saídas[Valor de Venda])</f>
        <v>0</v>
      </c>
    </row>
    <row r="13" spans="1:2" x14ac:dyDescent="0.3">
      <c r="A13" t="str">
        <v>Açúcar</v>
      </c>
      <c r="B13">
        <f>SUMIF(TB_Saídas[Produto],A13,TB_Saídas[Valor de Venda])</f>
        <v>0</v>
      </c>
    </row>
    <row r="14" spans="1:2" x14ac:dyDescent="0.3">
      <c r="A14" t="str">
        <v>Mini Pizza</v>
      </c>
      <c r="B14">
        <f>SUMIF(TB_Saídas[Produto],A14,TB_Saídas[Valor de Venda])</f>
        <v>450</v>
      </c>
    </row>
    <row r="15" spans="1:2" x14ac:dyDescent="0.3">
      <c r="A15" t="str">
        <v>Chantilly</v>
      </c>
      <c r="B15">
        <f>SUMIF(TB_Saídas[Produto],A15,TB_Saídas[Valor de Venda])</f>
        <v>0</v>
      </c>
    </row>
    <row r="16" spans="1:2" x14ac:dyDescent="0.3">
      <c r="A16" t="str">
        <v>Pão de Queijo</v>
      </c>
      <c r="B16">
        <f>SUMIF(TB_Saídas[Produto],A16,TB_Saídas[Valor de Venda])</f>
        <v>3000</v>
      </c>
    </row>
    <row r="17" spans="1:2" x14ac:dyDescent="0.3">
      <c r="A17" t="str">
        <v>Suco de Laranja</v>
      </c>
      <c r="B17">
        <f>SUMIF(TB_Saídas[Produto],A17,TB_Saídas[Valor de Venda])</f>
        <v>1000</v>
      </c>
    </row>
    <row r="18" spans="1:2" x14ac:dyDescent="0.3">
      <c r="A18" t="str">
        <v>Hamburguer</v>
      </c>
      <c r="B18">
        <f>SUMIF(TB_Saídas[Produto],A18,TB_Saídas[Valor de Venda])</f>
        <v>750</v>
      </c>
    </row>
    <row r="19" spans="1:2" x14ac:dyDescent="0.3">
      <c r="A19" t="str">
        <v>Frango</v>
      </c>
      <c r="B19">
        <f>SUMIF(TB_Saídas[Produto],A19,TB_Saídas[Valor de Venda])</f>
        <v>450</v>
      </c>
    </row>
    <row r="20" spans="1:2" x14ac:dyDescent="0.3">
      <c r="A20" t="str">
        <v xml:space="preserve">Água </v>
      </c>
      <c r="B20">
        <f>SUMIF(TB_Saídas[Produto],A20,TB_Saídas[Valor de Venda])</f>
        <v>0</v>
      </c>
    </row>
    <row r="21" spans="1:2" x14ac:dyDescent="0.3">
      <c r="A21" t="str">
        <v>Cerveja</v>
      </c>
      <c r="B21">
        <f>SUMIF(TB_Saídas[Produto],A21,TB_Saídas[Valor de Venda])</f>
        <v>200</v>
      </c>
    </row>
    <row r="22" spans="1:2" x14ac:dyDescent="0.3">
      <c r="A22" t="str">
        <v>Queijo</v>
      </c>
      <c r="B22">
        <f>SUMIF(TB_Saídas[Produto],A22,TB_Saídas[Valor de Venda])</f>
        <v>0</v>
      </c>
    </row>
    <row r="23" spans="1:2" x14ac:dyDescent="0.3">
      <c r="A23" t="str">
        <v>Presunto</v>
      </c>
      <c r="B23">
        <f>SUMIF(TB_Saídas[Produto],A23,TB_Saídas[Valor de Venda])</f>
        <v>0</v>
      </c>
    </row>
    <row r="24" spans="1:2" x14ac:dyDescent="0.3">
      <c r="A24" t="str">
        <v>Mortadela</v>
      </c>
      <c r="B24">
        <f>SUMIF(TB_Saídas[Produto],A24,TB_Saídas[Valor de Venda])</f>
        <v>0</v>
      </c>
    </row>
    <row r="25" spans="1:2" x14ac:dyDescent="0.3">
      <c r="A25" t="str">
        <v>Peito de Peru</v>
      </c>
      <c r="B25">
        <f>SUMIF(TB_Saídas[Produto],A25,TB_Saídas[Valor de Venda])</f>
        <v>0</v>
      </c>
    </row>
    <row r="26" spans="1:2" x14ac:dyDescent="0.3">
      <c r="A26" t="str">
        <v>Refrigerante</v>
      </c>
      <c r="B26">
        <f>SUMIF(TB_Saídas[Produto],A26,TB_Saídas[Valor de Venda])</f>
        <v>1680</v>
      </c>
    </row>
    <row r="27" spans="1:2" x14ac:dyDescent="0.3">
      <c r="A27" t="str">
        <v>Enroladinho</v>
      </c>
      <c r="B27">
        <f>SUMIF(TB_Saídas[Produto],A27,TB_Saídas[Valor de Venda])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60" zoomScaleNormal="160" workbookViewId="0">
      <selection activeCell="E6" sqref="E6"/>
    </sheetView>
  </sheetViews>
  <sheetFormatPr defaultColWidth="9.109375" defaultRowHeight="14.4" x14ac:dyDescent="0.3"/>
  <cols>
    <col min="1" max="1" width="5.33203125" customWidth="1"/>
    <col min="2" max="2" width="17.88671875" customWidth="1"/>
    <col min="3" max="3" width="16.88671875" bestFit="1" customWidth="1"/>
    <col min="4" max="4" width="14.33203125" bestFit="1" customWidth="1"/>
    <col min="5" max="5" width="31.88671875" customWidth="1"/>
  </cols>
  <sheetData>
    <row r="1" spans="2:8" s="29" customFormat="1" ht="60" customHeight="1" x14ac:dyDescent="0.3">
      <c r="E1" s="37" t="s">
        <v>38</v>
      </c>
      <c r="F1" s="30"/>
    </row>
    <row r="2" spans="2:8" s="32" customFormat="1" ht="6" customHeight="1" x14ac:dyDescent="0.3">
      <c r="F2" s="33"/>
    </row>
    <row r="5" spans="2:8" x14ac:dyDescent="0.3">
      <c r="B5" s="47" t="s">
        <v>39</v>
      </c>
      <c r="C5" s="47" t="s">
        <v>40</v>
      </c>
      <c r="D5" s="47" t="s">
        <v>41</v>
      </c>
      <c r="E5" s="47" t="s">
        <v>42</v>
      </c>
    </row>
    <row r="6" spans="2:8" ht="16.2" x14ac:dyDescent="0.35">
      <c r="B6" s="34" t="s">
        <v>43</v>
      </c>
      <c r="C6" s="35" t="s">
        <v>44</v>
      </c>
      <c r="D6" s="35" t="s">
        <v>45</v>
      </c>
      <c r="E6" s="36" t="s">
        <v>46</v>
      </c>
    </row>
    <row r="7" spans="2:8" ht="16.2" x14ac:dyDescent="0.35">
      <c r="B7" s="34" t="s">
        <v>47</v>
      </c>
      <c r="C7" s="35" t="s">
        <v>48</v>
      </c>
      <c r="D7" s="35" t="s">
        <v>49</v>
      </c>
      <c r="E7" s="36" t="s">
        <v>50</v>
      </c>
    </row>
    <row r="8" spans="2:8" ht="16.2" x14ac:dyDescent="0.35">
      <c r="B8" s="34" t="s">
        <v>51</v>
      </c>
      <c r="C8" s="35" t="s">
        <v>52</v>
      </c>
      <c r="D8" s="35" t="s">
        <v>53</v>
      </c>
      <c r="E8" s="36" t="s">
        <v>54</v>
      </c>
      <c r="H8" t="s">
        <v>55</v>
      </c>
    </row>
    <row r="9" spans="2:8" ht="16.2" x14ac:dyDescent="0.35">
      <c r="B9" s="34" t="s">
        <v>56</v>
      </c>
      <c r="C9" s="35" t="s">
        <v>57</v>
      </c>
      <c r="D9" s="35" t="s">
        <v>58</v>
      </c>
      <c r="E9" s="36" t="s">
        <v>59</v>
      </c>
    </row>
  </sheetData>
  <dataValidations count="1">
    <dataValidation type="custom" allowBlank="1" showInputMessage="1" showErrorMessage="1" errorTitle="Fornecedor Duplicado" error="Não é permitido cadastrar dois fornecedores com mesmo nome!" sqref="B6:B9" xr:uid="{CB0A8FAC-1E94-4C7B-B66C-BC840809AA8D}">
      <formula1>COUNTIF(Lista_Fornecedores,B6)&lt;=1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  <hyperlink ref="E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drawing r:id="rId5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I59"/>
  <sheetViews>
    <sheetView showGridLines="0" zoomScale="140" zoomScaleNormal="140" workbookViewId="0">
      <selection activeCell="C7" sqref="C7"/>
    </sheetView>
  </sheetViews>
  <sheetFormatPr defaultColWidth="9.109375" defaultRowHeight="14.4" x14ac:dyDescent="0.3"/>
  <cols>
    <col min="1" max="1" width="5.33203125" customWidth="1"/>
    <col min="2" max="2" width="0" hidden="1" customWidth="1"/>
    <col min="4" max="4" width="15.6640625" customWidth="1"/>
    <col min="5" max="5" width="17.109375" style="2" customWidth="1"/>
    <col min="6" max="6" width="18" style="2" customWidth="1"/>
    <col min="7" max="7" width="22.88671875" customWidth="1"/>
    <col min="8" max="8" width="22.33203125" style="2" customWidth="1"/>
    <col min="9" max="9" width="17.44140625" customWidth="1"/>
    <col min="10" max="10" width="18.44140625" customWidth="1"/>
  </cols>
  <sheetData>
    <row r="1" spans="2:9" s="29" customFormat="1" ht="60" customHeight="1" x14ac:dyDescent="0.3">
      <c r="G1" s="37" t="s">
        <v>60</v>
      </c>
      <c r="H1" s="30"/>
    </row>
    <row r="2" spans="2:9" s="32" customFormat="1" ht="6" customHeight="1" x14ac:dyDescent="0.3">
      <c r="H2" s="33"/>
    </row>
    <row r="4" spans="2:9" x14ac:dyDescent="0.3">
      <c r="E4"/>
    </row>
    <row r="5" spans="2:9" s="4" customFormat="1" x14ac:dyDescent="0.3">
      <c r="B5" s="84" t="s">
        <v>61</v>
      </c>
      <c r="C5" s="84" t="s">
        <v>109</v>
      </c>
      <c r="D5" s="48" t="s">
        <v>62</v>
      </c>
      <c r="E5" s="48" t="s">
        <v>1</v>
      </c>
      <c r="F5" s="48" t="s">
        <v>63</v>
      </c>
      <c r="G5" s="48" t="s">
        <v>64</v>
      </c>
      <c r="H5" s="49" t="s">
        <v>4</v>
      </c>
      <c r="I5" s="49" t="s">
        <v>65</v>
      </c>
    </row>
    <row r="6" spans="2:9" ht="16.2" x14ac:dyDescent="0.35">
      <c r="B6" s="50">
        <f>MONTH(TB_Entradas[[#This Row],[Data]])</f>
        <v>1</v>
      </c>
      <c r="C6" s="50">
        <f>MONTH(TB_Entradas[[#This Row],[Data]])</f>
        <v>1</v>
      </c>
      <c r="D6" s="45">
        <v>44566</v>
      </c>
      <c r="E6" s="42" t="s">
        <v>6</v>
      </c>
      <c r="F6" s="35" t="s">
        <v>43</v>
      </c>
      <c r="G6" s="43">
        <v>100</v>
      </c>
      <c r="H6" s="44" cm="1">
        <f t="array" ref="H6">_xlfn.XLOOKUP(TB_Entradas[[#This Row],[Produto]],TB_Produtos[[#All],[Produto]],TB_Produtos[[#All],[Custo Unitário]],"Produto não Encontrado",0,1)</f>
        <v>2</v>
      </c>
      <c r="I6" s="44">
        <f>IFERROR(TB_Entradas[[#This Row],[Quantidade Comprada]]*TB_Entradas[[#This Row],[Custo Unitário]],"Erro ao calcular")</f>
        <v>200</v>
      </c>
    </row>
    <row r="7" spans="2:9" ht="16.2" x14ac:dyDescent="0.35">
      <c r="B7" s="50">
        <f>MONTH(TB_Entradas[[#This Row],[Data]])</f>
        <v>1</v>
      </c>
      <c r="C7" s="50">
        <f>MONTH(TB_Entradas[[#This Row],[Data]])</f>
        <v>1</v>
      </c>
      <c r="D7" s="45">
        <v>44566</v>
      </c>
      <c r="E7" s="42" t="s">
        <v>10</v>
      </c>
      <c r="F7" s="35" t="s">
        <v>56</v>
      </c>
      <c r="G7" s="43">
        <v>100</v>
      </c>
      <c r="H7" s="44" cm="1">
        <f t="array" ref="H7">_xlfn.XLOOKUP(TB_Entradas[[#This Row],[Produto]],TB_Produtos[[#All],[Produto]],TB_Produtos[[#All],[Custo Unitário]],"Produto não Encontrado",0,1)</f>
        <v>0.5</v>
      </c>
      <c r="I7" s="44">
        <f>IFERROR(TB_Entradas[[#This Row],[Quantidade Comprada]]*TB_Entradas[[#This Row],[Custo Unitário]],"Erro ao calcular")</f>
        <v>50</v>
      </c>
    </row>
    <row r="8" spans="2:9" ht="16.2" x14ac:dyDescent="0.35">
      <c r="B8" s="50">
        <f>MONTH(TB_Entradas[[#This Row],[Data]])</f>
        <v>1</v>
      </c>
      <c r="C8" s="50">
        <f>MONTH(TB_Entradas[[#This Row],[Data]])</f>
        <v>1</v>
      </c>
      <c r="D8" s="45">
        <v>44576</v>
      </c>
      <c r="E8" s="42" t="s">
        <v>19</v>
      </c>
      <c r="F8" s="35" t="s">
        <v>43</v>
      </c>
      <c r="G8" s="43">
        <v>90</v>
      </c>
      <c r="H8" s="44" cm="1">
        <f t="array" ref="H8">_xlfn.XLOOKUP(TB_Entradas[[#This Row],[Produto]],TB_Produtos[[#All],[Produto]],TB_Produtos[[#All],[Custo Unitário]],"Produto não Encontrado",0,1)</f>
        <v>0.25</v>
      </c>
      <c r="I8" s="44">
        <f>IFERROR(TB_Entradas[[#This Row],[Quantidade Comprada]]*TB_Entradas[[#This Row],[Custo Unitário]],"Erro ao calcular")</f>
        <v>22.5</v>
      </c>
    </row>
    <row r="9" spans="2:9" ht="16.2" x14ac:dyDescent="0.35">
      <c r="B9" s="50">
        <f>MONTH(TB_Entradas[[#This Row],[Data]])</f>
        <v>1</v>
      </c>
      <c r="C9" s="50">
        <f>MONTH(TB_Entradas[[#This Row],[Data]])</f>
        <v>1</v>
      </c>
      <c r="D9" s="45">
        <v>44578</v>
      </c>
      <c r="E9" s="42" t="s">
        <v>25</v>
      </c>
      <c r="F9" s="35" t="s">
        <v>56</v>
      </c>
      <c r="G9" s="43">
        <v>100</v>
      </c>
      <c r="H9" s="44" cm="1">
        <f t="array" ref="H9">_xlfn.XLOOKUP(TB_Entradas[[#This Row],[Produto]],TB_Produtos[[#All],[Produto]],TB_Produtos[[#All],[Custo Unitário]],"Produto não Encontrado",0,1)</f>
        <v>0.25</v>
      </c>
      <c r="I9" s="44">
        <f>IFERROR(TB_Entradas[[#This Row],[Quantidade Comprada]]*TB_Entradas[[#This Row],[Custo Unitário]],"Erro ao calcular")</f>
        <v>25</v>
      </c>
    </row>
    <row r="10" spans="2:9" ht="16.2" x14ac:dyDescent="0.35">
      <c r="B10" s="50">
        <f>MONTH(TB_Entradas[[#This Row],[Data]])</f>
        <v>2</v>
      </c>
      <c r="C10" s="50">
        <f>MONTH(TB_Entradas[[#This Row],[Data]])</f>
        <v>2</v>
      </c>
      <c r="D10" s="45">
        <v>44593</v>
      </c>
      <c r="E10" s="42" t="s">
        <v>25</v>
      </c>
      <c r="F10" s="35" t="s">
        <v>56</v>
      </c>
      <c r="G10" s="43">
        <v>85</v>
      </c>
      <c r="H10" s="44" cm="1">
        <f t="array" ref="H10">_xlfn.XLOOKUP(TB_Entradas[[#This Row],[Produto]],TB_Produtos[[#All],[Produto]],TB_Produtos[[#All],[Custo Unitário]],"Produto não Encontrado",0,1)</f>
        <v>0.25</v>
      </c>
      <c r="I10" s="44">
        <f>IFERROR(TB_Entradas[[#This Row],[Quantidade Comprada]]*TB_Entradas[[#This Row],[Custo Unitário]],"Erro ao calcular")</f>
        <v>21.25</v>
      </c>
    </row>
    <row r="11" spans="2:9" ht="16.2" x14ac:dyDescent="0.35">
      <c r="B11" s="50">
        <f>MONTH(TB_Entradas[[#This Row],[Data]])</f>
        <v>2</v>
      </c>
      <c r="C11" s="50">
        <f>MONTH(TB_Entradas[[#This Row],[Data]])</f>
        <v>2</v>
      </c>
      <c r="D11" s="45">
        <v>44594</v>
      </c>
      <c r="E11" s="42" t="s">
        <v>19</v>
      </c>
      <c r="F11" s="35" t="s">
        <v>43</v>
      </c>
      <c r="G11" s="43">
        <v>80</v>
      </c>
      <c r="H11" s="44" cm="1">
        <f t="array" ref="H11">_xlfn.XLOOKUP(TB_Entradas[[#This Row],[Produto]],TB_Produtos[[#All],[Produto]],TB_Produtos[[#All],[Custo Unitário]],"Produto não Encontrado",0,1)</f>
        <v>0.25</v>
      </c>
      <c r="I11" s="44">
        <f>IFERROR(TB_Entradas[[#This Row],[Quantidade Comprada]]*TB_Entradas[[#This Row],[Custo Unitário]],"Erro ao calcular")</f>
        <v>20</v>
      </c>
    </row>
    <row r="12" spans="2:9" ht="16.2" x14ac:dyDescent="0.35">
      <c r="B12" s="50">
        <f>MONTH(TB_Entradas[[#This Row],[Data]])</f>
        <v>2</v>
      </c>
      <c r="C12" s="50">
        <f>MONTH(TB_Entradas[[#This Row],[Data]])</f>
        <v>2</v>
      </c>
      <c r="D12" s="45">
        <v>44598</v>
      </c>
      <c r="E12" s="42" t="s">
        <v>6</v>
      </c>
      <c r="F12" s="35" t="s">
        <v>43</v>
      </c>
      <c r="G12" s="43">
        <v>125</v>
      </c>
      <c r="H12" s="44" cm="1">
        <f t="array" ref="H12">_xlfn.XLOOKUP(TB_Entradas[[#This Row],[Produto]],TB_Produtos[[#All],[Produto]],TB_Produtos[[#All],[Custo Unitário]],"Produto não Encontrado",0,1)</f>
        <v>2</v>
      </c>
      <c r="I12" s="44">
        <f>IFERROR(TB_Entradas[[#This Row],[Quantidade Comprada]]*TB_Entradas[[#This Row],[Custo Unitário]],"Erro ao calcular")</f>
        <v>250</v>
      </c>
    </row>
    <row r="13" spans="2:9" ht="16.2" x14ac:dyDescent="0.35">
      <c r="B13" s="50">
        <f>MONTH(TB_Entradas[[#This Row],[Data]])</f>
        <v>2</v>
      </c>
      <c r="C13" s="50">
        <f>MONTH(TB_Entradas[[#This Row],[Data]])</f>
        <v>2</v>
      </c>
      <c r="D13" s="45">
        <v>44602</v>
      </c>
      <c r="E13" s="42" t="s">
        <v>31</v>
      </c>
      <c r="F13" s="35" t="s">
        <v>51</v>
      </c>
      <c r="G13" s="43">
        <v>50</v>
      </c>
      <c r="H13" s="44" cm="1">
        <f t="array" ref="H13">_xlfn.XLOOKUP(TB_Entradas[[#This Row],[Produto]],TB_Produtos[[#All],[Produto]],TB_Produtos[[#All],[Custo Unitário]],"Produto não Encontrado",0,1)</f>
        <v>0.75</v>
      </c>
      <c r="I13" s="44">
        <f>IFERROR(TB_Entradas[[#This Row],[Quantidade Comprada]]*TB_Entradas[[#This Row],[Custo Unitário]],"Erro ao calcular")</f>
        <v>37.5</v>
      </c>
    </row>
    <row r="14" spans="2:9" ht="16.2" x14ac:dyDescent="0.35">
      <c r="B14" s="50">
        <f>MONTH(TB_Entradas[[#This Row],[Data]])</f>
        <v>2</v>
      </c>
      <c r="C14" s="50">
        <f>MONTH(TB_Entradas[[#This Row],[Data]])</f>
        <v>2</v>
      </c>
      <c r="D14" s="45">
        <v>44612</v>
      </c>
      <c r="E14" s="42" t="s">
        <v>10</v>
      </c>
      <c r="F14" s="35" t="s">
        <v>56</v>
      </c>
      <c r="G14" s="43">
        <v>100</v>
      </c>
      <c r="H14" s="44" cm="1">
        <f t="array" ref="H14">_xlfn.XLOOKUP(TB_Entradas[[#This Row],[Produto]],TB_Produtos[[#All],[Produto]],TB_Produtos[[#All],[Custo Unitário]],"Produto não Encontrado",0,1)</f>
        <v>0.5</v>
      </c>
      <c r="I14" s="44">
        <f>IFERROR(TB_Entradas[[#This Row],[Quantidade Comprada]]*TB_Entradas[[#This Row],[Custo Unitário]],"Erro ao calcular")</f>
        <v>50</v>
      </c>
    </row>
    <row r="15" spans="2:9" ht="16.2" x14ac:dyDescent="0.35">
      <c r="B15" s="50">
        <f>MONTH(TB_Entradas[[#This Row],[Data]])</f>
        <v>3</v>
      </c>
      <c r="C15" s="50">
        <f>MONTH(TB_Entradas[[#This Row],[Data]])</f>
        <v>3</v>
      </c>
      <c r="D15" s="45">
        <v>44625</v>
      </c>
      <c r="E15" s="42" t="s">
        <v>36</v>
      </c>
      <c r="F15" s="35" t="s">
        <v>51</v>
      </c>
      <c r="G15" s="43">
        <v>250</v>
      </c>
      <c r="H15" s="44" cm="1">
        <f t="array" ref="H15">_xlfn.XLOOKUP(TB_Entradas[[#This Row],[Produto]],TB_Produtos[[#All],[Produto]],TB_Produtos[[#All],[Custo Unitário]],"Produto não Encontrado",0,1)</f>
        <v>2</v>
      </c>
      <c r="I15" s="44">
        <f>IFERROR(TB_Entradas[[#This Row],[Quantidade Comprada]]*TB_Entradas[[#This Row],[Custo Unitário]],"Erro ao calcular")</f>
        <v>500</v>
      </c>
    </row>
    <row r="16" spans="2:9" ht="16.2" x14ac:dyDescent="0.35">
      <c r="B16" s="50">
        <f>MONTH(TB_Entradas[[#This Row],[Data]])</f>
        <v>3</v>
      </c>
      <c r="C16" s="50">
        <f>MONTH(TB_Entradas[[#This Row],[Data]])</f>
        <v>3</v>
      </c>
      <c r="D16" s="45">
        <v>44630</v>
      </c>
      <c r="E16" s="42" t="s">
        <v>25</v>
      </c>
      <c r="F16" s="35" t="s">
        <v>56</v>
      </c>
      <c r="G16" s="43">
        <v>50</v>
      </c>
      <c r="H16" s="44" cm="1">
        <f t="array" ref="H16">_xlfn.XLOOKUP(TB_Entradas[[#This Row],[Produto]],TB_Produtos[[#All],[Produto]],TB_Produtos[[#All],[Custo Unitário]],"Produto não Encontrado",0,1)</f>
        <v>0.25</v>
      </c>
      <c r="I16" s="44">
        <f>IFERROR(TB_Entradas[[#This Row],[Quantidade Comprada]]*TB_Entradas[[#This Row],[Custo Unitário]],"Erro ao calcular")</f>
        <v>12.5</v>
      </c>
    </row>
    <row r="17" spans="2:9" ht="16.2" x14ac:dyDescent="0.35">
      <c r="B17" s="50">
        <f>MONTH(TB_Entradas[[#This Row],[Data]])</f>
        <v>3</v>
      </c>
      <c r="C17" s="50">
        <f>MONTH(TB_Entradas[[#This Row],[Data]])</f>
        <v>3</v>
      </c>
      <c r="D17" s="45">
        <v>44635</v>
      </c>
      <c r="E17" s="42" t="s">
        <v>6</v>
      </c>
      <c r="F17" s="35" t="s">
        <v>43</v>
      </c>
      <c r="G17" s="43">
        <v>150</v>
      </c>
      <c r="H17" s="44" cm="1">
        <f t="array" ref="H17">_xlfn.XLOOKUP(TB_Entradas[[#This Row],[Produto]],TB_Produtos[[#All],[Produto]],TB_Produtos[[#All],[Custo Unitário]],"Produto não Encontrado",0,1)</f>
        <v>2</v>
      </c>
      <c r="I17" s="44">
        <f>IFERROR(TB_Entradas[[#This Row],[Quantidade Comprada]]*TB_Entradas[[#This Row],[Custo Unitário]],"Erro ao calcular")</f>
        <v>300</v>
      </c>
    </row>
    <row r="18" spans="2:9" ht="16.2" x14ac:dyDescent="0.35">
      <c r="B18" s="50">
        <f>MONTH(TB_Entradas[[#This Row],[Data]])</f>
        <v>3</v>
      </c>
      <c r="C18" s="50">
        <f>MONTH(TB_Entradas[[#This Row],[Data]])</f>
        <v>3</v>
      </c>
      <c r="D18" s="45">
        <v>44637</v>
      </c>
      <c r="E18" s="42" t="s">
        <v>26</v>
      </c>
      <c r="F18" s="35" t="s">
        <v>43</v>
      </c>
      <c r="G18" s="43">
        <v>100</v>
      </c>
      <c r="H18" s="44" cm="1">
        <f t="array" ref="H18">_xlfn.XLOOKUP(TB_Entradas[[#This Row],[Produto]],TB_Produtos[[#All],[Produto]],TB_Produtos[[#All],[Custo Unitário]],"Produto não Encontrado",0,1)</f>
        <v>0.75</v>
      </c>
      <c r="I18" s="44">
        <f>IFERROR(TB_Entradas[[#This Row],[Quantidade Comprada]]*TB_Entradas[[#This Row],[Custo Unitário]],"Erro ao calcular")</f>
        <v>75</v>
      </c>
    </row>
    <row r="19" spans="2:9" ht="16.2" x14ac:dyDescent="0.35">
      <c r="B19" s="50">
        <f>MONTH(TB_Entradas[[#This Row],[Data]])</f>
        <v>3</v>
      </c>
      <c r="C19" s="50">
        <f>MONTH(TB_Entradas[[#This Row],[Data]])</f>
        <v>3</v>
      </c>
      <c r="D19" s="45">
        <v>44644</v>
      </c>
      <c r="E19" s="42" t="s">
        <v>19</v>
      </c>
      <c r="F19" s="35" t="s">
        <v>43</v>
      </c>
      <c r="G19" s="43">
        <v>40</v>
      </c>
      <c r="H19" s="44" cm="1">
        <f t="array" ref="H19">_xlfn.XLOOKUP(TB_Entradas[[#This Row],[Produto]],TB_Produtos[[#All],[Produto]],TB_Produtos[[#All],[Custo Unitário]],"Produto não Encontrado",0,1)</f>
        <v>0.25</v>
      </c>
      <c r="I19" s="44">
        <f>IFERROR(TB_Entradas[[#This Row],[Quantidade Comprada]]*TB_Entradas[[#This Row],[Custo Unitário]],"Erro ao calcular")</f>
        <v>10</v>
      </c>
    </row>
    <row r="20" spans="2:9" ht="16.2" x14ac:dyDescent="0.35">
      <c r="B20" s="50">
        <f>MONTH(TB_Entradas[[#This Row],[Data]])</f>
        <v>3</v>
      </c>
      <c r="C20" s="50">
        <f>MONTH(TB_Entradas[[#This Row],[Data]])</f>
        <v>3</v>
      </c>
      <c r="D20" s="45">
        <v>44647</v>
      </c>
      <c r="E20" s="42" t="s">
        <v>10</v>
      </c>
      <c r="F20" s="35" t="s">
        <v>56</v>
      </c>
      <c r="G20" s="43">
        <v>50</v>
      </c>
      <c r="H20" s="44" cm="1">
        <f t="array" ref="H20">_xlfn.XLOOKUP(TB_Entradas[[#This Row],[Produto]],TB_Produtos[[#All],[Produto]],TB_Produtos[[#All],[Custo Unitário]],"Produto não Encontrado",0,1)</f>
        <v>0.5</v>
      </c>
      <c r="I20" s="44">
        <f>IFERROR(TB_Entradas[[#This Row],[Quantidade Comprada]]*TB_Entradas[[#This Row],[Custo Unitário]],"Erro ao calcular")</f>
        <v>25</v>
      </c>
    </row>
    <row r="21" spans="2:9" ht="16.2" x14ac:dyDescent="0.35">
      <c r="B21" s="50">
        <f>MONTH(TB_Entradas[[#This Row],[Data]])</f>
        <v>4</v>
      </c>
      <c r="C21" s="50">
        <f>MONTH(TB_Entradas[[#This Row],[Data]])</f>
        <v>4</v>
      </c>
      <c r="D21" s="45">
        <v>44655</v>
      </c>
      <c r="E21" s="42" t="s">
        <v>25</v>
      </c>
      <c r="F21" s="35" t="s">
        <v>56</v>
      </c>
      <c r="G21" s="43">
        <v>90</v>
      </c>
      <c r="H21" s="44" cm="1">
        <f t="array" ref="H21">_xlfn.XLOOKUP(TB_Entradas[[#This Row],[Produto]],TB_Produtos[[#All],[Produto]],TB_Produtos[[#All],[Custo Unitário]],"Produto não Encontrado",0,1)</f>
        <v>0.25</v>
      </c>
      <c r="I21" s="44">
        <f>IFERROR(TB_Entradas[[#This Row],[Quantidade Comprada]]*TB_Entradas[[#This Row],[Custo Unitário]],"Erro ao calcular")</f>
        <v>22.5</v>
      </c>
    </row>
    <row r="22" spans="2:9" ht="16.2" x14ac:dyDescent="0.35">
      <c r="B22" s="50">
        <f>MONTH(TB_Entradas[[#This Row],[Data]])</f>
        <v>4</v>
      </c>
      <c r="C22" s="50">
        <f>MONTH(TB_Entradas[[#This Row],[Data]])</f>
        <v>4</v>
      </c>
      <c r="D22" s="45">
        <v>44661</v>
      </c>
      <c r="E22" s="42" t="s">
        <v>6</v>
      </c>
      <c r="F22" s="35" t="s">
        <v>43</v>
      </c>
      <c r="G22" s="43">
        <v>150</v>
      </c>
      <c r="H22" s="44" cm="1">
        <f t="array" ref="H22">_xlfn.XLOOKUP(TB_Entradas[[#This Row],[Produto]],TB_Produtos[[#All],[Produto]],TB_Produtos[[#All],[Custo Unitário]],"Produto não Encontrado",0,1)</f>
        <v>2</v>
      </c>
      <c r="I22" s="44">
        <f>IFERROR(TB_Entradas[[#This Row],[Quantidade Comprada]]*TB_Entradas[[#This Row],[Custo Unitário]],"Erro ao calcular")</f>
        <v>300</v>
      </c>
    </row>
    <row r="23" spans="2:9" ht="16.2" x14ac:dyDescent="0.35">
      <c r="B23" s="50">
        <f>MONTH(TB_Entradas[[#This Row],[Data]])</f>
        <v>4</v>
      </c>
      <c r="C23" s="50">
        <f>MONTH(TB_Entradas[[#This Row],[Data]])</f>
        <v>4</v>
      </c>
      <c r="D23" s="45">
        <v>44672</v>
      </c>
      <c r="E23" s="42" t="s">
        <v>19</v>
      </c>
      <c r="F23" s="35" t="s">
        <v>43</v>
      </c>
      <c r="G23" s="43">
        <v>60</v>
      </c>
      <c r="H23" s="44" cm="1">
        <f t="array" ref="H23">_xlfn.XLOOKUP(TB_Entradas[[#This Row],[Produto]],TB_Produtos[[#All],[Produto]],TB_Produtos[[#All],[Custo Unitário]],"Produto não Encontrado",0,1)</f>
        <v>0.25</v>
      </c>
      <c r="I23" s="44">
        <f>IFERROR(TB_Entradas[[#This Row],[Quantidade Comprada]]*TB_Entradas[[#This Row],[Custo Unitário]],"Erro ao calcular")</f>
        <v>15</v>
      </c>
    </row>
    <row r="24" spans="2:9" ht="16.2" x14ac:dyDescent="0.35">
      <c r="B24" s="50">
        <f>MONTH(TB_Entradas[[#This Row],[Data]])</f>
        <v>4</v>
      </c>
      <c r="C24" s="50">
        <f>MONTH(TB_Entradas[[#This Row],[Data]])</f>
        <v>4</v>
      </c>
      <c r="D24" s="45">
        <v>44681</v>
      </c>
      <c r="E24" s="42" t="s">
        <v>10</v>
      </c>
      <c r="F24" s="35" t="s">
        <v>56</v>
      </c>
      <c r="G24" s="43">
        <v>50</v>
      </c>
      <c r="H24" s="44" cm="1">
        <f t="array" ref="H24">_xlfn.XLOOKUP(TB_Entradas[[#This Row],[Produto]],TB_Produtos[[#All],[Produto]],TB_Produtos[[#All],[Custo Unitário]],"Produto não Encontrado",0,1)</f>
        <v>0.5</v>
      </c>
      <c r="I24" s="44">
        <f>IFERROR(TB_Entradas[[#This Row],[Quantidade Comprada]]*TB_Entradas[[#This Row],[Custo Unitário]],"Erro ao calcular")</f>
        <v>25</v>
      </c>
    </row>
    <row r="25" spans="2:9" ht="16.2" x14ac:dyDescent="0.35">
      <c r="B25" s="50">
        <f>MONTH(TB_Entradas[[#This Row],[Data]])</f>
        <v>5</v>
      </c>
      <c r="C25" s="50">
        <f>MONTH(TB_Entradas[[#This Row],[Data]])</f>
        <v>5</v>
      </c>
      <c r="D25" s="45">
        <v>44686</v>
      </c>
      <c r="E25" s="42" t="s">
        <v>27</v>
      </c>
      <c r="F25" s="35" t="s">
        <v>47</v>
      </c>
      <c r="G25" s="43">
        <v>60</v>
      </c>
      <c r="H25" s="44" cm="1">
        <f t="array" ref="H25">_xlfn.XLOOKUP(TB_Entradas[[#This Row],[Produto]],TB_Produtos[[#All],[Produto]],TB_Produtos[[#All],[Custo Unitário]],"Produto não Encontrado",0,1)</f>
        <v>8</v>
      </c>
      <c r="I25" s="44">
        <f>IFERROR(TB_Entradas[[#This Row],[Quantidade Comprada]]*TB_Entradas[[#This Row],[Custo Unitário]],"Erro ao calcular")</f>
        <v>480</v>
      </c>
    </row>
    <row r="26" spans="2:9" ht="16.2" x14ac:dyDescent="0.35">
      <c r="B26" s="50">
        <f>MONTH(TB_Entradas[[#This Row],[Data]])</f>
        <v>5</v>
      </c>
      <c r="C26" s="50">
        <f>MONTH(TB_Entradas[[#This Row],[Data]])</f>
        <v>5</v>
      </c>
      <c r="D26" s="45">
        <v>44687</v>
      </c>
      <c r="E26" s="42" t="s">
        <v>10</v>
      </c>
      <c r="F26" s="35" t="s">
        <v>56</v>
      </c>
      <c r="G26" s="43">
        <v>50</v>
      </c>
      <c r="H26" s="44" cm="1">
        <f t="array" ref="H26">_xlfn.XLOOKUP(TB_Entradas[[#This Row],[Produto]],TB_Produtos[[#All],[Produto]],TB_Produtos[[#All],[Custo Unitário]],"Produto não Encontrado",0,1)</f>
        <v>0.5</v>
      </c>
      <c r="I26" s="44">
        <f>IFERROR(TB_Entradas[[#This Row],[Quantidade Comprada]]*TB_Entradas[[#This Row],[Custo Unitário]],"Erro ao calcular")</f>
        <v>25</v>
      </c>
    </row>
    <row r="27" spans="2:9" ht="16.2" x14ac:dyDescent="0.35">
      <c r="B27" s="50">
        <f>MONTH(TB_Entradas[[#This Row],[Data]])</f>
        <v>5</v>
      </c>
      <c r="C27" s="50">
        <f>MONTH(TB_Entradas[[#This Row],[Data]])</f>
        <v>5</v>
      </c>
      <c r="D27" s="45">
        <v>44691</v>
      </c>
      <c r="E27" s="42" t="s">
        <v>25</v>
      </c>
      <c r="F27" s="35" t="s">
        <v>56</v>
      </c>
      <c r="G27" s="43">
        <v>30</v>
      </c>
      <c r="H27" s="44" cm="1">
        <f t="array" ref="H27">_xlfn.XLOOKUP(TB_Entradas[[#This Row],[Produto]],TB_Produtos[[#All],[Produto]],TB_Produtos[[#All],[Custo Unitário]],"Produto não Encontrado",0,1)</f>
        <v>0.25</v>
      </c>
      <c r="I27" s="44">
        <f>IFERROR(TB_Entradas[[#This Row],[Quantidade Comprada]]*TB_Entradas[[#This Row],[Custo Unitário]],"Erro ao calcular")</f>
        <v>7.5</v>
      </c>
    </row>
    <row r="28" spans="2:9" ht="16.2" x14ac:dyDescent="0.35">
      <c r="B28" s="50">
        <f>MONTH(TB_Entradas[[#This Row],[Data]])</f>
        <v>5</v>
      </c>
      <c r="C28" s="50">
        <f>MONTH(TB_Entradas[[#This Row],[Data]])</f>
        <v>5</v>
      </c>
      <c r="D28" s="45">
        <v>44691</v>
      </c>
      <c r="E28" s="42" t="s">
        <v>6</v>
      </c>
      <c r="F28" s="35" t="s">
        <v>43</v>
      </c>
      <c r="G28" s="43">
        <v>100</v>
      </c>
      <c r="H28" s="44" cm="1">
        <f t="array" ref="H28">_xlfn.XLOOKUP(TB_Entradas[[#This Row],[Produto]],TB_Produtos[[#All],[Produto]],TB_Produtos[[#All],[Custo Unitário]],"Produto não Encontrado",0,1)</f>
        <v>2</v>
      </c>
      <c r="I28" s="44">
        <f>IFERROR(TB_Entradas[[#This Row],[Quantidade Comprada]]*TB_Entradas[[#This Row],[Custo Unitário]],"Erro ao calcular")</f>
        <v>200</v>
      </c>
    </row>
    <row r="29" spans="2:9" ht="16.2" x14ac:dyDescent="0.35">
      <c r="B29" s="50">
        <f>MONTH(TB_Entradas[[#This Row],[Data]])</f>
        <v>5</v>
      </c>
      <c r="C29" s="50">
        <f>MONTH(TB_Entradas[[#This Row],[Data]])</f>
        <v>5</v>
      </c>
      <c r="D29" s="45">
        <v>44698</v>
      </c>
      <c r="E29" s="42" t="s">
        <v>19</v>
      </c>
      <c r="F29" s="35" t="s">
        <v>43</v>
      </c>
      <c r="G29" s="43">
        <v>45</v>
      </c>
      <c r="H29" s="44" cm="1">
        <f t="array" ref="H29">_xlfn.XLOOKUP(TB_Entradas[[#This Row],[Produto]],TB_Produtos[[#All],[Produto]],TB_Produtos[[#All],[Custo Unitário]],"Produto não Encontrado",0,1)</f>
        <v>0.25</v>
      </c>
      <c r="I29" s="44">
        <f>IFERROR(TB_Entradas[[#This Row],[Quantidade Comprada]]*TB_Entradas[[#This Row],[Custo Unitário]],"Erro ao calcular")</f>
        <v>11.25</v>
      </c>
    </row>
    <row r="30" spans="2:9" ht="16.2" x14ac:dyDescent="0.35">
      <c r="B30" s="50">
        <f>MONTH(TB_Entradas[[#This Row],[Data]])</f>
        <v>6</v>
      </c>
      <c r="C30" s="50">
        <f>MONTH(TB_Entradas[[#This Row],[Data]])</f>
        <v>6</v>
      </c>
      <c r="D30" s="45">
        <v>44714</v>
      </c>
      <c r="E30" s="42" t="s">
        <v>6</v>
      </c>
      <c r="F30" s="35" t="s">
        <v>43</v>
      </c>
      <c r="G30" s="43">
        <v>150</v>
      </c>
      <c r="H30" s="44" cm="1">
        <f t="array" ref="H30">_xlfn.XLOOKUP(TB_Entradas[[#This Row],[Produto]],TB_Produtos[[#All],[Produto]],TB_Produtos[[#All],[Custo Unitário]],"Produto não Encontrado",0,1)</f>
        <v>2</v>
      </c>
      <c r="I30" s="44">
        <f>IFERROR(TB_Entradas[[#This Row],[Quantidade Comprada]]*TB_Entradas[[#This Row],[Custo Unitário]],"Erro ao calcular")</f>
        <v>300</v>
      </c>
    </row>
    <row r="31" spans="2:9" ht="16.2" x14ac:dyDescent="0.35">
      <c r="B31" s="50">
        <f>MONTH(TB_Entradas[[#This Row],[Data]])</f>
        <v>6</v>
      </c>
      <c r="C31" s="50">
        <f>MONTH(TB_Entradas[[#This Row],[Data]])</f>
        <v>6</v>
      </c>
      <c r="D31" s="45">
        <v>44719</v>
      </c>
      <c r="E31" s="42" t="s">
        <v>19</v>
      </c>
      <c r="F31" s="35" t="s">
        <v>43</v>
      </c>
      <c r="G31" s="43">
        <v>115</v>
      </c>
      <c r="H31" s="44" cm="1">
        <f t="array" ref="H31">_xlfn.XLOOKUP(TB_Entradas[[#This Row],[Produto]],TB_Produtos[[#All],[Produto]],TB_Produtos[[#All],[Custo Unitário]],"Produto não Encontrado",0,1)</f>
        <v>0.25</v>
      </c>
      <c r="I31" s="44">
        <f>IFERROR(TB_Entradas[[#This Row],[Quantidade Comprada]]*TB_Entradas[[#This Row],[Custo Unitário]],"Erro ao calcular")</f>
        <v>28.75</v>
      </c>
    </row>
    <row r="32" spans="2:9" ht="16.2" x14ac:dyDescent="0.35">
      <c r="B32" s="50">
        <f>MONTH(TB_Entradas[[#This Row],[Data]])</f>
        <v>6</v>
      </c>
      <c r="C32" s="50">
        <f>MONTH(TB_Entradas[[#This Row],[Data]])</f>
        <v>6</v>
      </c>
      <c r="D32" s="45">
        <v>44727</v>
      </c>
      <c r="E32" s="42" t="s">
        <v>25</v>
      </c>
      <c r="F32" s="35" t="s">
        <v>56</v>
      </c>
      <c r="G32" s="43">
        <v>100</v>
      </c>
      <c r="H32" s="44" cm="1">
        <f t="array" ref="H32">_xlfn.XLOOKUP(TB_Entradas[[#This Row],[Produto]],TB_Produtos[[#All],[Produto]],TB_Produtos[[#All],[Custo Unitário]],"Produto não Encontrado",0,1)</f>
        <v>0.25</v>
      </c>
      <c r="I32" s="44">
        <f>IFERROR(TB_Entradas[[#This Row],[Quantidade Comprada]]*TB_Entradas[[#This Row],[Custo Unitário]],"Erro ao calcular")</f>
        <v>25</v>
      </c>
    </row>
    <row r="33" spans="2:9" ht="16.2" x14ac:dyDescent="0.35">
      <c r="B33" s="50">
        <f>MONTH(TB_Entradas[[#This Row],[Data]])</f>
        <v>6</v>
      </c>
      <c r="C33" s="50">
        <f>MONTH(TB_Entradas[[#This Row],[Data]])</f>
        <v>6</v>
      </c>
      <c r="D33" s="45">
        <v>44735</v>
      </c>
      <c r="E33" s="42" t="s">
        <v>10</v>
      </c>
      <c r="F33" s="35" t="s">
        <v>56</v>
      </c>
      <c r="G33" s="43">
        <v>45</v>
      </c>
      <c r="H33" s="44" cm="1">
        <f t="array" ref="H33">_xlfn.XLOOKUP(TB_Entradas[[#This Row],[Produto]],TB_Produtos[[#All],[Produto]],TB_Produtos[[#All],[Custo Unitário]],"Produto não Encontrado",0,1)</f>
        <v>0.5</v>
      </c>
      <c r="I33" s="44">
        <f>IFERROR(TB_Entradas[[#This Row],[Quantidade Comprada]]*TB_Entradas[[#This Row],[Custo Unitário]],"Erro ao calcular")</f>
        <v>22.5</v>
      </c>
    </row>
    <row r="34" spans="2:9" ht="16.2" x14ac:dyDescent="0.35">
      <c r="B34" s="50">
        <f>MONTH(TB_Entradas[[#This Row],[Data]])</f>
        <v>7</v>
      </c>
      <c r="C34" s="50">
        <f>MONTH(TB_Entradas[[#This Row],[Data]])</f>
        <v>7</v>
      </c>
      <c r="D34" s="45">
        <v>44743</v>
      </c>
      <c r="E34" s="42" t="s">
        <v>6</v>
      </c>
      <c r="F34" s="35" t="s">
        <v>43</v>
      </c>
      <c r="G34" s="43">
        <v>150</v>
      </c>
      <c r="H34" s="44" cm="1">
        <f t="array" ref="H34">_xlfn.XLOOKUP(TB_Entradas[[#This Row],[Produto]],TB_Produtos[[#All],[Produto]],TB_Produtos[[#All],[Custo Unitário]],"Produto não Encontrado",0,1)</f>
        <v>2</v>
      </c>
      <c r="I34" s="44">
        <f>IFERROR(TB_Entradas[[#This Row],[Quantidade Comprada]]*TB_Entradas[[#This Row],[Custo Unitário]],"Erro ao calcular")</f>
        <v>300</v>
      </c>
    </row>
    <row r="35" spans="2:9" ht="16.2" x14ac:dyDescent="0.35">
      <c r="B35" s="50">
        <f>MONTH(TB_Entradas[[#This Row],[Data]])</f>
        <v>7</v>
      </c>
      <c r="C35" s="50">
        <f>MONTH(TB_Entradas[[#This Row],[Data]])</f>
        <v>7</v>
      </c>
      <c r="D35" s="45">
        <v>44747</v>
      </c>
      <c r="E35" s="42" t="s">
        <v>25</v>
      </c>
      <c r="F35" s="35" t="s">
        <v>56</v>
      </c>
      <c r="G35" s="43">
        <v>60</v>
      </c>
      <c r="H35" s="44" cm="1">
        <f t="array" ref="H35">_xlfn.XLOOKUP(TB_Entradas[[#This Row],[Produto]],TB_Produtos[[#All],[Produto]],TB_Produtos[[#All],[Custo Unitário]],"Produto não Encontrado",0,1)</f>
        <v>0.25</v>
      </c>
      <c r="I35" s="44">
        <f>IFERROR(TB_Entradas[[#This Row],[Quantidade Comprada]]*TB_Entradas[[#This Row],[Custo Unitário]],"Erro ao calcular")</f>
        <v>15</v>
      </c>
    </row>
    <row r="36" spans="2:9" ht="16.2" x14ac:dyDescent="0.35">
      <c r="B36" s="50">
        <f>MONTH(TB_Entradas[[#This Row],[Data]])</f>
        <v>7</v>
      </c>
      <c r="C36" s="50">
        <f>MONTH(TB_Entradas[[#This Row],[Data]])</f>
        <v>7</v>
      </c>
      <c r="D36" s="45">
        <v>44749</v>
      </c>
      <c r="E36" s="42" t="s">
        <v>19</v>
      </c>
      <c r="F36" s="35" t="s">
        <v>43</v>
      </c>
      <c r="G36" s="43">
        <v>120</v>
      </c>
      <c r="H36" s="44" cm="1">
        <f t="array" ref="H36">_xlfn.XLOOKUP(TB_Entradas[[#This Row],[Produto]],TB_Produtos[[#All],[Produto]],TB_Produtos[[#All],[Custo Unitário]],"Produto não Encontrado",0,1)</f>
        <v>0.25</v>
      </c>
      <c r="I36" s="44">
        <f>IFERROR(TB_Entradas[[#This Row],[Quantidade Comprada]]*TB_Entradas[[#This Row],[Custo Unitário]],"Erro ao calcular")</f>
        <v>30</v>
      </c>
    </row>
    <row r="37" spans="2:9" ht="16.2" x14ac:dyDescent="0.35">
      <c r="B37" s="50">
        <f>MONTH(TB_Entradas[[#This Row],[Data]])</f>
        <v>7</v>
      </c>
      <c r="C37" s="50">
        <f>MONTH(TB_Entradas[[#This Row],[Data]])</f>
        <v>7</v>
      </c>
      <c r="D37" s="45">
        <v>44757</v>
      </c>
      <c r="E37" s="42" t="s">
        <v>10</v>
      </c>
      <c r="F37" s="35" t="s">
        <v>56</v>
      </c>
      <c r="G37" s="43">
        <v>20</v>
      </c>
      <c r="H37" s="44" cm="1">
        <f t="array" ref="H37">_xlfn.XLOOKUP(TB_Entradas[[#This Row],[Produto]],TB_Produtos[[#All],[Produto]],TB_Produtos[[#All],[Custo Unitário]],"Produto não Encontrado",0,1)</f>
        <v>0.5</v>
      </c>
      <c r="I37" s="44">
        <f>IFERROR(TB_Entradas[[#This Row],[Quantidade Comprada]]*TB_Entradas[[#This Row],[Custo Unitário]],"Erro ao calcular")</f>
        <v>10</v>
      </c>
    </row>
    <row r="38" spans="2:9" ht="16.2" x14ac:dyDescent="0.35">
      <c r="B38" s="50">
        <f>MONTH(TB_Entradas[[#This Row],[Data]])</f>
        <v>8</v>
      </c>
      <c r="C38" s="50">
        <f>MONTH(TB_Entradas[[#This Row],[Data]])</f>
        <v>8</v>
      </c>
      <c r="D38" s="45">
        <v>44778</v>
      </c>
      <c r="E38" s="42" t="s">
        <v>19</v>
      </c>
      <c r="F38" s="35" t="s">
        <v>43</v>
      </c>
      <c r="G38" s="43">
        <v>35</v>
      </c>
      <c r="H38" s="44" cm="1">
        <f t="array" ref="H38">_xlfn.XLOOKUP(TB_Entradas[[#This Row],[Produto]],TB_Produtos[[#All],[Produto]],TB_Produtos[[#All],[Custo Unitário]],"Produto não Encontrado",0,1)</f>
        <v>0.25</v>
      </c>
      <c r="I38" s="44">
        <f>IFERROR(TB_Entradas[[#This Row],[Quantidade Comprada]]*TB_Entradas[[#This Row],[Custo Unitário]],"Erro ao calcular")</f>
        <v>8.75</v>
      </c>
    </row>
    <row r="39" spans="2:9" ht="16.2" x14ac:dyDescent="0.35">
      <c r="B39" s="50">
        <f>MONTH(TB_Entradas[[#This Row],[Data]])</f>
        <v>8</v>
      </c>
      <c r="C39" s="50">
        <f>MONTH(TB_Entradas[[#This Row],[Data]])</f>
        <v>8</v>
      </c>
      <c r="D39" s="45">
        <v>44783</v>
      </c>
      <c r="E39" s="42" t="s">
        <v>23</v>
      </c>
      <c r="F39" s="35" t="s">
        <v>43</v>
      </c>
      <c r="G39" s="43">
        <v>100</v>
      </c>
      <c r="H39" s="44" cm="1">
        <f t="array" ref="H39">_xlfn.XLOOKUP(TB_Entradas[[#This Row],[Produto]],TB_Produtos[[#All],[Produto]],TB_Produtos[[#All],[Custo Unitário]],"Produto não Encontrado",0,1)</f>
        <v>1</v>
      </c>
      <c r="I39" s="44">
        <f>IFERROR(TB_Entradas[[#This Row],[Quantidade Comprada]]*TB_Entradas[[#This Row],[Custo Unitário]],"Erro ao calcular")</f>
        <v>100</v>
      </c>
    </row>
    <row r="40" spans="2:9" ht="16.2" x14ac:dyDescent="0.35">
      <c r="B40" s="50">
        <f>MONTH(TB_Entradas[[#This Row],[Data]])</f>
        <v>8</v>
      </c>
      <c r="C40" s="50">
        <f>MONTH(TB_Entradas[[#This Row],[Data]])</f>
        <v>8</v>
      </c>
      <c r="D40" s="45">
        <v>44791</v>
      </c>
      <c r="E40" s="42" t="s">
        <v>25</v>
      </c>
      <c r="F40" s="35" t="s">
        <v>56</v>
      </c>
      <c r="G40" s="43">
        <v>30</v>
      </c>
      <c r="H40" s="44" cm="1">
        <f t="array" ref="H40">_xlfn.XLOOKUP(TB_Entradas[[#This Row],[Produto]],TB_Produtos[[#All],[Produto]],TB_Produtos[[#All],[Custo Unitário]],"Produto não Encontrado",0,1)</f>
        <v>0.25</v>
      </c>
      <c r="I40" s="44">
        <f>IFERROR(TB_Entradas[[#This Row],[Quantidade Comprada]]*TB_Entradas[[#This Row],[Custo Unitário]],"Erro ao calcular")</f>
        <v>7.5</v>
      </c>
    </row>
    <row r="41" spans="2:9" ht="16.2" x14ac:dyDescent="0.35">
      <c r="B41" s="50">
        <f>MONTH(TB_Entradas[[#This Row],[Data]])</f>
        <v>8</v>
      </c>
      <c r="C41" s="50">
        <f>MONTH(TB_Entradas[[#This Row],[Data]])</f>
        <v>8</v>
      </c>
      <c r="D41" s="45">
        <v>44791</v>
      </c>
      <c r="E41" s="42" t="s">
        <v>10</v>
      </c>
      <c r="F41" s="35" t="s">
        <v>56</v>
      </c>
      <c r="G41" s="43">
        <v>30</v>
      </c>
      <c r="H41" s="44" cm="1">
        <f t="array" ref="H41">_xlfn.XLOOKUP(TB_Entradas[[#This Row],[Produto]],TB_Produtos[[#All],[Produto]],TB_Produtos[[#All],[Custo Unitário]],"Produto não Encontrado",0,1)</f>
        <v>0.5</v>
      </c>
      <c r="I41" s="44">
        <f>IFERROR(TB_Entradas[[#This Row],[Quantidade Comprada]]*TB_Entradas[[#This Row],[Custo Unitário]],"Erro ao calcular")</f>
        <v>15</v>
      </c>
    </row>
    <row r="42" spans="2:9" ht="16.2" x14ac:dyDescent="0.35">
      <c r="B42" s="50">
        <f>MONTH(TB_Entradas[[#This Row],[Data]])</f>
        <v>8</v>
      </c>
      <c r="C42" s="50">
        <f>MONTH(TB_Entradas[[#This Row],[Data]])</f>
        <v>8</v>
      </c>
      <c r="D42" s="45">
        <v>44804</v>
      </c>
      <c r="E42" s="42" t="s">
        <v>6</v>
      </c>
      <c r="F42" s="35" t="s">
        <v>43</v>
      </c>
      <c r="G42" s="43">
        <v>150</v>
      </c>
      <c r="H42" s="44" cm="1">
        <f t="array" ref="H42">_xlfn.XLOOKUP(TB_Entradas[[#This Row],[Produto]],TB_Produtos[[#All],[Produto]],TB_Produtos[[#All],[Custo Unitário]],"Produto não Encontrado",0,1)</f>
        <v>2</v>
      </c>
      <c r="I42" s="44">
        <f>IFERROR(TB_Entradas[[#This Row],[Quantidade Comprada]]*TB_Entradas[[#This Row],[Custo Unitário]],"Erro ao calcular")</f>
        <v>300</v>
      </c>
    </row>
    <row r="43" spans="2:9" ht="16.2" x14ac:dyDescent="0.35">
      <c r="B43" s="50">
        <f>MONTH(TB_Entradas[[#This Row],[Data]])</f>
        <v>9</v>
      </c>
      <c r="C43" s="50">
        <f>MONTH(TB_Entradas[[#This Row],[Data]])</f>
        <v>9</v>
      </c>
      <c r="D43" s="45">
        <v>44806</v>
      </c>
      <c r="E43" s="42" t="s">
        <v>36</v>
      </c>
      <c r="F43" s="35" t="s">
        <v>51</v>
      </c>
      <c r="G43" s="43">
        <v>100</v>
      </c>
      <c r="H43" s="44" cm="1">
        <f t="array" ref="H43">_xlfn.XLOOKUP(TB_Entradas[[#This Row],[Produto]],TB_Produtos[[#All],[Produto]],TB_Produtos[[#All],[Custo Unitário]],"Produto não Encontrado",0,1)</f>
        <v>2</v>
      </c>
      <c r="I43" s="44">
        <f>IFERROR(TB_Entradas[[#This Row],[Quantidade Comprada]]*TB_Entradas[[#This Row],[Custo Unitário]],"Erro ao calcular")</f>
        <v>200</v>
      </c>
    </row>
    <row r="44" spans="2:9" ht="16.2" x14ac:dyDescent="0.35">
      <c r="B44" s="50">
        <f>MONTH(TB_Entradas[[#This Row],[Data]])</f>
        <v>9</v>
      </c>
      <c r="C44" s="50">
        <f>MONTH(TB_Entradas[[#This Row],[Data]])</f>
        <v>9</v>
      </c>
      <c r="D44" s="45">
        <v>44811</v>
      </c>
      <c r="E44" s="42" t="s">
        <v>19</v>
      </c>
      <c r="F44" s="35" t="s">
        <v>43</v>
      </c>
      <c r="G44" s="43">
        <v>34</v>
      </c>
      <c r="H44" s="44" cm="1">
        <f t="array" ref="H44">_xlfn.XLOOKUP(TB_Entradas[[#This Row],[Produto]],TB_Produtos[[#All],[Produto]],TB_Produtos[[#All],[Custo Unitário]],"Produto não Encontrado",0,1)</f>
        <v>0.25</v>
      </c>
      <c r="I44" s="44">
        <f>IFERROR(TB_Entradas[[#This Row],[Quantidade Comprada]]*TB_Entradas[[#This Row],[Custo Unitário]],"Erro ao calcular")</f>
        <v>8.5</v>
      </c>
    </row>
    <row r="45" spans="2:9" ht="16.2" x14ac:dyDescent="0.35">
      <c r="B45" s="50">
        <f>MONTH(TB_Entradas[[#This Row],[Data]])</f>
        <v>9</v>
      </c>
      <c r="C45" s="50">
        <f>MONTH(TB_Entradas[[#This Row],[Data]])</f>
        <v>9</v>
      </c>
      <c r="D45" s="45">
        <v>44821</v>
      </c>
      <c r="E45" s="42" t="s">
        <v>28</v>
      </c>
      <c r="F45" s="35" t="s">
        <v>47</v>
      </c>
      <c r="G45" s="43">
        <v>50</v>
      </c>
      <c r="H45" s="44" cm="1">
        <f t="array" ref="H45">_xlfn.XLOOKUP(TB_Entradas[[#This Row],[Produto]],TB_Produtos[[#All],[Produto]],TB_Produtos[[#All],[Custo Unitário]],"Produto não Encontrado",0,1)</f>
        <v>4.5</v>
      </c>
      <c r="I45" s="44">
        <f>IFERROR(TB_Entradas[[#This Row],[Quantidade Comprada]]*TB_Entradas[[#This Row],[Custo Unitário]],"Erro ao calcular")</f>
        <v>225</v>
      </c>
    </row>
    <row r="46" spans="2:9" ht="16.2" x14ac:dyDescent="0.35">
      <c r="B46" s="50">
        <f>MONTH(TB_Entradas[[#This Row],[Data]])</f>
        <v>9</v>
      </c>
      <c r="C46" s="50">
        <f>MONTH(TB_Entradas[[#This Row],[Data]])</f>
        <v>9</v>
      </c>
      <c r="D46" s="45">
        <v>44823</v>
      </c>
      <c r="E46" s="42" t="s">
        <v>25</v>
      </c>
      <c r="F46" s="35" t="s">
        <v>56</v>
      </c>
      <c r="G46" s="43">
        <v>20</v>
      </c>
      <c r="H46" s="44" cm="1">
        <f t="array" ref="H46">_xlfn.XLOOKUP(TB_Entradas[[#This Row],[Produto]],TB_Produtos[[#All],[Produto]],TB_Produtos[[#All],[Custo Unitário]],"Produto não Encontrado",0,1)</f>
        <v>0.25</v>
      </c>
      <c r="I46" s="44">
        <f>IFERROR(TB_Entradas[[#This Row],[Quantidade Comprada]]*TB_Entradas[[#This Row],[Custo Unitário]],"Erro ao calcular")</f>
        <v>5</v>
      </c>
    </row>
    <row r="47" spans="2:9" ht="16.2" x14ac:dyDescent="0.35">
      <c r="B47" s="50">
        <f>MONTH(TB_Entradas[[#This Row],[Data]])</f>
        <v>9</v>
      </c>
      <c r="C47" s="50">
        <f>MONTH(TB_Entradas[[#This Row],[Data]])</f>
        <v>9</v>
      </c>
      <c r="D47" s="45">
        <v>44828</v>
      </c>
      <c r="E47" s="42" t="s">
        <v>10</v>
      </c>
      <c r="F47" s="35" t="s">
        <v>56</v>
      </c>
      <c r="G47" s="43">
        <v>15</v>
      </c>
      <c r="H47" s="44" cm="1">
        <f t="array" ref="H47">_xlfn.XLOOKUP(TB_Entradas[[#This Row],[Produto]],TB_Produtos[[#All],[Produto]],TB_Produtos[[#All],[Custo Unitário]],"Produto não Encontrado",0,1)</f>
        <v>0.5</v>
      </c>
      <c r="I47" s="44">
        <f>IFERROR(TB_Entradas[[#This Row],[Quantidade Comprada]]*TB_Entradas[[#This Row],[Custo Unitário]],"Erro ao calcular")</f>
        <v>7.5</v>
      </c>
    </row>
    <row r="48" spans="2:9" ht="16.2" x14ac:dyDescent="0.35">
      <c r="B48" s="50">
        <f>MONTH(TB_Entradas[[#This Row],[Data]])</f>
        <v>9</v>
      </c>
      <c r="C48" s="50">
        <f>MONTH(TB_Entradas[[#This Row],[Data]])</f>
        <v>9</v>
      </c>
      <c r="D48" s="45">
        <v>44834</v>
      </c>
      <c r="E48" s="42" t="s">
        <v>6</v>
      </c>
      <c r="F48" s="35" t="s">
        <v>43</v>
      </c>
      <c r="G48" s="43">
        <v>180</v>
      </c>
      <c r="H48" s="44" cm="1">
        <f t="array" ref="H48">_xlfn.XLOOKUP(TB_Entradas[[#This Row],[Produto]],TB_Produtos[[#All],[Produto]],TB_Produtos[[#All],[Custo Unitário]],"Produto não Encontrado",0,1)</f>
        <v>2</v>
      </c>
      <c r="I48" s="44">
        <f>IFERROR(TB_Entradas[[#This Row],[Quantidade Comprada]]*TB_Entradas[[#This Row],[Custo Unitário]],"Erro ao calcular")</f>
        <v>360</v>
      </c>
    </row>
    <row r="49" spans="2:9" ht="16.2" x14ac:dyDescent="0.35">
      <c r="B49" s="50">
        <f>MONTH(TB_Entradas[[#This Row],[Data]])</f>
        <v>10</v>
      </c>
      <c r="C49" s="50">
        <f>MONTH(TB_Entradas[[#This Row],[Data]])</f>
        <v>10</v>
      </c>
      <c r="D49" s="45">
        <v>44835</v>
      </c>
      <c r="E49" s="42" t="s">
        <v>19</v>
      </c>
      <c r="F49" s="35" t="s">
        <v>43</v>
      </c>
      <c r="G49" s="43">
        <v>46</v>
      </c>
      <c r="H49" s="44" cm="1">
        <f t="array" ref="H49">_xlfn.XLOOKUP(TB_Entradas[[#This Row],[Produto]],TB_Produtos[[#All],[Produto]],TB_Produtos[[#All],[Custo Unitário]],"Produto não Encontrado",0,1)</f>
        <v>0.25</v>
      </c>
      <c r="I49" s="44">
        <f>IFERROR(TB_Entradas[[#This Row],[Quantidade Comprada]]*TB_Entradas[[#This Row],[Custo Unitário]],"Erro ao calcular")</f>
        <v>11.5</v>
      </c>
    </row>
    <row r="50" spans="2:9" ht="16.2" x14ac:dyDescent="0.35">
      <c r="B50" s="50">
        <f>MONTH(TB_Entradas[[#This Row],[Data]])</f>
        <v>10</v>
      </c>
      <c r="C50" s="50">
        <f>MONTH(TB_Entradas[[#This Row],[Data]])</f>
        <v>10</v>
      </c>
      <c r="D50" s="45">
        <v>44841</v>
      </c>
      <c r="E50" s="42" t="s">
        <v>25</v>
      </c>
      <c r="F50" s="35" t="s">
        <v>56</v>
      </c>
      <c r="G50" s="43">
        <v>35</v>
      </c>
      <c r="H50" s="44" cm="1">
        <f t="array" ref="H50">_xlfn.XLOOKUP(TB_Entradas[[#This Row],[Produto]],TB_Produtos[[#All],[Produto]],TB_Produtos[[#All],[Custo Unitário]],"Produto não Encontrado",0,1)</f>
        <v>0.25</v>
      </c>
      <c r="I50" s="44">
        <f>IFERROR(TB_Entradas[[#This Row],[Quantidade Comprada]]*TB_Entradas[[#This Row],[Custo Unitário]],"Erro ao calcular")</f>
        <v>8.75</v>
      </c>
    </row>
    <row r="51" spans="2:9" ht="16.2" x14ac:dyDescent="0.35">
      <c r="B51" s="50">
        <f>MONTH(TB_Entradas[[#This Row],[Data]])</f>
        <v>10</v>
      </c>
      <c r="C51" s="50">
        <f>MONTH(TB_Entradas[[#This Row],[Data]])</f>
        <v>10</v>
      </c>
      <c r="D51" s="45">
        <v>44854</v>
      </c>
      <c r="E51" s="42" t="s">
        <v>6</v>
      </c>
      <c r="F51" s="35" t="s">
        <v>43</v>
      </c>
      <c r="G51" s="43">
        <v>100</v>
      </c>
      <c r="H51" s="44" cm="1">
        <f t="array" ref="H51">_xlfn.XLOOKUP(TB_Entradas[[#This Row],[Produto]],TB_Produtos[[#All],[Produto]],TB_Produtos[[#All],[Custo Unitário]],"Produto não Encontrado",0,1)</f>
        <v>2</v>
      </c>
      <c r="I51" s="44">
        <f>IFERROR(TB_Entradas[[#This Row],[Quantidade Comprada]]*TB_Entradas[[#This Row],[Custo Unitário]],"Erro ao calcular")</f>
        <v>200</v>
      </c>
    </row>
    <row r="52" spans="2:9" ht="16.2" x14ac:dyDescent="0.35">
      <c r="B52" s="50">
        <f>MONTH(TB_Entradas[[#This Row],[Data]])</f>
        <v>10</v>
      </c>
      <c r="C52" s="50">
        <f>MONTH(TB_Entradas[[#This Row],[Data]])</f>
        <v>10</v>
      </c>
      <c r="D52" s="45">
        <v>44859</v>
      </c>
      <c r="E52" s="42" t="s">
        <v>10</v>
      </c>
      <c r="F52" s="35" t="s">
        <v>56</v>
      </c>
      <c r="G52" s="43">
        <v>55</v>
      </c>
      <c r="H52" s="44" cm="1">
        <f t="array" ref="H52">_xlfn.XLOOKUP(TB_Entradas[[#This Row],[Produto]],TB_Produtos[[#All],[Produto]],TB_Produtos[[#All],[Custo Unitário]],"Produto não Encontrado",0,1)</f>
        <v>0.5</v>
      </c>
      <c r="I52" s="44">
        <f>IFERROR(TB_Entradas[[#This Row],[Quantidade Comprada]]*TB_Entradas[[#This Row],[Custo Unitário]],"Erro ao calcular")</f>
        <v>27.5</v>
      </c>
    </row>
    <row r="53" spans="2:9" ht="16.2" x14ac:dyDescent="0.35">
      <c r="B53" s="50">
        <f>MONTH(TB_Entradas[[#This Row],[Data]])</f>
        <v>11</v>
      </c>
      <c r="C53" s="50">
        <f>MONTH(TB_Entradas[[#This Row],[Data]])</f>
        <v>11</v>
      </c>
      <c r="D53" s="45">
        <v>44874</v>
      </c>
      <c r="E53" s="42" t="s">
        <v>29</v>
      </c>
      <c r="F53" s="35" t="s">
        <v>51</v>
      </c>
      <c r="G53" s="43">
        <v>100</v>
      </c>
      <c r="H53" s="44" cm="1">
        <f t="array" ref="H53">_xlfn.XLOOKUP(TB_Entradas[[#This Row],[Produto]],TB_Produtos[[#All],[Produto]],TB_Produtos[[#All],[Custo Unitário]],"Produto não Encontrado",0,1)</f>
        <v>0.25</v>
      </c>
      <c r="I53" s="44">
        <f>IFERROR(TB_Entradas[[#This Row],[Quantidade Comprada]]*TB_Entradas[[#This Row],[Custo Unitário]],"Erro ao calcular")</f>
        <v>25</v>
      </c>
    </row>
    <row r="54" spans="2:9" ht="16.2" x14ac:dyDescent="0.35">
      <c r="B54" s="50">
        <f>MONTH(TB_Entradas[[#This Row],[Data]])</f>
        <v>11</v>
      </c>
      <c r="C54" s="50">
        <f>MONTH(TB_Entradas[[#This Row],[Data]])</f>
        <v>11</v>
      </c>
      <c r="D54" s="45">
        <v>44880</v>
      </c>
      <c r="E54" s="42" t="s">
        <v>6</v>
      </c>
      <c r="F54" s="35" t="s">
        <v>43</v>
      </c>
      <c r="G54" s="43">
        <v>80</v>
      </c>
      <c r="H54" s="44" cm="1">
        <f t="array" ref="H54">_xlfn.XLOOKUP(TB_Entradas[[#This Row],[Produto]],TB_Produtos[[#All],[Produto]],TB_Produtos[[#All],[Custo Unitário]],"Produto não Encontrado",0,1)</f>
        <v>2</v>
      </c>
      <c r="I54" s="44">
        <f>IFERROR(TB_Entradas[[#This Row],[Quantidade Comprada]]*TB_Entradas[[#This Row],[Custo Unitário]],"Erro ao calcular")</f>
        <v>160</v>
      </c>
    </row>
    <row r="55" spans="2:9" ht="16.2" x14ac:dyDescent="0.35">
      <c r="B55" s="50">
        <f>MONTH(TB_Entradas[[#This Row],[Data]])</f>
        <v>11</v>
      </c>
      <c r="C55" s="50">
        <f>MONTH(TB_Entradas[[#This Row],[Data]])</f>
        <v>11</v>
      </c>
      <c r="D55" s="45">
        <v>44883</v>
      </c>
      <c r="E55" s="42" t="s">
        <v>19</v>
      </c>
      <c r="F55" s="35" t="s">
        <v>43</v>
      </c>
      <c r="G55" s="43">
        <v>45</v>
      </c>
      <c r="H55" s="44" cm="1">
        <f t="array" ref="H55">_xlfn.XLOOKUP(TB_Entradas[[#This Row],[Produto]],TB_Produtos[[#All],[Produto]],TB_Produtos[[#All],[Custo Unitário]],"Produto não Encontrado",0,1)</f>
        <v>0.25</v>
      </c>
      <c r="I55" s="44">
        <f>IFERROR(TB_Entradas[[#This Row],[Quantidade Comprada]]*TB_Entradas[[#This Row],[Custo Unitário]],"Erro ao calcular")</f>
        <v>11.25</v>
      </c>
    </row>
    <row r="56" spans="2:9" ht="16.2" x14ac:dyDescent="0.35">
      <c r="B56" s="50">
        <f>MONTH(TB_Entradas[[#This Row],[Data]])</f>
        <v>11</v>
      </c>
      <c r="C56" s="50">
        <f>MONTH(TB_Entradas[[#This Row],[Data]])</f>
        <v>11</v>
      </c>
      <c r="D56" s="45">
        <v>44888</v>
      </c>
      <c r="E56" s="42" t="s">
        <v>25</v>
      </c>
      <c r="F56" s="35" t="s">
        <v>56</v>
      </c>
      <c r="G56" s="43">
        <v>20</v>
      </c>
      <c r="H56" s="44" cm="1">
        <f t="array" ref="H56">_xlfn.XLOOKUP(TB_Entradas[[#This Row],[Produto]],TB_Produtos[[#All],[Produto]],TB_Produtos[[#All],[Custo Unitário]],"Produto não Encontrado",0,1)</f>
        <v>0.25</v>
      </c>
      <c r="I56" s="44">
        <f>IFERROR(TB_Entradas[[#This Row],[Quantidade Comprada]]*TB_Entradas[[#This Row],[Custo Unitário]],"Erro ao calcular")</f>
        <v>5</v>
      </c>
    </row>
    <row r="57" spans="2:9" ht="16.2" x14ac:dyDescent="0.35">
      <c r="B57" s="50">
        <f>MONTH(TB_Entradas[[#This Row],[Data]])</f>
        <v>11</v>
      </c>
      <c r="C57" s="50">
        <f>MONTH(TB_Entradas[[#This Row],[Data]])</f>
        <v>11</v>
      </c>
      <c r="D57" s="45">
        <v>44895</v>
      </c>
      <c r="E57" s="42" t="s">
        <v>10</v>
      </c>
      <c r="F57" s="35" t="s">
        <v>56</v>
      </c>
      <c r="G57" s="43">
        <v>35</v>
      </c>
      <c r="H57" s="44" cm="1">
        <f t="array" ref="H57">_xlfn.XLOOKUP(TB_Entradas[[#This Row],[Produto]],TB_Produtos[[#All],[Produto]],TB_Produtos[[#All],[Custo Unitário]],"Produto não Encontrado",0,1)</f>
        <v>0.5</v>
      </c>
      <c r="I57" s="44">
        <f>IFERROR(TB_Entradas[[#This Row],[Quantidade Comprada]]*TB_Entradas[[#This Row],[Custo Unitário]],"Erro ao calcular")</f>
        <v>17.5</v>
      </c>
    </row>
    <row r="58" spans="2:9" ht="16.2" x14ac:dyDescent="0.35">
      <c r="B58" s="50">
        <f>MONTH(TB_Entradas[[#This Row],[Data]])</f>
        <v>12</v>
      </c>
      <c r="C58" s="50">
        <f>MONTH(TB_Entradas[[#This Row],[Data]])</f>
        <v>12</v>
      </c>
      <c r="D58" s="45">
        <v>44907</v>
      </c>
      <c r="E58" s="42" t="s">
        <v>6</v>
      </c>
      <c r="F58" s="35" t="s">
        <v>43</v>
      </c>
      <c r="G58" s="46">
        <v>200</v>
      </c>
      <c r="H58" s="44" cm="1">
        <f t="array" ref="H58">_xlfn.XLOOKUP(TB_Entradas[[#This Row],[Produto]],TB_Produtos[[#All],[Produto]],TB_Produtos[[#All],[Custo Unitário]],"Produto não Encontrado",0,1)</f>
        <v>2</v>
      </c>
      <c r="I58" s="44">
        <f>IFERROR(TB_Entradas[[#This Row],[Quantidade Comprada]]*TB_Entradas[[#This Row],[Custo Unitário]],"Erro ao calcular")</f>
        <v>400</v>
      </c>
    </row>
    <row r="59" spans="2:9" ht="16.2" x14ac:dyDescent="0.35">
      <c r="B59" s="50">
        <f>MONTH(TB_Entradas[[#This Row],[Data]])</f>
        <v>12</v>
      </c>
      <c r="C59" s="50">
        <f>MONTH(TB_Entradas[[#This Row],[Data]])</f>
        <v>12</v>
      </c>
      <c r="D59" s="45">
        <v>44910</v>
      </c>
      <c r="E59" s="42" t="s">
        <v>19</v>
      </c>
      <c r="F59" s="35" t="s">
        <v>43</v>
      </c>
      <c r="G59" s="46">
        <v>40</v>
      </c>
      <c r="H59" s="44" cm="1">
        <f t="array" ref="H59">_xlfn.XLOOKUP(TB_Entradas[[#This Row],[Produto]],TB_Produtos[[#All],[Produto]],TB_Produtos[[#All],[Custo Unitário]],"Produto não Encontrado",0,1)</f>
        <v>0.25</v>
      </c>
      <c r="I59" s="44">
        <f>IFERROR(TB_Entradas[[#This Row],[Quantidade Comprada]]*TB_Entradas[[#This Row],[Custo Unitário]],"Erro ao calcular")</f>
        <v>10</v>
      </c>
    </row>
  </sheetData>
  <dataValidations count="1">
    <dataValidation type="list" allowBlank="1" showInputMessage="1" showErrorMessage="1" sqref="E6:E59" xr:uid="{30B5F2FC-77F0-434A-8A4F-A5BAEF973762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42A8-48B7-4F84-B947-E3253EFAB086}">
  <dimension ref="A1:B3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tr" cm="1">
        <f t="array" ref="A1:A27">TB_Produtos[Produto]</f>
        <v>Café</v>
      </c>
      <c r="B1">
        <f>SUMIF(TB_Saídas[Produto],A1,TB_Saídas[Quantidade Vendida])</f>
        <v>945</v>
      </c>
    </row>
    <row r="2" spans="1:2" x14ac:dyDescent="0.3">
      <c r="A2" t="str">
        <v>Pão</v>
      </c>
      <c r="B2">
        <f>SUMIF(TB_Saídas[Produto],A2,TB_Saídas[Quantidade Vendida])</f>
        <v>0</v>
      </c>
    </row>
    <row r="3" spans="1:2" x14ac:dyDescent="0.3">
      <c r="A3" t="str">
        <v>Coxinha</v>
      </c>
      <c r="B3">
        <f>SUMIF(TB_Saídas[Produto],A3,TB_Saídas[Quantidade Vendida])</f>
        <v>245</v>
      </c>
    </row>
    <row r="4" spans="1:2" x14ac:dyDescent="0.3">
      <c r="A4" t="str">
        <v>Esfiha</v>
      </c>
      <c r="B4">
        <f>SUMIF(TB_Saídas[Produto],A4,TB_Saídas[Quantidade Vendida])</f>
        <v>0</v>
      </c>
    </row>
    <row r="5" spans="1:2" x14ac:dyDescent="0.3">
      <c r="A5" t="str">
        <v>Risoles</v>
      </c>
      <c r="B5">
        <f>SUMIF(TB_Saídas[Produto],A5,TB_Saídas[Quantidade Vendida])</f>
        <v>0</v>
      </c>
    </row>
    <row r="6" spans="1:2" x14ac:dyDescent="0.3">
      <c r="A6" t="str">
        <v>Empada</v>
      </c>
      <c r="B6">
        <f>SUMIF(TB_Saídas[Produto],A6,TB_Saídas[Quantidade Vendida])</f>
        <v>0</v>
      </c>
    </row>
    <row r="7" spans="1:2" x14ac:dyDescent="0.3">
      <c r="A7" t="str">
        <v>Quibe</v>
      </c>
      <c r="B7">
        <f>SUMIF(TB_Saídas[Produto],A7,TB_Saídas[Quantidade Vendida])</f>
        <v>0</v>
      </c>
    </row>
    <row r="8" spans="1:2" x14ac:dyDescent="0.3">
      <c r="A8" t="str">
        <v>Chá</v>
      </c>
      <c r="B8">
        <f>SUMIF(TB_Saídas[Produto],A8,TB_Saídas[Quantidade Vendida])</f>
        <v>0</v>
      </c>
    </row>
    <row r="9" spans="1:2" x14ac:dyDescent="0.3">
      <c r="A9" t="str">
        <v>Manteiga</v>
      </c>
      <c r="B9">
        <f>SUMIF(TB_Saídas[Produto],A9,TB_Saídas[Quantidade Vendida])</f>
        <v>0</v>
      </c>
    </row>
    <row r="10" spans="1:2" x14ac:dyDescent="0.3">
      <c r="A10" t="str">
        <v>Requeijão</v>
      </c>
      <c r="B10">
        <f>SUMIF(TB_Saídas[Produto],A10,TB_Saídas[Quantidade Vendida])</f>
        <v>0</v>
      </c>
    </row>
    <row r="11" spans="1:2" x14ac:dyDescent="0.3">
      <c r="A11" t="str">
        <v>Chocolate Quente</v>
      </c>
      <c r="B11">
        <f>SUMIF(TB_Saídas[Produto],A11,TB_Saídas[Quantidade Vendida])</f>
        <v>500</v>
      </c>
    </row>
    <row r="12" spans="1:2" x14ac:dyDescent="0.3">
      <c r="A12" t="str">
        <v xml:space="preserve">Leite </v>
      </c>
      <c r="B12">
        <f>SUMIF(TB_Saídas[Produto],A12,TB_Saídas[Quantidade Vendida])</f>
        <v>0</v>
      </c>
    </row>
    <row r="13" spans="1:2" x14ac:dyDescent="0.3">
      <c r="A13" t="str">
        <v>Açúcar</v>
      </c>
      <c r="B13">
        <f>SUMIF(TB_Saídas[Produto],A13,TB_Saídas[Quantidade Vendida])</f>
        <v>0</v>
      </c>
    </row>
    <row r="14" spans="1:2" x14ac:dyDescent="0.3">
      <c r="A14" t="str">
        <v>Mini Pizza</v>
      </c>
      <c r="B14">
        <f>SUMIF(TB_Saídas[Produto],A14,TB_Saídas[Quantidade Vendida])</f>
        <v>90</v>
      </c>
    </row>
    <row r="15" spans="1:2" x14ac:dyDescent="0.3">
      <c r="A15" t="str">
        <v>Chantilly</v>
      </c>
      <c r="B15">
        <f>SUMIF(TB_Saídas[Produto],A15,TB_Saídas[Quantidade Vendida])</f>
        <v>0</v>
      </c>
    </row>
    <row r="16" spans="1:2" x14ac:dyDescent="0.3">
      <c r="A16" t="str">
        <v>Pão de Queijo</v>
      </c>
      <c r="B16">
        <f>SUMIF(TB_Saídas[Produto],A16,TB_Saídas[Quantidade Vendida])</f>
        <v>400</v>
      </c>
    </row>
    <row r="17" spans="1:2" x14ac:dyDescent="0.3">
      <c r="A17" t="str">
        <v>Suco de Laranja</v>
      </c>
      <c r="B17">
        <f>SUMIF(TB_Saídas[Produto],A17,TB_Saídas[Quantidade Vendida])</f>
        <v>100</v>
      </c>
    </row>
    <row r="18" spans="1:2" x14ac:dyDescent="0.3">
      <c r="A18" t="str">
        <v>Hamburguer</v>
      </c>
      <c r="B18">
        <f>SUMIF(TB_Saídas[Produto],A18,TB_Saídas[Quantidade Vendida])</f>
        <v>50</v>
      </c>
    </row>
    <row r="19" spans="1:2" x14ac:dyDescent="0.3">
      <c r="A19" t="str">
        <v>Frango</v>
      </c>
      <c r="B19">
        <f>SUMIF(TB_Saídas[Produto],A19,TB_Saídas[Quantidade Vendida])</f>
        <v>30</v>
      </c>
    </row>
    <row r="20" spans="1:2" x14ac:dyDescent="0.3">
      <c r="A20" t="str">
        <v xml:space="preserve">Água </v>
      </c>
      <c r="B20">
        <f>SUMIF(TB_Saídas[Produto],A20,TB_Saídas[Quantidade Vendida])</f>
        <v>0</v>
      </c>
    </row>
    <row r="21" spans="1:2" x14ac:dyDescent="0.3">
      <c r="A21" t="str">
        <v>Cerveja</v>
      </c>
      <c r="B21">
        <f>SUMIF(TB_Saídas[Produto],A21,TB_Saídas[Quantidade Vendida])</f>
        <v>25</v>
      </c>
    </row>
    <row r="22" spans="1:2" x14ac:dyDescent="0.3">
      <c r="A22" t="str">
        <v>Queijo</v>
      </c>
      <c r="B22">
        <f>SUMIF(TB_Saídas[Produto],A22,TB_Saídas[Quantidade Vendida])</f>
        <v>0</v>
      </c>
    </row>
    <row r="23" spans="1:2" x14ac:dyDescent="0.3">
      <c r="A23" t="str">
        <v>Presunto</v>
      </c>
      <c r="B23">
        <f>SUMIF(TB_Saídas[Produto],A23,TB_Saídas[Quantidade Vendida])</f>
        <v>0</v>
      </c>
    </row>
    <row r="24" spans="1:2" x14ac:dyDescent="0.3">
      <c r="A24" t="str">
        <v>Mortadela</v>
      </c>
      <c r="B24">
        <f>SUMIF(TB_Saídas[Produto],A24,TB_Saídas[Quantidade Vendida])</f>
        <v>0</v>
      </c>
    </row>
    <row r="25" spans="1:2" x14ac:dyDescent="0.3">
      <c r="A25" t="str">
        <v>Peito de Peru</v>
      </c>
      <c r="B25">
        <f>SUMIF(TB_Saídas[Produto],A25,TB_Saídas[Quantidade Vendida])</f>
        <v>0</v>
      </c>
    </row>
    <row r="26" spans="1:2" x14ac:dyDescent="0.3">
      <c r="A26" t="str">
        <v>Refrigerante</v>
      </c>
      <c r="B26">
        <f>SUMIF(TB_Saídas[Produto],A26,TB_Saídas[Quantidade Vendida])</f>
        <v>210</v>
      </c>
    </row>
    <row r="27" spans="1:2" x14ac:dyDescent="0.3">
      <c r="A27" t="str">
        <v>Enroladinho</v>
      </c>
      <c r="B27">
        <f>SUMIF(TB_Saídas[Produto],A27,TB_Saídas[Quantidade Vendida])</f>
        <v>0</v>
      </c>
    </row>
    <row r="28" spans="1:2" x14ac:dyDescent="0.3">
      <c r="B28">
        <f>SUMIF(TB_Saídas[Produto],A28,TB_Saídas[Quantidade Vendida])</f>
        <v>0</v>
      </c>
    </row>
    <row r="29" spans="1:2" x14ac:dyDescent="0.3">
      <c r="B29">
        <f>SUMIF(TB_Saídas[Produto],A29,TB_Saídas[Quantidade Vendida])</f>
        <v>0</v>
      </c>
    </row>
    <row r="30" spans="1:2" x14ac:dyDescent="0.3">
      <c r="B30">
        <f>SUMIF(TB_Saídas[Produto],A30,TB_Saídas[Quantidade Vendida])</f>
        <v>0</v>
      </c>
    </row>
    <row r="31" spans="1:2" x14ac:dyDescent="0.3">
      <c r="B31">
        <f>SUMIF(TB_Saídas[Produto],A31,TB_Saídas[Quantidade Vendida])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H63"/>
  <sheetViews>
    <sheetView showGridLines="0" zoomScale="140" zoomScaleNormal="140" workbookViewId="0">
      <selection activeCell="C7" sqref="C7"/>
    </sheetView>
  </sheetViews>
  <sheetFormatPr defaultColWidth="9.109375" defaultRowHeight="14.4" x14ac:dyDescent="0.3"/>
  <cols>
    <col min="1" max="1" width="5.33203125" customWidth="1"/>
    <col min="2" max="2" width="10.88671875" style="2" hidden="1" customWidth="1"/>
    <col min="3" max="3" width="10.88671875" style="2" customWidth="1"/>
    <col min="4" max="4" width="15.33203125" customWidth="1"/>
    <col min="5" max="5" width="20.88671875" customWidth="1"/>
    <col min="6" max="6" width="23.33203125" customWidth="1"/>
    <col min="7" max="7" width="17.33203125" customWidth="1"/>
    <col min="8" max="8" width="17.5546875" customWidth="1"/>
  </cols>
  <sheetData>
    <row r="1" spans="2:8" s="29" customFormat="1" ht="60" customHeight="1" x14ac:dyDescent="0.3">
      <c r="F1" s="37" t="s">
        <v>66</v>
      </c>
      <c r="G1" s="30"/>
    </row>
    <row r="2" spans="2:8" s="32" customFormat="1" ht="6" customHeight="1" x14ac:dyDescent="0.3">
      <c r="G2" s="33"/>
    </row>
    <row r="5" spans="2:8" x14ac:dyDescent="0.3">
      <c r="B5" s="39" t="s">
        <v>61</v>
      </c>
      <c r="C5" s="39" t="s">
        <v>109</v>
      </c>
      <c r="D5" s="39" t="s">
        <v>62</v>
      </c>
      <c r="E5" s="39" t="s">
        <v>1</v>
      </c>
      <c r="F5" s="39" t="s">
        <v>67</v>
      </c>
      <c r="G5" s="40" t="s">
        <v>5</v>
      </c>
      <c r="H5" s="40" t="s">
        <v>68</v>
      </c>
    </row>
    <row r="6" spans="2:8" ht="16.2" x14ac:dyDescent="0.35">
      <c r="B6" s="50">
        <f>MONTH(TB_Saídas[[#This Row],[Data]])</f>
        <v>1</v>
      </c>
      <c r="C6" s="50">
        <f>MONTH(TB_Saídas[[#This Row],[Data]])</f>
        <v>1</v>
      </c>
      <c r="D6" s="41">
        <v>44566</v>
      </c>
      <c r="E6" s="42" t="s">
        <v>10</v>
      </c>
      <c r="F6" s="35">
        <v>30</v>
      </c>
      <c r="G6" s="51" cm="1">
        <f t="array" ref="G6">_xlfn.XLOOKUP(TB_Saídas[[#This Row],[Produto]],TB_Produtos[[#All],[Produto]],TB_Produtos[[#All],[Preço Unitário]],"Produto não Encontrado",0,1)</f>
        <v>6.5</v>
      </c>
      <c r="H6" s="44">
        <f>IFERROR(TB_Saídas[[#This Row],[Quantidade Vendida]]*TB_Saídas[[#This Row],[Preço Unitário]],"Não foi possível calcular")</f>
        <v>195</v>
      </c>
    </row>
    <row r="7" spans="2:8" ht="16.2" x14ac:dyDescent="0.35">
      <c r="B7" s="50">
        <f>MONTH(TB_Saídas[[#This Row],[Data]])</f>
        <v>1</v>
      </c>
      <c r="C7" s="50">
        <f>MONTH(TB_Saídas[[#This Row],[Data]])</f>
        <v>1</v>
      </c>
      <c r="D7" s="41">
        <v>44567</v>
      </c>
      <c r="E7" s="42" t="s">
        <v>6</v>
      </c>
      <c r="F7" s="35">
        <v>80</v>
      </c>
      <c r="G7" s="51" cm="1">
        <f t="array" ref="G7">_xlfn.XLOOKUP(TB_Saídas[[#This Row],[Produto]],TB_Produtos[[#All],[Produto]],TB_Produtos[[#All],[Preço Unitário]],"Produto não Encontrado",0,1)</f>
        <v>6</v>
      </c>
      <c r="H7" s="44">
        <f>IFERROR(TB_Saídas[[#This Row],[Quantidade Vendida]]*TB_Saídas[[#This Row],[Preço Unitário]],"Não foi possível calcular")</f>
        <v>480</v>
      </c>
    </row>
    <row r="8" spans="2:8" ht="16.2" x14ac:dyDescent="0.35">
      <c r="B8" s="50">
        <f>MONTH(TB_Saídas[[#This Row],[Data]])</f>
        <v>1</v>
      </c>
      <c r="C8" s="50">
        <f>MONTH(TB_Saídas[[#This Row],[Data]])</f>
        <v>1</v>
      </c>
      <c r="D8" s="41">
        <v>44581</v>
      </c>
      <c r="E8" s="42" t="s">
        <v>25</v>
      </c>
      <c r="F8" s="35">
        <v>50</v>
      </c>
      <c r="G8" s="51" cm="1">
        <f t="array" ref="G8">_xlfn.XLOOKUP(TB_Saídas[[#This Row],[Produto]],TB_Produtos[[#All],[Produto]],TB_Produtos[[#All],[Preço Unitário]],"Produto não Encontrado",0,1)</f>
        <v>7.5</v>
      </c>
      <c r="H8" s="44">
        <f>IFERROR(TB_Saídas[[#This Row],[Quantidade Vendida]]*TB_Saídas[[#This Row],[Preço Unitário]],"Não foi possível calcular")</f>
        <v>375</v>
      </c>
    </row>
    <row r="9" spans="2:8" ht="16.2" x14ac:dyDescent="0.35">
      <c r="B9" s="50">
        <f>MONTH(TB_Saídas[[#This Row],[Data]])</f>
        <v>1</v>
      </c>
      <c r="C9" s="50">
        <f>MONTH(TB_Saídas[[#This Row],[Data]])</f>
        <v>1</v>
      </c>
      <c r="D9" s="41">
        <v>44586</v>
      </c>
      <c r="E9" s="42" t="s">
        <v>19</v>
      </c>
      <c r="F9" s="35">
        <v>50</v>
      </c>
      <c r="G9" s="51" cm="1">
        <f t="array" ref="G9">_xlfn.XLOOKUP(TB_Saídas[[#This Row],[Produto]],TB_Produtos[[#All],[Produto]],TB_Produtos[[#All],[Preço Unitário]],"Produto não Encontrado",0,1)</f>
        <v>8.5</v>
      </c>
      <c r="H9" s="44">
        <f>IFERROR(TB_Saídas[[#This Row],[Quantidade Vendida]]*TB_Saídas[[#This Row],[Preço Unitário]],"Não foi possível calcular")</f>
        <v>425</v>
      </c>
    </row>
    <row r="10" spans="2:8" ht="16.2" x14ac:dyDescent="0.35">
      <c r="B10" s="50">
        <f>MONTH(TB_Saídas[[#This Row],[Data]])</f>
        <v>2</v>
      </c>
      <c r="C10" s="50">
        <f>MONTH(TB_Saídas[[#This Row],[Data]])</f>
        <v>2</v>
      </c>
      <c r="D10" s="41">
        <v>44597</v>
      </c>
      <c r="E10" s="42" t="s">
        <v>25</v>
      </c>
      <c r="F10" s="35">
        <v>30</v>
      </c>
      <c r="G10" s="51" cm="1">
        <f t="array" ref="G10">_xlfn.XLOOKUP(TB_Saídas[[#This Row],[Produto]],TB_Produtos[[#All],[Produto]],TB_Produtos[[#All],[Preço Unitário]],"Produto não Encontrado",0,1)</f>
        <v>7.5</v>
      </c>
      <c r="H10" s="44">
        <f>IFERROR(TB_Saídas[[#This Row],[Quantidade Vendida]]*TB_Saídas[[#This Row],[Preço Unitário]],"Não foi possível calcular")</f>
        <v>225</v>
      </c>
    </row>
    <row r="11" spans="2:8" ht="16.2" x14ac:dyDescent="0.35">
      <c r="B11" s="50">
        <f>MONTH(TB_Saídas[[#This Row],[Data]])</f>
        <v>2</v>
      </c>
      <c r="C11" s="50">
        <f>MONTH(TB_Saídas[[#This Row],[Data]])</f>
        <v>2</v>
      </c>
      <c r="D11" s="41">
        <v>44598</v>
      </c>
      <c r="E11" s="42" t="s">
        <v>6</v>
      </c>
      <c r="F11" s="35">
        <v>110</v>
      </c>
      <c r="G11" s="51" cm="1">
        <f t="array" ref="G11">_xlfn.XLOOKUP(TB_Saídas[[#This Row],[Produto]],TB_Produtos[[#All],[Produto]],TB_Produtos[[#All],[Preço Unitário]],"Produto não Encontrado",0,1)</f>
        <v>6</v>
      </c>
      <c r="H11" s="44">
        <f>IFERROR(TB_Saídas[[#This Row],[Quantidade Vendida]]*TB_Saídas[[#This Row],[Preço Unitário]],"Não foi possível calcular")</f>
        <v>660</v>
      </c>
    </row>
    <row r="12" spans="2:8" ht="16.2" x14ac:dyDescent="0.35">
      <c r="B12" s="50">
        <f>MONTH(TB_Saídas[[#This Row],[Data]])</f>
        <v>2</v>
      </c>
      <c r="C12" s="50">
        <f>MONTH(TB_Saídas[[#This Row],[Data]])</f>
        <v>2</v>
      </c>
      <c r="D12" s="41">
        <v>44602</v>
      </c>
      <c r="E12" s="42" t="s">
        <v>19</v>
      </c>
      <c r="F12" s="35">
        <v>75</v>
      </c>
      <c r="G12" s="51" cm="1">
        <f t="array" ref="G12">_xlfn.XLOOKUP(TB_Saídas[[#This Row],[Produto]],TB_Produtos[[#All],[Produto]],TB_Produtos[[#All],[Preço Unitário]],"Produto não Encontrado",0,1)</f>
        <v>8.5</v>
      </c>
      <c r="H12" s="44">
        <f>IFERROR(TB_Saídas[[#This Row],[Quantidade Vendida]]*TB_Saídas[[#This Row],[Preço Unitário]],"Não foi possível calcular")</f>
        <v>637.5</v>
      </c>
    </row>
    <row r="13" spans="2:8" ht="16.2" x14ac:dyDescent="0.35">
      <c r="B13" s="50">
        <f>MONTH(TB_Saídas[[#This Row],[Data]])</f>
        <v>2</v>
      </c>
      <c r="C13" s="50">
        <f>MONTH(TB_Saídas[[#This Row],[Data]])</f>
        <v>2</v>
      </c>
      <c r="D13" s="41">
        <v>44620</v>
      </c>
      <c r="E13" s="42" t="s">
        <v>10</v>
      </c>
      <c r="F13" s="35">
        <v>20</v>
      </c>
      <c r="G13" s="51" cm="1">
        <f t="array" ref="G13">_xlfn.XLOOKUP(TB_Saídas[[#This Row],[Produto]],TB_Produtos[[#All],[Produto]],TB_Produtos[[#All],[Preço Unitário]],"Produto não Encontrado",0,1)</f>
        <v>6.5</v>
      </c>
      <c r="H13" s="44">
        <f>IFERROR(TB_Saídas[[#This Row],[Quantidade Vendida]]*TB_Saídas[[#This Row],[Preço Unitário]],"Não foi possível calcular")</f>
        <v>130</v>
      </c>
    </row>
    <row r="14" spans="2:8" ht="16.2" x14ac:dyDescent="0.35">
      <c r="B14" s="50">
        <f>MONTH(TB_Saídas[[#This Row],[Data]])</f>
        <v>3</v>
      </c>
      <c r="C14" s="50">
        <f>MONTH(TB_Saídas[[#This Row],[Data]])</f>
        <v>3</v>
      </c>
      <c r="D14" s="41">
        <v>44626</v>
      </c>
      <c r="E14" s="42" t="s">
        <v>36</v>
      </c>
      <c r="F14" s="35">
        <v>110</v>
      </c>
      <c r="G14" s="51" cm="1">
        <f t="array" ref="G14">_xlfn.XLOOKUP(TB_Saídas[[#This Row],[Produto]],TB_Produtos[[#All],[Produto]],TB_Produtos[[#All],[Preço Unitário]],"Produto não Encontrado",0,1)</f>
        <v>8</v>
      </c>
      <c r="H14" s="44">
        <f>IFERROR(TB_Saídas[[#This Row],[Quantidade Vendida]]*TB_Saídas[[#This Row],[Preço Unitário]],"Não foi possível calcular")</f>
        <v>880</v>
      </c>
    </row>
    <row r="15" spans="2:8" ht="16.2" x14ac:dyDescent="0.35">
      <c r="B15" s="50">
        <f>MONTH(TB_Saídas[[#This Row],[Data]])</f>
        <v>3</v>
      </c>
      <c r="C15" s="50">
        <f>MONTH(TB_Saídas[[#This Row],[Data]])</f>
        <v>3</v>
      </c>
      <c r="D15" s="41">
        <v>44631</v>
      </c>
      <c r="E15" s="42" t="s">
        <v>25</v>
      </c>
      <c r="F15" s="35">
        <v>40</v>
      </c>
      <c r="G15" s="51" cm="1">
        <f t="array" ref="G15">_xlfn.XLOOKUP(TB_Saídas[[#This Row],[Produto]],TB_Produtos[[#All],[Produto]],TB_Produtos[[#All],[Preço Unitário]],"Produto não Encontrado",0,1)</f>
        <v>7.5</v>
      </c>
      <c r="H15" s="44">
        <f>IFERROR(TB_Saídas[[#This Row],[Quantidade Vendida]]*TB_Saídas[[#This Row],[Preço Unitário]],"Não foi possível calcular")</f>
        <v>300</v>
      </c>
    </row>
    <row r="16" spans="2:8" ht="16.2" x14ac:dyDescent="0.35">
      <c r="B16" s="50">
        <f>MONTH(TB_Saídas[[#This Row],[Data]])</f>
        <v>3</v>
      </c>
      <c r="C16" s="50">
        <f>MONTH(TB_Saídas[[#This Row],[Data]])</f>
        <v>3</v>
      </c>
      <c r="D16" s="41">
        <v>44646</v>
      </c>
      <c r="E16" s="42" t="s">
        <v>19</v>
      </c>
      <c r="F16" s="35">
        <v>50</v>
      </c>
      <c r="G16" s="51" cm="1">
        <f t="array" ref="G16">_xlfn.XLOOKUP(TB_Saídas[[#This Row],[Produto]],TB_Produtos[[#All],[Produto]],TB_Produtos[[#All],[Preço Unitário]],"Produto não Encontrado",0,1)</f>
        <v>8.5</v>
      </c>
      <c r="H16" s="44">
        <f>IFERROR(TB_Saídas[[#This Row],[Quantidade Vendida]]*TB_Saídas[[#This Row],[Preço Unitário]],"Não foi possível calcular")</f>
        <v>425</v>
      </c>
    </row>
    <row r="17" spans="2:8" ht="16.2" x14ac:dyDescent="0.35">
      <c r="B17" s="50">
        <f>MONTH(TB_Saídas[[#This Row],[Data]])</f>
        <v>3</v>
      </c>
      <c r="C17" s="50">
        <f>MONTH(TB_Saídas[[#This Row],[Data]])</f>
        <v>3</v>
      </c>
      <c r="D17" s="41">
        <v>44649</v>
      </c>
      <c r="E17" s="42" t="s">
        <v>10</v>
      </c>
      <c r="F17" s="35">
        <v>15</v>
      </c>
      <c r="G17" s="51" cm="1">
        <f t="array" ref="G17">_xlfn.XLOOKUP(TB_Saídas[[#This Row],[Produto]],TB_Produtos[[#All],[Produto]],TB_Produtos[[#All],[Preço Unitário]],"Produto não Encontrado",0,1)</f>
        <v>6.5</v>
      </c>
      <c r="H17" s="44">
        <f>IFERROR(TB_Saídas[[#This Row],[Quantidade Vendida]]*TB_Saídas[[#This Row],[Preço Unitário]],"Não foi possível calcular")</f>
        <v>97.5</v>
      </c>
    </row>
    <row r="18" spans="2:8" ht="16.2" x14ac:dyDescent="0.35">
      <c r="B18" s="50">
        <f>MONTH(TB_Saídas[[#This Row],[Data]])</f>
        <v>3</v>
      </c>
      <c r="C18" s="50">
        <f>MONTH(TB_Saídas[[#This Row],[Data]])</f>
        <v>3</v>
      </c>
      <c r="D18" s="41">
        <v>44630</v>
      </c>
      <c r="E18" s="42" t="s">
        <v>6</v>
      </c>
      <c r="F18" s="35">
        <v>100</v>
      </c>
      <c r="G18" s="51" cm="1">
        <f t="array" ref="G18">_xlfn.XLOOKUP(TB_Saídas[[#This Row],[Produto]],TB_Produtos[[#All],[Produto]],TB_Produtos[[#All],[Preço Unitário]],"Produto não Encontrado",0,1)</f>
        <v>6</v>
      </c>
      <c r="H18" s="44">
        <f>IFERROR(TB_Saídas[[#This Row],[Quantidade Vendida]]*TB_Saídas[[#This Row],[Preço Unitário]],"Não foi possível calcular")</f>
        <v>600</v>
      </c>
    </row>
    <row r="19" spans="2:8" ht="16.2" x14ac:dyDescent="0.35">
      <c r="B19" s="50">
        <f>MONTH(TB_Saídas[[#This Row],[Data]])</f>
        <v>4</v>
      </c>
      <c r="C19" s="50">
        <f>MONTH(TB_Saídas[[#This Row],[Data]])</f>
        <v>4</v>
      </c>
      <c r="D19" s="41">
        <v>44659</v>
      </c>
      <c r="E19" s="42" t="s">
        <v>10</v>
      </c>
      <c r="F19" s="35">
        <v>40</v>
      </c>
      <c r="G19" s="51" cm="1">
        <f t="array" ref="G19">_xlfn.XLOOKUP(TB_Saídas[[#This Row],[Produto]],TB_Produtos[[#All],[Produto]],TB_Produtos[[#All],[Preço Unitário]],"Produto não Encontrado",0,1)</f>
        <v>6.5</v>
      </c>
      <c r="H19" s="44">
        <f>IFERROR(TB_Saídas[[#This Row],[Quantidade Vendida]]*TB_Saídas[[#This Row],[Preço Unitário]],"Não foi possível calcular")</f>
        <v>260</v>
      </c>
    </row>
    <row r="20" spans="2:8" ht="16.2" x14ac:dyDescent="0.35">
      <c r="B20" s="50">
        <f>MONTH(TB_Saídas[[#This Row],[Data]])</f>
        <v>4</v>
      </c>
      <c r="C20" s="50">
        <f>MONTH(TB_Saídas[[#This Row],[Data]])</f>
        <v>4</v>
      </c>
      <c r="D20" s="41">
        <v>44663</v>
      </c>
      <c r="E20" s="42" t="s">
        <v>6</v>
      </c>
      <c r="F20" s="35">
        <v>75</v>
      </c>
      <c r="G20" s="51" cm="1">
        <f t="array" ref="G20">_xlfn.XLOOKUP(TB_Saídas[[#This Row],[Produto]],TB_Produtos[[#All],[Produto]],TB_Produtos[[#All],[Preço Unitário]],"Produto não Encontrado",0,1)</f>
        <v>6</v>
      </c>
      <c r="H20" s="44">
        <f>IFERROR(TB_Saídas[[#This Row],[Quantidade Vendida]]*TB_Saídas[[#This Row],[Preço Unitário]],"Não foi possível calcular")</f>
        <v>450</v>
      </c>
    </row>
    <row r="21" spans="2:8" ht="16.2" x14ac:dyDescent="0.35">
      <c r="B21" s="50">
        <f>MONTH(TB_Saídas[[#This Row],[Data]])</f>
        <v>4</v>
      </c>
      <c r="C21" s="50">
        <f>MONTH(TB_Saídas[[#This Row],[Data]])</f>
        <v>4</v>
      </c>
      <c r="D21" s="41">
        <v>44667</v>
      </c>
      <c r="E21" s="42" t="s">
        <v>31</v>
      </c>
      <c r="F21" s="35">
        <v>25</v>
      </c>
      <c r="G21" s="51" cm="1">
        <f t="array" ref="G21">_xlfn.XLOOKUP(TB_Saídas[[#This Row],[Produto]],TB_Produtos[[#All],[Produto]],TB_Produtos[[#All],[Preço Unitário]],"Produto não Encontrado",0,1)</f>
        <v>8</v>
      </c>
      <c r="H21" s="44">
        <f>IFERROR(TB_Saídas[[#This Row],[Quantidade Vendida]]*TB_Saídas[[#This Row],[Preço Unitário]],"Não foi possível calcular")</f>
        <v>200</v>
      </c>
    </row>
    <row r="22" spans="2:8" ht="16.2" x14ac:dyDescent="0.35">
      <c r="B22" s="50">
        <f>MONTH(TB_Saídas[[#This Row],[Data]])</f>
        <v>4</v>
      </c>
      <c r="C22" s="50">
        <f>MONTH(TB_Saídas[[#This Row],[Data]])</f>
        <v>4</v>
      </c>
      <c r="D22" s="41">
        <v>44671</v>
      </c>
      <c r="E22" s="42" t="s">
        <v>25</v>
      </c>
      <c r="F22" s="35">
        <v>40</v>
      </c>
      <c r="G22" s="51" cm="1">
        <f t="array" ref="G22">_xlfn.XLOOKUP(TB_Saídas[[#This Row],[Produto]],TB_Produtos[[#All],[Produto]],TB_Produtos[[#All],[Preço Unitário]],"Produto não Encontrado",0,1)</f>
        <v>7.5</v>
      </c>
      <c r="H22" s="44">
        <f>IFERROR(TB_Saídas[[#This Row],[Quantidade Vendida]]*TB_Saídas[[#This Row],[Preço Unitário]],"Não foi possível calcular")</f>
        <v>300</v>
      </c>
    </row>
    <row r="23" spans="2:8" ht="16.2" x14ac:dyDescent="0.35">
      <c r="B23" s="50">
        <f>MONTH(TB_Saídas[[#This Row],[Data]])</f>
        <v>4</v>
      </c>
      <c r="C23" s="50">
        <f>MONTH(TB_Saídas[[#This Row],[Data]])</f>
        <v>4</v>
      </c>
      <c r="D23" s="41">
        <v>44681</v>
      </c>
      <c r="E23" s="42" t="s">
        <v>19</v>
      </c>
      <c r="F23" s="35">
        <v>35</v>
      </c>
      <c r="G23" s="51" cm="1">
        <f t="array" ref="G23">_xlfn.XLOOKUP(TB_Saídas[[#This Row],[Produto]],TB_Produtos[[#All],[Produto]],TB_Produtos[[#All],[Preço Unitário]],"Produto não Encontrado",0,1)</f>
        <v>8.5</v>
      </c>
      <c r="H23" s="44">
        <f>IFERROR(TB_Saídas[[#This Row],[Quantidade Vendida]]*TB_Saídas[[#This Row],[Preço Unitário]],"Não foi possível calcular")</f>
        <v>297.5</v>
      </c>
    </row>
    <row r="24" spans="2:8" ht="16.2" x14ac:dyDescent="0.35">
      <c r="B24" s="50">
        <f>MONTH(TB_Saídas[[#This Row],[Data]])</f>
        <v>5</v>
      </c>
      <c r="C24" s="50">
        <f>MONTH(TB_Saídas[[#This Row],[Data]])</f>
        <v>5</v>
      </c>
      <c r="D24" s="41">
        <v>44691</v>
      </c>
      <c r="E24" s="42" t="s">
        <v>25</v>
      </c>
      <c r="F24" s="35">
        <v>35</v>
      </c>
      <c r="G24" s="51" cm="1">
        <f t="array" ref="G24">_xlfn.XLOOKUP(TB_Saídas[[#This Row],[Produto]],TB_Produtos[[#All],[Produto]],TB_Produtos[[#All],[Preço Unitário]],"Produto não Encontrado",0,1)</f>
        <v>7.5</v>
      </c>
      <c r="H24" s="44">
        <f>IFERROR(TB_Saídas[[#This Row],[Quantidade Vendida]]*TB_Saídas[[#This Row],[Preço Unitário]],"Não foi possível calcular")</f>
        <v>262.5</v>
      </c>
    </row>
    <row r="25" spans="2:8" ht="16.2" x14ac:dyDescent="0.35">
      <c r="B25" s="50">
        <f>MONTH(TB_Saídas[[#This Row],[Data]])</f>
        <v>5</v>
      </c>
      <c r="C25" s="50">
        <f>MONTH(TB_Saídas[[#This Row],[Data]])</f>
        <v>5</v>
      </c>
      <c r="D25" s="41">
        <v>44692</v>
      </c>
      <c r="E25" s="42" t="s">
        <v>27</v>
      </c>
      <c r="F25" s="35">
        <v>20</v>
      </c>
      <c r="G25" s="51" cm="1">
        <f t="array" ref="G25">_xlfn.XLOOKUP(TB_Saídas[[#This Row],[Produto]],TB_Produtos[[#All],[Produto]],TB_Produtos[[#All],[Preço Unitário]],"Produto não Encontrado",0,1)</f>
        <v>15</v>
      </c>
      <c r="H25" s="44">
        <f>IFERROR(TB_Saídas[[#This Row],[Quantidade Vendida]]*TB_Saídas[[#This Row],[Preço Unitário]],"Não foi possível calcular")</f>
        <v>300</v>
      </c>
    </row>
    <row r="26" spans="2:8" ht="16.2" x14ac:dyDescent="0.35">
      <c r="B26" s="50">
        <f>MONTH(TB_Saídas[[#This Row],[Data]])</f>
        <v>5</v>
      </c>
      <c r="C26" s="50">
        <f>MONTH(TB_Saídas[[#This Row],[Data]])</f>
        <v>5</v>
      </c>
      <c r="D26" s="41">
        <v>44692</v>
      </c>
      <c r="E26" s="42" t="s">
        <v>6</v>
      </c>
      <c r="F26" s="35">
        <v>75</v>
      </c>
      <c r="G26" s="51" cm="1">
        <f t="array" ref="G26">_xlfn.XLOOKUP(TB_Saídas[[#This Row],[Produto]],TB_Produtos[[#All],[Produto]],TB_Produtos[[#All],[Preço Unitário]],"Produto não Encontrado",0,1)</f>
        <v>6</v>
      </c>
      <c r="H26" s="44">
        <f>IFERROR(TB_Saídas[[#This Row],[Quantidade Vendida]]*TB_Saídas[[#This Row],[Preço Unitário]],"Não foi possível calcular")</f>
        <v>450</v>
      </c>
    </row>
    <row r="27" spans="2:8" ht="16.2" x14ac:dyDescent="0.35">
      <c r="B27" s="50">
        <f>MONTH(TB_Saídas[[#This Row],[Data]])</f>
        <v>5</v>
      </c>
      <c r="C27" s="50">
        <f>MONTH(TB_Saídas[[#This Row],[Data]])</f>
        <v>5</v>
      </c>
      <c r="D27" s="41">
        <v>44700</v>
      </c>
      <c r="E27" s="42" t="s">
        <v>19</v>
      </c>
      <c r="F27" s="35">
        <v>27</v>
      </c>
      <c r="G27" s="51" cm="1">
        <f t="array" ref="G27">_xlfn.XLOOKUP(TB_Saídas[[#This Row],[Produto]],TB_Produtos[[#All],[Produto]],TB_Produtos[[#All],[Preço Unitário]],"Produto não Encontrado",0,1)</f>
        <v>8.5</v>
      </c>
      <c r="H27" s="44">
        <f>IFERROR(TB_Saídas[[#This Row],[Quantidade Vendida]]*TB_Saídas[[#This Row],[Preço Unitário]],"Não foi possível calcular")</f>
        <v>229.5</v>
      </c>
    </row>
    <row r="28" spans="2:8" ht="16.2" x14ac:dyDescent="0.35">
      <c r="B28" s="50">
        <f>MONTH(TB_Saídas[[#This Row],[Data]])</f>
        <v>5</v>
      </c>
      <c r="C28" s="50">
        <f>MONTH(TB_Saídas[[#This Row],[Data]])</f>
        <v>5</v>
      </c>
      <c r="D28" s="41">
        <v>44700</v>
      </c>
      <c r="E28" s="42" t="s">
        <v>10</v>
      </c>
      <c r="F28" s="35">
        <v>20</v>
      </c>
      <c r="G28" s="51" cm="1">
        <f t="array" ref="G28">_xlfn.XLOOKUP(TB_Saídas[[#This Row],[Produto]],TB_Produtos[[#All],[Produto]],TB_Produtos[[#All],[Preço Unitário]],"Produto não Encontrado",0,1)</f>
        <v>6.5</v>
      </c>
      <c r="H28" s="44">
        <f>IFERROR(TB_Saídas[[#This Row],[Quantidade Vendida]]*TB_Saídas[[#This Row],[Preço Unitário]],"Não foi possível calcular")</f>
        <v>130</v>
      </c>
    </row>
    <row r="29" spans="2:8" ht="16.2" x14ac:dyDescent="0.35">
      <c r="B29" s="50">
        <f>MONTH(TB_Saídas[[#This Row],[Data]])</f>
        <v>6</v>
      </c>
      <c r="C29" s="50">
        <f>MONTH(TB_Saídas[[#This Row],[Data]])</f>
        <v>6</v>
      </c>
      <c r="D29" s="41">
        <v>44737</v>
      </c>
      <c r="E29" s="42" t="s">
        <v>19</v>
      </c>
      <c r="F29" s="35">
        <v>35</v>
      </c>
      <c r="G29" s="51" cm="1">
        <f t="array" ref="G29">_xlfn.XLOOKUP(TB_Saídas[[#This Row],[Produto]],TB_Produtos[[#All],[Produto]],TB_Produtos[[#All],[Preço Unitário]],"Produto não Encontrado",0,1)</f>
        <v>8.5</v>
      </c>
      <c r="H29" s="44">
        <f>IFERROR(TB_Saídas[[#This Row],[Quantidade Vendida]]*TB_Saídas[[#This Row],[Preço Unitário]],"Não foi possível calcular")</f>
        <v>297.5</v>
      </c>
    </row>
    <row r="30" spans="2:8" ht="16.2" x14ac:dyDescent="0.35">
      <c r="B30" s="50">
        <f>MONTH(TB_Saídas[[#This Row],[Data]])</f>
        <v>6</v>
      </c>
      <c r="C30" s="50">
        <f>MONTH(TB_Saídas[[#This Row],[Data]])</f>
        <v>6</v>
      </c>
      <c r="D30" s="41">
        <v>44738</v>
      </c>
      <c r="E30" s="42" t="s">
        <v>6</v>
      </c>
      <c r="F30" s="35">
        <v>100</v>
      </c>
      <c r="G30" s="51" cm="1">
        <f t="array" ref="G30">_xlfn.XLOOKUP(TB_Saídas[[#This Row],[Produto]],TB_Produtos[[#All],[Produto]],TB_Produtos[[#All],[Preço Unitário]],"Produto não Encontrado",0,1)</f>
        <v>6</v>
      </c>
      <c r="H30" s="44">
        <f>IFERROR(TB_Saídas[[#This Row],[Quantidade Vendida]]*TB_Saídas[[#This Row],[Preço Unitário]],"Não foi possível calcular")</f>
        <v>600</v>
      </c>
    </row>
    <row r="31" spans="2:8" ht="16.2" x14ac:dyDescent="0.35">
      <c r="B31" s="50">
        <f>MONTH(TB_Saídas[[#This Row],[Data]])</f>
        <v>6</v>
      </c>
      <c r="C31" s="50">
        <f>MONTH(TB_Saídas[[#This Row],[Data]])</f>
        <v>6</v>
      </c>
      <c r="D31" s="41">
        <v>44738</v>
      </c>
      <c r="E31" s="42" t="s">
        <v>25</v>
      </c>
      <c r="F31" s="35">
        <v>20</v>
      </c>
      <c r="G31" s="51" cm="1">
        <f t="array" ref="G31">_xlfn.XLOOKUP(TB_Saídas[[#This Row],[Produto]],TB_Produtos[[#All],[Produto]],TB_Produtos[[#All],[Preço Unitário]],"Produto não Encontrado",0,1)</f>
        <v>7.5</v>
      </c>
      <c r="H31" s="44">
        <f>IFERROR(TB_Saídas[[#This Row],[Quantidade Vendida]]*TB_Saídas[[#This Row],[Preço Unitário]],"Não foi possível calcular")</f>
        <v>150</v>
      </c>
    </row>
    <row r="32" spans="2:8" ht="16.2" x14ac:dyDescent="0.35">
      <c r="B32" s="50">
        <f>MONTH(TB_Saídas[[#This Row],[Data]])</f>
        <v>6</v>
      </c>
      <c r="C32" s="50">
        <f>MONTH(TB_Saídas[[#This Row],[Data]])</f>
        <v>6</v>
      </c>
      <c r="D32" s="41">
        <v>44739</v>
      </c>
      <c r="E32" s="42" t="s">
        <v>10</v>
      </c>
      <c r="F32" s="35">
        <v>15</v>
      </c>
      <c r="G32" s="51" cm="1">
        <f t="array" ref="G32">_xlfn.XLOOKUP(TB_Saídas[[#This Row],[Produto]],TB_Produtos[[#All],[Produto]],TB_Produtos[[#All],[Preço Unitário]],"Produto não Encontrado",0,1)</f>
        <v>6.5</v>
      </c>
      <c r="H32" s="44">
        <f>IFERROR(TB_Saídas[[#This Row],[Quantidade Vendida]]*TB_Saídas[[#This Row],[Preço Unitário]],"Não foi possível calcular")</f>
        <v>97.5</v>
      </c>
    </row>
    <row r="33" spans="2:8" ht="16.2" x14ac:dyDescent="0.35">
      <c r="B33" s="50">
        <f>MONTH(TB_Saídas[[#This Row],[Data]])</f>
        <v>7</v>
      </c>
      <c r="C33" s="50">
        <f>MONTH(TB_Saídas[[#This Row],[Data]])</f>
        <v>7</v>
      </c>
      <c r="D33" s="41">
        <v>44749</v>
      </c>
      <c r="E33" s="42" t="s">
        <v>26</v>
      </c>
      <c r="F33" s="35">
        <v>40</v>
      </c>
      <c r="G33" s="51" cm="1">
        <f t="array" ref="G33">_xlfn.XLOOKUP(TB_Saídas[[#This Row],[Produto]],TB_Produtos[[#All],[Produto]],TB_Produtos[[#All],[Preço Unitário]],"Produto não Encontrado",0,1)</f>
        <v>10</v>
      </c>
      <c r="H33" s="44">
        <f>IFERROR(TB_Saídas[[#This Row],[Quantidade Vendida]]*TB_Saídas[[#This Row],[Preço Unitário]],"Não foi possível calcular")</f>
        <v>400</v>
      </c>
    </row>
    <row r="34" spans="2:8" ht="16.2" x14ac:dyDescent="0.35">
      <c r="B34" s="50">
        <f>MONTH(TB_Saídas[[#This Row],[Data]])</f>
        <v>7</v>
      </c>
      <c r="C34" s="50">
        <f>MONTH(TB_Saídas[[#This Row],[Data]])</f>
        <v>7</v>
      </c>
      <c r="D34" s="41">
        <v>44749</v>
      </c>
      <c r="E34" s="42" t="s">
        <v>6</v>
      </c>
      <c r="F34" s="35">
        <v>90</v>
      </c>
      <c r="G34" s="51" cm="1">
        <f t="array" ref="G34">_xlfn.XLOOKUP(TB_Saídas[[#This Row],[Produto]],TB_Produtos[[#All],[Produto]],TB_Produtos[[#All],[Preço Unitário]],"Produto não Encontrado",0,1)</f>
        <v>6</v>
      </c>
      <c r="H34" s="44">
        <f>IFERROR(TB_Saídas[[#This Row],[Quantidade Vendida]]*TB_Saídas[[#This Row],[Preço Unitário]],"Não foi possível calcular")</f>
        <v>540</v>
      </c>
    </row>
    <row r="35" spans="2:8" ht="16.2" x14ac:dyDescent="0.35">
      <c r="B35" s="50">
        <f>MONTH(TB_Saídas[[#This Row],[Data]])</f>
        <v>7</v>
      </c>
      <c r="C35" s="50">
        <f>MONTH(TB_Saídas[[#This Row],[Data]])</f>
        <v>7</v>
      </c>
      <c r="D35" s="41">
        <v>44758</v>
      </c>
      <c r="E35" s="42" t="s">
        <v>10</v>
      </c>
      <c r="F35" s="35">
        <v>35</v>
      </c>
      <c r="G35" s="51" cm="1">
        <f t="array" ref="G35">_xlfn.XLOOKUP(TB_Saídas[[#This Row],[Produto]],TB_Produtos[[#All],[Produto]],TB_Produtos[[#All],[Preço Unitário]],"Produto não Encontrado",0,1)</f>
        <v>6.5</v>
      </c>
      <c r="H35" s="44">
        <f>IFERROR(TB_Saídas[[#This Row],[Quantidade Vendida]]*TB_Saídas[[#This Row],[Preço Unitário]],"Não foi possível calcular")</f>
        <v>227.5</v>
      </c>
    </row>
    <row r="36" spans="2:8" ht="16.2" x14ac:dyDescent="0.35">
      <c r="B36" s="50">
        <f>MONTH(TB_Saídas[[#This Row],[Data]])</f>
        <v>7</v>
      </c>
      <c r="C36" s="50">
        <f>MONTH(TB_Saídas[[#This Row],[Data]])</f>
        <v>7</v>
      </c>
      <c r="D36" s="41">
        <v>44765</v>
      </c>
      <c r="E36" s="42" t="s">
        <v>19</v>
      </c>
      <c r="F36" s="35">
        <v>75</v>
      </c>
      <c r="G36" s="51" cm="1">
        <f t="array" ref="G36">_xlfn.XLOOKUP(TB_Saídas[[#This Row],[Produto]],TB_Produtos[[#All],[Produto]],TB_Produtos[[#All],[Preço Unitário]],"Produto não Encontrado",0,1)</f>
        <v>8.5</v>
      </c>
      <c r="H36" s="44">
        <f>IFERROR(TB_Saídas[[#This Row],[Quantidade Vendida]]*TB_Saídas[[#This Row],[Preço Unitário]],"Não foi possível calcular")</f>
        <v>637.5</v>
      </c>
    </row>
    <row r="37" spans="2:8" ht="16.2" x14ac:dyDescent="0.35">
      <c r="B37" s="50">
        <f>MONTH(TB_Saídas[[#This Row],[Data]])</f>
        <v>7</v>
      </c>
      <c r="C37" s="50">
        <f>MONTH(TB_Saídas[[#This Row],[Data]])</f>
        <v>7</v>
      </c>
      <c r="D37" s="41">
        <v>44772</v>
      </c>
      <c r="E37" s="42" t="s">
        <v>25</v>
      </c>
      <c r="F37" s="35">
        <v>55</v>
      </c>
      <c r="G37" s="51" cm="1">
        <f t="array" ref="G37">_xlfn.XLOOKUP(TB_Saídas[[#This Row],[Produto]],TB_Produtos[[#All],[Produto]],TB_Produtos[[#All],[Preço Unitário]],"Produto não Encontrado",0,1)</f>
        <v>7.5</v>
      </c>
      <c r="H37" s="44">
        <f>IFERROR(TB_Saídas[[#This Row],[Quantidade Vendida]]*TB_Saídas[[#This Row],[Preço Unitário]],"Não foi possível calcular")</f>
        <v>412.5</v>
      </c>
    </row>
    <row r="38" spans="2:8" ht="16.2" x14ac:dyDescent="0.35">
      <c r="B38" s="50">
        <f>MONTH(TB_Saídas[[#This Row],[Data]])</f>
        <v>8</v>
      </c>
      <c r="C38" s="50">
        <f>MONTH(TB_Saídas[[#This Row],[Data]])</f>
        <v>8</v>
      </c>
      <c r="D38" s="41">
        <v>44792</v>
      </c>
      <c r="E38" s="42" t="s">
        <v>10</v>
      </c>
      <c r="F38" s="35">
        <v>12</v>
      </c>
      <c r="G38" s="51" cm="1">
        <f t="array" ref="G38">_xlfn.XLOOKUP(TB_Saídas[[#This Row],[Produto]],TB_Produtos[[#All],[Produto]],TB_Produtos[[#All],[Preço Unitário]],"Produto não Encontrado",0,1)</f>
        <v>6.5</v>
      </c>
      <c r="H38" s="44">
        <f>IFERROR(TB_Saídas[[#This Row],[Quantidade Vendida]]*TB_Saídas[[#This Row],[Preço Unitário]],"Não foi possível calcular")</f>
        <v>78</v>
      </c>
    </row>
    <row r="39" spans="2:8" ht="16.2" x14ac:dyDescent="0.35">
      <c r="B39" s="50">
        <f>MONTH(TB_Saídas[[#This Row],[Data]])</f>
        <v>8</v>
      </c>
      <c r="C39" s="50">
        <f>MONTH(TB_Saídas[[#This Row],[Data]])</f>
        <v>8</v>
      </c>
      <c r="D39" s="41">
        <v>44794</v>
      </c>
      <c r="E39" s="42" t="s">
        <v>19</v>
      </c>
      <c r="F39" s="35">
        <v>36</v>
      </c>
      <c r="G39" s="51" cm="1">
        <f t="array" ref="G39">_xlfn.XLOOKUP(TB_Saídas[[#This Row],[Produto]],TB_Produtos[[#All],[Produto]],TB_Produtos[[#All],[Preço Unitário]],"Produto não Encontrado",0,1)</f>
        <v>8.5</v>
      </c>
      <c r="H39" s="44">
        <f>IFERROR(TB_Saídas[[#This Row],[Quantidade Vendida]]*TB_Saídas[[#This Row],[Preço Unitário]],"Não foi possível calcular")</f>
        <v>306</v>
      </c>
    </row>
    <row r="40" spans="2:8" ht="16.2" x14ac:dyDescent="0.35">
      <c r="B40" s="50">
        <f>MONTH(TB_Saídas[[#This Row],[Data]])</f>
        <v>8</v>
      </c>
      <c r="C40" s="50">
        <f>MONTH(TB_Saídas[[#This Row],[Data]])</f>
        <v>8</v>
      </c>
      <c r="D40" s="41">
        <v>44803</v>
      </c>
      <c r="E40" s="42" t="s">
        <v>23</v>
      </c>
      <c r="F40" s="35">
        <v>90</v>
      </c>
      <c r="G40" s="51" cm="1">
        <f t="array" ref="G40">_xlfn.XLOOKUP(TB_Saídas[[#This Row],[Produto]],TB_Produtos[[#All],[Produto]],TB_Produtos[[#All],[Preço Unitário]],"Produto não Encontrado",0,1)</f>
        <v>5</v>
      </c>
      <c r="H40" s="44">
        <f>IFERROR(TB_Saídas[[#This Row],[Quantidade Vendida]]*TB_Saídas[[#This Row],[Preço Unitário]],"Não foi possível calcular")</f>
        <v>450</v>
      </c>
    </row>
    <row r="41" spans="2:8" ht="16.2" x14ac:dyDescent="0.35">
      <c r="B41" s="50">
        <f>MONTH(TB_Saídas[[#This Row],[Data]])</f>
        <v>8</v>
      </c>
      <c r="C41" s="50">
        <f>MONTH(TB_Saídas[[#This Row],[Data]])</f>
        <v>8</v>
      </c>
      <c r="D41" s="41">
        <v>44803</v>
      </c>
      <c r="E41" s="42" t="s">
        <v>25</v>
      </c>
      <c r="F41" s="35">
        <v>25</v>
      </c>
      <c r="G41" s="51" cm="1">
        <f t="array" ref="G41">_xlfn.XLOOKUP(TB_Saídas[[#This Row],[Produto]],TB_Produtos[[#All],[Produto]],TB_Produtos[[#All],[Preço Unitário]],"Produto não Encontrado",0,1)</f>
        <v>7.5</v>
      </c>
      <c r="H41" s="44">
        <f>IFERROR(TB_Saídas[[#This Row],[Quantidade Vendida]]*TB_Saídas[[#This Row],[Preço Unitário]],"Não foi possível calcular")</f>
        <v>187.5</v>
      </c>
    </row>
    <row r="42" spans="2:8" ht="16.2" x14ac:dyDescent="0.35">
      <c r="B42" s="50">
        <f>MONTH(TB_Saídas[[#This Row],[Data]])</f>
        <v>8</v>
      </c>
      <c r="C42" s="50">
        <f>MONTH(TB_Saídas[[#This Row],[Data]])</f>
        <v>8</v>
      </c>
      <c r="D42" s="41">
        <v>44803</v>
      </c>
      <c r="E42" s="42" t="s">
        <v>6</v>
      </c>
      <c r="F42" s="35">
        <v>100</v>
      </c>
      <c r="G42" s="51" cm="1">
        <f t="array" ref="G42">_xlfn.XLOOKUP(TB_Saídas[[#This Row],[Produto]],TB_Produtos[[#All],[Produto]],TB_Produtos[[#All],[Preço Unitário]],"Produto não Encontrado",0,1)</f>
        <v>6</v>
      </c>
      <c r="H42" s="44">
        <f>IFERROR(TB_Saídas[[#This Row],[Quantidade Vendida]]*TB_Saídas[[#This Row],[Preço Unitário]],"Não foi possível calcular")</f>
        <v>600</v>
      </c>
    </row>
    <row r="43" spans="2:8" ht="16.2" x14ac:dyDescent="0.35">
      <c r="B43" s="50">
        <f>MONTH(TB_Saídas[[#This Row],[Data]])</f>
        <v>9</v>
      </c>
      <c r="C43" s="50">
        <f>MONTH(TB_Saídas[[#This Row],[Data]])</f>
        <v>9</v>
      </c>
      <c r="D43" s="41">
        <v>44811</v>
      </c>
      <c r="E43" s="42" t="s">
        <v>36</v>
      </c>
      <c r="F43" s="35">
        <v>100</v>
      </c>
      <c r="G43" s="51" cm="1">
        <f t="array" ref="G43">_xlfn.XLOOKUP(TB_Saídas[[#This Row],[Produto]],TB_Produtos[[#All],[Produto]],TB_Produtos[[#All],[Preço Unitário]],"Produto não Encontrado",0,1)</f>
        <v>8</v>
      </c>
      <c r="H43" s="44">
        <f>IFERROR(TB_Saídas[[#This Row],[Quantidade Vendida]]*TB_Saídas[[#This Row],[Preço Unitário]],"Não foi possível calcular")</f>
        <v>800</v>
      </c>
    </row>
    <row r="44" spans="2:8" ht="16.2" x14ac:dyDescent="0.35">
      <c r="B44" s="50">
        <f>MONTH(TB_Saídas[[#This Row],[Data]])</f>
        <v>9</v>
      </c>
      <c r="C44" s="50">
        <f>MONTH(TB_Saídas[[#This Row],[Data]])</f>
        <v>9</v>
      </c>
      <c r="D44" s="41">
        <v>44811</v>
      </c>
      <c r="E44" s="42" t="s">
        <v>6</v>
      </c>
      <c r="F44" s="35">
        <v>35</v>
      </c>
      <c r="G44" s="51" cm="1">
        <f t="array" ref="G44">_xlfn.XLOOKUP(TB_Saídas[[#This Row],[Produto]],TB_Produtos[[#All],[Produto]],TB_Produtos[[#All],[Preço Unitário]],"Produto não Encontrado",0,1)</f>
        <v>6</v>
      </c>
      <c r="H44" s="44">
        <f>IFERROR(TB_Saídas[[#This Row],[Quantidade Vendida]]*TB_Saídas[[#This Row],[Preço Unitário]],"Não foi possível calcular")</f>
        <v>210</v>
      </c>
    </row>
    <row r="45" spans="2:8" ht="16.2" x14ac:dyDescent="0.35">
      <c r="B45" s="50">
        <f>MONTH(TB_Saídas[[#This Row],[Data]])</f>
        <v>9</v>
      </c>
      <c r="C45" s="50">
        <f>MONTH(TB_Saídas[[#This Row],[Data]])</f>
        <v>9</v>
      </c>
      <c r="D45" s="41">
        <v>44821</v>
      </c>
      <c r="E45" s="42" t="s">
        <v>19</v>
      </c>
      <c r="F45" s="35">
        <v>42</v>
      </c>
      <c r="G45" s="51" cm="1">
        <f t="array" ref="G45">_xlfn.XLOOKUP(TB_Saídas[[#This Row],[Produto]],TB_Produtos[[#All],[Produto]],TB_Produtos[[#All],[Preço Unitário]],"Produto não Encontrado",0,1)</f>
        <v>8.5</v>
      </c>
      <c r="H45" s="44">
        <f>IFERROR(TB_Saídas[[#This Row],[Quantidade Vendida]]*TB_Saídas[[#This Row],[Preço Unitário]],"Não foi possível calcular")</f>
        <v>357</v>
      </c>
    </row>
    <row r="46" spans="2:8" ht="16.2" x14ac:dyDescent="0.35">
      <c r="B46" s="50">
        <f>MONTH(TB_Saídas[[#This Row],[Data]])</f>
        <v>9</v>
      </c>
      <c r="C46" s="50">
        <f>MONTH(TB_Saídas[[#This Row],[Data]])</f>
        <v>9</v>
      </c>
      <c r="D46" s="41">
        <v>44823</v>
      </c>
      <c r="E46" s="42" t="s">
        <v>28</v>
      </c>
      <c r="F46" s="35">
        <v>30</v>
      </c>
      <c r="G46" s="51" cm="1">
        <f t="array" ref="G46">_xlfn.XLOOKUP(TB_Saídas[[#This Row],[Produto]],TB_Produtos[[#All],[Produto]],TB_Produtos[[#All],[Preço Unitário]],"Produto não Encontrado",0,1)</f>
        <v>15</v>
      </c>
      <c r="H46" s="44">
        <f>IFERROR(TB_Saídas[[#This Row],[Quantidade Vendida]]*TB_Saídas[[#This Row],[Preço Unitário]],"Não foi possível calcular")</f>
        <v>450</v>
      </c>
    </row>
    <row r="47" spans="2:8" ht="16.2" x14ac:dyDescent="0.35">
      <c r="B47" s="50">
        <f>MONTH(TB_Saídas[[#This Row],[Data]])</f>
        <v>9</v>
      </c>
      <c r="C47" s="50">
        <f>MONTH(TB_Saídas[[#This Row],[Data]])</f>
        <v>9</v>
      </c>
      <c r="D47" s="41">
        <v>44829</v>
      </c>
      <c r="E47" s="42" t="s">
        <v>25</v>
      </c>
      <c r="F47" s="35">
        <v>40</v>
      </c>
      <c r="G47" s="51" cm="1">
        <f t="array" ref="G47">_xlfn.XLOOKUP(TB_Saídas[[#This Row],[Produto]],TB_Produtos[[#All],[Produto]],TB_Produtos[[#All],[Preço Unitário]],"Produto não Encontrado",0,1)</f>
        <v>7.5</v>
      </c>
      <c r="H47" s="44">
        <f>IFERROR(TB_Saídas[[#This Row],[Quantidade Vendida]]*TB_Saídas[[#This Row],[Preço Unitário]],"Não foi possível calcular")</f>
        <v>300</v>
      </c>
    </row>
    <row r="48" spans="2:8" ht="16.2" x14ac:dyDescent="0.35">
      <c r="B48" s="50">
        <f>MONTH(TB_Saídas[[#This Row],[Data]])</f>
        <v>9</v>
      </c>
      <c r="C48" s="50">
        <f>MONTH(TB_Saídas[[#This Row],[Data]])</f>
        <v>9</v>
      </c>
      <c r="D48" s="41">
        <v>44834</v>
      </c>
      <c r="E48" s="42" t="s">
        <v>10</v>
      </c>
      <c r="F48" s="35">
        <v>18</v>
      </c>
      <c r="G48" s="51" cm="1">
        <f t="array" ref="G48">_xlfn.XLOOKUP(TB_Saídas[[#This Row],[Produto]],TB_Produtos[[#All],[Produto]],TB_Produtos[[#All],[Preço Unitário]],"Produto não Encontrado",0,1)</f>
        <v>6.5</v>
      </c>
      <c r="H48" s="44">
        <f>IFERROR(TB_Saídas[[#This Row],[Quantidade Vendida]]*TB_Saídas[[#This Row],[Preço Unitário]],"Não foi possível calcular")</f>
        <v>117</v>
      </c>
    </row>
    <row r="49" spans="2:8" ht="16.2" x14ac:dyDescent="0.35">
      <c r="B49" s="50">
        <f>MONTH(TB_Saídas[[#This Row],[Data]])</f>
        <v>10</v>
      </c>
      <c r="C49" s="50">
        <f>MONTH(TB_Saídas[[#This Row],[Data]])</f>
        <v>10</v>
      </c>
      <c r="D49" s="41">
        <v>44838</v>
      </c>
      <c r="E49" s="42" t="s">
        <v>19</v>
      </c>
      <c r="F49" s="35">
        <v>28</v>
      </c>
      <c r="G49" s="51" cm="1">
        <f t="array" ref="G49">_xlfn.XLOOKUP(TB_Saídas[[#This Row],[Produto]],TB_Produtos[[#All],[Produto]],TB_Produtos[[#All],[Preço Unitário]],"Produto não Encontrado",0,1)</f>
        <v>8.5</v>
      </c>
      <c r="H49" s="44">
        <f>IFERROR(TB_Saídas[[#This Row],[Quantidade Vendida]]*TB_Saídas[[#This Row],[Preço Unitário]],"Não foi possível calcular")</f>
        <v>238</v>
      </c>
    </row>
    <row r="50" spans="2:8" ht="16.2" x14ac:dyDescent="0.35">
      <c r="B50" s="50">
        <f>MONTH(TB_Saídas[[#This Row],[Data]])</f>
        <v>10</v>
      </c>
      <c r="C50" s="50">
        <f>MONTH(TB_Saídas[[#This Row],[Data]])</f>
        <v>10</v>
      </c>
      <c r="D50" s="41">
        <v>44847</v>
      </c>
      <c r="E50" s="42" t="s">
        <v>27</v>
      </c>
      <c r="F50" s="35">
        <v>30</v>
      </c>
      <c r="G50" s="51" cm="1">
        <f t="array" ref="G50">_xlfn.XLOOKUP(TB_Saídas[[#This Row],[Produto]],TB_Produtos[[#All],[Produto]],TB_Produtos[[#All],[Preço Unitário]],"Produto não Encontrado",0,1)</f>
        <v>15</v>
      </c>
      <c r="H50" s="44">
        <f>IFERROR(TB_Saídas[[#This Row],[Quantidade Vendida]]*TB_Saídas[[#This Row],[Preço Unitário]],"Não foi possível calcular")</f>
        <v>450</v>
      </c>
    </row>
    <row r="51" spans="2:8" ht="16.2" x14ac:dyDescent="0.35">
      <c r="B51" s="50">
        <f>MONTH(TB_Saídas[[#This Row],[Data]])</f>
        <v>10</v>
      </c>
      <c r="C51" s="50">
        <f>MONTH(TB_Saídas[[#This Row],[Data]])</f>
        <v>10</v>
      </c>
      <c r="D51" s="41">
        <v>44851</v>
      </c>
      <c r="E51" s="42" t="s">
        <v>25</v>
      </c>
      <c r="F51" s="35">
        <v>30</v>
      </c>
      <c r="G51" s="51" cm="1">
        <f t="array" ref="G51">_xlfn.XLOOKUP(TB_Saídas[[#This Row],[Produto]],TB_Produtos[[#All],[Produto]],TB_Produtos[[#All],[Preço Unitário]],"Produto não Encontrado",0,1)</f>
        <v>7.5</v>
      </c>
      <c r="H51" s="44">
        <f>IFERROR(TB_Saídas[[#This Row],[Quantidade Vendida]]*TB_Saídas[[#This Row],[Preço Unitário]],"Não foi possível calcular")</f>
        <v>225</v>
      </c>
    </row>
    <row r="52" spans="2:8" ht="16.2" x14ac:dyDescent="0.35">
      <c r="B52" s="50">
        <f>MONTH(TB_Saídas[[#This Row],[Data]])</f>
        <v>10</v>
      </c>
      <c r="C52" s="50">
        <f>MONTH(TB_Saídas[[#This Row],[Data]])</f>
        <v>10</v>
      </c>
      <c r="D52" s="41">
        <v>44862</v>
      </c>
      <c r="E52" s="42" t="s">
        <v>10</v>
      </c>
      <c r="F52" s="35">
        <v>10</v>
      </c>
      <c r="G52" s="51" cm="1">
        <f t="array" ref="G52">_xlfn.XLOOKUP(TB_Saídas[[#This Row],[Produto]],TB_Produtos[[#All],[Produto]],TB_Produtos[[#All],[Preço Unitário]],"Produto não Encontrado",0,1)</f>
        <v>6.5</v>
      </c>
      <c r="H52" s="44">
        <f>IFERROR(TB_Saídas[[#This Row],[Quantidade Vendida]]*TB_Saídas[[#This Row],[Preço Unitário]],"Não foi possível calcular")</f>
        <v>65</v>
      </c>
    </row>
    <row r="53" spans="2:8" ht="16.2" x14ac:dyDescent="0.35">
      <c r="B53" s="50">
        <f>MONTH(TB_Saídas[[#This Row],[Data]])</f>
        <v>10</v>
      </c>
      <c r="C53" s="50">
        <f>MONTH(TB_Saídas[[#This Row],[Data]])</f>
        <v>10</v>
      </c>
      <c r="D53" s="41">
        <v>44865</v>
      </c>
      <c r="E53" s="42" t="s">
        <v>26</v>
      </c>
      <c r="F53" s="35">
        <v>35</v>
      </c>
      <c r="G53" s="51" cm="1">
        <f t="array" ref="G53">_xlfn.XLOOKUP(TB_Saídas[[#This Row],[Produto]],TB_Produtos[[#All],[Produto]],TB_Produtos[[#All],[Preço Unitário]],"Produto não Encontrado",0,1)</f>
        <v>10</v>
      </c>
      <c r="H53" s="44">
        <f>IFERROR(TB_Saídas[[#This Row],[Quantidade Vendida]]*TB_Saídas[[#This Row],[Preço Unitário]],"Não foi possível calcular")</f>
        <v>350</v>
      </c>
    </row>
    <row r="54" spans="2:8" ht="16.2" x14ac:dyDescent="0.35">
      <c r="B54" s="50">
        <f>MONTH(TB_Saídas[[#This Row],[Data]])</f>
        <v>10</v>
      </c>
      <c r="C54" s="50">
        <f>MONTH(TB_Saídas[[#This Row],[Data]])</f>
        <v>10</v>
      </c>
      <c r="D54" s="41">
        <v>44865</v>
      </c>
      <c r="E54" s="42" t="s">
        <v>6</v>
      </c>
      <c r="F54" s="35">
        <v>30</v>
      </c>
      <c r="G54" s="51" cm="1">
        <f t="array" ref="G54">_xlfn.XLOOKUP(TB_Saídas[[#This Row],[Produto]],TB_Produtos[[#All],[Produto]],TB_Produtos[[#All],[Preço Unitário]],"Produto não Encontrado",0,1)</f>
        <v>6</v>
      </c>
      <c r="H54" s="44">
        <f>IFERROR(TB_Saídas[[#This Row],[Quantidade Vendida]]*TB_Saídas[[#This Row],[Preço Unitário]],"Não foi possível calcular")</f>
        <v>180</v>
      </c>
    </row>
    <row r="55" spans="2:8" ht="16.2" x14ac:dyDescent="0.35">
      <c r="B55" s="50">
        <f>MONTH(TB_Saídas[[#This Row],[Data]])</f>
        <v>11</v>
      </c>
      <c r="C55" s="50">
        <f>MONTH(TB_Saídas[[#This Row],[Data]])</f>
        <v>11</v>
      </c>
      <c r="D55" s="41">
        <v>44869</v>
      </c>
      <c r="E55" s="42" t="s">
        <v>10</v>
      </c>
      <c r="F55" s="35">
        <v>30</v>
      </c>
      <c r="G55" s="51" cm="1">
        <f t="array" ref="G55">_xlfn.XLOOKUP(TB_Saídas[[#This Row],[Produto]],TB_Produtos[[#All],[Produto]],TB_Produtos[[#All],[Preço Unitário]],"Produto não Encontrado",0,1)</f>
        <v>6.5</v>
      </c>
      <c r="H55" s="44">
        <f>IFERROR(TB_Saídas[[#This Row],[Quantidade Vendida]]*TB_Saídas[[#This Row],[Preço Unitário]],"Não foi possível calcular")</f>
        <v>195</v>
      </c>
    </row>
    <row r="56" spans="2:8" ht="16.2" x14ac:dyDescent="0.35">
      <c r="B56" s="50">
        <f>MONTH(TB_Saídas[[#This Row],[Data]])</f>
        <v>11</v>
      </c>
      <c r="C56" s="50">
        <f>MONTH(TB_Saídas[[#This Row],[Data]])</f>
        <v>11</v>
      </c>
      <c r="D56" s="41">
        <v>44870</v>
      </c>
      <c r="E56" s="42" t="s">
        <v>25</v>
      </c>
      <c r="F56" s="35">
        <v>15</v>
      </c>
      <c r="G56" s="51" cm="1">
        <f t="array" ref="G56">_xlfn.XLOOKUP(TB_Saídas[[#This Row],[Produto]],TB_Produtos[[#All],[Produto]],TB_Produtos[[#All],[Preço Unitário]],"Produto não Encontrado",0,1)</f>
        <v>7.5</v>
      </c>
      <c r="H56" s="44">
        <f>IFERROR(TB_Saídas[[#This Row],[Quantidade Vendida]]*TB_Saídas[[#This Row],[Preço Unitário]],"Não foi possível calcular")</f>
        <v>112.5</v>
      </c>
    </row>
    <row r="57" spans="2:8" ht="16.2" x14ac:dyDescent="0.35">
      <c r="B57" s="50">
        <f>MONTH(TB_Saídas[[#This Row],[Data]])</f>
        <v>11</v>
      </c>
      <c r="C57" s="50">
        <f>MONTH(TB_Saídas[[#This Row],[Data]])</f>
        <v>11</v>
      </c>
      <c r="D57" s="41">
        <v>44872</v>
      </c>
      <c r="E57" s="42" t="s">
        <v>6</v>
      </c>
      <c r="F57" s="35">
        <v>50</v>
      </c>
      <c r="G57" s="51" cm="1">
        <f t="array" ref="G57">_xlfn.XLOOKUP(TB_Saídas[[#This Row],[Produto]],TB_Produtos[[#All],[Produto]],TB_Produtos[[#All],[Preço Unitário]],"Produto não Encontrado",0,1)</f>
        <v>6</v>
      </c>
      <c r="H57" s="44">
        <f>IFERROR(TB_Saídas[[#This Row],[Quantidade Vendida]]*TB_Saídas[[#This Row],[Preço Unitário]],"Não foi possível calcular")</f>
        <v>300</v>
      </c>
    </row>
    <row r="58" spans="2:8" ht="16.2" x14ac:dyDescent="0.35">
      <c r="B58" s="50">
        <f>MONTH(TB_Saídas[[#This Row],[Data]])</f>
        <v>11</v>
      </c>
      <c r="C58" s="50">
        <f>MONTH(TB_Saídas[[#This Row],[Data]])</f>
        <v>11</v>
      </c>
      <c r="D58" s="41">
        <v>44886</v>
      </c>
      <c r="E58" s="42" t="s">
        <v>19</v>
      </c>
      <c r="F58" s="35">
        <v>24</v>
      </c>
      <c r="G58" s="51" cm="1">
        <f t="array" ref="G58">_xlfn.XLOOKUP(TB_Saídas[[#This Row],[Produto]],TB_Produtos[[#All],[Produto]],TB_Produtos[[#All],[Preço Unitário]],"Produto não Encontrado",0,1)</f>
        <v>8.5</v>
      </c>
      <c r="H58" s="44">
        <f>IFERROR(TB_Saídas[[#This Row],[Quantidade Vendida]]*TB_Saídas[[#This Row],[Preço Unitário]],"Não foi possível calcular")</f>
        <v>204</v>
      </c>
    </row>
    <row r="59" spans="2:8" ht="16.2" x14ac:dyDescent="0.35">
      <c r="B59" s="50">
        <f>MONTH(TB_Saídas[[#This Row],[Data]])</f>
        <v>12</v>
      </c>
      <c r="C59" s="50">
        <f>MONTH(TB_Saídas[[#This Row],[Data]])</f>
        <v>12</v>
      </c>
      <c r="D59" s="41">
        <v>44897</v>
      </c>
      <c r="E59" s="42" t="s">
        <v>25</v>
      </c>
      <c r="F59" s="35">
        <v>20</v>
      </c>
      <c r="G59" s="51" cm="1">
        <f t="array" ref="G59">_xlfn.XLOOKUP(TB_Saídas[[#This Row],[Produto]],TB_Produtos[[#All],[Produto]],TB_Produtos[[#All],[Preço Unitário]],"Produto não Encontrado",0,1)</f>
        <v>7.5</v>
      </c>
      <c r="H59" s="44">
        <f>IFERROR(TB_Saídas[[#This Row],[Quantidade Vendida]]*TB_Saídas[[#This Row],[Preço Unitário]],"Não foi possível calcular")</f>
        <v>150</v>
      </c>
    </row>
    <row r="60" spans="2:8" ht="16.2" x14ac:dyDescent="0.35">
      <c r="B60" s="50">
        <f>MONTH(TB_Saídas[[#This Row],[Data]])</f>
        <v>12</v>
      </c>
      <c r="C60" s="50">
        <f>MONTH(TB_Saídas[[#This Row],[Data]])</f>
        <v>12</v>
      </c>
      <c r="D60" s="41">
        <v>44905</v>
      </c>
      <c r="E60" s="42" t="s">
        <v>26</v>
      </c>
      <c r="F60" s="35">
        <v>25</v>
      </c>
      <c r="G60" s="51" cm="1">
        <f t="array" ref="G60">_xlfn.XLOOKUP(TB_Saídas[[#This Row],[Produto]],TB_Produtos[[#All],[Produto]],TB_Produtos[[#All],[Preço Unitário]],"Produto não Encontrado",0,1)</f>
        <v>10</v>
      </c>
      <c r="H60" s="44">
        <f>IFERROR(TB_Saídas[[#This Row],[Quantidade Vendida]]*TB_Saídas[[#This Row],[Preço Unitário]],"Não foi possível calcular")</f>
        <v>250</v>
      </c>
    </row>
    <row r="61" spans="2:8" ht="16.2" x14ac:dyDescent="0.35">
      <c r="B61" s="50">
        <f>MONTH(TB_Saídas[[#This Row],[Data]])</f>
        <v>12</v>
      </c>
      <c r="C61" s="50">
        <f>MONTH(TB_Saídas[[#This Row],[Data]])</f>
        <v>12</v>
      </c>
      <c r="D61" s="41">
        <v>44915</v>
      </c>
      <c r="E61" s="42" t="s">
        <v>6</v>
      </c>
      <c r="F61" s="35">
        <v>100</v>
      </c>
      <c r="G61" s="51" cm="1">
        <f t="array" ref="G61">_xlfn.XLOOKUP(TB_Saídas[[#This Row],[Produto]],TB_Produtos[[#All],[Produto]],TB_Produtos[[#All],[Preço Unitário]],"Produto não Encontrado",0,1)</f>
        <v>6</v>
      </c>
      <c r="H61" s="44">
        <f>IFERROR(TB_Saídas[[#This Row],[Quantidade Vendida]]*TB_Saídas[[#This Row],[Preço Unitário]],"Não foi possível calcular")</f>
        <v>600</v>
      </c>
    </row>
    <row r="62" spans="2:8" ht="16.2" x14ac:dyDescent="0.35">
      <c r="B62" s="50">
        <f>MONTH(TB_Saídas[[#This Row],[Data]])</f>
        <v>12</v>
      </c>
      <c r="C62" s="50">
        <f>MONTH(TB_Saídas[[#This Row],[Data]])</f>
        <v>12</v>
      </c>
      <c r="D62" s="41">
        <v>44917</v>
      </c>
      <c r="E62" s="42" t="s">
        <v>19</v>
      </c>
      <c r="F62" s="35">
        <v>23</v>
      </c>
      <c r="G62" s="51" cm="1">
        <f t="array" ref="G62">_xlfn.XLOOKUP(TB_Saídas[[#This Row],[Produto]],TB_Produtos[[#All],[Produto]],TB_Produtos[[#All],[Preço Unitário]],"Produto não Encontrado",0,1)</f>
        <v>8.5</v>
      </c>
      <c r="H62" s="44">
        <f>IFERROR(TB_Saídas[[#This Row],[Quantidade Vendida]]*TB_Saídas[[#This Row],[Preço Unitário]],"Não foi possível calcular")</f>
        <v>195.5</v>
      </c>
    </row>
    <row r="63" spans="2:8" x14ac:dyDescent="0.3">
      <c r="D63" s="3"/>
    </row>
  </sheetData>
  <phoneticPr fontId="3" type="noConversion"/>
  <dataValidations count="1">
    <dataValidation type="list" allowBlank="1" showInputMessage="1" showErrorMessage="1" sqref="E6:E62" xr:uid="{C915EF8A-EC10-4320-A524-64111B80C901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6BB8-FBDA-4261-94B1-9C28905DFD45}">
  <dimension ref="B1:J16"/>
  <sheetViews>
    <sheetView showGridLines="0" workbookViewId="0">
      <selection activeCell="J10" sqref="J10"/>
    </sheetView>
  </sheetViews>
  <sheetFormatPr defaultColWidth="9.109375" defaultRowHeight="14.4" x14ac:dyDescent="0.3"/>
  <cols>
    <col min="1" max="1" width="5.109375" customWidth="1"/>
    <col min="2" max="2" width="2.44140625" customWidth="1"/>
    <col min="3" max="3" width="1.6640625" customWidth="1"/>
    <col min="4" max="4" width="21.88671875" customWidth="1"/>
    <col min="5" max="5" width="0.88671875" customWidth="1"/>
    <col min="6" max="6" width="25.109375" bestFit="1" customWidth="1"/>
    <col min="7" max="7" width="3.33203125" customWidth="1"/>
  </cols>
  <sheetData>
    <row r="1" spans="2:10" s="29" customFormat="1" ht="60" customHeight="1" x14ac:dyDescent="0.3">
      <c r="G1" s="37" t="s">
        <v>69</v>
      </c>
    </row>
    <row r="2" spans="2:10" s="32" customFormat="1" ht="6" customHeight="1" x14ac:dyDescent="0.3">
      <c r="F2" s="33"/>
    </row>
    <row r="3" spans="2:10" x14ac:dyDescent="0.3">
      <c r="C3" s="5"/>
      <c r="F3" s="5"/>
    </row>
    <row r="4" spans="2:10" ht="9.75" customHeight="1" x14ac:dyDescent="0.3">
      <c r="C4" s="57"/>
      <c r="D4" s="58"/>
      <c r="E4" s="58"/>
      <c r="F4" s="58"/>
      <c r="G4" s="57"/>
    </row>
    <row r="5" spans="2:10" ht="27.75" customHeight="1" x14ac:dyDescent="0.4">
      <c r="B5" s="68"/>
      <c r="C5" s="57"/>
      <c r="D5" s="59" t="s">
        <v>62</v>
      </c>
      <c r="E5" s="60"/>
      <c r="F5" s="59" t="s">
        <v>1</v>
      </c>
      <c r="G5" s="57"/>
    </row>
    <row r="6" spans="2:10" s="6" customFormat="1" ht="27.75" customHeight="1" thickBot="1" x14ac:dyDescent="0.4">
      <c r="B6" s="68"/>
      <c r="C6" s="57"/>
      <c r="D6" s="52" t="s">
        <v>70</v>
      </c>
      <c r="E6" s="66"/>
      <c r="F6" s="53" t="str">
        <f>"=Café"</f>
        <v>=Café</v>
      </c>
      <c r="G6" s="57"/>
      <c r="I6" s="8"/>
      <c r="J6" s="9"/>
    </row>
    <row r="7" spans="2:10" s="6" customFormat="1" ht="15" customHeight="1" x14ac:dyDescent="0.35">
      <c r="B7" s="68"/>
      <c r="C7" s="57"/>
      <c r="D7" s="62"/>
      <c r="E7" s="63"/>
      <c r="F7" s="62"/>
      <c r="G7" s="57"/>
    </row>
    <row r="8" spans="2:10" ht="27.75" customHeight="1" x14ac:dyDescent="0.3">
      <c r="B8" s="68"/>
      <c r="C8" s="61"/>
      <c r="D8" s="64" t="s">
        <v>67</v>
      </c>
      <c r="E8" s="65"/>
      <c r="F8" s="54">
        <f>DSUM(TB_Saídas[#All],Consulta!D8,Consulta!D5:F6)</f>
        <v>365</v>
      </c>
      <c r="G8" s="61" t="s">
        <v>71</v>
      </c>
    </row>
    <row r="9" spans="2:10" ht="15" customHeight="1" x14ac:dyDescent="0.3">
      <c r="B9" s="68"/>
      <c r="C9" s="61"/>
      <c r="D9" s="65"/>
      <c r="E9" s="65"/>
      <c r="F9" s="67"/>
      <c r="G9" s="61"/>
    </row>
    <row r="10" spans="2:10" ht="27.75" customHeight="1" x14ac:dyDescent="0.3">
      <c r="B10" s="68"/>
      <c r="C10" s="61"/>
      <c r="D10" s="64" t="s">
        <v>72</v>
      </c>
      <c r="E10" s="65"/>
      <c r="F10" s="54">
        <f>DSUM(TB_Entradas[#All],"Quantidade Comprada",Consulta!D5:F6)-F8</f>
        <v>160</v>
      </c>
      <c r="G10" s="61"/>
    </row>
    <row r="11" spans="2:10" ht="15" customHeight="1" x14ac:dyDescent="0.3">
      <c r="B11" s="68"/>
      <c r="C11" s="61"/>
      <c r="D11" s="65"/>
      <c r="E11" s="65"/>
      <c r="F11" s="65"/>
      <c r="G11" s="61"/>
    </row>
    <row r="12" spans="2:10" ht="27.75" customHeight="1" x14ac:dyDescent="0.3">
      <c r="B12" s="68"/>
      <c r="C12" s="61"/>
      <c r="D12" s="64" t="s">
        <v>65</v>
      </c>
      <c r="E12" s="65"/>
      <c r="F12" s="55">
        <f>DSUM(TB_Entradas[#All],Consulta!D12,Consulta!D5:F6)</f>
        <v>1050</v>
      </c>
      <c r="G12" s="61"/>
    </row>
    <row r="13" spans="2:10" ht="15" customHeight="1" x14ac:dyDescent="0.3">
      <c r="B13" s="68"/>
      <c r="C13" s="61"/>
      <c r="D13" s="65"/>
      <c r="E13" s="65"/>
      <c r="F13" s="67"/>
      <c r="G13" s="61"/>
    </row>
    <row r="14" spans="2:10" ht="27.75" customHeight="1" x14ac:dyDescent="0.3">
      <c r="B14" s="68"/>
      <c r="C14" s="61"/>
      <c r="D14" s="64" t="s">
        <v>68</v>
      </c>
      <c r="E14" s="65"/>
      <c r="F14" s="55">
        <f>DSUM(TB_Saídas[#All],Consulta!D14,Consulta!D5:F6)</f>
        <v>2190</v>
      </c>
      <c r="G14" s="61"/>
    </row>
    <row r="15" spans="2:10" ht="21.75" customHeight="1" x14ac:dyDescent="0.3">
      <c r="B15" s="68"/>
      <c r="C15" s="61"/>
      <c r="D15" s="61"/>
      <c r="E15" s="61"/>
      <c r="F15" s="61"/>
      <c r="G15" s="61"/>
    </row>
    <row r="16" spans="2:10" ht="12" customHeight="1" x14ac:dyDescent="0.3">
      <c r="B16" s="68"/>
      <c r="C16" s="68"/>
      <c r="D16" s="68"/>
      <c r="E16" s="68"/>
      <c r="F16" s="68"/>
      <c r="G16" s="7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5387-DA16-4F73-A97C-38B09EAE6A43}">
  <dimension ref="B1:Q18"/>
  <sheetViews>
    <sheetView showGridLines="0" topLeftCell="A24" zoomScaleNormal="100" workbookViewId="0">
      <selection activeCell="F7" sqref="F7"/>
    </sheetView>
  </sheetViews>
  <sheetFormatPr defaultRowHeight="14.4" x14ac:dyDescent="0.3"/>
  <cols>
    <col min="1" max="1" width="3.88671875" customWidth="1"/>
    <col min="2" max="2" width="18.5546875" customWidth="1"/>
    <col min="3" max="6" width="13.44140625" customWidth="1"/>
    <col min="7" max="7" width="15" customWidth="1"/>
    <col min="8" max="8" width="14.33203125" customWidth="1"/>
    <col min="9" max="10" width="13.44140625" customWidth="1"/>
    <col min="11" max="13" width="2.33203125" customWidth="1"/>
    <col min="14" max="14" width="14.33203125" customWidth="1"/>
    <col min="15" max="15" width="2.33203125" customWidth="1"/>
    <col min="16" max="16" width="18.5546875" customWidth="1"/>
    <col min="17" max="17" width="2.33203125" customWidth="1"/>
  </cols>
  <sheetData>
    <row r="1" spans="2:17" s="29" customFormat="1" ht="60" customHeight="1" x14ac:dyDescent="0.3">
      <c r="F1" s="37" t="s">
        <v>73</v>
      </c>
    </row>
    <row r="2" spans="2:17" s="32" customFormat="1" ht="6" customHeight="1" x14ac:dyDescent="0.3">
      <c r="F2" s="33"/>
    </row>
    <row r="5" spans="2:17" s="11" customFormat="1" ht="28.8" x14ac:dyDescent="0.3">
      <c r="B5" s="39" t="s">
        <v>1</v>
      </c>
      <c r="C5" s="39" t="s">
        <v>74</v>
      </c>
      <c r="D5" s="39" t="s">
        <v>75</v>
      </c>
      <c r="E5" s="39" t="s">
        <v>76</v>
      </c>
      <c r="F5" s="39" t="s">
        <v>3</v>
      </c>
      <c r="G5" s="39" t="s">
        <v>77</v>
      </c>
      <c r="H5" s="39" t="s">
        <v>68</v>
      </c>
      <c r="I5" s="39" t="s">
        <v>78</v>
      </c>
      <c r="J5" s="39" t="s">
        <v>79</v>
      </c>
    </row>
    <row r="6" spans="2:17" x14ac:dyDescent="0.3">
      <c r="B6" t="s">
        <v>36</v>
      </c>
      <c r="C6" s="2">
        <f>IFERROR(SUMIF(TB_Entradas[Produto],TB_ControleEstoque[[#This Row],[Produto]],TB_Entradas[Quantidade Comprada]),0)</f>
        <v>350</v>
      </c>
      <c r="D6" s="2">
        <f>IFERROR(SUMIF(TB_Saídas[Produto],TB_ControleEstoque[[#This Row],[Produto]],TB_Saídas[Quantidade Vendida]),0)</f>
        <v>210</v>
      </c>
      <c r="E6" s="2">
        <f>TB_ControleEstoque[[#This Row],[Entradas]]-TB_ControleEstoque[[#This Row],[Saídas ]]</f>
        <v>140</v>
      </c>
      <c r="F6" s="2">
        <f>_xlfn.XLOOKUP(TB_ControleEstoque[[#This Row],[Produto]],TB_Produtos[Produto],TB_Produtos[Estoque Mínimo],"Erro",0,1)</f>
        <v>10</v>
      </c>
      <c r="G6" t="str" cm="1">
        <f t="array" ref="G6">_xlfn.IFS(TB_ControleEstoque[[#This Row],[Saldo em Estoque]]&gt;TB_ControleEstoque[[#This Row],[Estoque Mínimo]],"Estoque OK",TB_ControleEstoque[[#This Row],[Saldo em Estoque]]=0,"Estoque Zerado",1,"Repor Estoque")</f>
        <v>Estoque OK</v>
      </c>
      <c r="H6" s="12">
        <f>SUMIFS(TB_Saídas[Valor de Venda],TB_Saídas[Produto],TB_ControleEstoque[[#This Row],[Produto]])</f>
        <v>1680</v>
      </c>
      <c r="I6" s="10">
        <f>SUMIFS(TB_Entradas[Valor da Compra],TB_Entradas[Produto],TB_ControleEstoque[[#This Row],[Produto]])</f>
        <v>700</v>
      </c>
      <c r="J6" s="10">
        <f>TB_ControleEstoque[[#This Row],[Valor de Venda]]-TB_ControleEstoque[[#This Row],[Custo Total]]</f>
        <v>980</v>
      </c>
      <c r="M6" s="58"/>
      <c r="N6" s="58"/>
      <c r="O6" s="58"/>
      <c r="P6" s="58"/>
      <c r="Q6" s="58"/>
    </row>
    <row r="7" spans="2:17" ht="18" x14ac:dyDescent="0.4">
      <c r="B7" t="s">
        <v>6</v>
      </c>
      <c r="C7" s="2">
        <f>IFERROR(SUMIF(TB_Entradas[Produto],TB_ControleEstoque[[#This Row],[Produto]],TB_Entradas[Quantidade Comprada]),0)</f>
        <v>1635</v>
      </c>
      <c r="D7" s="2">
        <f>IFERROR(SUMIF(TB_Saídas[Produto],TB_ControleEstoque[[#This Row],[Produto]],TB_Saídas[Quantidade Vendida]),0)</f>
        <v>945</v>
      </c>
      <c r="E7" s="2">
        <f>TB_ControleEstoque[[#This Row],[Entradas]]-TB_ControleEstoque[[#This Row],[Saídas ]]</f>
        <v>690</v>
      </c>
      <c r="F7" s="2">
        <f>_xlfn.XLOOKUP(TB_ControleEstoque[[#This Row],[Produto]],TB_Produtos[Produto],TB_Produtos[Estoque Mínimo],"Erro",0,1)</f>
        <v>50</v>
      </c>
      <c r="G7" t="str" cm="1">
        <f t="array" ref="G7">_xlfn.IFS(TB_ControleEstoque[[#This Row],[Saldo em Estoque]]&gt;TB_ControleEstoque[[#This Row],[Estoque Mínimo]],"Estoque OK",TB_ControleEstoque[[#This Row],[Saldo em Estoque]]=0,"Estoque Zerado",1,"Repor Estoque")</f>
        <v>Estoque OK</v>
      </c>
      <c r="H7" s="12">
        <f>SUMIFS(TB_Saídas[Valor de Venda],TB_Saídas[Produto],TB_ControleEstoque[[#This Row],[Produto]])</f>
        <v>5670</v>
      </c>
      <c r="I7" s="10">
        <f>SUMIFS(TB_Entradas[Valor da Compra],TB_Entradas[Produto],TB_ControleEstoque[[#This Row],[Produto]])</f>
        <v>3270</v>
      </c>
      <c r="J7" s="10">
        <f>TB_ControleEstoque[[#This Row],[Valor de Venda]]-TB_ControleEstoque[[#This Row],[Custo Total]]</f>
        <v>2400</v>
      </c>
      <c r="L7" s="80"/>
      <c r="M7" s="58"/>
      <c r="N7" s="88" t="s">
        <v>80</v>
      </c>
      <c r="O7" s="88"/>
      <c r="P7" s="88"/>
      <c r="Q7" s="58"/>
    </row>
    <row r="8" spans="2:17" ht="16.2" x14ac:dyDescent="0.35">
      <c r="B8" t="s">
        <v>26</v>
      </c>
      <c r="C8" s="2">
        <f>IFERROR(SUMIF(TB_Entradas[Produto],TB_ControleEstoque[[#This Row],[Produto]],TB_Entradas[Quantidade Comprada]),0)</f>
        <v>100</v>
      </c>
      <c r="D8" s="2">
        <f>IFERROR(SUMIF(TB_Saídas[Produto],TB_ControleEstoque[[#This Row],[Produto]],TB_Saídas[Quantidade Vendida]),0)</f>
        <v>100</v>
      </c>
      <c r="E8" s="2">
        <f>TB_ControleEstoque[[#This Row],[Entradas]]-TB_ControleEstoque[[#This Row],[Saídas ]]</f>
        <v>0</v>
      </c>
      <c r="F8" s="2">
        <f>_xlfn.XLOOKUP(TB_ControleEstoque[[#This Row],[Produto]],TB_Produtos[Produto],TB_Produtos[Estoque Mínimo],"Erro",0,1)</f>
        <v>5</v>
      </c>
      <c r="G8" t="str" cm="1">
        <f t="array" ref="G8">_xlfn.IFS(TB_ControleEstoque[[#This Row],[Saldo em Estoque]]&gt;TB_ControleEstoque[[#This Row],[Estoque Mínimo]],"Estoque OK",TB_ControleEstoque[[#This Row],[Saldo em Estoque]]=0,"Estoque Zerado",1,"Repor Estoque")</f>
        <v>Estoque Zerado</v>
      </c>
      <c r="H8" s="12">
        <f>SUMIFS(TB_Saídas[Valor de Venda],TB_Saídas[Produto],TB_ControleEstoque[[#This Row],[Produto]])</f>
        <v>1000</v>
      </c>
      <c r="I8" s="10">
        <f>SUMIFS(TB_Entradas[Valor da Compra],TB_Entradas[Produto],TB_ControleEstoque[[#This Row],[Produto]])</f>
        <v>75</v>
      </c>
      <c r="J8" s="10">
        <f>TB_ControleEstoque[[#This Row],[Valor de Venda]]-TB_ControleEstoque[[#This Row],[Custo Total]]</f>
        <v>925</v>
      </c>
      <c r="L8" s="80"/>
      <c r="M8" s="58"/>
      <c r="N8" s="82" t="s">
        <v>79</v>
      </c>
      <c r="O8" s="81"/>
      <c r="P8" s="82" t="s">
        <v>1</v>
      </c>
      <c r="Q8" s="58"/>
    </row>
    <row r="9" spans="2:17" x14ac:dyDescent="0.3">
      <c r="B9" t="s">
        <v>31</v>
      </c>
      <c r="C9" s="2">
        <f>IFERROR(SUMIF(TB_Entradas[Produto],TB_ControleEstoque[[#This Row],[Produto]],TB_Entradas[Quantidade Comprada]),0)</f>
        <v>50</v>
      </c>
      <c r="D9" s="2">
        <f>IFERROR(SUMIF(TB_Saídas[Produto],TB_ControleEstoque[[#This Row],[Produto]],TB_Saídas[Quantidade Vendida]),0)</f>
        <v>25</v>
      </c>
      <c r="E9" s="2">
        <f>TB_ControleEstoque[[#This Row],[Entradas]]-TB_ControleEstoque[[#This Row],[Saídas ]]</f>
        <v>25</v>
      </c>
      <c r="F9" s="2">
        <f>_xlfn.XLOOKUP(TB_ControleEstoque[[#This Row],[Produto]],TB_Produtos[Produto],TB_Produtos[Estoque Mínimo],"Erro",0,1)</f>
        <v>5</v>
      </c>
      <c r="G9" t="str" cm="1">
        <f t="array" ref="G9">_xlfn.IFS(TB_ControleEstoque[[#This Row],[Saldo em Estoque]]&gt;TB_ControleEstoque[[#This Row],[Estoque Mínimo]],"Estoque OK",TB_ControleEstoque[[#This Row],[Saldo em Estoque]]=0,"Estoque Zerado",1,"Repor Estoque")</f>
        <v>Estoque OK</v>
      </c>
      <c r="H9" s="12">
        <f>SUMIFS(TB_Saídas[Valor de Venda],TB_Saídas[Produto],TB_ControleEstoque[[#This Row],[Produto]])</f>
        <v>200</v>
      </c>
      <c r="I9" s="10">
        <f>SUMIFS(TB_Entradas[Valor da Compra],TB_Entradas[Produto],TB_ControleEstoque[[#This Row],[Produto]])</f>
        <v>37.5</v>
      </c>
      <c r="J9" s="10">
        <f>TB_ControleEstoque[[#This Row],[Valor de Venda]]-TB_ControleEstoque[[#This Row],[Custo Total]]</f>
        <v>162.5</v>
      </c>
      <c r="L9" s="80"/>
      <c r="M9" s="58"/>
      <c r="N9" s="89">
        <f>LARGE(TB_ControleEstoque[Lucro],1)</f>
        <v>4062.5</v>
      </c>
      <c r="O9" s="58"/>
      <c r="P9" s="91" t="str">
        <f>DGET(TB_ControleEstoque[#All],1,N8:N9)</f>
        <v>Chocolate Quente</v>
      </c>
      <c r="Q9" s="58"/>
    </row>
    <row r="10" spans="2:17" x14ac:dyDescent="0.3">
      <c r="B10" t="s">
        <v>19</v>
      </c>
      <c r="C10" s="2">
        <f>IFERROR(SUMIF(TB_Entradas[Produto],TB_ControleEstoque[[#This Row],[Produto]],TB_Entradas[Quantidade Comprada]),0)</f>
        <v>750</v>
      </c>
      <c r="D10" s="2">
        <f>IFERROR(SUMIF(TB_Saídas[Produto],TB_ControleEstoque[[#This Row],[Produto]],TB_Saídas[Quantidade Vendida]),0)</f>
        <v>500</v>
      </c>
      <c r="E10" s="2">
        <f>TB_ControleEstoque[[#This Row],[Entradas]]-TB_ControleEstoque[[#This Row],[Saídas ]]</f>
        <v>250</v>
      </c>
      <c r="F10" s="2">
        <f>_xlfn.XLOOKUP(TB_ControleEstoque[[#This Row],[Produto]],TB_Produtos[Produto],TB_Produtos[Estoque Mínimo],"Erro",0,1)</f>
        <v>10</v>
      </c>
      <c r="G10" t="str" cm="1">
        <f t="array" ref="G10">_xlfn.IFS(TB_ControleEstoque[[#This Row],[Saldo em Estoque]]&gt;TB_ControleEstoque[[#This Row],[Estoque Mínimo]],"Estoque OK",TB_ControleEstoque[[#This Row],[Saldo em Estoque]]=0,"Estoque Zerado",1,"Repor Estoque")</f>
        <v>Estoque OK</v>
      </c>
      <c r="H10" s="12">
        <f>SUMIFS(TB_Saídas[Valor de Venda],TB_Saídas[Produto],TB_ControleEstoque[[#This Row],[Produto]])</f>
        <v>4250</v>
      </c>
      <c r="I10" s="10">
        <f>SUMIFS(TB_Entradas[Valor da Compra],TB_Entradas[Produto],TB_ControleEstoque[[#This Row],[Produto]])</f>
        <v>187.5</v>
      </c>
      <c r="J10" s="10">
        <f>TB_ControleEstoque[[#This Row],[Valor de Venda]]-TB_ControleEstoque[[#This Row],[Custo Total]]</f>
        <v>4062.5</v>
      </c>
      <c r="L10" s="80"/>
      <c r="M10" s="58"/>
      <c r="N10" s="90"/>
      <c r="O10" s="58"/>
      <c r="P10" s="92"/>
      <c r="Q10" s="58"/>
    </row>
    <row r="11" spans="2:17" x14ac:dyDescent="0.3">
      <c r="B11" t="s">
        <v>25</v>
      </c>
      <c r="C11" s="2">
        <f>IFERROR(SUMIF(TB_Entradas[Produto],TB_ControleEstoque[[#This Row],[Produto]],TB_Entradas[Quantidade Comprada]),0)</f>
        <v>620</v>
      </c>
      <c r="D11" s="2">
        <f>IFERROR(SUMIF(TB_Saídas[Produto],TB_ControleEstoque[[#This Row],[Produto]],TB_Saídas[Quantidade Vendida]),0)</f>
        <v>400</v>
      </c>
      <c r="E11" s="2">
        <f>TB_ControleEstoque[[#This Row],[Entradas]]-TB_ControleEstoque[[#This Row],[Saídas ]]</f>
        <v>220</v>
      </c>
      <c r="F11" s="2">
        <f>_xlfn.XLOOKUP(TB_ControleEstoque[[#This Row],[Produto]],TB_Produtos[Produto],TB_Produtos[Estoque Mínimo],"Erro",0,1)</f>
        <v>10</v>
      </c>
      <c r="G11" t="str" cm="1">
        <f t="array" ref="G11">_xlfn.IFS(TB_ControleEstoque[[#This Row],[Saldo em Estoque]]&gt;TB_ControleEstoque[[#This Row],[Estoque Mínimo]],"Estoque OK",TB_ControleEstoque[[#This Row],[Saldo em Estoque]]=0,"Estoque Zerado",1,"Repor Estoque")</f>
        <v>Estoque OK</v>
      </c>
      <c r="H11" s="12">
        <f>SUMIFS(TB_Saídas[Valor de Venda],TB_Saídas[Produto],TB_ControleEstoque[[#This Row],[Produto]])</f>
        <v>3000</v>
      </c>
      <c r="I11" s="10">
        <f>SUMIFS(TB_Entradas[Valor da Compra],TB_Entradas[Produto],TB_ControleEstoque[[#This Row],[Produto]])</f>
        <v>155</v>
      </c>
      <c r="J11" s="10">
        <f>TB_ControleEstoque[[#This Row],[Valor de Venda]]-TB_ControleEstoque[[#This Row],[Custo Total]]</f>
        <v>2845</v>
      </c>
      <c r="L11" s="80"/>
      <c r="M11" s="58"/>
      <c r="N11" s="58"/>
      <c r="O11" s="58"/>
      <c r="P11" s="58"/>
      <c r="Q11" s="58"/>
    </row>
    <row r="12" spans="2:17" x14ac:dyDescent="0.3">
      <c r="B12" t="s">
        <v>10</v>
      </c>
      <c r="C12" s="2">
        <f>IFERROR(SUMIF(TB_Entradas[Produto],TB_ControleEstoque[[#This Row],[Produto]],TB_Entradas[Quantidade Comprada]),0)</f>
        <v>550</v>
      </c>
      <c r="D12" s="2">
        <f>IFERROR(SUMIF(TB_Saídas[Produto],TB_ControleEstoque[[#This Row],[Produto]],TB_Saídas[Quantidade Vendida]),0)</f>
        <v>245</v>
      </c>
      <c r="E12" s="2">
        <f>TB_ControleEstoque[[#This Row],[Entradas]]-TB_ControleEstoque[[#This Row],[Saídas ]]</f>
        <v>305</v>
      </c>
      <c r="F12" s="2">
        <f>_xlfn.XLOOKUP(TB_ControleEstoque[[#This Row],[Produto]],TB_Produtos[Produto],TB_Produtos[Estoque Mínimo],"Erro",0,1)</f>
        <v>50</v>
      </c>
      <c r="G12" t="str" cm="1">
        <f t="array" ref="G12">_xlfn.IFS(TB_ControleEstoque[[#This Row],[Saldo em Estoque]]&gt;TB_ControleEstoque[[#This Row],[Estoque Mínimo]],"Estoque OK",TB_ControleEstoque[[#This Row],[Saldo em Estoque]]=0,"Estoque Zerado",1,"Repor Estoque")</f>
        <v>Estoque OK</v>
      </c>
      <c r="H12" s="12">
        <f>SUMIFS(TB_Saídas[Valor de Venda],TB_Saídas[Produto],TB_ControleEstoque[[#This Row],[Produto]])</f>
        <v>1592.5</v>
      </c>
      <c r="I12" s="10">
        <f>SUMIFS(TB_Entradas[Valor da Compra],TB_Entradas[Produto],TB_ControleEstoque[[#This Row],[Produto]])</f>
        <v>275</v>
      </c>
      <c r="J12" s="10">
        <f>TB_ControleEstoque[[#This Row],[Valor de Venda]]-TB_ControleEstoque[[#This Row],[Custo Total]]</f>
        <v>1317.5</v>
      </c>
      <c r="L12" s="80"/>
      <c r="M12" s="80"/>
      <c r="N12" s="80"/>
      <c r="O12" s="80"/>
      <c r="P12" s="80"/>
    </row>
    <row r="13" spans="2:17" x14ac:dyDescent="0.3">
      <c r="B13" t="s">
        <v>28</v>
      </c>
      <c r="C13" s="2">
        <f>IFERROR(SUMIF(TB_Entradas[Produto],TB_ControleEstoque[[#This Row],[Produto]],TB_Entradas[Quantidade Comprada]),0)</f>
        <v>50</v>
      </c>
      <c r="D13" s="2">
        <f>IFERROR(SUMIF(TB_Saídas[Produto],TB_ControleEstoque[[#This Row],[Produto]],TB_Saídas[Quantidade Vendida]),0)</f>
        <v>30</v>
      </c>
      <c r="E13" s="2">
        <f>TB_ControleEstoque[[#This Row],[Entradas]]-TB_ControleEstoque[[#This Row],[Saídas ]]</f>
        <v>20</v>
      </c>
      <c r="F13" s="2">
        <f>_xlfn.XLOOKUP(TB_ControleEstoque[[#This Row],[Produto]],TB_Produtos[Produto],TB_Produtos[Estoque Mínimo],"Erro",0,1)</f>
        <v>2</v>
      </c>
      <c r="G13" t="str" cm="1">
        <f t="array" ref="G13">_xlfn.IFS(TB_ControleEstoque[[#This Row],[Saldo em Estoque]]&gt;TB_ControleEstoque[[#This Row],[Estoque Mínimo]],"Estoque OK",TB_ControleEstoque[[#This Row],[Saldo em Estoque]]=0,"Estoque Zerado",1,"Repor Estoque")</f>
        <v>Estoque OK</v>
      </c>
      <c r="H13" s="12">
        <f>SUMIFS(TB_Saídas[Valor de Venda],TB_Saídas[Produto],TB_ControleEstoque[[#This Row],[Produto]])</f>
        <v>450</v>
      </c>
      <c r="I13" s="10">
        <f>SUMIFS(TB_Entradas[Valor da Compra],TB_Entradas[Produto],TB_ControleEstoque[[#This Row],[Produto]])</f>
        <v>225</v>
      </c>
      <c r="J13" s="10">
        <f>TB_ControleEstoque[[#This Row],[Valor de Venda]]-TB_ControleEstoque[[#This Row],[Custo Total]]</f>
        <v>225</v>
      </c>
    </row>
    <row r="14" spans="2:17" x14ac:dyDescent="0.3">
      <c r="B14" t="s">
        <v>23</v>
      </c>
      <c r="C14" s="2">
        <f>IFERROR(SUMIF(TB_Entradas[Produto],TB_ControleEstoque[[#This Row],[Produto]],TB_Entradas[Quantidade Comprada]),0)</f>
        <v>100</v>
      </c>
      <c r="D14" s="2">
        <f>IFERROR(SUMIF(TB_Saídas[Produto],TB_ControleEstoque[[#This Row],[Produto]],TB_Saídas[Quantidade Vendida]),0)</f>
        <v>90</v>
      </c>
      <c r="E14" s="2">
        <f>TB_ControleEstoque[[#This Row],[Entradas]]-TB_ControleEstoque[[#This Row],[Saídas ]]</f>
        <v>10</v>
      </c>
      <c r="F14" s="2">
        <f>_xlfn.XLOOKUP(TB_ControleEstoque[[#This Row],[Produto]],TB_Produtos[Produto],TB_Produtos[Estoque Mínimo],"Erro",0,1)</f>
        <v>10</v>
      </c>
      <c r="G14" t="str" cm="1">
        <f t="array" ref="G14">_xlfn.IFS(TB_ControleEstoque[[#This Row],[Saldo em Estoque]]&gt;TB_ControleEstoque[[#This Row],[Estoque Mínimo]],"Estoque OK",TB_ControleEstoque[[#This Row],[Saldo em Estoque]]=0,"Estoque Zerado",1,"Repor Estoque")</f>
        <v>Repor Estoque</v>
      </c>
      <c r="H14" s="12">
        <f>SUMIFS(TB_Saídas[Valor de Venda],TB_Saídas[Produto],TB_ControleEstoque[[#This Row],[Produto]])</f>
        <v>450</v>
      </c>
      <c r="I14" s="10">
        <f>SUMIFS(TB_Entradas[Valor da Compra],TB_Entradas[Produto],TB_ControleEstoque[[#This Row],[Produto]])</f>
        <v>100</v>
      </c>
      <c r="J14" s="10">
        <f>TB_ControleEstoque[[#This Row],[Valor de Venda]]-TB_ControleEstoque[[#This Row],[Custo Total]]</f>
        <v>350</v>
      </c>
    </row>
    <row r="15" spans="2:17" x14ac:dyDescent="0.3">
      <c r="B15" t="s">
        <v>27</v>
      </c>
      <c r="C15" s="2">
        <f>IFERROR(SUMIF(TB_Entradas[Produto],TB_ControleEstoque[[#This Row],[Produto]],TB_Entradas[Quantidade Comprada]),0)</f>
        <v>60</v>
      </c>
      <c r="D15" s="2">
        <f>IFERROR(SUMIF(TB_Saídas[Produto],TB_ControleEstoque[[#This Row],[Produto]],TB_Saídas[Quantidade Vendida]),0)</f>
        <v>50</v>
      </c>
      <c r="E15" s="2">
        <f>TB_ControleEstoque[[#This Row],[Entradas]]-TB_ControleEstoque[[#This Row],[Saídas ]]</f>
        <v>10</v>
      </c>
      <c r="F15" s="2">
        <f>_xlfn.XLOOKUP(TB_ControleEstoque[[#This Row],[Produto]],TB_Produtos[Produto],TB_Produtos[Estoque Mínimo],"Erro",0,1)</f>
        <v>2</v>
      </c>
      <c r="G15" t="str" cm="1">
        <f t="array" ref="G15">_xlfn.IFS(TB_ControleEstoque[[#This Row],[Saldo em Estoque]]&gt;TB_ControleEstoque[[#This Row],[Estoque Mínimo]],"Estoque OK",TB_ControleEstoque[[#This Row],[Saldo em Estoque]]=0,"Estoque Zerado",1,"Repor Estoque")</f>
        <v>Estoque OK</v>
      </c>
      <c r="H15" s="12">
        <f>SUMIFS(TB_Saídas[Valor de Venda],TB_Saídas[Produto],TB_ControleEstoque[[#This Row],[Produto]])</f>
        <v>750</v>
      </c>
      <c r="I15" s="10">
        <f>SUMIFS(TB_Entradas[Valor da Compra],TB_Entradas[Produto],TB_ControleEstoque[[#This Row],[Produto]])</f>
        <v>480</v>
      </c>
      <c r="J15" s="10">
        <f>TB_ControleEstoque[[#This Row],[Valor de Venda]]-TB_ControleEstoque[[#This Row],[Custo Total]]</f>
        <v>270</v>
      </c>
    </row>
    <row r="18" spans="10:10" x14ac:dyDescent="0.3">
      <c r="J18" s="13"/>
    </row>
  </sheetData>
  <mergeCells count="3">
    <mergeCell ref="N7:P7"/>
    <mergeCell ref="N9:N10"/>
    <mergeCell ref="P9:P10"/>
  </mergeCells>
  <conditionalFormatting sqref="B6:J15">
    <cfRule type="expression" dxfId="1" priority="1">
      <formula>$G6="Estoque Zerado"</formula>
    </cfRule>
    <cfRule type="expression" dxfId="0" priority="2">
      <formula>$G6="Repor Estoque"</formula>
    </cfRule>
  </conditionalFormatting>
  <dataValidations count="1">
    <dataValidation type="list" allowBlank="1" showInputMessage="1" showErrorMessage="1" sqref="B6:B15" xr:uid="{8AC61758-FD11-40E3-B22B-102EEFB58504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39B9-606D-4025-9A41-1FF8DB47ECE5}">
  <dimension ref="B1:AU26"/>
  <sheetViews>
    <sheetView showGridLines="0" zoomScale="110" zoomScaleNormal="110" workbookViewId="0">
      <selection activeCell="A3" sqref="A3"/>
    </sheetView>
  </sheetViews>
  <sheetFormatPr defaultColWidth="2.44140625" defaultRowHeight="10.5" customHeight="1" x14ac:dyDescent="0.3"/>
  <sheetData>
    <row r="1" spans="2:47" s="29" customFormat="1" ht="60" customHeight="1" x14ac:dyDescent="0.3">
      <c r="AD1" s="37" t="s">
        <v>81</v>
      </c>
    </row>
    <row r="2" spans="2:47" s="32" customFormat="1" ht="6" customHeight="1" x14ac:dyDescent="0.3">
      <c r="F2" s="33"/>
    </row>
    <row r="3" spans="2:47" ht="6" customHeight="1" x14ac:dyDescent="0.3"/>
    <row r="4" spans="2:47" ht="4.5" customHeight="1" thickBot="1" x14ac:dyDescent="0.35"/>
    <row r="5" spans="2:47" ht="10.5" customHeight="1" x14ac:dyDescent="0.3">
      <c r="C5" s="123" t="s">
        <v>82</v>
      </c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5"/>
      <c r="AB5" s="123" t="s">
        <v>83</v>
      </c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5"/>
    </row>
    <row r="6" spans="2:47" ht="10.5" customHeight="1" x14ac:dyDescent="0.3">
      <c r="B6" s="80"/>
      <c r="C6" s="126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8"/>
      <c r="AA6" s="80"/>
      <c r="AB6" s="126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7"/>
      <c r="AU6" s="128"/>
    </row>
    <row r="7" spans="2:47" ht="10.5" customHeight="1" x14ac:dyDescent="0.3">
      <c r="B7" s="80"/>
      <c r="C7" s="69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1"/>
      <c r="AA7" s="80"/>
      <c r="AB7" s="69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129" t="s">
        <v>1</v>
      </c>
      <c r="AN7" s="129"/>
      <c r="AO7" s="129"/>
      <c r="AP7" s="129"/>
      <c r="AQ7" s="129"/>
      <c r="AR7" s="129"/>
      <c r="AS7" s="129"/>
      <c r="AT7" s="129"/>
      <c r="AU7" s="71"/>
    </row>
    <row r="8" spans="2:47" ht="10.5" customHeight="1" x14ac:dyDescent="0.3">
      <c r="B8" s="80"/>
      <c r="C8" s="72"/>
      <c r="D8" s="93" t="s">
        <v>84</v>
      </c>
      <c r="E8" s="93"/>
      <c r="F8" s="93"/>
      <c r="G8" s="93"/>
      <c r="H8" s="93"/>
      <c r="I8" s="93"/>
      <c r="J8" s="93"/>
      <c r="K8" s="93"/>
      <c r="L8" s="93"/>
      <c r="M8" s="93"/>
      <c r="N8" s="94">
        <f>COUNTA(_xlfn.UNIQUE(TB_Saídas[Produto]))</f>
        <v>10</v>
      </c>
      <c r="O8" s="94"/>
      <c r="P8" s="94"/>
      <c r="Q8" s="94"/>
      <c r="R8" s="94"/>
      <c r="S8" s="94"/>
      <c r="T8" s="94"/>
      <c r="U8" s="94"/>
      <c r="V8" s="77"/>
      <c r="AA8" s="80"/>
      <c r="AB8" s="72"/>
      <c r="AC8" s="97" t="s">
        <v>85</v>
      </c>
      <c r="AD8" s="97"/>
      <c r="AE8" s="97"/>
      <c r="AF8" s="97"/>
      <c r="AG8" s="97"/>
      <c r="AH8" s="97"/>
      <c r="AI8" s="97"/>
      <c r="AJ8" s="97"/>
      <c r="AK8" s="97"/>
      <c r="AL8" s="98"/>
      <c r="AM8" s="111" t="s">
        <v>6</v>
      </c>
      <c r="AN8" s="112"/>
      <c r="AO8" s="112"/>
      <c r="AP8" s="112"/>
      <c r="AQ8" s="112"/>
      <c r="AR8" s="112"/>
      <c r="AS8" s="112"/>
      <c r="AT8" s="113"/>
      <c r="AU8" s="77"/>
    </row>
    <row r="9" spans="2:47" ht="10.5" customHeight="1" x14ac:dyDescent="0.3">
      <c r="B9" s="80"/>
      <c r="C9" s="72"/>
      <c r="D9" s="93"/>
      <c r="E9" s="93"/>
      <c r="F9" s="93"/>
      <c r="G9" s="93"/>
      <c r="H9" s="93"/>
      <c r="I9" s="93"/>
      <c r="J9" s="93"/>
      <c r="K9" s="93"/>
      <c r="L9" s="93"/>
      <c r="M9" s="93"/>
      <c r="N9" s="94"/>
      <c r="O9" s="94"/>
      <c r="P9" s="94"/>
      <c r="Q9" s="94"/>
      <c r="R9" s="94"/>
      <c r="S9" s="94"/>
      <c r="T9" s="94"/>
      <c r="U9" s="94"/>
      <c r="V9" s="77"/>
      <c r="AA9" s="80"/>
      <c r="AB9" s="72"/>
      <c r="AC9" s="97"/>
      <c r="AD9" s="97"/>
      <c r="AE9" s="97"/>
      <c r="AF9" s="97"/>
      <c r="AG9" s="97"/>
      <c r="AH9" s="97"/>
      <c r="AI9" s="97"/>
      <c r="AJ9" s="97"/>
      <c r="AK9" s="97"/>
      <c r="AL9" s="98"/>
      <c r="AM9" s="114"/>
      <c r="AN9" s="115"/>
      <c r="AO9" s="115"/>
      <c r="AP9" s="115"/>
      <c r="AQ9" s="115"/>
      <c r="AR9" s="115"/>
      <c r="AS9" s="115"/>
      <c r="AT9" s="116"/>
      <c r="AU9" s="77"/>
    </row>
    <row r="10" spans="2:47" ht="10.5" customHeight="1" x14ac:dyDescent="0.35">
      <c r="B10" s="80"/>
      <c r="C10" s="72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6"/>
      <c r="O10" s="76"/>
      <c r="P10" s="76"/>
      <c r="Q10" s="76"/>
      <c r="R10" s="76"/>
      <c r="S10" s="76"/>
      <c r="T10" s="76"/>
      <c r="U10" s="76"/>
      <c r="V10" s="77"/>
      <c r="AA10" s="80"/>
      <c r="AB10" s="72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77"/>
    </row>
    <row r="11" spans="2:47" ht="10.5" customHeight="1" x14ac:dyDescent="0.3">
      <c r="B11" s="80"/>
      <c r="C11" s="72"/>
      <c r="D11" s="93" t="s">
        <v>86</v>
      </c>
      <c r="E11" s="93"/>
      <c r="F11" s="93"/>
      <c r="G11" s="93"/>
      <c r="H11" s="93"/>
      <c r="I11" s="93"/>
      <c r="J11" s="93"/>
      <c r="K11" s="93"/>
      <c r="L11" s="93"/>
      <c r="M11" s="93"/>
      <c r="N11" s="94">
        <f>SUM(TB_ControleEstoque[Saldo em Estoque])</f>
        <v>1670</v>
      </c>
      <c r="O11" s="94"/>
      <c r="P11" s="94"/>
      <c r="Q11" s="94"/>
      <c r="R11" s="94"/>
      <c r="S11" s="94"/>
      <c r="T11" s="94"/>
      <c r="U11" s="94"/>
      <c r="V11" s="77"/>
      <c r="AA11" s="80"/>
      <c r="AB11" s="72"/>
      <c r="AC11" s="97" t="s">
        <v>86</v>
      </c>
      <c r="AD11" s="97"/>
      <c r="AE11" s="97"/>
      <c r="AF11" s="97"/>
      <c r="AG11" s="97"/>
      <c r="AH11" s="97"/>
      <c r="AI11" s="97"/>
      <c r="AJ11" s="97"/>
      <c r="AK11" s="97"/>
      <c r="AL11" s="98"/>
      <c r="AM11" s="117">
        <f>DSUM(TB_ControleEstoque[#All],TB_ControleEstoque[[#Headers],[Saldo em Estoque]],CriteriosConsultaProduto)</f>
        <v>690</v>
      </c>
      <c r="AN11" s="100"/>
      <c r="AO11" s="100"/>
      <c r="AP11" s="100"/>
      <c r="AQ11" s="100"/>
      <c r="AR11" s="100"/>
      <c r="AS11" s="100"/>
      <c r="AT11" s="101"/>
      <c r="AU11" s="77"/>
    </row>
    <row r="12" spans="2:47" ht="10.5" customHeight="1" x14ac:dyDescent="0.3">
      <c r="B12" s="80"/>
      <c r="C12" s="72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4"/>
      <c r="O12" s="94"/>
      <c r="P12" s="94"/>
      <c r="Q12" s="94"/>
      <c r="R12" s="94"/>
      <c r="S12" s="94"/>
      <c r="T12" s="94"/>
      <c r="U12" s="94"/>
      <c r="V12" s="77"/>
      <c r="AA12" s="80"/>
      <c r="AB12" s="72"/>
      <c r="AC12" s="97"/>
      <c r="AD12" s="97"/>
      <c r="AE12" s="97"/>
      <c r="AF12" s="97"/>
      <c r="AG12" s="97"/>
      <c r="AH12" s="97"/>
      <c r="AI12" s="97"/>
      <c r="AJ12" s="97"/>
      <c r="AK12" s="97"/>
      <c r="AL12" s="98"/>
      <c r="AM12" s="102"/>
      <c r="AN12" s="103"/>
      <c r="AO12" s="103"/>
      <c r="AP12" s="103"/>
      <c r="AQ12" s="103"/>
      <c r="AR12" s="103"/>
      <c r="AS12" s="103"/>
      <c r="AT12" s="104"/>
      <c r="AU12" s="77"/>
    </row>
    <row r="13" spans="2:47" ht="10.5" customHeight="1" x14ac:dyDescent="0.35">
      <c r="B13" s="80"/>
      <c r="C13" s="72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8"/>
      <c r="O13" s="78"/>
      <c r="P13" s="78"/>
      <c r="Q13" s="78"/>
      <c r="R13" s="78"/>
      <c r="S13" s="78"/>
      <c r="T13" s="78"/>
      <c r="U13" s="78"/>
      <c r="V13" s="77"/>
      <c r="AA13" s="80"/>
      <c r="AB13" s="72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77"/>
    </row>
    <row r="14" spans="2:47" ht="10.5" customHeight="1" x14ac:dyDescent="0.3">
      <c r="B14" s="80"/>
      <c r="C14" s="72"/>
      <c r="D14" s="93" t="s">
        <v>87</v>
      </c>
      <c r="E14" s="93"/>
      <c r="F14" s="93"/>
      <c r="G14" s="93"/>
      <c r="H14" s="93"/>
      <c r="I14" s="93"/>
      <c r="J14" s="93"/>
      <c r="K14" s="93"/>
      <c r="L14" s="93"/>
      <c r="M14" s="93"/>
      <c r="N14" s="95">
        <f>SUM(TB_Saídas[Valor de Venda])</f>
        <v>19042.5</v>
      </c>
      <c r="O14" s="95"/>
      <c r="P14" s="95"/>
      <c r="Q14" s="95"/>
      <c r="R14" s="95"/>
      <c r="S14" s="95"/>
      <c r="T14" s="95"/>
      <c r="U14" s="95"/>
      <c r="V14" s="77"/>
      <c r="AA14" s="80"/>
      <c r="AB14" s="72"/>
      <c r="AC14" s="97" t="s">
        <v>87</v>
      </c>
      <c r="AD14" s="97"/>
      <c r="AE14" s="97"/>
      <c r="AF14" s="97"/>
      <c r="AG14" s="97"/>
      <c r="AH14" s="97"/>
      <c r="AI14" s="97"/>
      <c r="AJ14" s="97"/>
      <c r="AK14" s="97"/>
      <c r="AL14" s="98"/>
      <c r="AM14" s="99">
        <f>DSUM(TB_Saídas[#All],TB_Saídas[[#Headers],[Valor de Venda]],CriteriosConsultaProduto)</f>
        <v>5670</v>
      </c>
      <c r="AN14" s="118"/>
      <c r="AO14" s="118"/>
      <c r="AP14" s="118"/>
      <c r="AQ14" s="118"/>
      <c r="AR14" s="118"/>
      <c r="AS14" s="118"/>
      <c r="AT14" s="119"/>
      <c r="AU14" s="77"/>
    </row>
    <row r="15" spans="2:47" ht="10.5" customHeight="1" x14ac:dyDescent="0.3">
      <c r="B15" s="80"/>
      <c r="C15" s="72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5"/>
      <c r="O15" s="95"/>
      <c r="P15" s="95"/>
      <c r="Q15" s="95"/>
      <c r="R15" s="95"/>
      <c r="S15" s="95"/>
      <c r="T15" s="95"/>
      <c r="U15" s="95"/>
      <c r="V15" s="77"/>
      <c r="AA15" s="80"/>
      <c r="AB15" s="72"/>
      <c r="AC15" s="97"/>
      <c r="AD15" s="97"/>
      <c r="AE15" s="97"/>
      <c r="AF15" s="97"/>
      <c r="AG15" s="97"/>
      <c r="AH15" s="97"/>
      <c r="AI15" s="97"/>
      <c r="AJ15" s="97"/>
      <c r="AK15" s="97"/>
      <c r="AL15" s="98"/>
      <c r="AM15" s="120"/>
      <c r="AN15" s="121"/>
      <c r="AO15" s="121"/>
      <c r="AP15" s="121"/>
      <c r="AQ15" s="121"/>
      <c r="AR15" s="121"/>
      <c r="AS15" s="121"/>
      <c r="AT15" s="122"/>
      <c r="AU15" s="77"/>
    </row>
    <row r="16" spans="2:47" ht="10.5" customHeight="1" x14ac:dyDescent="0.35">
      <c r="B16" s="80"/>
      <c r="C16" s="72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8"/>
      <c r="O16" s="78"/>
      <c r="P16" s="78"/>
      <c r="Q16" s="78"/>
      <c r="R16" s="78"/>
      <c r="S16" s="78"/>
      <c r="T16" s="78"/>
      <c r="U16" s="78"/>
      <c r="V16" s="77"/>
      <c r="AA16" s="80"/>
      <c r="AB16" s="72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77"/>
    </row>
    <row r="17" spans="2:47" ht="10.5" customHeight="1" x14ac:dyDescent="0.3">
      <c r="B17" s="80"/>
      <c r="C17" s="72"/>
      <c r="D17" s="93" t="s">
        <v>88</v>
      </c>
      <c r="E17" s="93"/>
      <c r="F17" s="93"/>
      <c r="G17" s="93"/>
      <c r="H17" s="93"/>
      <c r="I17" s="93"/>
      <c r="J17" s="93"/>
      <c r="K17" s="93"/>
      <c r="L17" s="93"/>
      <c r="M17" s="93"/>
      <c r="N17" s="95">
        <f>SUM(TB_Entradas[Valor da Compra])</f>
        <v>5530</v>
      </c>
      <c r="O17" s="95"/>
      <c r="P17" s="95"/>
      <c r="Q17" s="95"/>
      <c r="R17" s="95"/>
      <c r="S17" s="95"/>
      <c r="T17" s="95"/>
      <c r="U17" s="95"/>
      <c r="V17" s="77"/>
      <c r="AA17" s="80"/>
      <c r="AB17" s="72"/>
      <c r="AC17" s="97" t="s">
        <v>88</v>
      </c>
      <c r="AD17" s="97"/>
      <c r="AE17" s="97"/>
      <c r="AF17" s="97"/>
      <c r="AG17" s="97"/>
      <c r="AH17" s="97"/>
      <c r="AI17" s="97"/>
      <c r="AJ17" s="97"/>
      <c r="AK17" s="97"/>
      <c r="AL17" s="98"/>
      <c r="AM17" s="99">
        <f>DSUM(TB_Entradas[#All],TB_Entradas[[#Headers],[Valor da Compra]],CriteriosConsultaProduto)</f>
        <v>3270</v>
      </c>
      <c r="AN17" s="118"/>
      <c r="AO17" s="118"/>
      <c r="AP17" s="118"/>
      <c r="AQ17" s="118"/>
      <c r="AR17" s="118"/>
      <c r="AS17" s="118"/>
      <c r="AT17" s="119"/>
      <c r="AU17" s="77"/>
    </row>
    <row r="18" spans="2:47" ht="10.5" customHeight="1" x14ac:dyDescent="0.3">
      <c r="B18" s="80"/>
      <c r="C18" s="72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5"/>
      <c r="O18" s="95"/>
      <c r="P18" s="95"/>
      <c r="Q18" s="95"/>
      <c r="R18" s="95"/>
      <c r="S18" s="95"/>
      <c r="T18" s="95"/>
      <c r="U18" s="95"/>
      <c r="V18" s="77"/>
      <c r="AA18" s="80"/>
      <c r="AB18" s="72"/>
      <c r="AC18" s="97"/>
      <c r="AD18" s="97"/>
      <c r="AE18" s="97"/>
      <c r="AF18" s="97"/>
      <c r="AG18" s="97"/>
      <c r="AH18" s="97"/>
      <c r="AI18" s="97"/>
      <c r="AJ18" s="97"/>
      <c r="AK18" s="97"/>
      <c r="AL18" s="98"/>
      <c r="AM18" s="120"/>
      <c r="AN18" s="121"/>
      <c r="AO18" s="121"/>
      <c r="AP18" s="121"/>
      <c r="AQ18" s="121"/>
      <c r="AR18" s="121"/>
      <c r="AS18" s="121"/>
      <c r="AT18" s="122"/>
      <c r="AU18" s="77"/>
    </row>
    <row r="19" spans="2:47" ht="10.5" customHeight="1" x14ac:dyDescent="0.35">
      <c r="B19" s="80"/>
      <c r="C19" s="72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8"/>
      <c r="O19" s="78"/>
      <c r="P19" s="78"/>
      <c r="Q19" s="78"/>
      <c r="R19" s="78"/>
      <c r="S19" s="78"/>
      <c r="T19" s="78"/>
      <c r="U19" s="78"/>
      <c r="V19" s="77"/>
      <c r="AA19" s="80"/>
      <c r="AB19" s="72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77"/>
    </row>
    <row r="20" spans="2:47" ht="10.5" customHeight="1" x14ac:dyDescent="0.3">
      <c r="B20" s="80"/>
      <c r="C20" s="72"/>
      <c r="D20" s="93" t="s">
        <v>89</v>
      </c>
      <c r="E20" s="93"/>
      <c r="F20" s="93"/>
      <c r="G20" s="93"/>
      <c r="H20" s="93"/>
      <c r="I20" s="93"/>
      <c r="J20" s="93"/>
      <c r="K20" s="93"/>
      <c r="L20" s="93"/>
      <c r="M20" s="93"/>
      <c r="N20" s="95">
        <f>N14-N17</f>
        <v>13512.5</v>
      </c>
      <c r="O20" s="95"/>
      <c r="P20" s="95"/>
      <c r="Q20" s="95"/>
      <c r="R20" s="95"/>
      <c r="S20" s="95"/>
      <c r="T20" s="95"/>
      <c r="U20" s="95"/>
      <c r="V20" s="77"/>
      <c r="AA20" s="80"/>
      <c r="AB20" s="72"/>
      <c r="AC20" s="97" t="s">
        <v>89</v>
      </c>
      <c r="AD20" s="97"/>
      <c r="AE20" s="97"/>
      <c r="AF20" s="97"/>
      <c r="AG20" s="97"/>
      <c r="AH20" s="97"/>
      <c r="AI20" s="97"/>
      <c r="AJ20" s="97"/>
      <c r="AK20" s="97"/>
      <c r="AL20" s="98"/>
      <c r="AM20" s="99">
        <f>AM14-AM17</f>
        <v>2400</v>
      </c>
      <c r="AN20" s="100"/>
      <c r="AO20" s="100"/>
      <c r="AP20" s="100"/>
      <c r="AQ20" s="100"/>
      <c r="AR20" s="100"/>
      <c r="AS20" s="100"/>
      <c r="AT20" s="101"/>
      <c r="AU20" s="77"/>
    </row>
    <row r="21" spans="2:47" ht="10.5" customHeight="1" x14ac:dyDescent="0.3">
      <c r="B21" s="80"/>
      <c r="C21" s="72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5"/>
      <c r="O21" s="95"/>
      <c r="P21" s="95"/>
      <c r="Q21" s="95"/>
      <c r="R21" s="95"/>
      <c r="S21" s="95"/>
      <c r="T21" s="95"/>
      <c r="U21" s="95"/>
      <c r="V21" s="77"/>
      <c r="AA21" s="80"/>
      <c r="AB21" s="72"/>
      <c r="AC21" s="97"/>
      <c r="AD21" s="97"/>
      <c r="AE21" s="97"/>
      <c r="AF21" s="97"/>
      <c r="AG21" s="97"/>
      <c r="AH21" s="97"/>
      <c r="AI21" s="97"/>
      <c r="AJ21" s="97"/>
      <c r="AK21" s="97"/>
      <c r="AL21" s="98"/>
      <c r="AM21" s="102"/>
      <c r="AN21" s="103"/>
      <c r="AO21" s="103"/>
      <c r="AP21" s="103"/>
      <c r="AQ21" s="103"/>
      <c r="AR21" s="103"/>
      <c r="AS21" s="103"/>
      <c r="AT21" s="104"/>
      <c r="AU21" s="77"/>
    </row>
    <row r="22" spans="2:47" ht="10.5" customHeight="1" x14ac:dyDescent="0.35">
      <c r="B22" s="80"/>
      <c r="C22" s="72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8"/>
      <c r="O22" s="78"/>
      <c r="P22" s="78"/>
      <c r="Q22" s="78"/>
      <c r="R22" s="78"/>
      <c r="S22" s="78"/>
      <c r="T22" s="78"/>
      <c r="U22" s="78"/>
      <c r="V22" s="77"/>
      <c r="AA22" s="80"/>
      <c r="AB22" s="72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77"/>
    </row>
    <row r="23" spans="2:47" ht="10.5" customHeight="1" x14ac:dyDescent="0.3">
      <c r="B23" s="80"/>
      <c r="C23" s="72"/>
      <c r="D23" s="93" t="s">
        <v>90</v>
      </c>
      <c r="E23" s="93"/>
      <c r="F23" s="93"/>
      <c r="G23" s="93"/>
      <c r="H23" s="93"/>
      <c r="I23" s="93"/>
      <c r="J23" s="93"/>
      <c r="K23" s="93"/>
      <c r="L23" s="93"/>
      <c r="M23" s="93"/>
      <c r="N23" s="96">
        <f>N20/N17</f>
        <v>2.4434900542495481</v>
      </c>
      <c r="O23" s="96"/>
      <c r="P23" s="96"/>
      <c r="Q23" s="96"/>
      <c r="R23" s="96"/>
      <c r="S23" s="96"/>
      <c r="T23" s="96"/>
      <c r="U23" s="96"/>
      <c r="V23" s="77"/>
      <c r="AA23" s="80"/>
      <c r="AB23" s="72"/>
      <c r="AC23" s="97" t="s">
        <v>90</v>
      </c>
      <c r="AD23" s="97"/>
      <c r="AE23" s="97"/>
      <c r="AF23" s="97"/>
      <c r="AG23" s="97"/>
      <c r="AH23" s="97"/>
      <c r="AI23" s="97"/>
      <c r="AJ23" s="97"/>
      <c r="AK23" s="97"/>
      <c r="AL23" s="98"/>
      <c r="AM23" s="105">
        <f>AM20/AM17</f>
        <v>0.73394495412844041</v>
      </c>
      <c r="AN23" s="106"/>
      <c r="AO23" s="106"/>
      <c r="AP23" s="106"/>
      <c r="AQ23" s="106"/>
      <c r="AR23" s="106"/>
      <c r="AS23" s="106"/>
      <c r="AT23" s="107"/>
      <c r="AU23" s="77"/>
    </row>
    <row r="24" spans="2:47" ht="10.5" customHeight="1" x14ac:dyDescent="0.3">
      <c r="B24" s="80"/>
      <c r="C24" s="72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6"/>
      <c r="O24" s="96"/>
      <c r="P24" s="96"/>
      <c r="Q24" s="96"/>
      <c r="R24" s="96"/>
      <c r="S24" s="96"/>
      <c r="T24" s="96"/>
      <c r="U24" s="96"/>
      <c r="V24" s="77"/>
      <c r="AA24" s="80"/>
      <c r="AB24" s="72"/>
      <c r="AC24" s="97"/>
      <c r="AD24" s="97"/>
      <c r="AE24" s="97"/>
      <c r="AF24" s="97"/>
      <c r="AG24" s="97"/>
      <c r="AH24" s="97"/>
      <c r="AI24" s="97"/>
      <c r="AJ24" s="97"/>
      <c r="AK24" s="97"/>
      <c r="AL24" s="98"/>
      <c r="AM24" s="108"/>
      <c r="AN24" s="109"/>
      <c r="AO24" s="109"/>
      <c r="AP24" s="109"/>
      <c r="AQ24" s="109"/>
      <c r="AR24" s="109"/>
      <c r="AS24" s="109"/>
      <c r="AT24" s="110"/>
      <c r="AU24" s="77"/>
    </row>
    <row r="25" spans="2:47" ht="10.5" customHeight="1" thickBot="1" x14ac:dyDescent="0.35">
      <c r="B25" s="80"/>
      <c r="C25" s="74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9"/>
      <c r="AA25" s="80"/>
      <c r="AB25" s="74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9"/>
    </row>
    <row r="26" spans="2:47" ht="10.5" customHeight="1" x14ac:dyDescent="0.3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</row>
  </sheetData>
  <sheetProtection selectLockedCells="1"/>
  <mergeCells count="27">
    <mergeCell ref="AB5:AU6"/>
    <mergeCell ref="C5:V6"/>
    <mergeCell ref="AM7:AT7"/>
    <mergeCell ref="AC17:AL18"/>
    <mergeCell ref="AM17:AT18"/>
    <mergeCell ref="D8:M9"/>
    <mergeCell ref="D11:M12"/>
    <mergeCell ref="D14:M15"/>
    <mergeCell ref="D17:M18"/>
    <mergeCell ref="AC20:AL21"/>
    <mergeCell ref="AM20:AT21"/>
    <mergeCell ref="AC23:AL24"/>
    <mergeCell ref="AM23:AT24"/>
    <mergeCell ref="AC8:AL9"/>
    <mergeCell ref="AM8:AT9"/>
    <mergeCell ref="AC11:AL12"/>
    <mergeCell ref="AM11:AT12"/>
    <mergeCell ref="AC14:AL15"/>
    <mergeCell ref="AM14:AT15"/>
    <mergeCell ref="D20:M21"/>
    <mergeCell ref="D23:M24"/>
    <mergeCell ref="N8:U9"/>
    <mergeCell ref="N11:U12"/>
    <mergeCell ref="N14:U15"/>
    <mergeCell ref="N17:U18"/>
    <mergeCell ref="N20:U21"/>
    <mergeCell ref="N23:U24"/>
  </mergeCells>
  <dataValidations count="1">
    <dataValidation type="list" allowBlank="1" showInputMessage="1" showErrorMessage="1" sqref="AM8:AT9" xr:uid="{BA2D04B6-D7BF-4ACA-AA8D-0DA4AB77DFCC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0E9D-A9B9-46A6-9BD4-5E3AB63DF7EA}">
  <dimension ref="B1:DV48"/>
  <sheetViews>
    <sheetView zoomScaleNormal="100" workbookViewId="0">
      <selection activeCell="Z35" sqref="Z35"/>
    </sheetView>
  </sheetViews>
  <sheetFormatPr defaultColWidth="2.109375" defaultRowHeight="9" customHeight="1" x14ac:dyDescent="0.3"/>
  <cols>
    <col min="1" max="1" width="2.109375" customWidth="1"/>
    <col min="16" max="16" width="2.109375" customWidth="1"/>
  </cols>
  <sheetData>
    <row r="1" spans="2:99" ht="9" customHeight="1" thickBot="1" x14ac:dyDescent="0.35">
      <c r="B1" s="130" t="s">
        <v>91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56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</row>
    <row r="2" spans="2:99" ht="9" customHeight="1" x14ac:dyDescent="0.3"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56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F2" s="131" t="s">
        <v>92</v>
      </c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3"/>
      <c r="AU2" s="17"/>
      <c r="AX2" s="131" t="s">
        <v>93</v>
      </c>
      <c r="AY2" s="132"/>
      <c r="AZ2" s="132"/>
      <c r="BA2" s="132"/>
      <c r="BB2" s="132"/>
      <c r="BC2" s="132"/>
      <c r="BD2" s="132"/>
      <c r="BE2" s="132"/>
      <c r="BF2" s="132"/>
      <c r="BG2" s="132"/>
      <c r="BH2" s="132"/>
      <c r="BI2" s="132"/>
      <c r="BJ2" s="132"/>
      <c r="BK2" s="132"/>
      <c r="BL2" s="133"/>
      <c r="BM2" s="17"/>
      <c r="BP2" s="131" t="s">
        <v>94</v>
      </c>
      <c r="BQ2" s="132"/>
      <c r="BR2" s="132"/>
      <c r="BS2" s="132"/>
      <c r="BT2" s="132"/>
      <c r="BU2" s="132"/>
      <c r="BV2" s="132"/>
      <c r="BW2" s="132"/>
      <c r="BX2" s="132"/>
      <c r="BY2" s="132"/>
      <c r="BZ2" s="132"/>
      <c r="CA2" s="132"/>
      <c r="CB2" s="132"/>
      <c r="CC2" s="132"/>
      <c r="CD2" s="133"/>
    </row>
    <row r="3" spans="2:99" ht="9" customHeight="1" thickBot="1" x14ac:dyDescent="0.35"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56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F3" s="134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136"/>
      <c r="AU3" s="17"/>
      <c r="AX3" s="134"/>
      <c r="AY3" s="135"/>
      <c r="AZ3" s="135"/>
      <c r="BA3" s="135"/>
      <c r="BB3" s="135"/>
      <c r="BC3" s="135"/>
      <c r="BD3" s="135"/>
      <c r="BE3" s="135"/>
      <c r="BF3" s="135"/>
      <c r="BG3" s="135"/>
      <c r="BH3" s="135"/>
      <c r="BI3" s="135"/>
      <c r="BJ3" s="135"/>
      <c r="BK3" s="135"/>
      <c r="BL3" s="136"/>
      <c r="BM3" s="17"/>
      <c r="BP3" s="134"/>
      <c r="BQ3" s="135"/>
      <c r="BR3" s="135"/>
      <c r="BS3" s="135"/>
      <c r="BT3" s="135"/>
      <c r="BU3" s="135"/>
      <c r="BV3" s="135"/>
      <c r="BW3" s="135"/>
      <c r="BX3" s="135"/>
      <c r="BY3" s="135"/>
      <c r="BZ3" s="135"/>
      <c r="CA3" s="135"/>
      <c r="CB3" s="135"/>
      <c r="CC3" s="135"/>
      <c r="CD3" s="136"/>
    </row>
    <row r="4" spans="2:99" ht="9" customHeight="1" x14ac:dyDescent="0.3"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56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F4" s="137">
        <f>SUM(TB_Saídas[Valor de Venda])</f>
        <v>19042.5</v>
      </c>
      <c r="AG4" s="138"/>
      <c r="AH4" s="138"/>
      <c r="AI4" s="138"/>
      <c r="AJ4" s="138"/>
      <c r="AK4" s="138"/>
      <c r="AL4" s="138"/>
      <c r="AM4" s="138"/>
      <c r="AN4" s="138"/>
      <c r="AO4" s="138"/>
      <c r="AP4" s="138"/>
      <c r="AQ4" s="138"/>
      <c r="AR4" s="138"/>
      <c r="AS4" s="138"/>
      <c r="AT4" s="139"/>
      <c r="AU4" s="16"/>
      <c r="AX4" s="137">
        <f>SUM(TB_Entradas[Valor da Compra])</f>
        <v>5530</v>
      </c>
      <c r="AY4" s="138"/>
      <c r="AZ4" s="138"/>
      <c r="BA4" s="138"/>
      <c r="BB4" s="138"/>
      <c r="BC4" s="138"/>
      <c r="BD4" s="138"/>
      <c r="BE4" s="138"/>
      <c r="BF4" s="138"/>
      <c r="BG4" s="138"/>
      <c r="BH4" s="138"/>
      <c r="BI4" s="138"/>
      <c r="BJ4" s="138"/>
      <c r="BK4" s="138"/>
      <c r="BL4" s="139"/>
      <c r="BM4" s="21"/>
      <c r="BN4" s="22"/>
      <c r="BO4" s="22"/>
      <c r="BP4" s="143">
        <f>(AF4-AX4)/AX4</f>
        <v>2.4434900542495481</v>
      </c>
      <c r="BQ4" s="144"/>
      <c r="BR4" s="144"/>
      <c r="BS4" s="144"/>
      <c r="BT4" s="144"/>
      <c r="BU4" s="144"/>
      <c r="BV4" s="144"/>
      <c r="BW4" s="144"/>
      <c r="BX4" s="144"/>
      <c r="BY4" s="144"/>
      <c r="BZ4" s="144"/>
      <c r="CA4" s="144"/>
      <c r="CB4" s="144"/>
      <c r="CC4" s="144"/>
      <c r="CD4" s="145"/>
    </row>
    <row r="5" spans="2:99" ht="9" customHeight="1" x14ac:dyDescent="0.3"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56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F5" s="137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9"/>
      <c r="AU5" s="16"/>
      <c r="AX5" s="137"/>
      <c r="AY5" s="138"/>
      <c r="AZ5" s="138"/>
      <c r="BA5" s="138"/>
      <c r="BB5" s="138"/>
      <c r="BC5" s="138"/>
      <c r="BD5" s="138"/>
      <c r="BE5" s="138"/>
      <c r="BF5" s="138"/>
      <c r="BG5" s="138"/>
      <c r="BH5" s="138"/>
      <c r="BI5" s="138"/>
      <c r="BJ5" s="138"/>
      <c r="BK5" s="138"/>
      <c r="BL5" s="139"/>
      <c r="BM5" s="21"/>
      <c r="BN5" s="22"/>
      <c r="BO5" s="22"/>
      <c r="BP5" s="143"/>
      <c r="BQ5" s="144"/>
      <c r="BR5" s="144"/>
      <c r="BS5" s="144"/>
      <c r="BT5" s="144"/>
      <c r="BU5" s="144"/>
      <c r="BV5" s="144"/>
      <c r="BW5" s="144"/>
      <c r="BX5" s="144"/>
      <c r="BY5" s="144"/>
      <c r="BZ5" s="144"/>
      <c r="CA5" s="144"/>
      <c r="CB5" s="144"/>
      <c r="CC5" s="144"/>
      <c r="CD5" s="145"/>
    </row>
    <row r="6" spans="2:99" ht="9" customHeight="1" x14ac:dyDescent="0.3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F6" s="137"/>
      <c r="AG6" s="138"/>
      <c r="AH6" s="138"/>
      <c r="AI6" s="138"/>
      <c r="AJ6" s="138"/>
      <c r="AK6" s="138"/>
      <c r="AL6" s="138"/>
      <c r="AM6" s="138"/>
      <c r="AN6" s="138"/>
      <c r="AO6" s="138"/>
      <c r="AP6" s="138"/>
      <c r="AQ6" s="138"/>
      <c r="AR6" s="138"/>
      <c r="AS6" s="138"/>
      <c r="AT6" s="139"/>
      <c r="AU6" s="16"/>
      <c r="AX6" s="137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8"/>
      <c r="BL6" s="139"/>
      <c r="BM6" s="21"/>
      <c r="BN6" s="22"/>
      <c r="BO6" s="22"/>
      <c r="BP6" s="143"/>
      <c r="BQ6" s="144"/>
      <c r="BR6" s="144"/>
      <c r="BS6" s="144"/>
      <c r="BT6" s="144"/>
      <c r="BU6" s="144"/>
      <c r="BV6" s="144"/>
      <c r="BW6" s="144"/>
      <c r="BX6" s="144"/>
      <c r="BY6" s="144"/>
      <c r="BZ6" s="144"/>
      <c r="CA6" s="144"/>
      <c r="CB6" s="144"/>
      <c r="CC6" s="144"/>
      <c r="CD6" s="145"/>
    </row>
    <row r="7" spans="2:99" ht="9" customHeight="1" thickBot="1" x14ac:dyDescent="0.35">
      <c r="B7" s="27"/>
      <c r="Z7" s="27"/>
      <c r="AF7" s="140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2"/>
      <c r="AU7" s="16"/>
      <c r="AX7" s="140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2"/>
      <c r="BM7" s="21"/>
      <c r="BN7" s="22"/>
      <c r="BO7" s="22"/>
      <c r="BP7" s="146"/>
      <c r="BQ7" s="147"/>
      <c r="BR7" s="147"/>
      <c r="BS7" s="147"/>
      <c r="BT7" s="147"/>
      <c r="BU7" s="147"/>
      <c r="BV7" s="147"/>
      <c r="BW7" s="147"/>
      <c r="BX7" s="147"/>
      <c r="BY7" s="147"/>
      <c r="BZ7" s="147"/>
      <c r="CA7" s="147"/>
      <c r="CB7" s="147"/>
      <c r="CC7" s="147"/>
      <c r="CD7" s="148"/>
      <c r="CE7" s="15"/>
      <c r="CF7" s="1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</row>
    <row r="8" spans="2:99" ht="9" customHeight="1" thickBot="1" x14ac:dyDescent="0.35">
      <c r="B8" s="27"/>
      <c r="C8" s="131" t="s">
        <v>95</v>
      </c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27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X8" s="26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5"/>
      <c r="CF8" s="15"/>
      <c r="CG8" s="25"/>
      <c r="CT8" s="25"/>
      <c r="CU8" s="25"/>
    </row>
    <row r="9" spans="2:99" ht="9" customHeight="1" thickBot="1" x14ac:dyDescent="0.35">
      <c r="B9" s="23"/>
      <c r="C9" s="134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23"/>
      <c r="AB9" s="131" t="s">
        <v>96</v>
      </c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3"/>
      <c r="CG9" s="14"/>
    </row>
    <row r="10" spans="2:99" ht="9" customHeight="1" x14ac:dyDescent="0.3">
      <c r="B10" s="23"/>
      <c r="C10" s="149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1"/>
      <c r="Z10" s="23"/>
      <c r="AB10" s="223"/>
      <c r="AC10" s="224"/>
      <c r="AD10" s="224"/>
      <c r="AE10" s="224"/>
      <c r="AF10" s="224"/>
      <c r="AG10" s="224"/>
      <c r="AH10" s="224"/>
      <c r="AI10" s="224"/>
      <c r="AJ10" s="224"/>
      <c r="AK10" s="224"/>
      <c r="AL10" s="224"/>
      <c r="AM10" s="224"/>
      <c r="AN10" s="224"/>
      <c r="AO10" s="224"/>
      <c r="AP10" s="224"/>
      <c r="AQ10" s="224"/>
      <c r="AR10" s="224"/>
      <c r="AS10" s="224"/>
      <c r="AT10" s="224"/>
      <c r="AU10" s="224"/>
      <c r="AV10" s="224"/>
      <c r="AW10" s="224"/>
      <c r="AX10" s="224"/>
      <c r="AY10" s="224"/>
      <c r="AZ10" s="224"/>
      <c r="BA10" s="224"/>
      <c r="BB10" s="224"/>
      <c r="BC10" s="224"/>
      <c r="BD10" s="224"/>
      <c r="BE10" s="224"/>
      <c r="BF10" s="224"/>
      <c r="BG10" s="224"/>
      <c r="BH10" s="224"/>
      <c r="BI10" s="224"/>
      <c r="BJ10" s="224"/>
      <c r="BK10" s="224"/>
      <c r="BL10" s="224"/>
      <c r="BM10" s="224"/>
      <c r="BN10" s="224"/>
      <c r="BO10" s="224"/>
      <c r="BP10" s="224"/>
      <c r="BQ10" s="224"/>
      <c r="BR10" s="224"/>
      <c r="BS10" s="224"/>
      <c r="BT10" s="224"/>
      <c r="BU10" s="224"/>
      <c r="BV10" s="224"/>
      <c r="BW10" s="224"/>
      <c r="BX10" s="224"/>
      <c r="BY10" s="224"/>
      <c r="BZ10" s="224"/>
      <c r="CA10" s="224"/>
      <c r="CB10" s="224"/>
      <c r="CC10" s="224"/>
      <c r="CD10" s="224"/>
      <c r="CE10" s="224"/>
      <c r="CF10" s="225"/>
    </row>
    <row r="11" spans="2:99" ht="9" customHeight="1" x14ac:dyDescent="0.3">
      <c r="B11" s="23"/>
      <c r="C11" s="149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1"/>
      <c r="Z11" s="23"/>
      <c r="AB11" s="175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  <c r="AT11" s="176"/>
      <c r="AU11" s="176"/>
      <c r="AV11" s="176"/>
      <c r="AW11" s="176"/>
      <c r="AX11" s="176"/>
      <c r="AY11" s="176"/>
      <c r="AZ11" s="176"/>
      <c r="BA11" s="176"/>
      <c r="BB11" s="176"/>
      <c r="BC11" s="176"/>
      <c r="BD11" s="176"/>
      <c r="BE11" s="176"/>
      <c r="BF11" s="176"/>
      <c r="BG11" s="176"/>
      <c r="BH11" s="176"/>
      <c r="BI11" s="176"/>
      <c r="BJ11" s="176"/>
      <c r="BK11" s="176"/>
      <c r="BL11" s="176"/>
      <c r="BM11" s="176"/>
      <c r="BN11" s="176"/>
      <c r="BO11" s="176"/>
      <c r="BP11" s="176"/>
      <c r="BQ11" s="176"/>
      <c r="BR11" s="176"/>
      <c r="BS11" s="176"/>
      <c r="BT11" s="176"/>
      <c r="BU11" s="176"/>
      <c r="BV11" s="176"/>
      <c r="BW11" s="176"/>
      <c r="BX11" s="176"/>
      <c r="BY11" s="176"/>
      <c r="BZ11" s="176"/>
      <c r="CA11" s="176"/>
      <c r="CB11" s="176"/>
      <c r="CC11" s="176"/>
      <c r="CD11" s="176"/>
      <c r="CE11" s="176"/>
      <c r="CF11" s="177"/>
    </row>
    <row r="12" spans="2:99" ht="9" customHeight="1" x14ac:dyDescent="0.3">
      <c r="B12" s="23"/>
      <c r="C12" s="149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1"/>
      <c r="Z12" s="23"/>
      <c r="AB12" s="226"/>
      <c r="AC12" s="222"/>
      <c r="AD12" s="222"/>
      <c r="AE12" s="222"/>
      <c r="AF12" s="222"/>
      <c r="AG12" s="222"/>
      <c r="AH12" s="222"/>
      <c r="AI12" s="222"/>
      <c r="AJ12" s="222"/>
      <c r="AK12" s="222"/>
      <c r="AL12" s="222"/>
      <c r="AM12" s="222"/>
      <c r="AN12" s="222"/>
      <c r="AO12" s="222"/>
      <c r="AP12" s="222"/>
      <c r="AQ12" s="222"/>
      <c r="AR12" s="222"/>
      <c r="AS12" s="222"/>
      <c r="AT12" s="222"/>
      <c r="AU12" s="222"/>
      <c r="AV12" s="222"/>
      <c r="AW12" s="222"/>
      <c r="AX12" s="222"/>
      <c r="AY12" s="222"/>
      <c r="AZ12" s="222"/>
      <c r="BA12" s="222"/>
      <c r="BB12" s="222"/>
      <c r="BC12" s="222"/>
      <c r="BD12" s="222"/>
      <c r="BE12" s="222"/>
      <c r="BF12" s="222"/>
      <c r="BG12" s="222"/>
      <c r="BH12" s="222"/>
      <c r="BI12" s="222"/>
      <c r="BJ12" s="222"/>
      <c r="BK12" s="222"/>
      <c r="BL12" s="222"/>
      <c r="BM12" s="222"/>
      <c r="BN12" s="222"/>
      <c r="BO12" s="222"/>
      <c r="BP12" s="222"/>
      <c r="BQ12" s="222"/>
      <c r="BR12" s="222"/>
      <c r="BS12" s="222"/>
      <c r="BT12" s="222"/>
      <c r="BU12" s="222"/>
      <c r="BV12" s="222"/>
      <c r="BW12" s="222"/>
      <c r="BX12" s="222"/>
      <c r="BY12" s="222"/>
      <c r="BZ12" s="222"/>
      <c r="CA12" s="222"/>
      <c r="CB12" s="222"/>
      <c r="CC12" s="222"/>
      <c r="CD12" s="222"/>
      <c r="CE12" s="222"/>
      <c r="CF12" s="227"/>
    </row>
    <row r="13" spans="2:99" ht="9" customHeight="1" x14ac:dyDescent="0.3">
      <c r="B13" s="23"/>
      <c r="C13" s="149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1"/>
      <c r="Z13" s="23"/>
      <c r="AA13" s="15"/>
      <c r="AB13" s="226"/>
      <c r="AC13" s="222"/>
      <c r="AD13" s="222"/>
      <c r="AE13" s="222"/>
      <c r="AF13" s="222"/>
      <c r="AG13" s="222"/>
      <c r="AH13" s="222"/>
      <c r="AI13" s="222"/>
      <c r="AJ13" s="222"/>
      <c r="AK13" s="222"/>
      <c r="AL13" s="222"/>
      <c r="AM13" s="222"/>
      <c r="AN13" s="222"/>
      <c r="AO13" s="222"/>
      <c r="AP13" s="222"/>
      <c r="AQ13" s="222"/>
      <c r="AR13" s="222"/>
      <c r="AS13" s="222"/>
      <c r="AT13" s="222"/>
      <c r="AU13" s="222"/>
      <c r="AV13" s="222"/>
      <c r="AW13" s="222"/>
      <c r="AX13" s="222"/>
      <c r="AY13" s="222"/>
      <c r="AZ13" s="222"/>
      <c r="BA13" s="222"/>
      <c r="BB13" s="222"/>
      <c r="BC13" s="222"/>
      <c r="BD13" s="222"/>
      <c r="BE13" s="222"/>
      <c r="BF13" s="222"/>
      <c r="BG13" s="222"/>
      <c r="BH13" s="222"/>
      <c r="BI13" s="222"/>
      <c r="BJ13" s="222"/>
      <c r="BK13" s="222"/>
      <c r="BL13" s="222"/>
      <c r="BM13" s="222"/>
      <c r="BN13" s="222"/>
      <c r="BO13" s="222"/>
      <c r="BP13" s="222"/>
      <c r="BQ13" s="222"/>
      <c r="BR13" s="222"/>
      <c r="BS13" s="222"/>
      <c r="BT13" s="222"/>
      <c r="BU13" s="222"/>
      <c r="BV13" s="222"/>
      <c r="BW13" s="222"/>
      <c r="BX13" s="222"/>
      <c r="BY13" s="222"/>
      <c r="BZ13" s="222"/>
      <c r="CA13" s="222"/>
      <c r="CB13" s="222"/>
      <c r="CC13" s="222"/>
      <c r="CD13" s="222"/>
      <c r="CE13" s="222"/>
      <c r="CF13" s="227"/>
    </row>
    <row r="14" spans="2:99" ht="9" customHeight="1" x14ac:dyDescent="0.3">
      <c r="C14" s="149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1"/>
      <c r="Z14" s="15"/>
      <c r="AB14" s="226"/>
      <c r="AC14" s="222"/>
      <c r="AD14" s="222"/>
      <c r="AE14" s="222"/>
      <c r="AF14" s="222"/>
      <c r="AG14" s="222"/>
      <c r="AH14" s="222"/>
      <c r="AI14" s="222"/>
      <c r="AJ14" s="222"/>
      <c r="AK14" s="222"/>
      <c r="AL14" s="222"/>
      <c r="AM14" s="222"/>
      <c r="AN14" s="222"/>
      <c r="AO14" s="222"/>
      <c r="AP14" s="222"/>
      <c r="AQ14" s="222"/>
      <c r="AR14" s="222"/>
      <c r="AS14" s="222"/>
      <c r="AT14" s="222"/>
      <c r="AU14" s="222"/>
      <c r="AV14" s="222"/>
      <c r="AW14" s="222"/>
      <c r="AX14" s="222"/>
      <c r="AY14" s="222"/>
      <c r="AZ14" s="222"/>
      <c r="BA14" s="222"/>
      <c r="BB14" s="222"/>
      <c r="BC14" s="222"/>
      <c r="BD14" s="222"/>
      <c r="BE14" s="222"/>
      <c r="BF14" s="222"/>
      <c r="BG14" s="222"/>
      <c r="BH14" s="222"/>
      <c r="BI14" s="222"/>
      <c r="BJ14" s="222"/>
      <c r="BK14" s="222"/>
      <c r="BL14" s="222"/>
      <c r="BM14" s="222"/>
      <c r="BN14" s="222"/>
      <c r="BO14" s="222"/>
      <c r="BP14" s="222"/>
      <c r="BQ14" s="222"/>
      <c r="BR14" s="222"/>
      <c r="BS14" s="222"/>
      <c r="BT14" s="222"/>
      <c r="BU14" s="222"/>
      <c r="BV14" s="222"/>
      <c r="BW14" s="222"/>
      <c r="BX14" s="222"/>
      <c r="BY14" s="222"/>
      <c r="BZ14" s="222"/>
      <c r="CA14" s="222"/>
      <c r="CB14" s="222"/>
      <c r="CC14" s="222"/>
      <c r="CD14" s="222"/>
      <c r="CE14" s="222"/>
      <c r="CF14" s="227"/>
    </row>
    <row r="15" spans="2:99" ht="9" customHeight="1" x14ac:dyDescent="0.3">
      <c r="C15" s="149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1"/>
      <c r="Z15" s="15"/>
      <c r="AB15" s="226"/>
      <c r="AC15" s="222"/>
      <c r="AD15" s="222"/>
      <c r="AE15" s="222"/>
      <c r="AF15" s="222"/>
      <c r="AG15" s="222"/>
      <c r="AH15" s="222"/>
      <c r="AI15" s="222"/>
      <c r="AJ15" s="222"/>
      <c r="AK15" s="222"/>
      <c r="AL15" s="222"/>
      <c r="AM15" s="222"/>
      <c r="AN15" s="222"/>
      <c r="AO15" s="222"/>
      <c r="AP15" s="222"/>
      <c r="AQ15" s="222"/>
      <c r="AR15" s="222"/>
      <c r="AS15" s="222"/>
      <c r="AT15" s="222"/>
      <c r="AU15" s="222"/>
      <c r="AV15" s="222"/>
      <c r="AW15" s="222"/>
      <c r="AX15" s="222"/>
      <c r="AY15" s="222"/>
      <c r="AZ15" s="222"/>
      <c r="BA15" s="222"/>
      <c r="BB15" s="222"/>
      <c r="BC15" s="222"/>
      <c r="BD15" s="222"/>
      <c r="BE15" s="222"/>
      <c r="BF15" s="222"/>
      <c r="BG15" s="222"/>
      <c r="BH15" s="222"/>
      <c r="BI15" s="222"/>
      <c r="BJ15" s="222"/>
      <c r="BK15" s="222"/>
      <c r="BL15" s="222"/>
      <c r="BM15" s="222"/>
      <c r="BN15" s="222"/>
      <c r="BO15" s="222"/>
      <c r="BP15" s="222"/>
      <c r="BQ15" s="222"/>
      <c r="BR15" s="222"/>
      <c r="BS15" s="222"/>
      <c r="BT15" s="222"/>
      <c r="BU15" s="222"/>
      <c r="BV15" s="222"/>
      <c r="BW15" s="222"/>
      <c r="BX15" s="222"/>
      <c r="BY15" s="222"/>
      <c r="BZ15" s="222"/>
      <c r="CA15" s="222"/>
      <c r="CB15" s="222"/>
      <c r="CC15" s="222"/>
      <c r="CD15" s="222"/>
      <c r="CE15" s="222"/>
      <c r="CF15" s="227"/>
    </row>
    <row r="16" spans="2:99" ht="9" customHeight="1" x14ac:dyDescent="0.3">
      <c r="C16" s="149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1"/>
      <c r="Z16" s="15"/>
      <c r="AB16" s="226"/>
      <c r="AC16" s="222"/>
      <c r="AD16" s="222"/>
      <c r="AE16" s="222"/>
      <c r="AF16" s="222"/>
      <c r="AG16" s="222"/>
      <c r="AH16" s="222"/>
      <c r="AI16" s="222"/>
      <c r="AJ16" s="222"/>
      <c r="AK16" s="222"/>
      <c r="AL16" s="222"/>
      <c r="AM16" s="222"/>
      <c r="AN16" s="222"/>
      <c r="AO16" s="222"/>
      <c r="AP16" s="222"/>
      <c r="AQ16" s="222"/>
      <c r="AR16" s="222"/>
      <c r="AS16" s="222"/>
      <c r="AT16" s="222"/>
      <c r="AU16" s="222"/>
      <c r="AV16" s="222"/>
      <c r="AW16" s="222"/>
      <c r="AX16" s="222"/>
      <c r="AY16" s="222"/>
      <c r="AZ16" s="222"/>
      <c r="BA16" s="222"/>
      <c r="BB16" s="222"/>
      <c r="BC16" s="222"/>
      <c r="BD16" s="222"/>
      <c r="BE16" s="222"/>
      <c r="BF16" s="222"/>
      <c r="BG16" s="222"/>
      <c r="BH16" s="222"/>
      <c r="BI16" s="222"/>
      <c r="BJ16" s="222"/>
      <c r="BK16" s="222"/>
      <c r="BL16" s="222"/>
      <c r="BM16" s="222"/>
      <c r="BN16" s="222"/>
      <c r="BO16" s="222"/>
      <c r="BP16" s="222"/>
      <c r="BQ16" s="222"/>
      <c r="BR16" s="222"/>
      <c r="BS16" s="222"/>
      <c r="BT16" s="222"/>
      <c r="BU16" s="222"/>
      <c r="BV16" s="222"/>
      <c r="BW16" s="222"/>
      <c r="BX16" s="222"/>
      <c r="BY16" s="222"/>
      <c r="BZ16" s="222"/>
      <c r="CA16" s="222"/>
      <c r="CB16" s="222"/>
      <c r="CC16" s="222"/>
      <c r="CD16" s="222"/>
      <c r="CE16" s="222"/>
      <c r="CF16" s="227"/>
    </row>
    <row r="17" spans="2:84" ht="9" customHeight="1" x14ac:dyDescent="0.3">
      <c r="C17" s="149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1"/>
      <c r="Z17" s="15"/>
      <c r="AB17" s="226"/>
      <c r="AC17" s="222"/>
      <c r="AD17" s="222"/>
      <c r="AE17" s="222"/>
      <c r="AF17" s="222"/>
      <c r="AG17" s="222"/>
      <c r="AH17" s="222"/>
      <c r="AI17" s="222"/>
      <c r="AJ17" s="222"/>
      <c r="AK17" s="222"/>
      <c r="AL17" s="222"/>
      <c r="AM17" s="222"/>
      <c r="AN17" s="222"/>
      <c r="AO17" s="222"/>
      <c r="AP17" s="222"/>
      <c r="AQ17" s="222"/>
      <c r="AR17" s="222"/>
      <c r="AS17" s="222"/>
      <c r="AT17" s="222"/>
      <c r="AU17" s="222"/>
      <c r="AV17" s="222"/>
      <c r="AW17" s="222"/>
      <c r="AX17" s="222"/>
      <c r="AY17" s="222"/>
      <c r="AZ17" s="222"/>
      <c r="BA17" s="222"/>
      <c r="BB17" s="222"/>
      <c r="BC17" s="222"/>
      <c r="BD17" s="222"/>
      <c r="BE17" s="222"/>
      <c r="BF17" s="222"/>
      <c r="BG17" s="222"/>
      <c r="BH17" s="222"/>
      <c r="BI17" s="222"/>
      <c r="BJ17" s="222"/>
      <c r="BK17" s="222"/>
      <c r="BL17" s="222"/>
      <c r="BM17" s="222"/>
      <c r="BN17" s="222"/>
      <c r="BO17" s="222"/>
      <c r="BP17" s="222"/>
      <c r="BQ17" s="222"/>
      <c r="BR17" s="222"/>
      <c r="BS17" s="222"/>
      <c r="BT17" s="222"/>
      <c r="BU17" s="222"/>
      <c r="BV17" s="222"/>
      <c r="BW17" s="222"/>
      <c r="BX17" s="222"/>
      <c r="BY17" s="222"/>
      <c r="BZ17" s="222"/>
      <c r="CA17" s="222"/>
      <c r="CB17" s="222"/>
      <c r="CC17" s="222"/>
      <c r="CD17" s="222"/>
      <c r="CE17" s="222"/>
      <c r="CF17" s="227"/>
    </row>
    <row r="18" spans="2:84" ht="9" customHeight="1" x14ac:dyDescent="0.3">
      <c r="C18" s="149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1"/>
      <c r="Z18" s="15"/>
      <c r="AB18" s="226"/>
      <c r="AC18" s="222"/>
      <c r="AD18" s="222"/>
      <c r="AE18" s="222"/>
      <c r="AF18" s="222"/>
      <c r="AG18" s="222"/>
      <c r="AH18" s="222"/>
      <c r="AI18" s="222"/>
      <c r="AJ18" s="222"/>
      <c r="AK18" s="222"/>
      <c r="AL18" s="222"/>
      <c r="AM18" s="222"/>
      <c r="AN18" s="222"/>
      <c r="AO18" s="222"/>
      <c r="AP18" s="222"/>
      <c r="AQ18" s="222"/>
      <c r="AR18" s="222"/>
      <c r="AS18" s="222"/>
      <c r="AT18" s="222"/>
      <c r="AU18" s="222"/>
      <c r="AV18" s="222"/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G18" s="222"/>
      <c r="BH18" s="222"/>
      <c r="BI18" s="222"/>
      <c r="BJ18" s="222"/>
      <c r="BK18" s="222"/>
      <c r="BL18" s="222"/>
      <c r="BM18" s="222"/>
      <c r="BN18" s="222"/>
      <c r="BO18" s="222"/>
      <c r="BP18" s="222"/>
      <c r="BQ18" s="222"/>
      <c r="BR18" s="222"/>
      <c r="BS18" s="222"/>
      <c r="BT18" s="222"/>
      <c r="BU18" s="222"/>
      <c r="BV18" s="222"/>
      <c r="BW18" s="222"/>
      <c r="BX18" s="222"/>
      <c r="BY18" s="222"/>
      <c r="BZ18" s="222"/>
      <c r="CA18" s="222"/>
      <c r="CB18" s="222"/>
      <c r="CC18" s="222"/>
      <c r="CD18" s="222"/>
      <c r="CE18" s="222"/>
      <c r="CF18" s="227"/>
    </row>
    <row r="19" spans="2:84" ht="9" customHeight="1" x14ac:dyDescent="0.3">
      <c r="C19" s="149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1"/>
      <c r="AB19" s="226"/>
      <c r="AC19" s="222"/>
      <c r="AD19" s="222"/>
      <c r="AE19" s="222"/>
      <c r="AF19" s="222"/>
      <c r="AG19" s="222"/>
      <c r="AH19" s="222"/>
      <c r="AI19" s="222"/>
      <c r="AJ19" s="222"/>
      <c r="AK19" s="222"/>
      <c r="AL19" s="222"/>
      <c r="AM19" s="222"/>
      <c r="AN19" s="222"/>
      <c r="AO19" s="222"/>
      <c r="AP19" s="222"/>
      <c r="AQ19" s="222"/>
      <c r="AR19" s="222"/>
      <c r="AS19" s="222"/>
      <c r="AT19" s="222"/>
      <c r="AU19" s="222"/>
      <c r="AV19" s="222"/>
      <c r="AW19" s="222"/>
      <c r="AX19" s="222"/>
      <c r="AY19" s="222"/>
      <c r="AZ19" s="222"/>
      <c r="BA19" s="222"/>
      <c r="BB19" s="222"/>
      <c r="BC19" s="222"/>
      <c r="BD19" s="222"/>
      <c r="BE19" s="222"/>
      <c r="BF19" s="222"/>
      <c r="BG19" s="222"/>
      <c r="BH19" s="222"/>
      <c r="BI19" s="222"/>
      <c r="BJ19" s="222"/>
      <c r="BK19" s="222"/>
      <c r="BL19" s="222"/>
      <c r="BM19" s="222"/>
      <c r="BN19" s="222"/>
      <c r="BO19" s="222"/>
      <c r="BP19" s="222"/>
      <c r="BQ19" s="222"/>
      <c r="BR19" s="222"/>
      <c r="BS19" s="222"/>
      <c r="BT19" s="222"/>
      <c r="BU19" s="222"/>
      <c r="BV19" s="222"/>
      <c r="BW19" s="222"/>
      <c r="BX19" s="222"/>
      <c r="BY19" s="222"/>
      <c r="BZ19" s="222"/>
      <c r="CA19" s="222"/>
      <c r="CB19" s="222"/>
      <c r="CC19" s="222"/>
      <c r="CD19" s="222"/>
      <c r="CE19" s="222"/>
      <c r="CF19" s="227"/>
    </row>
    <row r="20" spans="2:84" ht="9" customHeight="1" x14ac:dyDescent="0.3">
      <c r="C20" s="149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1"/>
      <c r="AB20" s="226"/>
      <c r="AC20" s="222"/>
      <c r="AD20" s="222"/>
      <c r="AE20" s="222"/>
      <c r="AF20" s="222"/>
      <c r="AG20" s="222"/>
      <c r="AH20" s="222"/>
      <c r="AI20" s="222"/>
      <c r="AJ20" s="222"/>
      <c r="AK20" s="222"/>
      <c r="AL20" s="222"/>
      <c r="AM20" s="222"/>
      <c r="AN20" s="222"/>
      <c r="AO20" s="222"/>
      <c r="AP20" s="222"/>
      <c r="AQ20" s="222"/>
      <c r="AR20" s="222"/>
      <c r="AS20" s="222"/>
      <c r="AT20" s="222"/>
      <c r="AU20" s="222"/>
      <c r="AV20" s="222"/>
      <c r="AW20" s="222"/>
      <c r="AX20" s="222"/>
      <c r="AY20" s="222"/>
      <c r="AZ20" s="222"/>
      <c r="BA20" s="222"/>
      <c r="BB20" s="222"/>
      <c r="BC20" s="222"/>
      <c r="BD20" s="222"/>
      <c r="BE20" s="222"/>
      <c r="BF20" s="222"/>
      <c r="BG20" s="222"/>
      <c r="BH20" s="222"/>
      <c r="BI20" s="222"/>
      <c r="BJ20" s="222"/>
      <c r="BK20" s="222"/>
      <c r="BL20" s="222"/>
      <c r="BM20" s="222"/>
      <c r="BN20" s="222"/>
      <c r="BO20" s="222"/>
      <c r="BP20" s="222"/>
      <c r="BQ20" s="222"/>
      <c r="BR20" s="222"/>
      <c r="BS20" s="222"/>
      <c r="BT20" s="222"/>
      <c r="BU20" s="222"/>
      <c r="BV20" s="222"/>
      <c r="BW20" s="222"/>
      <c r="BX20" s="222"/>
      <c r="BY20" s="222"/>
      <c r="BZ20" s="222"/>
      <c r="CA20" s="222"/>
      <c r="CB20" s="222"/>
      <c r="CC20" s="222"/>
      <c r="CD20" s="222"/>
      <c r="CE20" s="222"/>
      <c r="CF20" s="227"/>
    </row>
    <row r="21" spans="2:84" ht="9" customHeight="1" x14ac:dyDescent="0.3">
      <c r="C21" s="149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1"/>
      <c r="Z21" s="15"/>
      <c r="AB21" s="226"/>
      <c r="AC21" s="222"/>
      <c r="AD21" s="222"/>
      <c r="AE21" s="222"/>
      <c r="AF21" s="222"/>
      <c r="AG21" s="222"/>
      <c r="AH21" s="222"/>
      <c r="AI21" s="222"/>
      <c r="AJ21" s="222"/>
      <c r="AK21" s="222"/>
      <c r="AL21" s="222"/>
      <c r="AM21" s="222"/>
      <c r="AN21" s="222"/>
      <c r="AO21" s="222"/>
      <c r="AP21" s="222"/>
      <c r="AQ21" s="222"/>
      <c r="AR21" s="222"/>
      <c r="AS21" s="222"/>
      <c r="AT21" s="222"/>
      <c r="AU21" s="222"/>
      <c r="AV21" s="222"/>
      <c r="AW21" s="222"/>
      <c r="AX21" s="222"/>
      <c r="AY21" s="222"/>
      <c r="AZ21" s="222"/>
      <c r="BA21" s="222"/>
      <c r="BB21" s="222"/>
      <c r="BC21" s="222"/>
      <c r="BD21" s="222"/>
      <c r="BE21" s="222"/>
      <c r="BF21" s="222"/>
      <c r="BG21" s="222"/>
      <c r="BH21" s="222"/>
      <c r="BI21" s="222"/>
      <c r="BJ21" s="222"/>
      <c r="BK21" s="222"/>
      <c r="BL21" s="222"/>
      <c r="BM21" s="222"/>
      <c r="BN21" s="222"/>
      <c r="BO21" s="222"/>
      <c r="BP21" s="222"/>
      <c r="BQ21" s="222"/>
      <c r="BR21" s="222"/>
      <c r="BS21" s="222"/>
      <c r="BT21" s="222"/>
      <c r="BU21" s="222"/>
      <c r="BV21" s="222"/>
      <c r="BW21" s="222"/>
      <c r="BX21" s="222"/>
      <c r="BY21" s="222"/>
      <c r="BZ21" s="222"/>
      <c r="CA21" s="222"/>
      <c r="CB21" s="222"/>
      <c r="CC21" s="222"/>
      <c r="CD21" s="222"/>
      <c r="CE21" s="222"/>
      <c r="CF21" s="227"/>
    </row>
    <row r="22" spans="2:84" ht="9" customHeight="1" x14ac:dyDescent="0.3">
      <c r="C22" s="149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1"/>
      <c r="Z22" s="15"/>
      <c r="AB22" s="226"/>
      <c r="AC22" s="222"/>
      <c r="AD22" s="222"/>
      <c r="AE22" s="222"/>
      <c r="AF22" s="222"/>
      <c r="AG22" s="222"/>
      <c r="AH22" s="222"/>
      <c r="AI22" s="222"/>
      <c r="AJ22" s="222"/>
      <c r="AK22" s="222"/>
      <c r="AL22" s="222"/>
      <c r="AM22" s="222"/>
      <c r="AN22" s="222"/>
      <c r="AO22" s="222"/>
      <c r="AP22" s="222"/>
      <c r="AQ22" s="222"/>
      <c r="AR22" s="222"/>
      <c r="AS22" s="222"/>
      <c r="AT22" s="222"/>
      <c r="AU22" s="222"/>
      <c r="AV22" s="222"/>
      <c r="AW22" s="222"/>
      <c r="AX22" s="222"/>
      <c r="AY22" s="222"/>
      <c r="AZ22" s="222"/>
      <c r="BA22" s="222"/>
      <c r="BB22" s="222"/>
      <c r="BC22" s="222"/>
      <c r="BD22" s="222"/>
      <c r="BE22" s="222"/>
      <c r="BF22" s="222"/>
      <c r="BG22" s="222"/>
      <c r="BH22" s="222"/>
      <c r="BI22" s="222"/>
      <c r="BJ22" s="222"/>
      <c r="BK22" s="222"/>
      <c r="BL22" s="222"/>
      <c r="BM22" s="222"/>
      <c r="BN22" s="222"/>
      <c r="BO22" s="222"/>
      <c r="BP22" s="222"/>
      <c r="BQ22" s="222"/>
      <c r="BR22" s="222"/>
      <c r="BS22" s="222"/>
      <c r="BT22" s="222"/>
      <c r="BU22" s="222"/>
      <c r="BV22" s="222"/>
      <c r="BW22" s="222"/>
      <c r="BX22" s="222"/>
      <c r="BY22" s="222"/>
      <c r="BZ22" s="222"/>
      <c r="CA22" s="222"/>
      <c r="CB22" s="222"/>
      <c r="CC22" s="222"/>
      <c r="CD22" s="222"/>
      <c r="CE22" s="222"/>
      <c r="CF22" s="227"/>
    </row>
    <row r="23" spans="2:84" ht="9" customHeight="1" x14ac:dyDescent="0.3">
      <c r="C23" s="149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1"/>
      <c r="Z23" s="15"/>
      <c r="AB23" s="226"/>
      <c r="AC23" s="222"/>
      <c r="AD23" s="222"/>
      <c r="AE23" s="222"/>
      <c r="AF23" s="222"/>
      <c r="AG23" s="222"/>
      <c r="AH23" s="222"/>
      <c r="AI23" s="222"/>
      <c r="AJ23" s="222"/>
      <c r="AK23" s="222"/>
      <c r="AL23" s="222"/>
      <c r="AM23" s="222"/>
      <c r="AN23" s="222"/>
      <c r="AO23" s="222"/>
      <c r="AP23" s="222"/>
      <c r="AQ23" s="222"/>
      <c r="AR23" s="222"/>
      <c r="AS23" s="222"/>
      <c r="AT23" s="222"/>
      <c r="AU23" s="222"/>
      <c r="AV23" s="222"/>
      <c r="AW23" s="222"/>
      <c r="AX23" s="222"/>
      <c r="AY23" s="222"/>
      <c r="AZ23" s="222"/>
      <c r="BA23" s="222"/>
      <c r="BB23" s="222"/>
      <c r="BC23" s="222"/>
      <c r="BD23" s="222"/>
      <c r="BE23" s="222"/>
      <c r="BF23" s="222"/>
      <c r="BG23" s="222"/>
      <c r="BH23" s="222"/>
      <c r="BI23" s="222"/>
      <c r="BJ23" s="222"/>
      <c r="BK23" s="222"/>
      <c r="BL23" s="222"/>
      <c r="BM23" s="222"/>
      <c r="BN23" s="222"/>
      <c r="BO23" s="222"/>
      <c r="BP23" s="222"/>
      <c r="BQ23" s="222"/>
      <c r="BR23" s="222"/>
      <c r="BS23" s="222"/>
      <c r="BT23" s="222"/>
      <c r="BU23" s="222"/>
      <c r="BV23" s="222"/>
      <c r="BW23" s="222"/>
      <c r="BX23" s="222"/>
      <c r="BY23" s="222"/>
      <c r="BZ23" s="222"/>
      <c r="CA23" s="222"/>
      <c r="CB23" s="222"/>
      <c r="CC23" s="222"/>
      <c r="CD23" s="222"/>
      <c r="CE23" s="222"/>
      <c r="CF23" s="227"/>
    </row>
    <row r="24" spans="2:84" ht="9" customHeight="1" x14ac:dyDescent="0.3">
      <c r="C24" s="149"/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1"/>
      <c r="Z24" s="15"/>
      <c r="AB24" s="226"/>
      <c r="AC24" s="222"/>
      <c r="AD24" s="222"/>
      <c r="AE24" s="222"/>
      <c r="AF24" s="222"/>
      <c r="AG24" s="222"/>
      <c r="AH24" s="222"/>
      <c r="AI24" s="222"/>
      <c r="AJ24" s="222"/>
      <c r="AK24" s="222"/>
      <c r="AL24" s="222"/>
      <c r="AM24" s="222"/>
      <c r="AN24" s="222"/>
      <c r="AO24" s="222"/>
      <c r="AP24" s="222"/>
      <c r="AQ24" s="222"/>
      <c r="AR24" s="222"/>
      <c r="AS24" s="222"/>
      <c r="AT24" s="222"/>
      <c r="AU24" s="222"/>
      <c r="AV24" s="222"/>
      <c r="AW24" s="222"/>
      <c r="AX24" s="222"/>
      <c r="AY24" s="222"/>
      <c r="AZ24" s="222"/>
      <c r="BA24" s="222"/>
      <c r="BB24" s="222"/>
      <c r="BC24" s="222"/>
      <c r="BD24" s="222"/>
      <c r="BE24" s="222"/>
      <c r="BF24" s="222"/>
      <c r="BG24" s="222"/>
      <c r="BH24" s="222"/>
      <c r="BI24" s="222"/>
      <c r="BJ24" s="222"/>
      <c r="BK24" s="222"/>
      <c r="BL24" s="222"/>
      <c r="BM24" s="222"/>
      <c r="BN24" s="222"/>
      <c r="BO24" s="222"/>
      <c r="BP24" s="222"/>
      <c r="BQ24" s="222"/>
      <c r="BR24" s="222"/>
      <c r="BS24" s="222"/>
      <c r="BT24" s="222"/>
      <c r="BU24" s="222"/>
      <c r="BV24" s="222"/>
      <c r="BW24" s="222"/>
      <c r="BX24" s="222"/>
      <c r="BY24" s="222"/>
      <c r="BZ24" s="222"/>
      <c r="CA24" s="222"/>
      <c r="CB24" s="222"/>
      <c r="CC24" s="222"/>
      <c r="CD24" s="222"/>
      <c r="CE24" s="222"/>
      <c r="CF24" s="227"/>
    </row>
    <row r="25" spans="2:84" ht="9" customHeight="1" x14ac:dyDescent="0.3">
      <c r="C25" s="149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1"/>
      <c r="Z25" s="15"/>
      <c r="AA25" s="28"/>
      <c r="AB25" s="226"/>
      <c r="AC25" s="222"/>
      <c r="AD25" s="222"/>
      <c r="AE25" s="222"/>
      <c r="AF25" s="222"/>
      <c r="AG25" s="222"/>
      <c r="AH25" s="222"/>
      <c r="AI25" s="222"/>
      <c r="AJ25" s="222"/>
      <c r="AK25" s="222"/>
      <c r="AL25" s="222"/>
      <c r="AM25" s="222"/>
      <c r="AN25" s="222"/>
      <c r="AO25" s="222"/>
      <c r="AP25" s="222"/>
      <c r="AQ25" s="222"/>
      <c r="AR25" s="222"/>
      <c r="AS25" s="222"/>
      <c r="AT25" s="222"/>
      <c r="AU25" s="222"/>
      <c r="AV25" s="222"/>
      <c r="AW25" s="222"/>
      <c r="AX25" s="222"/>
      <c r="AY25" s="222"/>
      <c r="AZ25" s="222"/>
      <c r="BA25" s="222"/>
      <c r="BB25" s="222"/>
      <c r="BC25" s="222"/>
      <c r="BD25" s="222"/>
      <c r="BE25" s="222"/>
      <c r="BF25" s="222"/>
      <c r="BG25" s="222"/>
      <c r="BH25" s="222"/>
      <c r="BI25" s="222"/>
      <c r="BJ25" s="222"/>
      <c r="BK25" s="222"/>
      <c r="BL25" s="222"/>
      <c r="BM25" s="222"/>
      <c r="BN25" s="222"/>
      <c r="BO25" s="222"/>
      <c r="BP25" s="222"/>
      <c r="BQ25" s="222"/>
      <c r="BR25" s="222"/>
      <c r="BS25" s="222"/>
      <c r="BT25" s="222"/>
      <c r="BU25" s="222"/>
      <c r="BV25" s="222"/>
      <c r="BW25" s="222"/>
      <c r="BX25" s="222"/>
      <c r="BY25" s="222"/>
      <c r="BZ25" s="222"/>
      <c r="CA25" s="222"/>
      <c r="CB25" s="222"/>
      <c r="CC25" s="222"/>
      <c r="CD25" s="222"/>
      <c r="CE25" s="222"/>
      <c r="CF25" s="227"/>
    </row>
    <row r="26" spans="2:84" ht="9" customHeight="1" x14ac:dyDescent="0.3">
      <c r="C26" s="149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1"/>
      <c r="Z26" s="15"/>
      <c r="AB26" s="228"/>
      <c r="AC26" s="229"/>
      <c r="AD26" s="229"/>
      <c r="AE26" s="229"/>
      <c r="AF26" s="229"/>
      <c r="AG26" s="229"/>
      <c r="AH26" s="229"/>
      <c r="AI26" s="229"/>
      <c r="AJ26" s="229"/>
      <c r="AK26" s="229"/>
      <c r="AL26" s="229"/>
      <c r="AM26" s="229"/>
      <c r="AN26" s="229"/>
      <c r="AO26" s="229"/>
      <c r="AP26" s="229"/>
      <c r="AQ26" s="229"/>
      <c r="AR26" s="229"/>
      <c r="AS26" s="229"/>
      <c r="AT26" s="229"/>
      <c r="AU26" s="229"/>
      <c r="AV26" s="229"/>
      <c r="AW26" s="229"/>
      <c r="AX26" s="229"/>
      <c r="AY26" s="229"/>
      <c r="AZ26" s="229"/>
      <c r="BA26" s="229"/>
      <c r="BB26" s="229"/>
      <c r="BC26" s="229"/>
      <c r="BD26" s="229"/>
      <c r="BE26" s="229"/>
      <c r="BF26" s="229"/>
      <c r="BG26" s="229"/>
      <c r="BH26" s="229"/>
      <c r="BI26" s="229"/>
      <c r="BJ26" s="229"/>
      <c r="BK26" s="229"/>
      <c r="BL26" s="229"/>
      <c r="BM26" s="229"/>
      <c r="BN26" s="229"/>
      <c r="BO26" s="229"/>
      <c r="BP26" s="229"/>
      <c r="BQ26" s="229"/>
      <c r="BR26" s="229"/>
      <c r="BS26" s="229"/>
      <c r="BT26" s="229"/>
      <c r="BU26" s="229"/>
      <c r="BV26" s="229"/>
      <c r="BW26" s="229"/>
      <c r="BX26" s="229"/>
      <c r="BY26" s="229"/>
      <c r="BZ26" s="229"/>
      <c r="CA26" s="229"/>
      <c r="CB26" s="229"/>
      <c r="CC26" s="229"/>
      <c r="CD26" s="229"/>
      <c r="CE26" s="229"/>
      <c r="CF26" s="230"/>
    </row>
    <row r="27" spans="2:84" ht="9" customHeight="1" thickBot="1" x14ac:dyDescent="0.35">
      <c r="B27" s="18"/>
      <c r="C27" s="152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4"/>
      <c r="Z27" s="15"/>
      <c r="AB27" s="231"/>
      <c r="AC27" s="232"/>
      <c r="AD27" s="232"/>
      <c r="AE27" s="232"/>
      <c r="AF27" s="232"/>
      <c r="AG27" s="232"/>
      <c r="AH27" s="232"/>
      <c r="AI27" s="232"/>
      <c r="AJ27" s="232"/>
      <c r="AK27" s="232"/>
      <c r="AL27" s="232"/>
      <c r="AM27" s="232"/>
      <c r="AN27" s="232"/>
      <c r="AO27" s="232"/>
      <c r="AP27" s="232"/>
      <c r="AQ27" s="232"/>
      <c r="AR27" s="232"/>
      <c r="AS27" s="232"/>
      <c r="AT27" s="232"/>
      <c r="AU27" s="232"/>
      <c r="AV27" s="232"/>
      <c r="AW27" s="232"/>
      <c r="AX27" s="232"/>
      <c r="AY27" s="232"/>
      <c r="AZ27" s="232"/>
      <c r="BA27" s="232"/>
      <c r="BB27" s="232"/>
      <c r="BC27" s="232"/>
      <c r="BD27" s="232"/>
      <c r="BE27" s="232"/>
      <c r="BF27" s="232"/>
      <c r="BG27" s="232"/>
      <c r="BH27" s="232"/>
      <c r="BI27" s="232"/>
      <c r="BJ27" s="232"/>
      <c r="BK27" s="232"/>
      <c r="BL27" s="232"/>
      <c r="BM27" s="232"/>
      <c r="BN27" s="232"/>
      <c r="BO27" s="232"/>
      <c r="BP27" s="232"/>
      <c r="BQ27" s="232"/>
      <c r="BR27" s="232"/>
      <c r="BS27" s="232"/>
      <c r="BT27" s="232"/>
      <c r="BU27" s="232"/>
      <c r="BV27" s="232"/>
      <c r="BW27" s="232"/>
      <c r="BX27" s="232"/>
      <c r="BY27" s="232"/>
      <c r="BZ27" s="232"/>
      <c r="CA27" s="232"/>
      <c r="CB27" s="232"/>
      <c r="CC27" s="232"/>
      <c r="CD27" s="232"/>
      <c r="CE27" s="232"/>
      <c r="CF27" s="233"/>
    </row>
    <row r="28" spans="2:84" ht="9" customHeight="1" thickBot="1" x14ac:dyDescent="0.35">
      <c r="Z28" s="15"/>
    </row>
    <row r="29" spans="2:84" ht="9" customHeight="1" x14ac:dyDescent="0.3">
      <c r="C29" s="180" t="s">
        <v>99</v>
      </c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2"/>
      <c r="AB29" s="131" t="s">
        <v>97</v>
      </c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3"/>
      <c r="BO29" s="83"/>
      <c r="BP29" s="131" t="s">
        <v>98</v>
      </c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3"/>
    </row>
    <row r="30" spans="2:84" ht="9" customHeight="1" thickBot="1" x14ac:dyDescent="0.35">
      <c r="B30" s="20"/>
      <c r="C30" s="183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84"/>
      <c r="AB30" s="134"/>
      <c r="AC30" s="135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35"/>
      <c r="AP30" s="135"/>
      <c r="AQ30" s="135"/>
      <c r="AR30" s="135"/>
      <c r="AS30" s="135"/>
      <c r="AT30" s="135"/>
      <c r="AU30" s="135"/>
      <c r="AV30" s="135"/>
      <c r="AW30" s="135"/>
      <c r="AX30" s="135"/>
      <c r="AY30" s="135"/>
      <c r="AZ30" s="135"/>
      <c r="BA30" s="135"/>
      <c r="BB30" s="135"/>
      <c r="BC30" s="135"/>
      <c r="BD30" s="135"/>
      <c r="BE30" s="135"/>
      <c r="BF30" s="135"/>
      <c r="BG30" s="135"/>
      <c r="BH30" s="135"/>
      <c r="BI30" s="135"/>
      <c r="BJ30" s="135"/>
      <c r="BK30" s="135"/>
      <c r="BL30" s="135"/>
      <c r="BM30" s="135"/>
      <c r="BN30" s="136"/>
      <c r="BO30" s="83"/>
      <c r="BP30" s="134"/>
      <c r="BQ30" s="135"/>
      <c r="BR30" s="135"/>
      <c r="BS30" s="135"/>
      <c r="BT30" s="135"/>
      <c r="BU30" s="135"/>
      <c r="BV30" s="135"/>
      <c r="BW30" s="135"/>
      <c r="BX30" s="135"/>
      <c r="BY30" s="135"/>
      <c r="BZ30" s="135"/>
      <c r="CA30" s="135"/>
      <c r="CB30" s="135"/>
      <c r="CC30" s="135"/>
      <c r="CD30" s="135"/>
      <c r="CE30" s="135"/>
      <c r="CF30" s="136"/>
    </row>
    <row r="31" spans="2:84" ht="9" customHeight="1" x14ac:dyDescent="0.3">
      <c r="C31" s="185" t="s">
        <v>100</v>
      </c>
      <c r="D31" s="156"/>
      <c r="E31" s="156"/>
      <c r="F31" s="156"/>
      <c r="G31" s="158" t="str">
        <f>'Base de Cálculos'!B12</f>
        <v>Café</v>
      </c>
      <c r="H31" s="159"/>
      <c r="I31" s="159"/>
      <c r="J31" s="159"/>
      <c r="K31" s="159"/>
      <c r="L31" s="159"/>
      <c r="M31" s="159"/>
      <c r="N31" s="159"/>
      <c r="O31" s="159"/>
      <c r="P31" s="160"/>
      <c r="Q31" s="166">
        <f>'Base de Cálculos'!C12</f>
        <v>5670</v>
      </c>
      <c r="R31" s="167"/>
      <c r="S31" s="167"/>
      <c r="T31" s="167"/>
      <c r="U31" s="167"/>
      <c r="V31" s="167"/>
      <c r="W31" s="167"/>
      <c r="X31" s="167"/>
      <c r="Y31" s="186"/>
      <c r="AB31" s="85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155" t="s">
        <v>1</v>
      </c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55"/>
      <c r="AZ31" s="155"/>
      <c r="BA31" s="155"/>
      <c r="BB31" s="155"/>
      <c r="BC31" s="155"/>
      <c r="BD31" s="86"/>
      <c r="BE31" s="86"/>
      <c r="BF31" s="86"/>
      <c r="BG31" s="86"/>
      <c r="BH31" s="86"/>
      <c r="BI31" s="86"/>
      <c r="BJ31" s="86"/>
      <c r="BK31" s="86"/>
      <c r="BL31" s="86"/>
      <c r="BM31" s="86"/>
      <c r="BN31" s="87"/>
      <c r="BP31" s="163"/>
      <c r="BQ31" s="164"/>
      <c r="BR31" s="164"/>
      <c r="BS31" s="164"/>
      <c r="BT31" s="164"/>
      <c r="BU31" s="164"/>
      <c r="BV31" s="164"/>
      <c r="BW31" s="164"/>
      <c r="BX31" s="164"/>
      <c r="BY31" s="164"/>
      <c r="BZ31" s="164"/>
      <c r="CA31" s="164"/>
      <c r="CB31" s="164"/>
      <c r="CC31" s="164"/>
      <c r="CD31" s="164"/>
      <c r="CE31" s="164"/>
      <c r="CF31" s="165"/>
    </row>
    <row r="32" spans="2:84" ht="9" customHeight="1" x14ac:dyDescent="0.3">
      <c r="C32" s="187"/>
      <c r="D32" s="188"/>
      <c r="E32" s="188"/>
      <c r="F32" s="188"/>
      <c r="G32" s="161"/>
      <c r="H32" s="189"/>
      <c r="I32" s="189"/>
      <c r="J32" s="189"/>
      <c r="K32" s="189"/>
      <c r="L32" s="189"/>
      <c r="M32" s="189"/>
      <c r="N32" s="189"/>
      <c r="O32" s="189"/>
      <c r="P32" s="162"/>
      <c r="Q32" s="168"/>
      <c r="R32" s="190"/>
      <c r="S32" s="190"/>
      <c r="T32" s="190"/>
      <c r="U32" s="190"/>
      <c r="V32" s="190"/>
      <c r="W32" s="190"/>
      <c r="X32" s="190"/>
      <c r="Y32" s="191"/>
      <c r="AB32" s="85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221"/>
      <c r="AO32" s="221"/>
      <c r="AP32" s="221"/>
      <c r="AQ32" s="221"/>
      <c r="AR32" s="221"/>
      <c r="AS32" s="221"/>
      <c r="AT32" s="221"/>
      <c r="AU32" s="221"/>
      <c r="AV32" s="221"/>
      <c r="AW32" s="221"/>
      <c r="AX32" s="221"/>
      <c r="AY32" s="221"/>
      <c r="AZ32" s="221"/>
      <c r="BA32" s="221"/>
      <c r="BB32" s="221"/>
      <c r="BC32" s="221"/>
      <c r="BD32" s="86"/>
      <c r="BE32" s="86"/>
      <c r="BF32" s="86"/>
      <c r="BG32" s="86"/>
      <c r="BH32" s="86"/>
      <c r="BI32" s="86"/>
      <c r="BJ32" s="86"/>
      <c r="BK32" s="86"/>
      <c r="BL32" s="86"/>
      <c r="BM32" s="86"/>
      <c r="BN32" s="87"/>
      <c r="BP32" s="149"/>
      <c r="BQ32" s="222"/>
      <c r="BR32" s="222"/>
      <c r="BS32" s="222"/>
      <c r="BT32" s="222"/>
      <c r="BU32" s="222"/>
      <c r="BV32" s="222"/>
      <c r="BW32" s="222"/>
      <c r="BX32" s="222"/>
      <c r="BY32" s="222"/>
      <c r="BZ32" s="222"/>
      <c r="CA32" s="222"/>
      <c r="CB32" s="222"/>
      <c r="CC32" s="222"/>
      <c r="CD32" s="222"/>
      <c r="CE32" s="222"/>
      <c r="CF32" s="151"/>
    </row>
    <row r="33" spans="2:126" ht="9" customHeight="1" thickBot="1" x14ac:dyDescent="0.35">
      <c r="C33" s="192"/>
      <c r="D33" s="157"/>
      <c r="E33" s="157"/>
      <c r="F33" s="157"/>
      <c r="G33" s="161"/>
      <c r="H33" s="189"/>
      <c r="I33" s="189"/>
      <c r="J33" s="189"/>
      <c r="K33" s="189"/>
      <c r="L33" s="189"/>
      <c r="M33" s="189"/>
      <c r="N33" s="189"/>
      <c r="O33" s="189"/>
      <c r="P33" s="162"/>
      <c r="Q33" s="169"/>
      <c r="R33" s="170"/>
      <c r="S33" s="170"/>
      <c r="T33" s="170"/>
      <c r="U33" s="170"/>
      <c r="V33" s="170"/>
      <c r="W33" s="170"/>
      <c r="X33" s="170"/>
      <c r="Y33" s="193"/>
      <c r="AB33" s="149"/>
      <c r="AC33" s="222"/>
      <c r="AD33" s="222"/>
      <c r="AE33" s="222"/>
      <c r="AF33" s="222"/>
      <c r="AG33" s="222"/>
      <c r="AH33" s="222"/>
      <c r="AI33" s="222"/>
      <c r="AJ33" s="222"/>
      <c r="AK33" s="222"/>
      <c r="AL33" s="222"/>
      <c r="AM33" s="222"/>
      <c r="AN33" s="222"/>
      <c r="AO33" s="222"/>
      <c r="AP33" s="222"/>
      <c r="AQ33" s="222"/>
      <c r="AR33" s="222"/>
      <c r="AS33" s="222"/>
      <c r="AT33" s="222"/>
      <c r="AU33" s="222"/>
      <c r="AV33" s="222"/>
      <c r="AW33" s="222"/>
      <c r="AX33" s="222"/>
      <c r="AY33" s="222"/>
      <c r="AZ33" s="222"/>
      <c r="BA33" s="222"/>
      <c r="BB33" s="222"/>
      <c r="BC33" s="222"/>
      <c r="BD33" s="222"/>
      <c r="BE33" s="222"/>
      <c r="BF33" s="222"/>
      <c r="BG33" s="222"/>
      <c r="BH33" s="222"/>
      <c r="BI33" s="222"/>
      <c r="BJ33" s="222"/>
      <c r="BK33" s="222"/>
      <c r="BL33" s="222"/>
      <c r="BM33" s="222"/>
      <c r="BN33" s="151"/>
      <c r="BP33" s="149"/>
      <c r="BQ33" s="222"/>
      <c r="BR33" s="222"/>
      <c r="BS33" s="222"/>
      <c r="BT33" s="222"/>
      <c r="BU33" s="222"/>
      <c r="BV33" s="222"/>
      <c r="BW33" s="222"/>
      <c r="BX33" s="222"/>
      <c r="BY33" s="222"/>
      <c r="BZ33" s="222"/>
      <c r="CA33" s="222"/>
      <c r="CB33" s="222"/>
      <c r="CC33" s="222"/>
      <c r="CD33" s="222"/>
      <c r="CE33" s="222"/>
      <c r="CF33" s="151"/>
    </row>
    <row r="34" spans="2:126" ht="9" customHeight="1" x14ac:dyDescent="0.3">
      <c r="C34" s="194" t="s">
        <v>101</v>
      </c>
      <c r="D34" s="174"/>
      <c r="E34" s="174"/>
      <c r="F34" s="174"/>
      <c r="G34" s="158" t="str">
        <f>'Base de Cálculos'!B13</f>
        <v>Chocolate Quente</v>
      </c>
      <c r="H34" s="159"/>
      <c r="I34" s="159"/>
      <c r="J34" s="159"/>
      <c r="K34" s="159"/>
      <c r="L34" s="159"/>
      <c r="M34" s="159"/>
      <c r="N34" s="159"/>
      <c r="O34" s="159"/>
      <c r="P34" s="160"/>
      <c r="Q34" s="166">
        <f>'Base de Cálculos'!C13</f>
        <v>4250</v>
      </c>
      <c r="R34" s="167"/>
      <c r="S34" s="167"/>
      <c r="T34" s="167"/>
      <c r="U34" s="167"/>
      <c r="V34" s="167"/>
      <c r="W34" s="167"/>
      <c r="X34" s="167"/>
      <c r="Y34" s="186"/>
      <c r="Z34" s="18"/>
      <c r="AB34" s="149"/>
      <c r="AC34" s="222"/>
      <c r="AD34" s="222"/>
      <c r="AE34" s="222"/>
      <c r="AF34" s="222"/>
      <c r="AG34" s="222"/>
      <c r="AH34" s="222"/>
      <c r="AI34" s="222"/>
      <c r="AJ34" s="222"/>
      <c r="AK34" s="222"/>
      <c r="AL34" s="222"/>
      <c r="AM34" s="222"/>
      <c r="AN34" s="222"/>
      <c r="AO34" s="222"/>
      <c r="AP34" s="222"/>
      <c r="AQ34" s="222"/>
      <c r="AR34" s="222"/>
      <c r="AS34" s="222"/>
      <c r="AT34" s="222"/>
      <c r="AU34" s="222"/>
      <c r="AV34" s="222"/>
      <c r="AW34" s="222"/>
      <c r="AX34" s="222"/>
      <c r="AY34" s="222"/>
      <c r="AZ34" s="222"/>
      <c r="BA34" s="222"/>
      <c r="BB34" s="222"/>
      <c r="BC34" s="222"/>
      <c r="BD34" s="222"/>
      <c r="BE34" s="222"/>
      <c r="BF34" s="222"/>
      <c r="BG34" s="222"/>
      <c r="BH34" s="222"/>
      <c r="BI34" s="222"/>
      <c r="BJ34" s="222"/>
      <c r="BK34" s="222"/>
      <c r="BL34" s="222"/>
      <c r="BM34" s="222"/>
      <c r="BN34" s="151"/>
      <c r="BP34" s="149"/>
      <c r="BQ34" s="222"/>
      <c r="BR34" s="222"/>
      <c r="BS34" s="222"/>
      <c r="BT34" s="222"/>
      <c r="BU34" s="222"/>
      <c r="BV34" s="222"/>
      <c r="BW34" s="222"/>
      <c r="BX34" s="222"/>
      <c r="BY34" s="222"/>
      <c r="BZ34" s="222"/>
      <c r="CA34" s="222"/>
      <c r="CB34" s="222"/>
      <c r="CC34" s="222"/>
      <c r="CD34" s="222"/>
      <c r="CE34" s="222"/>
      <c r="CF34" s="151"/>
    </row>
    <row r="35" spans="2:126" ht="9" customHeight="1" x14ac:dyDescent="0.3">
      <c r="B35" s="18"/>
      <c r="C35" s="187"/>
      <c r="D35" s="188"/>
      <c r="E35" s="188"/>
      <c r="F35" s="188"/>
      <c r="G35" s="161"/>
      <c r="H35" s="189"/>
      <c r="I35" s="189"/>
      <c r="J35" s="189"/>
      <c r="K35" s="189"/>
      <c r="L35" s="189"/>
      <c r="M35" s="189"/>
      <c r="N35" s="189"/>
      <c r="O35" s="189"/>
      <c r="P35" s="162"/>
      <c r="Q35" s="168"/>
      <c r="R35" s="190"/>
      <c r="S35" s="190"/>
      <c r="T35" s="190"/>
      <c r="U35" s="190"/>
      <c r="V35" s="190"/>
      <c r="W35" s="190"/>
      <c r="X35" s="190"/>
      <c r="Y35" s="191"/>
      <c r="Z35" s="19"/>
      <c r="AA35" s="19"/>
      <c r="AB35" s="149"/>
      <c r="AC35" s="222"/>
      <c r="AD35" s="222"/>
      <c r="AE35" s="222"/>
      <c r="AF35" s="222"/>
      <c r="AG35" s="222"/>
      <c r="AH35" s="222"/>
      <c r="AI35" s="222"/>
      <c r="AJ35" s="222"/>
      <c r="AK35" s="222"/>
      <c r="AL35" s="222"/>
      <c r="AM35" s="222"/>
      <c r="AN35" s="222"/>
      <c r="AO35" s="222"/>
      <c r="AP35" s="222"/>
      <c r="AQ35" s="222"/>
      <c r="AR35" s="222"/>
      <c r="AS35" s="222"/>
      <c r="AT35" s="222"/>
      <c r="AU35" s="222"/>
      <c r="AV35" s="222"/>
      <c r="AW35" s="222"/>
      <c r="AX35" s="222"/>
      <c r="AY35" s="222"/>
      <c r="AZ35" s="222"/>
      <c r="BA35" s="222"/>
      <c r="BB35" s="222"/>
      <c r="BC35" s="222"/>
      <c r="BD35" s="222"/>
      <c r="BE35" s="222"/>
      <c r="BF35" s="222"/>
      <c r="BG35" s="222"/>
      <c r="BH35" s="222"/>
      <c r="BI35" s="222"/>
      <c r="BJ35" s="222"/>
      <c r="BK35" s="222"/>
      <c r="BL35" s="222"/>
      <c r="BM35" s="222"/>
      <c r="BN35" s="151"/>
      <c r="BP35" s="149"/>
      <c r="BQ35" s="222"/>
      <c r="BR35" s="222"/>
      <c r="BS35" s="222"/>
      <c r="BT35" s="222"/>
      <c r="BU35" s="222"/>
      <c r="BV35" s="222"/>
      <c r="BW35" s="222"/>
      <c r="BX35" s="222"/>
      <c r="BY35" s="222"/>
      <c r="BZ35" s="222"/>
      <c r="CA35" s="222"/>
      <c r="CB35" s="222"/>
      <c r="CC35" s="222"/>
      <c r="CD35" s="222"/>
      <c r="CE35" s="222"/>
      <c r="CF35" s="151"/>
    </row>
    <row r="36" spans="2:126" ht="9" customHeight="1" thickBot="1" x14ac:dyDescent="0.35">
      <c r="C36" s="192"/>
      <c r="D36" s="157"/>
      <c r="E36" s="157"/>
      <c r="F36" s="157"/>
      <c r="G36" s="161"/>
      <c r="H36" s="189"/>
      <c r="I36" s="189"/>
      <c r="J36" s="189"/>
      <c r="K36" s="189"/>
      <c r="L36" s="189"/>
      <c r="M36" s="189"/>
      <c r="N36" s="189"/>
      <c r="O36" s="189"/>
      <c r="P36" s="162"/>
      <c r="Q36" s="169"/>
      <c r="R36" s="170"/>
      <c r="S36" s="170"/>
      <c r="T36" s="170"/>
      <c r="U36" s="170"/>
      <c r="V36" s="170"/>
      <c r="W36" s="170"/>
      <c r="X36" s="170"/>
      <c r="Y36" s="193"/>
      <c r="Z36" s="19"/>
      <c r="AA36" s="19"/>
      <c r="AB36" s="149"/>
      <c r="AC36" s="222"/>
      <c r="AD36" s="222"/>
      <c r="AE36" s="222"/>
      <c r="AF36" s="222"/>
      <c r="AG36" s="222"/>
      <c r="AH36" s="222"/>
      <c r="AI36" s="222"/>
      <c r="AJ36" s="222"/>
      <c r="AK36" s="222"/>
      <c r="AL36" s="222"/>
      <c r="AM36" s="222"/>
      <c r="AN36" s="222"/>
      <c r="AO36" s="222"/>
      <c r="AP36" s="222"/>
      <c r="AQ36" s="222"/>
      <c r="AR36" s="222"/>
      <c r="AS36" s="222"/>
      <c r="AT36" s="222"/>
      <c r="AU36" s="222"/>
      <c r="AV36" s="222"/>
      <c r="AW36" s="222"/>
      <c r="AX36" s="222"/>
      <c r="AY36" s="222"/>
      <c r="AZ36" s="222"/>
      <c r="BA36" s="222"/>
      <c r="BB36" s="222"/>
      <c r="BC36" s="222"/>
      <c r="BD36" s="222"/>
      <c r="BE36" s="222"/>
      <c r="BF36" s="222"/>
      <c r="BG36" s="222"/>
      <c r="BH36" s="222"/>
      <c r="BI36" s="222"/>
      <c r="BJ36" s="222"/>
      <c r="BK36" s="222"/>
      <c r="BL36" s="222"/>
      <c r="BM36" s="222"/>
      <c r="BN36" s="151"/>
      <c r="BP36" s="149"/>
      <c r="BQ36" s="222"/>
      <c r="BR36" s="222"/>
      <c r="BS36" s="222"/>
      <c r="BT36" s="222"/>
      <c r="BU36" s="222"/>
      <c r="BV36" s="222"/>
      <c r="BW36" s="222"/>
      <c r="BX36" s="222"/>
      <c r="BY36" s="222"/>
      <c r="BZ36" s="222"/>
      <c r="CA36" s="222"/>
      <c r="CB36" s="222"/>
      <c r="CC36" s="222"/>
      <c r="CD36" s="222"/>
      <c r="CE36" s="222"/>
      <c r="CF36" s="151"/>
    </row>
    <row r="37" spans="2:126" ht="9" customHeight="1" x14ac:dyDescent="0.3">
      <c r="C37" s="194" t="s">
        <v>102</v>
      </c>
      <c r="D37" s="174"/>
      <c r="E37" s="174"/>
      <c r="F37" s="174"/>
      <c r="G37" s="158" t="str">
        <f>'Base de Cálculos'!B14</f>
        <v>Pão de Queijo</v>
      </c>
      <c r="H37" s="159"/>
      <c r="I37" s="159"/>
      <c r="J37" s="159"/>
      <c r="K37" s="159"/>
      <c r="L37" s="159"/>
      <c r="M37" s="159"/>
      <c r="N37" s="159"/>
      <c r="O37" s="159"/>
      <c r="P37" s="160"/>
      <c r="Q37" s="166">
        <f>'Base de Cálculos'!C14</f>
        <v>3000</v>
      </c>
      <c r="R37" s="167"/>
      <c r="S37" s="167"/>
      <c r="T37" s="167"/>
      <c r="U37" s="167"/>
      <c r="V37" s="167"/>
      <c r="W37" s="167"/>
      <c r="X37" s="167"/>
      <c r="Y37" s="186"/>
      <c r="Z37" s="173"/>
      <c r="AB37" s="149"/>
      <c r="AC37" s="222"/>
      <c r="AD37" s="222"/>
      <c r="AE37" s="222"/>
      <c r="AF37" s="222"/>
      <c r="AG37" s="222"/>
      <c r="AH37" s="222"/>
      <c r="AI37" s="222"/>
      <c r="AJ37" s="222"/>
      <c r="AK37" s="222"/>
      <c r="AL37" s="222"/>
      <c r="AM37" s="222"/>
      <c r="AN37" s="222"/>
      <c r="AO37" s="222"/>
      <c r="AP37" s="222"/>
      <c r="AQ37" s="222"/>
      <c r="AR37" s="222"/>
      <c r="AS37" s="222"/>
      <c r="AT37" s="222"/>
      <c r="AU37" s="222"/>
      <c r="AV37" s="222"/>
      <c r="AW37" s="222"/>
      <c r="AX37" s="222"/>
      <c r="AY37" s="222"/>
      <c r="AZ37" s="222"/>
      <c r="BA37" s="222"/>
      <c r="BB37" s="222"/>
      <c r="BC37" s="222"/>
      <c r="BD37" s="222"/>
      <c r="BE37" s="222"/>
      <c r="BF37" s="222"/>
      <c r="BG37" s="222"/>
      <c r="BH37" s="222"/>
      <c r="BI37" s="222"/>
      <c r="BJ37" s="222"/>
      <c r="BK37" s="222"/>
      <c r="BL37" s="222"/>
      <c r="BM37" s="222"/>
      <c r="BN37" s="151"/>
      <c r="BP37" s="149"/>
      <c r="BQ37" s="222"/>
      <c r="BR37" s="222"/>
      <c r="BS37" s="222"/>
      <c r="BT37" s="222"/>
      <c r="BU37" s="222"/>
      <c r="BV37" s="222"/>
      <c r="BW37" s="222"/>
      <c r="BX37" s="222"/>
      <c r="BY37" s="222"/>
      <c r="BZ37" s="222"/>
      <c r="CA37" s="222"/>
      <c r="CB37" s="222"/>
      <c r="CC37" s="222"/>
      <c r="CD37" s="222"/>
      <c r="CE37" s="222"/>
      <c r="CF37" s="151"/>
    </row>
    <row r="38" spans="2:126" ht="9" customHeight="1" x14ac:dyDescent="0.3">
      <c r="C38" s="187"/>
      <c r="D38" s="188"/>
      <c r="E38" s="188"/>
      <c r="F38" s="188"/>
      <c r="G38" s="161"/>
      <c r="H38" s="189"/>
      <c r="I38" s="189"/>
      <c r="J38" s="189"/>
      <c r="K38" s="189"/>
      <c r="L38" s="189"/>
      <c r="M38" s="189"/>
      <c r="N38" s="189"/>
      <c r="O38" s="189"/>
      <c r="P38" s="162"/>
      <c r="Q38" s="168"/>
      <c r="R38" s="190"/>
      <c r="S38" s="190"/>
      <c r="T38" s="190"/>
      <c r="U38" s="190"/>
      <c r="V38" s="190"/>
      <c r="W38" s="190"/>
      <c r="X38" s="190"/>
      <c r="Y38" s="191"/>
      <c r="Z38" s="173"/>
      <c r="AB38" s="149"/>
      <c r="AC38" s="222"/>
      <c r="AD38" s="222"/>
      <c r="AE38" s="222"/>
      <c r="AF38" s="222"/>
      <c r="AG38" s="222"/>
      <c r="AH38" s="222"/>
      <c r="AI38" s="222"/>
      <c r="AJ38" s="222"/>
      <c r="AK38" s="222"/>
      <c r="AL38" s="222"/>
      <c r="AM38" s="222"/>
      <c r="AN38" s="222"/>
      <c r="AO38" s="222"/>
      <c r="AP38" s="222"/>
      <c r="AQ38" s="222"/>
      <c r="AR38" s="222"/>
      <c r="AS38" s="222"/>
      <c r="AT38" s="222"/>
      <c r="AU38" s="222"/>
      <c r="AV38" s="222"/>
      <c r="AW38" s="222"/>
      <c r="AX38" s="222"/>
      <c r="AY38" s="222"/>
      <c r="AZ38" s="222"/>
      <c r="BA38" s="222"/>
      <c r="BB38" s="222"/>
      <c r="BC38" s="222"/>
      <c r="BD38" s="222"/>
      <c r="BE38" s="222"/>
      <c r="BF38" s="222"/>
      <c r="BG38" s="222"/>
      <c r="BH38" s="222"/>
      <c r="BI38" s="222"/>
      <c r="BJ38" s="222"/>
      <c r="BK38" s="222"/>
      <c r="BL38" s="222"/>
      <c r="BM38" s="222"/>
      <c r="BN38" s="151"/>
      <c r="BP38" s="149"/>
      <c r="BQ38" s="222"/>
      <c r="BR38" s="222"/>
      <c r="BS38" s="222"/>
      <c r="BT38" s="222"/>
      <c r="BU38" s="222"/>
      <c r="BV38" s="222"/>
      <c r="BW38" s="222"/>
      <c r="BX38" s="222"/>
      <c r="BY38" s="222"/>
      <c r="BZ38" s="222"/>
      <c r="CA38" s="222"/>
      <c r="CB38" s="222"/>
      <c r="CC38" s="222"/>
      <c r="CD38" s="222"/>
      <c r="CE38" s="222"/>
      <c r="CF38" s="151"/>
    </row>
    <row r="39" spans="2:126" ht="9" customHeight="1" thickBot="1" x14ac:dyDescent="0.35">
      <c r="C39" s="192"/>
      <c r="D39" s="157"/>
      <c r="E39" s="157"/>
      <c r="F39" s="157"/>
      <c r="G39" s="161"/>
      <c r="H39" s="189"/>
      <c r="I39" s="189"/>
      <c r="J39" s="189"/>
      <c r="K39" s="189"/>
      <c r="L39" s="189"/>
      <c r="M39" s="189"/>
      <c r="N39" s="189"/>
      <c r="O39" s="189"/>
      <c r="P39" s="162"/>
      <c r="Q39" s="169"/>
      <c r="R39" s="170"/>
      <c r="S39" s="170"/>
      <c r="T39" s="170"/>
      <c r="U39" s="170"/>
      <c r="V39" s="170"/>
      <c r="W39" s="170"/>
      <c r="X39" s="170"/>
      <c r="Y39" s="193"/>
      <c r="Z39" s="173"/>
      <c r="AB39" s="149"/>
      <c r="AC39" s="222"/>
      <c r="AD39" s="222"/>
      <c r="AE39" s="222"/>
      <c r="AF39" s="222"/>
      <c r="AG39" s="222"/>
      <c r="AH39" s="222"/>
      <c r="AI39" s="222"/>
      <c r="AJ39" s="222"/>
      <c r="AK39" s="222"/>
      <c r="AL39" s="222"/>
      <c r="AM39" s="222"/>
      <c r="AN39" s="222"/>
      <c r="AO39" s="222"/>
      <c r="AP39" s="222"/>
      <c r="AQ39" s="222"/>
      <c r="AR39" s="222"/>
      <c r="AS39" s="222"/>
      <c r="AT39" s="222"/>
      <c r="AU39" s="222"/>
      <c r="AV39" s="222"/>
      <c r="AW39" s="222"/>
      <c r="AX39" s="222"/>
      <c r="AY39" s="222"/>
      <c r="AZ39" s="222"/>
      <c r="BA39" s="222"/>
      <c r="BB39" s="222"/>
      <c r="BC39" s="222"/>
      <c r="BD39" s="222"/>
      <c r="BE39" s="222"/>
      <c r="BF39" s="222"/>
      <c r="BG39" s="222"/>
      <c r="BH39" s="222"/>
      <c r="BI39" s="222"/>
      <c r="BJ39" s="222"/>
      <c r="BK39" s="222"/>
      <c r="BL39" s="222"/>
      <c r="BM39" s="222"/>
      <c r="BN39" s="151"/>
      <c r="BP39" s="149"/>
      <c r="BQ39" s="222"/>
      <c r="BR39" s="222"/>
      <c r="BS39" s="222"/>
      <c r="BT39" s="222"/>
      <c r="BU39" s="222"/>
      <c r="BV39" s="222"/>
      <c r="BW39" s="222"/>
      <c r="BX39" s="222"/>
      <c r="BY39" s="222"/>
      <c r="BZ39" s="222"/>
      <c r="CA39" s="222"/>
      <c r="CB39" s="222"/>
      <c r="CC39" s="222"/>
      <c r="CD39" s="222"/>
      <c r="CE39" s="222"/>
      <c r="CF39" s="151"/>
    </row>
    <row r="40" spans="2:126" ht="9" customHeight="1" x14ac:dyDescent="0.3">
      <c r="C40" s="194" t="s">
        <v>103</v>
      </c>
      <c r="D40" s="174"/>
      <c r="E40" s="174"/>
      <c r="F40" s="174"/>
      <c r="G40" s="158" t="str">
        <f>'Base de Cálculos'!B15</f>
        <v>Refrigerante</v>
      </c>
      <c r="H40" s="159"/>
      <c r="I40" s="159"/>
      <c r="J40" s="159"/>
      <c r="K40" s="159"/>
      <c r="L40" s="159"/>
      <c r="M40" s="159"/>
      <c r="N40" s="159"/>
      <c r="O40" s="159"/>
      <c r="P40" s="160"/>
      <c r="Q40" s="166">
        <f>'Base de Cálculos'!C15</f>
        <v>1680</v>
      </c>
      <c r="R40" s="167"/>
      <c r="S40" s="167"/>
      <c r="T40" s="167"/>
      <c r="U40" s="167"/>
      <c r="V40" s="167"/>
      <c r="W40" s="167"/>
      <c r="X40" s="167"/>
      <c r="Y40" s="186"/>
      <c r="Z40" s="173"/>
      <c r="AB40" s="149"/>
      <c r="AC40" s="222"/>
      <c r="AD40" s="222"/>
      <c r="AE40" s="222"/>
      <c r="AF40" s="222"/>
      <c r="AG40" s="222"/>
      <c r="AH40" s="222"/>
      <c r="AI40" s="222"/>
      <c r="AJ40" s="222"/>
      <c r="AK40" s="222"/>
      <c r="AL40" s="222"/>
      <c r="AM40" s="222"/>
      <c r="AN40" s="222"/>
      <c r="AO40" s="222"/>
      <c r="AP40" s="222"/>
      <c r="AQ40" s="222"/>
      <c r="AR40" s="222"/>
      <c r="AS40" s="222"/>
      <c r="AT40" s="222"/>
      <c r="AU40" s="222"/>
      <c r="AV40" s="222"/>
      <c r="AW40" s="222"/>
      <c r="AX40" s="222"/>
      <c r="AY40" s="222"/>
      <c r="AZ40" s="222"/>
      <c r="BA40" s="222"/>
      <c r="BB40" s="222"/>
      <c r="BC40" s="222"/>
      <c r="BD40" s="222"/>
      <c r="BE40" s="222"/>
      <c r="BF40" s="222"/>
      <c r="BG40" s="222"/>
      <c r="BH40" s="222"/>
      <c r="BI40" s="222"/>
      <c r="BJ40" s="222"/>
      <c r="BK40" s="222"/>
      <c r="BL40" s="222"/>
      <c r="BM40" s="222"/>
      <c r="BN40" s="151"/>
      <c r="BP40" s="149"/>
      <c r="BQ40" s="222"/>
      <c r="BR40" s="222"/>
      <c r="BS40" s="222"/>
      <c r="BT40" s="222"/>
      <c r="BU40" s="222"/>
      <c r="BV40" s="222"/>
      <c r="BW40" s="222"/>
      <c r="BX40" s="222"/>
      <c r="BY40" s="222"/>
      <c r="BZ40" s="222"/>
      <c r="CA40" s="222"/>
      <c r="CB40" s="222"/>
      <c r="CC40" s="222"/>
      <c r="CD40" s="222"/>
      <c r="CE40" s="222"/>
      <c r="CF40" s="151"/>
    </row>
    <row r="41" spans="2:126" ht="9" customHeight="1" x14ac:dyDescent="0.3">
      <c r="C41" s="187"/>
      <c r="D41" s="188"/>
      <c r="E41" s="188"/>
      <c r="F41" s="188"/>
      <c r="G41" s="161"/>
      <c r="H41" s="189"/>
      <c r="I41" s="189"/>
      <c r="J41" s="189"/>
      <c r="K41" s="189"/>
      <c r="L41" s="189"/>
      <c r="M41" s="189"/>
      <c r="N41" s="189"/>
      <c r="O41" s="189"/>
      <c r="P41" s="162"/>
      <c r="Q41" s="168"/>
      <c r="R41" s="190"/>
      <c r="S41" s="190"/>
      <c r="T41" s="190"/>
      <c r="U41" s="190"/>
      <c r="V41" s="190"/>
      <c r="W41" s="190"/>
      <c r="X41" s="190"/>
      <c r="Y41" s="191"/>
      <c r="Z41" s="173"/>
      <c r="AB41" s="149"/>
      <c r="AC41" s="222"/>
      <c r="AD41" s="222"/>
      <c r="AE41" s="222"/>
      <c r="AF41" s="222"/>
      <c r="AG41" s="222"/>
      <c r="AH41" s="222"/>
      <c r="AI41" s="222"/>
      <c r="AJ41" s="222"/>
      <c r="AK41" s="222"/>
      <c r="AL41" s="222"/>
      <c r="AM41" s="222"/>
      <c r="AN41" s="222"/>
      <c r="AO41" s="222"/>
      <c r="AP41" s="222"/>
      <c r="AQ41" s="222"/>
      <c r="AR41" s="222"/>
      <c r="AS41" s="222"/>
      <c r="AT41" s="222"/>
      <c r="AU41" s="222"/>
      <c r="AV41" s="222"/>
      <c r="AW41" s="222"/>
      <c r="AX41" s="222"/>
      <c r="AY41" s="222"/>
      <c r="AZ41" s="222"/>
      <c r="BA41" s="222"/>
      <c r="BB41" s="222"/>
      <c r="BC41" s="222"/>
      <c r="BD41" s="222"/>
      <c r="BE41" s="222"/>
      <c r="BF41" s="222"/>
      <c r="BG41" s="222"/>
      <c r="BH41" s="222"/>
      <c r="BI41" s="222"/>
      <c r="BJ41" s="222"/>
      <c r="BK41" s="222"/>
      <c r="BL41" s="222"/>
      <c r="BM41" s="222"/>
      <c r="BN41" s="151"/>
      <c r="BP41" s="149"/>
      <c r="BQ41" s="222"/>
      <c r="BR41" s="222"/>
      <c r="BS41" s="222"/>
      <c r="BT41" s="222"/>
      <c r="BU41" s="222"/>
      <c r="BV41" s="222"/>
      <c r="BW41" s="222"/>
      <c r="BX41" s="222"/>
      <c r="BY41" s="222"/>
      <c r="BZ41" s="222"/>
      <c r="CA41" s="222"/>
      <c r="CB41" s="222"/>
      <c r="CC41" s="222"/>
      <c r="CD41" s="222"/>
      <c r="CE41" s="222"/>
      <c r="CF41" s="151"/>
    </row>
    <row r="42" spans="2:126" ht="9" customHeight="1" thickBot="1" x14ac:dyDescent="0.35">
      <c r="C42" s="192"/>
      <c r="D42" s="157"/>
      <c r="E42" s="157"/>
      <c r="F42" s="157"/>
      <c r="G42" s="161"/>
      <c r="H42" s="189"/>
      <c r="I42" s="189"/>
      <c r="J42" s="189"/>
      <c r="K42" s="189"/>
      <c r="L42" s="189"/>
      <c r="M42" s="189"/>
      <c r="N42" s="189"/>
      <c r="O42" s="189"/>
      <c r="P42" s="162"/>
      <c r="Q42" s="169"/>
      <c r="R42" s="170"/>
      <c r="S42" s="170"/>
      <c r="T42" s="170"/>
      <c r="U42" s="170"/>
      <c r="V42" s="170"/>
      <c r="W42" s="170"/>
      <c r="X42" s="170"/>
      <c r="Y42" s="193"/>
      <c r="Z42" s="173"/>
      <c r="AB42" s="149"/>
      <c r="AC42" s="222"/>
      <c r="AD42" s="222"/>
      <c r="AE42" s="222"/>
      <c r="AF42" s="222"/>
      <c r="AG42" s="222"/>
      <c r="AH42" s="222"/>
      <c r="AI42" s="222"/>
      <c r="AJ42" s="222"/>
      <c r="AK42" s="222"/>
      <c r="AL42" s="222"/>
      <c r="AM42" s="222"/>
      <c r="AN42" s="222"/>
      <c r="AO42" s="222"/>
      <c r="AP42" s="222"/>
      <c r="AQ42" s="222"/>
      <c r="AR42" s="222"/>
      <c r="AS42" s="222"/>
      <c r="AT42" s="222"/>
      <c r="AU42" s="222"/>
      <c r="AV42" s="222"/>
      <c r="AW42" s="222"/>
      <c r="AX42" s="222"/>
      <c r="AY42" s="222"/>
      <c r="AZ42" s="222"/>
      <c r="BA42" s="222"/>
      <c r="BB42" s="222"/>
      <c r="BC42" s="222"/>
      <c r="BD42" s="222"/>
      <c r="BE42" s="222"/>
      <c r="BF42" s="222"/>
      <c r="BG42" s="222"/>
      <c r="BH42" s="222"/>
      <c r="BI42" s="222"/>
      <c r="BJ42" s="222"/>
      <c r="BK42" s="222"/>
      <c r="BL42" s="222"/>
      <c r="BM42" s="222"/>
      <c r="BN42" s="151"/>
      <c r="BP42" s="149"/>
      <c r="BQ42" s="222"/>
      <c r="BR42" s="222"/>
      <c r="BS42" s="222"/>
      <c r="BT42" s="222"/>
      <c r="BU42" s="222"/>
      <c r="BV42" s="222"/>
      <c r="BW42" s="222"/>
      <c r="BX42" s="222"/>
      <c r="BY42" s="222"/>
      <c r="BZ42" s="222"/>
      <c r="CA42" s="222"/>
      <c r="CB42" s="222"/>
      <c r="CC42" s="222"/>
      <c r="CD42" s="222"/>
      <c r="CE42" s="222"/>
      <c r="CF42" s="151"/>
    </row>
    <row r="43" spans="2:126" ht="9" customHeight="1" x14ac:dyDescent="0.3">
      <c r="C43" s="194" t="s">
        <v>104</v>
      </c>
      <c r="D43" s="174"/>
      <c r="E43" s="174"/>
      <c r="F43" s="174"/>
      <c r="G43" s="158" t="str">
        <f>'Base de Cálculos'!B16</f>
        <v>Coxinha</v>
      </c>
      <c r="H43" s="159"/>
      <c r="I43" s="159"/>
      <c r="J43" s="159"/>
      <c r="K43" s="159"/>
      <c r="L43" s="159"/>
      <c r="M43" s="159"/>
      <c r="N43" s="159"/>
      <c r="O43" s="159"/>
      <c r="P43" s="160"/>
      <c r="Q43" s="166">
        <f>'Base de Cálculos'!C16</f>
        <v>1592.5</v>
      </c>
      <c r="R43" s="167"/>
      <c r="S43" s="167"/>
      <c r="T43" s="167"/>
      <c r="U43" s="167"/>
      <c r="V43" s="167"/>
      <c r="W43" s="167"/>
      <c r="X43" s="167"/>
      <c r="Y43" s="186"/>
      <c r="Z43" s="173"/>
      <c r="AB43" s="149"/>
      <c r="AC43" s="222"/>
      <c r="AD43" s="222"/>
      <c r="AE43" s="222"/>
      <c r="AF43" s="222"/>
      <c r="AG43" s="222"/>
      <c r="AH43" s="222"/>
      <c r="AI43" s="222"/>
      <c r="AJ43" s="222"/>
      <c r="AK43" s="222"/>
      <c r="AL43" s="222"/>
      <c r="AM43" s="222"/>
      <c r="AN43" s="222"/>
      <c r="AO43" s="222"/>
      <c r="AP43" s="222"/>
      <c r="AQ43" s="222"/>
      <c r="AR43" s="222"/>
      <c r="AS43" s="222"/>
      <c r="AT43" s="222"/>
      <c r="AU43" s="222"/>
      <c r="AV43" s="222"/>
      <c r="AW43" s="222"/>
      <c r="AX43" s="222"/>
      <c r="AY43" s="222"/>
      <c r="AZ43" s="222"/>
      <c r="BA43" s="222"/>
      <c r="BB43" s="222"/>
      <c r="BC43" s="222"/>
      <c r="BD43" s="222"/>
      <c r="BE43" s="222"/>
      <c r="BF43" s="222"/>
      <c r="BG43" s="222"/>
      <c r="BH43" s="222"/>
      <c r="BI43" s="222"/>
      <c r="BJ43" s="222"/>
      <c r="BK43" s="222"/>
      <c r="BL43" s="222"/>
      <c r="BM43" s="222"/>
      <c r="BN43" s="151"/>
      <c r="BP43" s="149"/>
      <c r="BQ43" s="222"/>
      <c r="BR43" s="222"/>
      <c r="BS43" s="222"/>
      <c r="BT43" s="222"/>
      <c r="BU43" s="222"/>
      <c r="BV43" s="222"/>
      <c r="BW43" s="222"/>
      <c r="BX43" s="222"/>
      <c r="BY43" s="222"/>
      <c r="BZ43" s="222"/>
      <c r="CA43" s="222"/>
      <c r="CB43" s="222"/>
      <c r="CC43" s="222"/>
      <c r="CD43" s="222"/>
      <c r="CE43" s="222"/>
      <c r="CF43" s="151"/>
    </row>
    <row r="44" spans="2:126" ht="9" customHeight="1" x14ac:dyDescent="0.3">
      <c r="C44" s="187"/>
      <c r="D44" s="188"/>
      <c r="E44" s="188"/>
      <c r="F44" s="188"/>
      <c r="G44" s="161"/>
      <c r="H44" s="189"/>
      <c r="I44" s="189"/>
      <c r="J44" s="189"/>
      <c r="K44" s="189"/>
      <c r="L44" s="189"/>
      <c r="M44" s="189"/>
      <c r="N44" s="189"/>
      <c r="O44" s="189"/>
      <c r="P44" s="162"/>
      <c r="Q44" s="168"/>
      <c r="R44" s="190"/>
      <c r="S44" s="190"/>
      <c r="T44" s="190"/>
      <c r="U44" s="190"/>
      <c r="V44" s="190"/>
      <c r="W44" s="190"/>
      <c r="X44" s="190"/>
      <c r="Y44" s="191"/>
      <c r="Z44" s="173"/>
      <c r="AB44" s="149"/>
      <c r="AC44" s="222"/>
      <c r="AD44" s="222"/>
      <c r="AE44" s="222"/>
      <c r="AF44" s="222"/>
      <c r="AG44" s="222"/>
      <c r="AH44" s="222"/>
      <c r="AI44" s="222"/>
      <c r="AJ44" s="222"/>
      <c r="AK44" s="222"/>
      <c r="AL44" s="222"/>
      <c r="AM44" s="222"/>
      <c r="AN44" s="222"/>
      <c r="AO44" s="222"/>
      <c r="AP44" s="222"/>
      <c r="AQ44" s="222"/>
      <c r="AR44" s="222"/>
      <c r="AS44" s="222"/>
      <c r="AT44" s="222"/>
      <c r="AU44" s="222"/>
      <c r="AV44" s="222"/>
      <c r="AW44" s="222"/>
      <c r="AX44" s="222"/>
      <c r="AY44" s="222"/>
      <c r="AZ44" s="222"/>
      <c r="BA44" s="222"/>
      <c r="BB44" s="222"/>
      <c r="BC44" s="222"/>
      <c r="BD44" s="222"/>
      <c r="BE44" s="222"/>
      <c r="BF44" s="222"/>
      <c r="BG44" s="222"/>
      <c r="BH44" s="222"/>
      <c r="BI44" s="222"/>
      <c r="BJ44" s="222"/>
      <c r="BK44" s="222"/>
      <c r="BL44" s="222"/>
      <c r="BM44" s="222"/>
      <c r="BN44" s="151"/>
      <c r="BP44" s="149"/>
      <c r="BQ44" s="222"/>
      <c r="BR44" s="222"/>
      <c r="BS44" s="222"/>
      <c r="BT44" s="222"/>
      <c r="BU44" s="222"/>
      <c r="BV44" s="222"/>
      <c r="BW44" s="222"/>
      <c r="BX44" s="222"/>
      <c r="BY44" s="222"/>
      <c r="BZ44" s="222"/>
      <c r="CA44" s="222"/>
      <c r="CB44" s="222"/>
      <c r="CC44" s="222"/>
      <c r="CD44" s="222"/>
      <c r="CE44" s="222"/>
      <c r="CF44" s="151"/>
    </row>
    <row r="45" spans="2:126" ht="9" customHeight="1" x14ac:dyDescent="0.3">
      <c r="C45" s="195"/>
      <c r="D45" s="196"/>
      <c r="E45" s="196"/>
      <c r="F45" s="196"/>
      <c r="G45" s="197"/>
      <c r="H45" s="198"/>
      <c r="I45" s="198"/>
      <c r="J45" s="198"/>
      <c r="K45" s="198"/>
      <c r="L45" s="198"/>
      <c r="M45" s="198"/>
      <c r="N45" s="198"/>
      <c r="O45" s="198"/>
      <c r="P45" s="199"/>
      <c r="Q45" s="200"/>
      <c r="R45" s="201"/>
      <c r="S45" s="201"/>
      <c r="T45" s="201"/>
      <c r="U45" s="201"/>
      <c r="V45" s="201"/>
      <c r="W45" s="201"/>
      <c r="X45" s="201"/>
      <c r="Y45" s="202"/>
      <c r="AB45" s="149"/>
      <c r="AC45" s="222"/>
      <c r="AD45" s="222"/>
      <c r="AE45" s="222"/>
      <c r="AF45" s="222"/>
      <c r="AG45" s="222"/>
      <c r="AH45" s="222"/>
      <c r="AI45" s="222"/>
      <c r="AJ45" s="222"/>
      <c r="AK45" s="222"/>
      <c r="AL45" s="222"/>
      <c r="AM45" s="222"/>
      <c r="AN45" s="222"/>
      <c r="AO45" s="222"/>
      <c r="AP45" s="222"/>
      <c r="AQ45" s="222"/>
      <c r="AR45" s="222"/>
      <c r="AS45" s="222"/>
      <c r="AT45" s="222"/>
      <c r="AU45" s="222"/>
      <c r="AV45" s="222"/>
      <c r="AW45" s="222"/>
      <c r="AX45" s="222"/>
      <c r="AY45" s="222"/>
      <c r="AZ45" s="222"/>
      <c r="BA45" s="222"/>
      <c r="BB45" s="222"/>
      <c r="BC45" s="222"/>
      <c r="BD45" s="222"/>
      <c r="BE45" s="222"/>
      <c r="BF45" s="222"/>
      <c r="BG45" s="222"/>
      <c r="BH45" s="222"/>
      <c r="BI45" s="222"/>
      <c r="BJ45" s="222"/>
      <c r="BK45" s="222"/>
      <c r="BL45" s="222"/>
      <c r="BM45" s="222"/>
      <c r="BN45" s="151"/>
      <c r="BP45" s="149"/>
      <c r="BQ45" s="222"/>
      <c r="BR45" s="222"/>
      <c r="BS45" s="222"/>
      <c r="BT45" s="222"/>
      <c r="BU45" s="222"/>
      <c r="BV45" s="222"/>
      <c r="BW45" s="222"/>
      <c r="BX45" s="222"/>
      <c r="BY45" s="222"/>
      <c r="BZ45" s="222"/>
      <c r="CA45" s="222"/>
      <c r="CB45" s="222"/>
      <c r="CC45" s="222"/>
      <c r="CD45" s="222"/>
      <c r="CE45" s="222"/>
      <c r="CF45" s="151"/>
    </row>
    <row r="46" spans="2:126" ht="9" customHeight="1" thickBot="1" x14ac:dyDescent="0.35">
      <c r="AB46" s="152"/>
      <c r="AC46" s="153"/>
      <c r="AD46" s="153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153"/>
      <c r="BE46" s="153"/>
      <c r="BF46" s="153"/>
      <c r="BG46" s="153"/>
      <c r="BH46" s="153"/>
      <c r="BI46" s="153"/>
      <c r="BJ46" s="153"/>
      <c r="BK46" s="153"/>
      <c r="BL46" s="153"/>
      <c r="BM46" s="153"/>
      <c r="BN46" s="154"/>
      <c r="BP46" s="152"/>
      <c r="BQ46" s="153"/>
      <c r="BR46" s="153"/>
      <c r="BS46" s="153"/>
      <c r="BT46" s="153"/>
      <c r="BU46" s="153"/>
      <c r="BV46" s="153"/>
      <c r="BW46" s="153"/>
      <c r="BX46" s="153"/>
      <c r="BY46" s="153"/>
      <c r="BZ46" s="153"/>
      <c r="CA46" s="153"/>
      <c r="CB46" s="153"/>
      <c r="CC46" s="153"/>
      <c r="CD46" s="153"/>
      <c r="CE46" s="153"/>
      <c r="CF46" s="154"/>
      <c r="DJ46" s="171"/>
      <c r="DK46" s="171"/>
      <c r="DL46" s="171"/>
      <c r="DM46" s="171"/>
      <c r="DN46" s="171"/>
      <c r="DO46" s="171"/>
      <c r="DP46" s="171"/>
      <c r="DQ46" s="171"/>
      <c r="DR46" s="171"/>
      <c r="DS46" s="171"/>
      <c r="DT46" s="171"/>
      <c r="DU46" s="171"/>
      <c r="DV46" s="171"/>
    </row>
    <row r="47" spans="2:126" ht="9" customHeight="1" x14ac:dyDescent="0.3">
      <c r="DJ47" s="171"/>
      <c r="DK47" s="171"/>
      <c r="DL47" s="171"/>
      <c r="DM47" s="171"/>
      <c r="DN47" s="171"/>
      <c r="DO47" s="171"/>
      <c r="DP47" s="171"/>
      <c r="DQ47" s="171"/>
      <c r="DR47" s="171"/>
      <c r="DS47" s="171"/>
      <c r="DT47" s="171"/>
      <c r="DU47" s="171"/>
      <c r="DV47" s="171"/>
    </row>
    <row r="48" spans="2:126" ht="9" customHeight="1" x14ac:dyDescent="0.3">
      <c r="DJ48" s="172"/>
      <c r="DK48" s="172"/>
      <c r="DL48" s="172"/>
      <c r="DM48" s="172"/>
      <c r="DN48" s="172"/>
      <c r="DO48" s="172"/>
      <c r="DP48" s="172"/>
      <c r="DQ48" s="172"/>
      <c r="DR48" s="172"/>
      <c r="DS48" s="172"/>
      <c r="DT48" s="172"/>
      <c r="DU48" s="172"/>
      <c r="DV48" s="172"/>
    </row>
  </sheetData>
  <mergeCells count="38">
    <mergeCell ref="C34:F36"/>
    <mergeCell ref="G34:P36"/>
    <mergeCell ref="Q34:Y36"/>
    <mergeCell ref="C37:F39"/>
    <mergeCell ref="G37:P39"/>
    <mergeCell ref="Q37:Y39"/>
    <mergeCell ref="C43:F45"/>
    <mergeCell ref="G43:P45"/>
    <mergeCell ref="Q43:Y45"/>
    <mergeCell ref="Z43:Z44"/>
    <mergeCell ref="C40:F42"/>
    <mergeCell ref="G40:P42"/>
    <mergeCell ref="Q40:Y42"/>
    <mergeCell ref="DJ46:DV47"/>
    <mergeCell ref="DJ48:DV48"/>
    <mergeCell ref="BP31:CF46"/>
    <mergeCell ref="AB33:BN46"/>
    <mergeCell ref="Z37:Z38"/>
    <mergeCell ref="Z39:Z40"/>
    <mergeCell ref="Z41:Z42"/>
    <mergeCell ref="C8:Y9"/>
    <mergeCell ref="AB9:CF10"/>
    <mergeCell ref="C10:Y27"/>
    <mergeCell ref="AB29:BN30"/>
    <mergeCell ref="BP29:CF30"/>
    <mergeCell ref="C29:Y30"/>
    <mergeCell ref="AN31:BC32"/>
    <mergeCell ref="C31:F33"/>
    <mergeCell ref="G31:P33"/>
    <mergeCell ref="AB11:CF25"/>
    <mergeCell ref="Q31:Y33"/>
    <mergeCell ref="B1:O5"/>
    <mergeCell ref="AF2:AT3"/>
    <mergeCell ref="AX2:BL3"/>
    <mergeCell ref="BP2:CD3"/>
    <mergeCell ref="AF4:AT7"/>
    <mergeCell ref="AX4:BL7"/>
    <mergeCell ref="BP4:CD7"/>
  </mergeCells>
  <dataValidations count="1">
    <dataValidation type="list" allowBlank="1" showInputMessage="1" showErrorMessage="1" sqref="AN31" xr:uid="{5A94D5C9-070D-4190-A8C1-B4EC3DF872FF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52D7-4DD6-44FF-A1F2-73A0ACB3EB38}">
  <dimension ref="A1:N25"/>
  <sheetViews>
    <sheetView tabSelected="1" workbookViewId="0">
      <selection activeCell="M3" sqref="M3"/>
    </sheetView>
  </sheetViews>
  <sheetFormatPr defaultRowHeight="14.4" x14ac:dyDescent="0.3"/>
  <cols>
    <col min="2" max="2" width="15.88671875" bestFit="1" customWidth="1"/>
    <col min="3" max="3" width="12.88671875" customWidth="1"/>
    <col min="5" max="5" width="4.33203125" customWidth="1"/>
    <col min="7" max="7" width="10.5546875" bestFit="1" customWidth="1"/>
    <col min="8" max="8" width="13" customWidth="1"/>
    <col min="9" max="9" width="14.33203125" customWidth="1"/>
    <col min="10" max="10" width="4.33203125" customWidth="1"/>
  </cols>
  <sheetData>
    <row r="1" spans="1:14" ht="15.6" thickTop="1" thickBot="1" x14ac:dyDescent="0.35">
      <c r="A1" s="218" t="s">
        <v>105</v>
      </c>
      <c r="B1" s="219"/>
      <c r="C1" s="219"/>
      <c r="D1" s="220"/>
      <c r="F1" s="203" t="s">
        <v>110</v>
      </c>
      <c r="G1" s="204"/>
      <c r="H1" s="204"/>
      <c r="I1" s="205"/>
      <c r="K1" s="234" t="s">
        <v>113</v>
      </c>
      <c r="L1" s="235" t="s">
        <v>114</v>
      </c>
      <c r="M1" s="235"/>
      <c r="N1" s="235"/>
    </row>
    <row r="2" spans="1:14" ht="15.6" thickTop="1" thickBot="1" x14ac:dyDescent="0.35">
      <c r="A2" s="215"/>
      <c r="B2" s="178" t="s">
        <v>1</v>
      </c>
      <c r="C2" s="179" t="s">
        <v>74</v>
      </c>
      <c r="D2" s="207" t="s">
        <v>106</v>
      </c>
      <c r="F2" s="206" t="s">
        <v>111</v>
      </c>
      <c r="G2" s="179" t="s">
        <v>109</v>
      </c>
      <c r="H2" s="179" t="s">
        <v>108</v>
      </c>
      <c r="I2" s="207" t="s">
        <v>112</v>
      </c>
      <c r="K2" s="234" t="s">
        <v>6</v>
      </c>
      <c r="L2" t="s">
        <v>109</v>
      </c>
      <c r="M2" t="s">
        <v>115</v>
      </c>
      <c r="N2" s="239" t="s">
        <v>106</v>
      </c>
    </row>
    <row r="3" spans="1:14" ht="15" thickTop="1" x14ac:dyDescent="0.3">
      <c r="A3" s="206">
        <v>1</v>
      </c>
      <c r="B3" s="179" t="str">
        <f>_xlfn.XLOOKUP(D3,'Top 5 Produtos Mais Vendidos'!B:B,'Top 5 Produtos Mais Vendidos'!A:A)</f>
        <v>Café</v>
      </c>
      <c r="C3" s="179">
        <f>SUMIF(TB_Entradas[Produto],B3,TB_Entradas[Quantidade Comprada])</f>
        <v>1635</v>
      </c>
      <c r="D3" s="207">
        <f>LARGE('Top 5 Produtos Mais Vendidos'!B:B,'Base de Cálculos'!A3)</f>
        <v>945</v>
      </c>
      <c r="F3" s="206">
        <v>1</v>
      </c>
      <c r="G3" s="208">
        <f>DATE(,F3,1)</f>
        <v>1</v>
      </c>
      <c r="H3" s="209">
        <f>SUMIF(TB_Saídas[Mês],'Base de Cálculos'!F3,TB_Saídas[Valor de Venda])</f>
        <v>1475</v>
      </c>
      <c r="I3" s="210">
        <f>SUMIF(TB_Entradas[Mês],'Base de Cálculos'!F3,TB_Entradas[Valor da Compra])</f>
        <v>297.5</v>
      </c>
      <c r="L3" s="236" t="s">
        <v>116</v>
      </c>
      <c r="M3" s="237"/>
      <c r="N3" s="238"/>
    </row>
    <row r="4" spans="1:14" x14ac:dyDescent="0.3">
      <c r="A4" s="206">
        <v>2</v>
      </c>
      <c r="B4" s="179" t="str">
        <f>_xlfn.XLOOKUP(D4,'Top 5 Produtos Mais Vendidos'!B:B,'Top 5 Produtos Mais Vendidos'!A:A)</f>
        <v>Chocolate Quente</v>
      </c>
      <c r="C4" s="179">
        <f>SUMIF(TB_Entradas[Produto],B4,TB_Entradas[Quantidade Comprada])</f>
        <v>750</v>
      </c>
      <c r="D4" s="207">
        <f>LARGE('Top 5 Produtos Mais Vendidos'!B:B,'Base de Cálculos'!A4)</f>
        <v>500</v>
      </c>
      <c r="F4" s="206">
        <v>2</v>
      </c>
      <c r="G4" s="208">
        <f t="shared" ref="G4:G14" si="0">DATE(,F4,1)</f>
        <v>32</v>
      </c>
      <c r="H4" s="209">
        <f>SUMIF(TB_Saídas[Mês],'Base de Cálculos'!F4,TB_Saídas[Valor de Venda])</f>
        <v>1652.5</v>
      </c>
      <c r="I4" s="210">
        <f>SUMIF(TB_Entradas[Mês],'Base de Cálculos'!F4,TB_Entradas[Valor da Compra])</f>
        <v>378.75</v>
      </c>
      <c r="L4" s="206" t="s">
        <v>117</v>
      </c>
      <c r="M4" s="179"/>
      <c r="N4" s="207"/>
    </row>
    <row r="5" spans="1:14" x14ac:dyDescent="0.3">
      <c r="A5" s="206">
        <v>3</v>
      </c>
      <c r="B5" s="179" t="str">
        <f>_xlfn.XLOOKUP(D5,'Top 5 Produtos Mais Vendidos'!B:B,'Top 5 Produtos Mais Vendidos'!A:A)</f>
        <v>Pão de Queijo</v>
      </c>
      <c r="C5" s="179">
        <f>SUMIF(TB_Entradas[Produto],B5,TB_Entradas[Quantidade Comprada])</f>
        <v>620</v>
      </c>
      <c r="D5" s="207">
        <f>LARGE('Top 5 Produtos Mais Vendidos'!B:B,'Base de Cálculos'!A5)</f>
        <v>400</v>
      </c>
      <c r="F5" s="206">
        <v>3</v>
      </c>
      <c r="G5" s="208">
        <f t="shared" si="0"/>
        <v>61</v>
      </c>
      <c r="H5" s="209">
        <f>SUMIF(TB_Saídas[Mês],'Base de Cálculos'!F5,TB_Saídas[Valor de Venda])</f>
        <v>2302.5</v>
      </c>
      <c r="I5" s="210">
        <f>SUMIF(TB_Entradas[Mês],'Base de Cálculos'!F5,TB_Entradas[Valor da Compra])</f>
        <v>922.5</v>
      </c>
      <c r="L5" s="206" t="s">
        <v>118</v>
      </c>
      <c r="M5" s="179"/>
      <c r="N5" s="207"/>
    </row>
    <row r="6" spans="1:14" x14ac:dyDescent="0.3">
      <c r="A6" s="206">
        <v>4</v>
      </c>
      <c r="B6" s="179" t="str">
        <f>_xlfn.XLOOKUP(D6,'Top 5 Produtos Mais Vendidos'!B:B,'Top 5 Produtos Mais Vendidos'!A:A)</f>
        <v>Coxinha</v>
      </c>
      <c r="C6" s="179">
        <f>SUMIF(TB_Entradas[Produto],B6,TB_Entradas[Quantidade Comprada])</f>
        <v>550</v>
      </c>
      <c r="D6" s="207">
        <f>LARGE('Top 5 Produtos Mais Vendidos'!B:B,'Base de Cálculos'!A6)</f>
        <v>245</v>
      </c>
      <c r="F6" s="206">
        <v>4</v>
      </c>
      <c r="G6" s="208">
        <f t="shared" si="0"/>
        <v>92</v>
      </c>
      <c r="H6" s="209">
        <f>SUMIF(TB_Saídas[Mês],'Base de Cálculos'!F6,TB_Saídas[Valor de Venda])</f>
        <v>1507.5</v>
      </c>
      <c r="I6" s="210">
        <f>SUMIF(TB_Entradas[Mês],'Base de Cálculos'!F6,TB_Entradas[Valor da Compra])</f>
        <v>362.5</v>
      </c>
      <c r="L6" s="206" t="s">
        <v>119</v>
      </c>
      <c r="M6" s="179"/>
      <c r="N6" s="207"/>
    </row>
    <row r="7" spans="1:14" ht="15" thickBot="1" x14ac:dyDescent="0.35">
      <c r="A7" s="211">
        <v>5</v>
      </c>
      <c r="B7" s="216" t="str">
        <f>_xlfn.XLOOKUP(D7,'Top 5 Produtos Mais Vendidos'!B:B,'Top 5 Produtos Mais Vendidos'!A:A)</f>
        <v>Refrigerante</v>
      </c>
      <c r="C7" s="216">
        <f>SUMIF(TB_Entradas[Produto],B7,TB_Entradas[Quantidade Comprada])</f>
        <v>350</v>
      </c>
      <c r="D7" s="217">
        <f>LARGE('Top 5 Produtos Mais Vendidos'!B:B,'Base de Cálculos'!A7)</f>
        <v>210</v>
      </c>
      <c r="F7" s="206">
        <v>5</v>
      </c>
      <c r="G7" s="208">
        <f t="shared" si="0"/>
        <v>122</v>
      </c>
      <c r="H7" s="209">
        <f>SUMIF(TB_Saídas[Mês],'Base de Cálculos'!F7,TB_Saídas[Valor de Venda])</f>
        <v>1372</v>
      </c>
      <c r="I7" s="210">
        <f>SUMIF(TB_Entradas[Mês],'Base de Cálculos'!F7,TB_Entradas[Valor da Compra])</f>
        <v>723.75</v>
      </c>
      <c r="L7" s="206" t="s">
        <v>120</v>
      </c>
      <c r="M7" s="179"/>
      <c r="N7" s="207"/>
    </row>
    <row r="8" spans="1:14" ht="15" thickTop="1" x14ac:dyDescent="0.3">
      <c r="F8" s="206">
        <v>6</v>
      </c>
      <c r="G8" s="208">
        <f t="shared" si="0"/>
        <v>153</v>
      </c>
      <c r="H8" s="209">
        <f>SUMIF(TB_Saídas[Mês],'Base de Cálculos'!F8,TB_Saídas[Valor de Venda])</f>
        <v>1145</v>
      </c>
      <c r="I8" s="210">
        <f>SUMIF(TB_Entradas[Mês],'Base de Cálculos'!F8,TB_Entradas[Valor da Compra])</f>
        <v>376.25</v>
      </c>
      <c r="L8" s="206" t="s">
        <v>121</v>
      </c>
      <c r="M8" s="179"/>
      <c r="N8" s="207"/>
    </row>
    <row r="9" spans="1:14" ht="15" thickBot="1" x14ac:dyDescent="0.35">
      <c r="F9" s="206">
        <v>7</v>
      </c>
      <c r="G9" s="208">
        <f t="shared" si="0"/>
        <v>183</v>
      </c>
      <c r="H9" s="209">
        <f>SUMIF(TB_Saídas[Mês],'Base de Cálculos'!F9,TB_Saídas[Valor de Venda])</f>
        <v>2217.5</v>
      </c>
      <c r="I9" s="210">
        <f>SUMIF(TB_Entradas[Mês],'Base de Cálculos'!F9,TB_Entradas[Valor da Compra])</f>
        <v>355</v>
      </c>
      <c r="L9" s="206" t="s">
        <v>122</v>
      </c>
      <c r="M9" s="179"/>
      <c r="N9" s="207"/>
    </row>
    <row r="10" spans="1:14" ht="15.6" thickTop="1" thickBot="1" x14ac:dyDescent="0.35">
      <c r="A10" s="218" t="s">
        <v>107</v>
      </c>
      <c r="B10" s="219"/>
      <c r="C10" s="220"/>
      <c r="F10" s="206">
        <v>8</v>
      </c>
      <c r="G10" s="208">
        <f t="shared" si="0"/>
        <v>214</v>
      </c>
      <c r="H10" s="209">
        <f>SUMIF(TB_Saídas[Mês],'Base de Cálculos'!F10,TB_Saídas[Valor de Venda])</f>
        <v>1621.5</v>
      </c>
      <c r="I10" s="210">
        <f>SUMIF(TB_Entradas[Mês],'Base de Cálculos'!F10,TB_Entradas[Valor da Compra])</f>
        <v>431.25</v>
      </c>
      <c r="L10" s="206" t="s">
        <v>123</v>
      </c>
      <c r="M10" s="179"/>
      <c r="N10" s="207"/>
    </row>
    <row r="11" spans="1:14" ht="15" thickTop="1" x14ac:dyDescent="0.3">
      <c r="A11" s="206"/>
      <c r="B11" s="179" t="s">
        <v>1</v>
      </c>
      <c r="C11" s="207" t="s">
        <v>108</v>
      </c>
      <c r="F11" s="206">
        <v>9</v>
      </c>
      <c r="G11" s="208">
        <f t="shared" si="0"/>
        <v>245</v>
      </c>
      <c r="H11" s="209">
        <f>SUMIF(TB_Saídas[Mês],'Base de Cálculos'!F11,TB_Saídas[Valor de Venda])</f>
        <v>2234</v>
      </c>
      <c r="I11" s="210">
        <f>SUMIF(TB_Entradas[Mês],'Base de Cálculos'!F11,TB_Entradas[Valor da Compra])</f>
        <v>806</v>
      </c>
      <c r="L11" s="206" t="s">
        <v>124</v>
      </c>
      <c r="M11" s="179"/>
      <c r="N11" s="207"/>
    </row>
    <row r="12" spans="1:14" x14ac:dyDescent="0.3">
      <c r="A12" s="206">
        <v>1</v>
      </c>
      <c r="B12" s="179" t="str">
        <f>_xlfn.XLOOKUP(C12,ranking!B:B,ranking!A:A)</f>
        <v>Café</v>
      </c>
      <c r="C12" s="207">
        <f>LARGE(ranking!B:B,'Base de Cálculos'!A12)</f>
        <v>5670</v>
      </c>
      <c r="F12" s="206">
        <v>10</v>
      </c>
      <c r="G12" s="208">
        <f t="shared" si="0"/>
        <v>275</v>
      </c>
      <c r="H12" s="209">
        <f>SUMIF(TB_Saídas[Mês],'Base de Cálculos'!F12,TB_Saídas[Valor de Venda])</f>
        <v>1508</v>
      </c>
      <c r="I12" s="210">
        <f>SUMIF(TB_Entradas[Mês],'Base de Cálculos'!F12,TB_Entradas[Valor da Compra])</f>
        <v>247.75</v>
      </c>
      <c r="L12" s="206" t="s">
        <v>125</v>
      </c>
      <c r="M12" s="179"/>
      <c r="N12" s="207"/>
    </row>
    <row r="13" spans="1:14" x14ac:dyDescent="0.3">
      <c r="A13" s="206">
        <v>2</v>
      </c>
      <c r="B13" s="179" t="str">
        <f>_xlfn.XLOOKUP(C13,ranking!B:B,ranking!A:A)</f>
        <v>Chocolate Quente</v>
      </c>
      <c r="C13" s="207">
        <f>LARGE(ranking!B:B,'Base de Cálculos'!A13)</f>
        <v>4250</v>
      </c>
      <c r="F13" s="206">
        <v>11</v>
      </c>
      <c r="G13" s="208">
        <f t="shared" si="0"/>
        <v>306</v>
      </c>
      <c r="H13" s="209">
        <f>SUMIF(TB_Saídas[Mês],'Base de Cálculos'!F13,TB_Saídas[Valor de Venda])</f>
        <v>811.5</v>
      </c>
      <c r="I13" s="210">
        <f>SUMIF(TB_Entradas[Mês],'Base de Cálculos'!F13,TB_Entradas[Valor da Compra])</f>
        <v>218.75</v>
      </c>
      <c r="L13" s="206" t="s">
        <v>126</v>
      </c>
      <c r="M13" s="179"/>
      <c r="N13" s="207"/>
    </row>
    <row r="14" spans="1:14" ht="15" thickBot="1" x14ac:dyDescent="0.35">
      <c r="A14" s="206">
        <v>3</v>
      </c>
      <c r="B14" s="179" t="str">
        <f>_xlfn.XLOOKUP(C14,ranking!B:B,ranking!A:A)</f>
        <v>Pão de Queijo</v>
      </c>
      <c r="C14" s="207">
        <f>LARGE(ranking!B:B,'Base de Cálculos'!A14)</f>
        <v>3000</v>
      </c>
      <c r="F14" s="211">
        <v>12</v>
      </c>
      <c r="G14" s="212">
        <f t="shared" si="0"/>
        <v>336</v>
      </c>
      <c r="H14" s="213">
        <f>SUMIF(TB_Saídas[Mês],'Base de Cálculos'!F14,TB_Saídas[Valor de Venda])</f>
        <v>1195.5</v>
      </c>
      <c r="I14" s="214">
        <f>SUMIF(TB_Entradas[Mês],'Base de Cálculos'!F14,TB_Entradas[Valor da Compra])</f>
        <v>410</v>
      </c>
      <c r="L14" s="211" t="s">
        <v>127</v>
      </c>
      <c r="M14" s="216"/>
      <c r="N14" s="217"/>
    </row>
    <row r="15" spans="1:14" ht="15" thickTop="1" x14ac:dyDescent="0.3">
      <c r="A15" s="206">
        <v>4</v>
      </c>
      <c r="B15" s="179" t="str">
        <f>_xlfn.XLOOKUP(C15,ranking!B:B,ranking!A:A)</f>
        <v>Refrigerante</v>
      </c>
      <c r="C15" s="207">
        <f>LARGE(ranking!B:B,'Base de Cálculos'!A15)</f>
        <v>1680</v>
      </c>
    </row>
    <row r="16" spans="1:14" ht="15" thickBot="1" x14ac:dyDescent="0.35">
      <c r="A16" s="211">
        <v>5</v>
      </c>
      <c r="B16" s="216" t="str">
        <f>_xlfn.XLOOKUP(C16,ranking!B:B,ranking!A:A)</f>
        <v>Coxinha</v>
      </c>
      <c r="C16" s="217">
        <f>LARGE(ranking!B:B,'Base de Cálculos'!A16)</f>
        <v>1592.5</v>
      </c>
    </row>
    <row r="17" spans="5:5" ht="15" thickTop="1" x14ac:dyDescent="0.3"/>
    <row r="24" spans="5:5" ht="15" thickBot="1" x14ac:dyDescent="0.35">
      <c r="E24" s="216"/>
    </row>
    <row r="25" spans="5:5" ht="15" thickTop="1" x14ac:dyDescent="0.3"/>
  </sheetData>
  <mergeCells count="4">
    <mergeCell ref="A1:D1"/>
    <mergeCell ref="A10:C10"/>
    <mergeCell ref="F1:I1"/>
    <mergeCell ref="L1:N1"/>
  </mergeCells>
  <phoneticPr fontId="3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2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3</vt:i4>
      </vt:variant>
    </vt:vector>
  </HeadingPairs>
  <TitlesOfParts>
    <vt:vector size="14" baseType="lpstr">
      <vt:lpstr>Produtos</vt:lpstr>
      <vt:lpstr>ranking</vt:lpstr>
      <vt:lpstr>Fornecedor</vt:lpstr>
      <vt:lpstr>Entradas</vt:lpstr>
      <vt:lpstr>Top 5 Produtos Mais Vendidos</vt:lpstr>
      <vt:lpstr>Saídas</vt:lpstr>
      <vt:lpstr>Consulta</vt:lpstr>
      <vt:lpstr>Controle de Estoque</vt:lpstr>
      <vt:lpstr>Quadro de Resumo</vt:lpstr>
      <vt:lpstr>Dashboard</vt:lpstr>
      <vt:lpstr>Base de Cálculos</vt:lpstr>
      <vt:lpstr>CriteriosConsultaProduto</vt:lpstr>
      <vt:lpstr>Dashboard!Lista_Produtos</vt:lpstr>
      <vt:lpstr>Lista_Produtos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Kennedy Menezes</cp:lastModifiedBy>
  <cp:revision/>
  <dcterms:created xsi:type="dcterms:W3CDTF">2022-11-17T13:49:56Z</dcterms:created>
  <dcterms:modified xsi:type="dcterms:W3CDTF">2025-05-17T17:19:31Z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