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 BI\"/>
    </mc:Choice>
  </mc:AlternateContent>
  <xr:revisionPtr revIDLastSave="0" documentId="13_ncr:1_{49F2E8C1-D1A2-4E29-8874-9614E628F2E6}" xr6:coauthVersionLast="47" xr6:coauthVersionMax="47" xr10:uidLastSave="{00000000-0000-0000-0000-000000000000}"/>
  <bookViews>
    <workbookView xWindow="-108" yWindow="-108" windowWidth="23256" windowHeight="13176" tabRatio="871" firstSheet="2" activeTab="9" xr2:uid="{87BE7180-3E81-4FE5-B433-FFDBA552102C}"/>
  </bookViews>
  <sheets>
    <sheet name="Produtos" sheetId="2" r:id="rId1"/>
    <sheet name="ranking" sheetId="34" state="hidden" r:id="rId2"/>
    <sheet name="Fornecedor" sheetId="3" r:id="rId3"/>
    <sheet name="Entradas" sheetId="4" r:id="rId4"/>
    <sheet name="Top 5 Produtos Mais Vendidos" sheetId="33" state="hidden" r:id="rId5"/>
    <sheet name="Saídas" sheetId="5" r:id="rId6"/>
    <sheet name="Consulta" sheetId="6" r:id="rId7"/>
    <sheet name="Controle de Estoque" sheetId="7" r:id="rId8"/>
    <sheet name="Quadro de Resumo" sheetId="8" r:id="rId9"/>
    <sheet name="Dashboard" sheetId="31" r:id="rId10"/>
    <sheet name="Base de Cálculos" sheetId="32" r:id="rId11"/>
  </sheets>
  <definedNames>
    <definedName name="_xlchart.v1.0" hidden="1">'Base de Cálculos'!$M$16:$N$16</definedName>
    <definedName name="_xlchart.v1.1" hidden="1">'Base de Cálculos'!$M$17:$N$17</definedName>
    <definedName name="CriteriosConsultaProduto">'Quadro de Resumo'!$AM$7:$AM$8</definedName>
    <definedName name="Lista_Produtos" localSheetId="9">TB_Produtos[[#All],[Produto]]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2" l="1"/>
  <c r="L5" i="32"/>
  <c r="L6" i="32"/>
  <c r="L7" i="32"/>
  <c r="L8" i="32"/>
  <c r="L9" i="32"/>
  <c r="L10" i="32"/>
  <c r="L11" i="32"/>
  <c r="L12" i="32"/>
  <c r="L13" i="32"/>
  <c r="L14" i="32"/>
  <c r="L3" i="32"/>
  <c r="K2" i="32"/>
  <c r="N4" i="32" s="1"/>
  <c r="I4" i="32"/>
  <c r="I5" i="32"/>
  <c r="I6" i="32"/>
  <c r="I7" i="32"/>
  <c r="I8" i="32"/>
  <c r="I9" i="32"/>
  <c r="I10" i="32"/>
  <c r="I11" i="32"/>
  <c r="I12" i="32"/>
  <c r="I13" i="32"/>
  <c r="I14" i="32"/>
  <c r="I3" i="32"/>
  <c r="H4" i="32"/>
  <c r="H5" i="32"/>
  <c r="H6" i="32"/>
  <c r="H7" i="32"/>
  <c r="H8" i="32"/>
  <c r="H9" i="32"/>
  <c r="H10" i="32"/>
  <c r="H11" i="32"/>
  <c r="H12" i="32"/>
  <c r="H13" i="32"/>
  <c r="H14" i="32"/>
  <c r="H3" i="32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B2" i="34"/>
  <c r="B4" i="34"/>
  <c r="B5" i="34"/>
  <c r="B6" i="34"/>
  <c r="B7" i="34"/>
  <c r="B8" i="34"/>
  <c r="B9" i="34"/>
  <c r="B10" i="34"/>
  <c r="B12" i="34"/>
  <c r="B13" i="34"/>
  <c r="B15" i="34"/>
  <c r="B20" i="34"/>
  <c r="B22" i="34"/>
  <c r="B23" i="34"/>
  <c r="B24" i="34"/>
  <c r="B25" i="34"/>
  <c r="B27" i="34"/>
  <c r="A1" i="34" a="1"/>
  <c r="A1" i="34" s="1"/>
  <c r="B2" i="33"/>
  <c r="B3" i="33"/>
  <c r="D4" i="32" s="1"/>
  <c r="B4" i="32" s="1"/>
  <c r="C4" i="32" s="1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1" i="33"/>
  <c r="D5" i="32" s="1"/>
  <c r="B5" i="32" s="1"/>
  <c r="C5" i="32" s="1"/>
  <c r="A1" i="33" a="1"/>
  <c r="A1" i="33" s="1"/>
  <c r="C8" i="7"/>
  <c r="D8" i="7"/>
  <c r="F8" i="7"/>
  <c r="B13" i="4"/>
  <c r="H13" i="4" a="1"/>
  <c r="H13" i="4" s="1"/>
  <c r="I13" i="4" s="1"/>
  <c r="B60" i="5"/>
  <c r="G60" i="5" a="1"/>
  <c r="G60" i="5" s="1"/>
  <c r="H60" i="5" s="1"/>
  <c r="B18" i="4"/>
  <c r="H18" i="4" a="1"/>
  <c r="H18" i="4" s="1"/>
  <c r="I18" i="4" s="1"/>
  <c r="I8" i="7" s="1"/>
  <c r="B59" i="5"/>
  <c r="G59" i="5" a="1"/>
  <c r="G59" i="5" s="1"/>
  <c r="H59" i="5" s="1"/>
  <c r="B56" i="5"/>
  <c r="G56" i="5" a="1"/>
  <c r="G56" i="5" s="1"/>
  <c r="H56" i="5" s="1"/>
  <c r="B51" i="5"/>
  <c r="G51" i="5" a="1"/>
  <c r="G51" i="5" s="1"/>
  <c r="H51" i="5" s="1"/>
  <c r="B47" i="5"/>
  <c r="G47" i="5" a="1"/>
  <c r="G47" i="5" s="1"/>
  <c r="H47" i="5" s="1"/>
  <c r="B37" i="5"/>
  <c r="G37" i="5" a="1"/>
  <c r="G37" i="5" s="1"/>
  <c r="H37" i="5" s="1"/>
  <c r="B31" i="5"/>
  <c r="G31" i="5" a="1"/>
  <c r="G31" i="5" s="1"/>
  <c r="H31" i="5" s="1"/>
  <c r="B22" i="5"/>
  <c r="G22" i="5" a="1"/>
  <c r="G22" i="5" s="1"/>
  <c r="H22" i="5" s="1"/>
  <c r="B56" i="4"/>
  <c r="H56" i="4" a="1"/>
  <c r="H56" i="4" s="1"/>
  <c r="I56" i="4" s="1"/>
  <c r="B50" i="4"/>
  <c r="H50" i="4" a="1"/>
  <c r="H50" i="4" s="1"/>
  <c r="I50" i="4" s="1"/>
  <c r="B46" i="4"/>
  <c r="H46" i="4" a="1"/>
  <c r="H46" i="4" s="1"/>
  <c r="I46" i="4" s="1"/>
  <c r="B32" i="4"/>
  <c r="H32" i="4" a="1"/>
  <c r="H32" i="4" s="1"/>
  <c r="I32" i="4" s="1"/>
  <c r="B15" i="5"/>
  <c r="G15" i="5" a="1"/>
  <c r="G15" i="5" s="1"/>
  <c r="H15" i="5" s="1"/>
  <c r="B8" i="5"/>
  <c r="G8" i="5" a="1"/>
  <c r="G8" i="5" s="1"/>
  <c r="H8" i="5" s="1"/>
  <c r="B9" i="4"/>
  <c r="H9" i="4" a="1"/>
  <c r="H9" i="4" s="1"/>
  <c r="I9" i="4" s="1"/>
  <c r="B49" i="5"/>
  <c r="G49" i="5" a="1"/>
  <c r="G49" i="5" s="1"/>
  <c r="H49" i="5" s="1"/>
  <c r="B49" i="4"/>
  <c r="H49" i="4" a="1"/>
  <c r="H49" i="4" s="1"/>
  <c r="I49" i="4" s="1"/>
  <c r="B45" i="5"/>
  <c r="G45" i="5" a="1"/>
  <c r="G45" i="5" s="1"/>
  <c r="H45" i="5" s="1"/>
  <c r="B44" i="4"/>
  <c r="H44" i="4" a="1"/>
  <c r="H44" i="4" s="1"/>
  <c r="I44" i="4" s="1"/>
  <c r="B39" i="5"/>
  <c r="G39" i="5" a="1"/>
  <c r="G39" i="5" s="1"/>
  <c r="H39" i="5" s="1"/>
  <c r="B38" i="4"/>
  <c r="H38" i="4" a="1"/>
  <c r="H38" i="4" s="1"/>
  <c r="I38" i="4" s="1"/>
  <c r="B36" i="5"/>
  <c r="G36" i="5" a="1"/>
  <c r="G36" i="5" s="1"/>
  <c r="H36" i="5" s="1"/>
  <c r="B36" i="4"/>
  <c r="H36" i="4" a="1"/>
  <c r="H36" i="4" s="1"/>
  <c r="I36" i="4" s="1"/>
  <c r="B27" i="5"/>
  <c r="G27" i="5" a="1"/>
  <c r="G27" i="5" s="1"/>
  <c r="H27" i="5" s="1"/>
  <c r="B29" i="4"/>
  <c r="H29" i="4" a="1"/>
  <c r="H29" i="4" s="1"/>
  <c r="I29" i="4" s="1"/>
  <c r="B23" i="5"/>
  <c r="G23" i="5" a="1"/>
  <c r="G23" i="5" s="1"/>
  <c r="H23" i="5" s="1"/>
  <c r="B23" i="4"/>
  <c r="H23" i="4" a="1"/>
  <c r="H23" i="4" s="1"/>
  <c r="I23" i="4" s="1"/>
  <c r="B16" i="5"/>
  <c r="G16" i="5" a="1"/>
  <c r="G16" i="5" s="1"/>
  <c r="H16" i="5" s="1"/>
  <c r="B19" i="4"/>
  <c r="H19" i="4" a="1"/>
  <c r="H19" i="4" s="1"/>
  <c r="I19" i="4" s="1"/>
  <c r="B12" i="5"/>
  <c r="G12" i="5" a="1"/>
  <c r="G12" i="5" s="1"/>
  <c r="H12" i="5" s="1"/>
  <c r="B9" i="5"/>
  <c r="G9" i="5" a="1"/>
  <c r="G9" i="5" s="1"/>
  <c r="H9" i="5" s="1"/>
  <c r="B8" i="4"/>
  <c r="H8" i="4" a="1"/>
  <c r="H8" i="4" s="1"/>
  <c r="I8" i="4" s="1"/>
  <c r="B52" i="5"/>
  <c r="G52" i="5" a="1"/>
  <c r="G52" i="5" s="1"/>
  <c r="H52" i="5" s="1"/>
  <c r="B52" i="4"/>
  <c r="H52" i="4" a="1"/>
  <c r="H52" i="4" s="1"/>
  <c r="I52" i="4" s="1"/>
  <c r="B48" i="5"/>
  <c r="G48" i="5" a="1"/>
  <c r="G48" i="5" s="1"/>
  <c r="H48" i="5" s="1"/>
  <c r="B38" i="5"/>
  <c r="G38" i="5" a="1"/>
  <c r="G38" i="5" s="1"/>
  <c r="H38" i="5" s="1"/>
  <c r="B35" i="5"/>
  <c r="G35" i="5" a="1"/>
  <c r="G35" i="5" s="1"/>
  <c r="H35" i="5" s="1"/>
  <c r="B32" i="5"/>
  <c r="G32" i="5" a="1"/>
  <c r="G32" i="5" s="1"/>
  <c r="H32" i="5" s="1"/>
  <c r="B28" i="5"/>
  <c r="G28" i="5" a="1"/>
  <c r="G28" i="5" s="1"/>
  <c r="H28" i="5" s="1"/>
  <c r="B17" i="5"/>
  <c r="G17" i="5" a="1"/>
  <c r="G17" i="5" s="1"/>
  <c r="H17" i="5" s="1"/>
  <c r="B13" i="5"/>
  <c r="G13" i="5" a="1"/>
  <c r="G13" i="5" s="1"/>
  <c r="H13" i="5" s="1"/>
  <c r="B57" i="4"/>
  <c r="H57" i="4" a="1"/>
  <c r="H57" i="4" s="1"/>
  <c r="I57" i="4" s="1"/>
  <c r="B47" i="4"/>
  <c r="H47" i="4" a="1"/>
  <c r="H47" i="4" s="1"/>
  <c r="I47" i="4" s="1"/>
  <c r="B41" i="4"/>
  <c r="H41" i="4" a="1"/>
  <c r="H41" i="4" s="1"/>
  <c r="I41" i="4" s="1"/>
  <c r="B37" i="4"/>
  <c r="H37" i="4" a="1"/>
  <c r="H37" i="4" s="1"/>
  <c r="I37" i="4" s="1"/>
  <c r="B33" i="4"/>
  <c r="H33" i="4" a="1"/>
  <c r="H33" i="4" s="1"/>
  <c r="I33" i="4" s="1"/>
  <c r="B24" i="4"/>
  <c r="H24" i="4" a="1"/>
  <c r="H24" i="4" s="1"/>
  <c r="I24" i="4" s="1"/>
  <c r="B20" i="4"/>
  <c r="H20" i="4" a="1"/>
  <c r="H20" i="4" s="1"/>
  <c r="I20" i="4" s="1"/>
  <c r="B14" i="4"/>
  <c r="H14" i="4" a="1"/>
  <c r="H14" i="4" s="1"/>
  <c r="I14" i="4" s="1"/>
  <c r="B26" i="4"/>
  <c r="H26" i="4" a="1"/>
  <c r="H26" i="4" s="1"/>
  <c r="I26" i="4" s="1"/>
  <c r="C12" i="7"/>
  <c r="D11" i="7"/>
  <c r="C11" i="7"/>
  <c r="D10" i="7"/>
  <c r="C10" i="7"/>
  <c r="C7" i="7"/>
  <c r="D6" i="7"/>
  <c r="C6" i="7"/>
  <c r="B54" i="4"/>
  <c r="H54" i="4" a="1"/>
  <c r="H54" i="4" s="1"/>
  <c r="I54" i="4" s="1"/>
  <c r="N10" i="32" l="1"/>
  <c r="M13" i="32"/>
  <c r="M5" i="32"/>
  <c r="N9" i="32"/>
  <c r="M12" i="32"/>
  <c r="M4" i="32"/>
  <c r="N8" i="32"/>
  <c r="M7" i="32"/>
  <c r="M14" i="32"/>
  <c r="M11" i="32"/>
  <c r="N3" i="32"/>
  <c r="N7" i="32"/>
  <c r="N11" i="32"/>
  <c r="M6" i="32"/>
  <c r="M10" i="32"/>
  <c r="N14" i="32"/>
  <c r="N6" i="32"/>
  <c r="M3" i="32"/>
  <c r="M9" i="32"/>
  <c r="N13" i="32"/>
  <c r="N5" i="32"/>
  <c r="M8" i="32"/>
  <c r="N12" i="32"/>
  <c r="D3" i="32"/>
  <c r="B3" i="32" s="1"/>
  <c r="C3" i="32" s="1"/>
  <c r="D7" i="32"/>
  <c r="B7" i="32" s="1"/>
  <c r="C7" i="32" s="1"/>
  <c r="D6" i="32"/>
  <c r="B6" i="32" s="1"/>
  <c r="C6" i="32" s="1"/>
  <c r="E8" i="7"/>
  <c r="G8" i="7" s="1" a="1"/>
  <c r="G8" i="7" s="1"/>
  <c r="E6" i="7"/>
  <c r="E10" i="7"/>
  <c r="E11" i="7"/>
  <c r="B30" i="5"/>
  <c r="G30" i="5" a="1"/>
  <c r="G30" i="5" s="1"/>
  <c r="H30" i="5" s="1"/>
  <c r="B62" i="5"/>
  <c r="G62" i="5" a="1"/>
  <c r="G62" i="5" s="1"/>
  <c r="H62" i="5" s="1"/>
  <c r="B42" i="5"/>
  <c r="G42" i="5" a="1"/>
  <c r="G42" i="5" s="1"/>
  <c r="H42" i="5" s="1"/>
  <c r="B59" i="4"/>
  <c r="H59" i="4" a="1"/>
  <c r="H59" i="4" s="1"/>
  <c r="I59" i="4" s="1"/>
  <c r="B58" i="4"/>
  <c r="H58" i="4" a="1"/>
  <c r="H58" i="4" s="1"/>
  <c r="I58" i="4" s="1"/>
  <c r="N17" i="32" l="1"/>
  <c r="M17" i="32"/>
  <c r="B7" i="4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G6" i="5" a="1"/>
  <c r="G6" i="5" s="1"/>
  <c r="G11" i="5" l="1" a="1"/>
  <c r="G11" i="5" s="1"/>
  <c r="G7" i="5" a="1"/>
  <c r="G7" i="5" s="1"/>
  <c r="G10" i="5" a="1"/>
  <c r="G10" i="5" s="1"/>
  <c r="G14" i="5" a="1"/>
  <c r="G14" i="5" s="1"/>
  <c r="G18" i="5" a="1"/>
  <c r="G18" i="5" s="1"/>
  <c r="G19" i="5" a="1"/>
  <c r="G19" i="5" s="1"/>
  <c r="G20" i="5" a="1"/>
  <c r="G20" i="5" s="1"/>
  <c r="G21" i="5" a="1"/>
  <c r="G21" i="5" s="1"/>
  <c r="G24" i="5" a="1"/>
  <c r="G24" i="5" s="1"/>
  <c r="G25" i="5" a="1"/>
  <c r="G25" i="5" s="1"/>
  <c r="G26" i="5" a="1"/>
  <c r="G26" i="5" s="1"/>
  <c r="G29" i="5" a="1"/>
  <c r="G29" i="5" s="1"/>
  <c r="G33" i="5" a="1"/>
  <c r="G33" i="5" s="1"/>
  <c r="G34" i="5" a="1"/>
  <c r="G34" i="5" s="1"/>
  <c r="G40" i="5" a="1"/>
  <c r="G40" i="5" s="1"/>
  <c r="G41" i="5" a="1"/>
  <c r="G41" i="5" s="1"/>
  <c r="G43" i="5" a="1"/>
  <c r="G43" i="5" s="1"/>
  <c r="G44" i="5" a="1"/>
  <c r="G44" i="5" s="1"/>
  <c r="G46" i="5" a="1"/>
  <c r="G46" i="5" s="1"/>
  <c r="G50" i="5" a="1"/>
  <c r="G50" i="5" s="1"/>
  <c r="G53" i="5" a="1"/>
  <c r="G53" i="5" s="1"/>
  <c r="G54" i="5" a="1"/>
  <c r="G54" i="5" s="1"/>
  <c r="G55" i="5" a="1"/>
  <c r="G55" i="5" s="1"/>
  <c r="G57" i="5" a="1"/>
  <c r="G57" i="5" s="1"/>
  <c r="G58" i="5" a="1"/>
  <c r="G58" i="5" s="1"/>
  <c r="G61" i="5" a="1"/>
  <c r="G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H6" i="5"/>
  <c r="H7" i="5"/>
  <c r="H10" i="5"/>
  <c r="H11" i="5"/>
  <c r="H14" i="5"/>
  <c r="H18" i="5"/>
  <c r="H19" i="5"/>
  <c r="H20" i="5"/>
  <c r="H21" i="5"/>
  <c r="B21" i="34" s="1"/>
  <c r="H24" i="5"/>
  <c r="H25" i="5"/>
  <c r="B18" i="34" s="1"/>
  <c r="H26" i="5"/>
  <c r="H29" i="5"/>
  <c r="H33" i="5"/>
  <c r="H34" i="5"/>
  <c r="H40" i="5"/>
  <c r="B14" i="34" s="1"/>
  <c r="H41" i="5"/>
  <c r="H43" i="5"/>
  <c r="H44" i="5"/>
  <c r="H46" i="5"/>
  <c r="H50" i="5"/>
  <c r="H53" i="5"/>
  <c r="H54" i="5"/>
  <c r="H55" i="5"/>
  <c r="H57" i="5"/>
  <c r="H58" i="5"/>
  <c r="H61" i="5"/>
  <c r="H6" i="4" a="1"/>
  <c r="H6" i="4" s="1"/>
  <c r="I6" i="4" s="1"/>
  <c r="H7" i="4" a="1"/>
  <c r="H7" i="4" s="1"/>
  <c r="I7" i="4" s="1"/>
  <c r="H10" i="4" a="1"/>
  <c r="H10" i="4" s="1"/>
  <c r="I10" i="4" s="1"/>
  <c r="H11" i="4" a="1"/>
  <c r="H11" i="4" s="1"/>
  <c r="I11" i="4" s="1"/>
  <c r="H12" i="4" a="1"/>
  <c r="H12" i="4" s="1"/>
  <c r="I12" i="4" s="1"/>
  <c r="H15" i="4" a="1"/>
  <c r="H15" i="4" s="1"/>
  <c r="I15" i="4" s="1"/>
  <c r="H16" i="4" a="1"/>
  <c r="H16" i="4" s="1"/>
  <c r="I16" i="4" s="1"/>
  <c r="H17" i="4" a="1"/>
  <c r="H17" i="4" s="1"/>
  <c r="I17" i="4" s="1"/>
  <c r="H21" i="4" a="1"/>
  <c r="H21" i="4" s="1"/>
  <c r="I21" i="4" s="1"/>
  <c r="H22" i="4" a="1"/>
  <c r="H22" i="4" s="1"/>
  <c r="I22" i="4" s="1"/>
  <c r="H25" i="4" a="1"/>
  <c r="H25" i="4" s="1"/>
  <c r="I25" i="4" s="1"/>
  <c r="H27" i="4" a="1"/>
  <c r="H27" i="4" s="1"/>
  <c r="I27" i="4" s="1"/>
  <c r="H28" i="4" a="1"/>
  <c r="H28" i="4" s="1"/>
  <c r="I28" i="4" s="1"/>
  <c r="H30" i="4" a="1"/>
  <c r="H30" i="4" s="1"/>
  <c r="I30" i="4" s="1"/>
  <c r="H31" i="4" a="1"/>
  <c r="H31" i="4" s="1"/>
  <c r="I31" i="4" s="1"/>
  <c r="H34" i="4" a="1"/>
  <c r="H34" i="4" s="1"/>
  <c r="I34" i="4" s="1"/>
  <c r="H35" i="4" a="1"/>
  <c r="H35" i="4" s="1"/>
  <c r="I35" i="4" s="1"/>
  <c r="H39" i="4" a="1"/>
  <c r="H39" i="4" s="1"/>
  <c r="I39" i="4" s="1"/>
  <c r="H40" i="4" a="1"/>
  <c r="H40" i="4" s="1"/>
  <c r="I40" i="4" s="1"/>
  <c r="H42" i="4" a="1"/>
  <c r="H42" i="4" s="1"/>
  <c r="I42" i="4" s="1"/>
  <c r="H43" i="4" a="1"/>
  <c r="H43" i="4" s="1"/>
  <c r="I43" i="4" s="1"/>
  <c r="H45" i="4" a="1"/>
  <c r="H45" i="4" s="1"/>
  <c r="I45" i="4" s="1"/>
  <c r="I13" i="7" s="1"/>
  <c r="H48" i="4" a="1"/>
  <c r="H48" i="4" s="1"/>
  <c r="I48" i="4" s="1"/>
  <c r="H51" i="4" a="1"/>
  <c r="H51" i="4" s="1"/>
  <c r="I51" i="4" s="1"/>
  <c r="H53" i="4" a="1"/>
  <c r="H53" i="4" s="1"/>
  <c r="I53" i="4" s="1"/>
  <c r="H55" i="4" a="1"/>
  <c r="H55" i="4" s="1"/>
  <c r="I55" i="4" s="1"/>
  <c r="AX5" i="31" l="1"/>
  <c r="B11" i="34"/>
  <c r="B26" i="34"/>
  <c r="B17" i="34"/>
  <c r="H8" i="7"/>
  <c r="J8" i="7" s="1"/>
  <c r="H13" i="7"/>
  <c r="B19" i="34"/>
  <c r="B16" i="34"/>
  <c r="B1" i="34"/>
  <c r="B3" i="34"/>
  <c r="AF5" i="31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BP5" i="31" l="1"/>
  <c r="C14" i="32"/>
  <c r="C15" i="32"/>
  <c r="C16" i="32"/>
  <c r="C12" i="32"/>
  <c r="C13" i="32"/>
  <c r="J11" i="7"/>
  <c r="J10" i="7"/>
  <c r="J12" i="7"/>
  <c r="J9" i="7"/>
  <c r="J15" i="7"/>
  <c r="J14" i="7"/>
  <c r="AM20" i="8"/>
  <c r="AM23" i="8" s="1"/>
  <c r="J7" i="7"/>
  <c r="N20" i="8"/>
  <c r="N23" i="8" s="1"/>
  <c r="J6" i="7"/>
  <c r="Q41" i="31" l="1"/>
  <c r="B15" i="32"/>
  <c r="G41" i="31" s="1"/>
  <c r="Q38" i="31"/>
  <c r="B14" i="32"/>
  <c r="G38" i="31" s="1"/>
  <c r="B13" i="32"/>
  <c r="G35" i="31" s="1"/>
  <c r="Q35" i="31"/>
  <c r="Q32" i="31"/>
  <c r="B12" i="32"/>
  <c r="G32" i="31" s="1"/>
  <c r="Q44" i="31"/>
  <c r="B16" i="32"/>
  <c r="G44" i="31" s="1"/>
  <c r="N9" i="7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<sst xmlns="http://schemas.openxmlformats.org/spreadsheetml/2006/main" count="359" uniqueCount="128">
  <si>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</si>
  <si>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</si>
  <si>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</si>
  <si>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</si>
  <si>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</si>
  <si>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</si>
  <si>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</si>
  <si>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</si>
  <si>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</si>
  <si>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</si>
  <si>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</si>
  <si>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</si>
  <si>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</si>
  <si>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</si>
  <si>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</si>
  <si>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</si>
  <si>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</si>
  <si>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</si>
  <si>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</si>
  <si>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</si>
  <si>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</si>
  <si>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</si>
  <si>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</si>
  <si>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</si>
  <si>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</si>
  <si>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</si>
  <si>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</si>
  <si>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</si>
  <si>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</si>
  <si>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</si>
  <si>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</si>
  <si>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</si>
  <si>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</si>
  <si>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</si>
  <si>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</si>
  <si>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</si>
  <si>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</si>
  <si>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</si>
  <si>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</si>
  <si>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</si>
  <si>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</si>
  <si>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</si>
  <si>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</si>
  <si>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</si>
  <si>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</si>
  <si>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</si>
  <si>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</si>
  <si>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</si>
  <si>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</si>
  <si>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</si>
  <si>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</si>
  <si>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</si>
  <si>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</si>
  <si>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</si>
  <si>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</si>
  <si>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</si>
  <si>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</si>
  <si>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</si>
  <si>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</si>
  <si>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</si>
  <si>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</si>
  <si>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""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</si>
  <si>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</si>
  <si>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</si>
  <si>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</si>
  <si>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</si>
  <si>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</si>
  <si>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</si>
  <si>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</si>
  <si>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</si>
  <si>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</si>
  <si>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</si>
  <si>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</si>
  <si>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</si>
  <si>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</si>
  <si>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</si>
  <si>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</si>
  <si>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</si>
  <si>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</si>
  <si>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</si>
  <si>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</si>
  <si>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</si>
  <si>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</si>
  <si>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</si>
  <si>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</si>
  <si>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</si>
  <si>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</si>
  <si>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</si>
  <si>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</si>
  <si>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</si>
  <si>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</si>
  <si>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</si>
  <si>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</si>
  <si>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</si>
  <si>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</si>
  <si>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</si>
  <si>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</si>
  <si>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</si>
  <si>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</si>
  <si>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</si>
  <si>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</si>
  <si>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</si>
  <si>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</si>
  <si>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</si>
  <si>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</si>
  <si>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</si>
  <si>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</si>
  <si>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Ranking Faturamento</t>
  </si>
  <si>
    <t>Faturamento</t>
  </si>
  <si>
    <t>Mês</t>
  </si>
  <si>
    <t>Faturamento vs. Despesas</t>
  </si>
  <si>
    <t>N. Mês</t>
  </si>
  <si>
    <t>Despesas</t>
  </si>
  <si>
    <t>Produto:</t>
  </si>
  <si>
    <t>Entradas e Saídas (Qtd)</t>
  </si>
  <si>
    <t xml:space="preserve">Entradas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</si>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</sst>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4"/>
      <name val="Barlow"/>
    </font>
    <font>
      <b/>
      <sz val="15"/>
      <color theme="0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787674"/>
      </bottom>
      <diagonal/>
    </border>
    <border>
      <left/>
      <right style="thin">
        <color indexed="64"/>
      </right>
      <top/>
      <bottom style="medium">
        <color rgb="FF787674"/>
      </bottom>
      <diagonal/>
    </border>
    <border>
      <left style="thin">
        <color indexed="64"/>
      </left>
      <right/>
      <top style="medium">
        <color rgb="FF787674"/>
      </top>
      <bottom/>
      <diagonal/>
    </border>
    <border>
      <left/>
      <right style="thin">
        <color indexed="64"/>
      </right>
      <top style="medium">
        <color rgb="FF787674"/>
      </top>
      <bottom/>
      <diagonal/>
    </border>
    <border>
      <left style="thin">
        <color indexed="64"/>
      </left>
      <right/>
      <top/>
      <bottom style="medium">
        <color rgb="FFE8D7A4"/>
      </bottom>
      <diagonal/>
    </border>
    <border>
      <left/>
      <right style="thin">
        <color indexed="64"/>
      </right>
      <top/>
      <bottom style="medium">
        <color rgb="FFE8D7A4"/>
      </bottom>
      <diagonal/>
    </border>
    <border>
      <left style="thin">
        <color indexed="6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 style="thin">
        <color indexed="64"/>
      </bottom>
      <diagonal/>
    </border>
    <border>
      <left/>
      <right style="thick">
        <color rgb="FFE8D7A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3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2" borderId="22" xfId="0" applyFill="1" applyBorder="1"/>
    <xf numFmtId="0" fontId="0" fillId="2" borderId="0" xfId="0" applyFill="1"/>
    <xf numFmtId="0" fontId="0" fillId="2" borderId="23" xfId="0" applyFill="1" applyBorder="1"/>
    <xf numFmtId="0" fontId="30" fillId="0" borderId="0" xfId="0" applyFont="1" applyAlignment="1">
      <alignment horizontal="center" wrapText="1"/>
    </xf>
    <xf numFmtId="0" fontId="0" fillId="0" borderId="48" xfId="0" applyBorder="1"/>
    <xf numFmtId="0" fontId="0" fillId="0" borderId="49" xfId="0" applyBorder="1"/>
    <xf numFmtId="166" fontId="0" fillId="0" borderId="0" xfId="0" applyNumberFormat="1"/>
    <xf numFmtId="164" fontId="0" fillId="0" borderId="49" xfId="0" applyNumberFormat="1" applyBorder="1"/>
    <xf numFmtId="0" fontId="0" fillId="0" borderId="50" xfId="0" applyBorder="1"/>
    <xf numFmtId="166" fontId="0" fillId="0" borderId="51" xfId="0" applyNumberFormat="1" applyBorder="1"/>
    <xf numFmtId="164" fontId="0" fillId="0" borderId="51" xfId="0" applyNumberFormat="1" applyBorder="1"/>
    <xf numFmtId="164" fontId="0" fillId="0" borderId="52" xfId="0" applyNumberFormat="1" applyBorder="1"/>
    <xf numFmtId="0" fontId="0" fillId="0" borderId="48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2" borderId="34" xfId="0" applyFill="1" applyBorder="1"/>
    <xf numFmtId="0" fontId="0" fillId="2" borderId="1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55" xfId="0" applyBorder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41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39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33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18" xfId="0" applyNumberFormat="1" applyFont="1" applyBorder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0" fontId="46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16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16" xfId="0" applyNumberFormat="1" applyFont="1" applyBorder="1" applyAlignment="1">
      <alignment horizontal="left" vertical="center"/>
    </xf>
    <xf numFmtId="165" fontId="29" fillId="0" borderId="17" xfId="0" applyNumberFormat="1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0" fontId="47" fillId="3" borderId="21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23" xfId="0" applyFont="1" applyFill="1" applyBorder="1" applyAlignment="1">
      <alignment horizontal="center" vertical="center"/>
    </xf>
    <xf numFmtId="0" fontId="47" fillId="3" borderId="26" xfId="0" applyFont="1" applyFill="1" applyBorder="1" applyAlignment="1">
      <alignment horizontal="center" vertical="center"/>
    </xf>
    <xf numFmtId="0" fontId="47" fillId="3" borderId="12" xfId="0" applyFont="1" applyFill="1" applyBorder="1" applyAlignment="1">
      <alignment horizontal="center" vertical="center"/>
    </xf>
    <xf numFmtId="0" fontId="47" fillId="3" borderId="13" xfId="0" applyFont="1" applyFill="1" applyBorder="1" applyAlignment="1">
      <alignment horizontal="center" vertical="center"/>
    </xf>
    <xf numFmtId="0" fontId="47" fillId="3" borderId="14" xfId="0" applyFont="1" applyFill="1" applyBorder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36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46" fillId="0" borderId="37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30" fillId="0" borderId="0" xfId="0" applyFont="1" applyAlignment="1">
      <alignment horizontal="center" wrapText="1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0" xfId="0" applyBorder="1" applyAlignment="1">
      <alignment horizontal="center"/>
    </xf>
    <xf numFmtId="166" fontId="0" fillId="0" borderId="45" xfId="0" applyNumberFormat="1" applyBorder="1" applyAlignment="1">
      <alignment horizontal="center"/>
    </xf>
    <xf numFmtId="0" fontId="0" fillId="0" borderId="53" xfId="0" applyBorder="1"/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4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3"/>
    </tableStyle>
  </tableStyles>
  <colors>
    <mruColors>
      <color rgb="FFB39563"/>
      <color rgb="FFEBC282"/>
      <color rgb="FFA58C5F"/>
      <color rgb="FFE7B667"/>
      <color rgb="FF313829"/>
      <color rgb="FF1A261A"/>
      <color rgb="FF787674"/>
      <color rgb="FF373A3A"/>
      <color rgb="FF343C2C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E-4FDA-8EB1-0860795955E3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E-4FDA-8EB1-0860795955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4266159"/>
        <c:axId val="94267599"/>
      </c:barChart>
      <c:catAx>
        <c:axId val="9426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67599"/>
        <c:crosses val="autoZero"/>
        <c:auto val="1"/>
        <c:lblAlgn val="ctr"/>
        <c:lblOffset val="100"/>
        <c:noMultiLvlLbl val="0"/>
      </c:catAx>
      <c:valAx>
        <c:axId val="94267599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26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chemeClr val="dk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30947716042535E-2"/>
          <c:y val="0.26506352198932881"/>
          <c:w val="0.88825465478786991"/>
          <c:h val="0.56794326765492342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A-4CEE-9023-CEFDD475DD4F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A-4CEE-9023-CEFDD475DD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1170223"/>
        <c:axId val="451164943"/>
      </c:lineChart>
      <c:catAx>
        <c:axId val="45117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164943"/>
        <c:crosses val="autoZero"/>
        <c:auto val="1"/>
        <c:lblAlgn val="ctr"/>
        <c:lblOffset val="100"/>
        <c:noMultiLvlLbl val="1"/>
      </c:catAx>
      <c:valAx>
        <c:axId val="451164943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17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9-4425-BD02-C0B8E3A3F133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9-4425-BD02-C0B8E3A3F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854640"/>
        <c:axId val="1609855120"/>
      </c:barChart>
      <c:catAx>
        <c:axId val="160985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9855120"/>
        <c:crosses val="autoZero"/>
        <c:auto val="1"/>
        <c:lblAlgn val="ctr"/>
        <c:lblOffset val="100"/>
        <c:noMultiLvlLbl val="0"/>
      </c:catAx>
      <c:valAx>
        <c:axId val="16098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985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A4-46BE-B28E-797EB2EA588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A4-46BE-B28E-797EB2EA588F}"/>
              </c:ext>
            </c:extLst>
          </c:dPt>
          <c:dLbls>
            <c:spPr>
              <a:solidFill>
                <a:srgbClr val="B3956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Cálculos'!$M$16:$N$16</c:f>
              <c:strCache>
                <c:ptCount val="2"/>
                <c:pt idx="0">
                  <c:v>Entradas </c:v>
                </c:pt>
                <c:pt idx="1">
                  <c:v>Saídas</c:v>
                </c:pt>
              </c:strCache>
            </c:strRef>
          </c:cat>
          <c:val>
            <c:numRef>
              <c:f>'Base de Cálculos'!$M$17:$N$17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A4-46BE-B28E-797EB2EA588F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4</xdr:col>
      <xdr:colOff>504257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4</xdr:col>
      <xdr:colOff>393224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6</xdr:row>
      <xdr:rowOff>21066</xdr:rowOff>
    </xdr:from>
    <xdr:to>
      <xdr:col>31</xdr:col>
      <xdr:colOff>892</xdr:colOff>
      <xdr:row>6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1</xdr:row>
      <xdr:rowOff>30480</xdr:rowOff>
    </xdr:from>
    <xdr:to>
      <xdr:col>29</xdr:col>
      <xdr:colOff>95250</xdr:colOff>
      <xdr:row>5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10</xdr:row>
      <xdr:rowOff>15240</xdr:rowOff>
    </xdr:from>
    <xdr:to>
      <xdr:col>24</xdr:col>
      <xdr:colOff>114300</xdr:colOff>
      <xdr:row>27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380C9B-8469-6864-A9AA-C15AFF6FF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22860</xdr:colOff>
      <xdr:row>11</xdr:row>
      <xdr:rowOff>15240</xdr:rowOff>
    </xdr:from>
    <xdr:to>
      <xdr:col>83</xdr:col>
      <xdr:colOff>83820</xdr:colOff>
      <xdr:row>27</xdr:row>
      <xdr:rowOff>91440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97258006-C9B4-9297-353D-E503B938E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15240</xdr:colOff>
      <xdr:row>33</xdr:row>
      <xdr:rowOff>38100</xdr:rowOff>
    </xdr:from>
    <xdr:to>
      <xdr:col>65</xdr:col>
      <xdr:colOff>106680</xdr:colOff>
      <xdr:row>46</xdr:row>
      <xdr:rowOff>76200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FE04AEEC-464B-630F-ACB8-E1E1D6C6B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15240</xdr:colOff>
      <xdr:row>31</xdr:row>
      <xdr:rowOff>15240</xdr:rowOff>
    </xdr:from>
    <xdr:to>
      <xdr:col>83</xdr:col>
      <xdr:colOff>121920</xdr:colOff>
      <xdr:row>46</xdr:row>
      <xdr:rowOff>99060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98374501-6004-D261-E05A-AF639EFAE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2" dataDxfId="41">
  <autoFilter ref="B4:F31" xr:uid="{BF78AD2E-2996-4673-93A5-FBABBADBFCAD}"/>
  <tableColumns count="5">
    <tableColumn id="1" xr3:uid="{377E90C8-0A45-4737-AC04-4C7CDB0AEAE2}" name="Produto" dataDxfId="40"/>
    <tableColumn id="2" xr3:uid="{4EB804C9-8A27-4783-BD36-FB9E656AE6E9}" name="Unidade de Medida" dataDxfId="39"/>
    <tableColumn id="3" xr3:uid="{A21D3E1F-EEC0-4E4A-BE5D-F1FC07B6F8D6}" name="Estoque Mínimo" dataDxfId="38"/>
    <tableColumn id="4" xr3:uid="{56ACBABD-1CFA-40E7-BC2B-DBA4120CD2CF}" name="Custo Unitário" dataDxfId="37" dataCellStyle="Moeda"/>
    <tableColumn id="5" xr3:uid="{96CD541B-A2C4-4577-95D7-DC8135FFC00B}" name="Preço Unitário" dataDxfId="36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5" dataDxfId="34">
  <autoFilter ref="B5:E9" xr:uid="{3FE8CB29-2D3F-4475-8076-85314FAA5C42}"/>
  <tableColumns count="4">
    <tableColumn id="1" xr3:uid="{5957F8AA-CE75-4BE8-A28F-E63751C6F321}" name="Empresa" dataDxfId="33"/>
    <tableColumn id="2" xr3:uid="{714E240A-6400-4353-BAFA-98056A75BEB8}" name="Telefone" dataDxfId="32"/>
    <tableColumn id="3" xr3:uid="{83F2A368-4F63-4459-A8E0-C24478833107}" name="Responsável" dataDxfId="31"/>
    <tableColumn id="4" xr3:uid="{B26AA4D1-77D3-4E4E-8E26-1DD67159E60C}" name="E-mail" dataDxfId="30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I59" totalsRowShown="0" headerRowDxfId="29" dataDxfId="28">
  <autoFilter ref="B5:I59" xr:uid="{96889516-6D39-4469-A223-4B0F7168EF79}"/>
  <tableColumns count="8">
    <tableColumn id="7" xr3:uid="{4AF3EAC0-F872-46A1-9540-C49902B0DCA4}" name="&quot;&quot;" dataDxfId="27">
      <calculatedColumnFormula>MONTH(TB_Entradas[[#This Row],[Data]])</calculatedColumnFormula>
    </tableColumn>
    <tableColumn id="8" xr3:uid="{3C73B3F7-29E5-44EE-93C7-3CEA2CF3A38D}" name="Mês" dataDxfId="26">
      <calculatedColumnFormula>MONTH(TB_Entradas[[#This Row],[Data]])</calculatedColumnFormula>
    </tableColumn>
    <tableColumn id="1" xr3:uid="{701AD28A-1CD8-44C9-BCEB-958AEB0E91DD}" name="Data" dataDxfId="25"/>
    <tableColumn id="2" xr3:uid="{F247CE0B-0EF4-4B75-A4B5-2205D8CF8B59}" name="Produto" dataDxfId="24"/>
    <tableColumn id="3" xr3:uid="{1A5D1499-6E9D-496F-95A9-F290D6FBA0EA}" name="Fornecedor" dataDxfId="23"/>
    <tableColumn id="4" xr3:uid="{8E9FF413-1C84-4664-AA13-4DDF2E3D7D9D}" name="Quantidade Comprada" dataDxfId="22" dataCellStyle="Moeda"/>
    <tableColumn id="5" xr3:uid="{A02F7FDA-CBAC-4B18-A2AB-0654AA440E5C}" name="Custo Unitário" dataDxfId="21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0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H62" totalsRowShown="0" headerRowDxfId="19" dataDxfId="18">
  <autoFilter ref="B5:H62" xr:uid="{586A585A-A0FE-42A4-967D-5B04DAD1156E}"/>
  <tableColumns count="7">
    <tableColumn id="7" xr3:uid="{1596BF95-EC92-45A1-A4DC-822BF85970E2}" name="&quot;&quot;" dataDxfId="17">
      <calculatedColumnFormula>MONTH(TB_Saídas[[#This Row],[Data]])</calculatedColumnFormula>
    </tableColumn>
    <tableColumn id="6" xr3:uid="{F3F34B57-E336-4372-99EC-4C5F49711DEA}" name="Mês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G5" sqref="G5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6.2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6.2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6.2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6.2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6.2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6.2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6.2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6.2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6.2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6.2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6.2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6.2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6.2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6.2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6.2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6.2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6.2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6.2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6.2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6.2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59D-1877-4903-BB98-7F16CBAA754E}">
  <dimension ref="A1:B27"/>
  <sheetViews>
    <sheetView workbookViewId="0">
      <selection activeCell="G11" sqref="G11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tr" cm="1">
        <f t="array" ref="A1:A27">TB_Produtos[Produto]</f>
        <v>Café</v>
      </c>
      <c r="B1">
        <f>SUMIF(TB_Saídas[Produto],A1,TB_Saídas[Valor de Venda])</f>
        <v>5670</v>
      </c>
    </row>
    <row r="2" spans="1:2" x14ac:dyDescent="0.3">
      <c r="A2" t="str">
        <v>Pão</v>
      </c>
      <c r="B2">
        <f>SUMIF(TB_Saídas[Produto],A2,TB_Saídas[Valor de Venda])</f>
        <v>0</v>
      </c>
    </row>
    <row r="3" spans="1:2" x14ac:dyDescent="0.3">
      <c r="A3" t="str">
        <v>Coxinha</v>
      </c>
      <c r="B3">
        <f>SUMIF(TB_Saídas[Produto],A3,TB_Saídas[Valor de Venda])</f>
        <v>1592.5</v>
      </c>
    </row>
    <row r="4" spans="1:2" x14ac:dyDescent="0.3">
      <c r="A4" t="str">
        <v>Esfiha</v>
      </c>
      <c r="B4">
        <f>SUMIF(TB_Saídas[Produto],A4,TB_Saídas[Valor de Venda])</f>
        <v>0</v>
      </c>
    </row>
    <row r="5" spans="1:2" x14ac:dyDescent="0.3">
      <c r="A5" t="str">
        <v>Risoles</v>
      </c>
      <c r="B5">
        <f>SUMIF(TB_Saídas[Produto],A5,TB_Saídas[Valor de Venda])</f>
        <v>0</v>
      </c>
    </row>
    <row r="6" spans="1:2" x14ac:dyDescent="0.3">
      <c r="A6" t="str">
        <v>Empada</v>
      </c>
      <c r="B6">
        <f>SUMIF(TB_Saídas[Produto],A6,TB_Saídas[Valor de Venda])</f>
        <v>0</v>
      </c>
    </row>
    <row r="7" spans="1:2" x14ac:dyDescent="0.3">
      <c r="A7" t="str">
        <v>Quibe</v>
      </c>
      <c r="B7">
        <f>SUMIF(TB_Saídas[Produto],A7,TB_Saídas[Valor de Venda])</f>
        <v>0</v>
      </c>
    </row>
    <row r="8" spans="1:2" x14ac:dyDescent="0.3">
      <c r="A8" t="str">
        <v>Chá</v>
      </c>
      <c r="B8">
        <f>SUMIF(TB_Saídas[Produto],A8,TB_Saídas[Valor de Venda])</f>
        <v>0</v>
      </c>
    </row>
    <row r="9" spans="1:2" x14ac:dyDescent="0.3">
      <c r="A9" t="str">
        <v>Manteiga</v>
      </c>
      <c r="B9">
        <f>SUMIF(TB_Saídas[Produto],A9,TB_Saídas[Valor de Venda])</f>
        <v>0</v>
      </c>
    </row>
    <row r="10" spans="1:2" x14ac:dyDescent="0.3">
      <c r="A10" t="str">
        <v>Requeijão</v>
      </c>
      <c r="B10">
        <f>SUMIF(TB_Saídas[Produto],A10,TB_Saídas[Valor de Venda])</f>
        <v>0</v>
      </c>
    </row>
    <row r="11" spans="1:2" x14ac:dyDescent="0.3">
      <c r="A11" t="str">
        <v>Chocolate Quente</v>
      </c>
      <c r="B11">
        <f>SUMIF(TB_Saídas[Produto],A11,TB_Saídas[Valor de Venda])</f>
        <v>4250</v>
      </c>
    </row>
    <row r="12" spans="1:2" x14ac:dyDescent="0.3">
      <c r="A12" t="str">
        <v xml:space="preserve">Leite </v>
      </c>
      <c r="B12">
        <f>SUMIF(TB_Saídas[Produto],A12,TB_Saídas[Valor de Venda])</f>
        <v>0</v>
      </c>
    </row>
    <row r="13" spans="1:2" x14ac:dyDescent="0.3">
      <c r="A13" t="str">
        <v>Açúcar</v>
      </c>
      <c r="B13">
        <f>SUMIF(TB_Saídas[Produto],A13,TB_Saídas[Valor de Venda])</f>
        <v>0</v>
      </c>
    </row>
    <row r="14" spans="1:2" x14ac:dyDescent="0.3">
      <c r="A14" t="str">
        <v>Mini Pizza</v>
      </c>
      <c r="B14">
        <f>SUMIF(TB_Saídas[Produto],A14,TB_Saídas[Valor de Venda])</f>
        <v>450</v>
      </c>
    </row>
    <row r="15" spans="1:2" x14ac:dyDescent="0.3">
      <c r="A15" t="str">
        <v>Chantilly</v>
      </c>
      <c r="B15">
        <f>SUMIF(TB_Saídas[Produto],A15,TB_Saídas[Valor de Venda])</f>
        <v>0</v>
      </c>
    </row>
    <row r="16" spans="1:2" x14ac:dyDescent="0.3">
      <c r="A16" t="str">
        <v>Pão de Queijo</v>
      </c>
      <c r="B16">
        <f>SUMIF(TB_Saídas[Produto],A16,TB_Saídas[Valor de Venda])</f>
        <v>3000</v>
      </c>
    </row>
    <row r="17" spans="1:2" x14ac:dyDescent="0.3">
      <c r="A17" t="str">
        <v>Suco de Laranja</v>
      </c>
      <c r="B17">
        <f>SUMIF(TB_Saídas[Produto],A17,TB_Saídas[Valor de Venda])</f>
        <v>1000</v>
      </c>
    </row>
    <row r="18" spans="1:2" x14ac:dyDescent="0.3">
      <c r="A18" t="str">
        <v>Hamburguer</v>
      </c>
      <c r="B18">
        <f>SUMIF(TB_Saídas[Produto],A18,TB_Saídas[Valor de Venda])</f>
        <v>750</v>
      </c>
    </row>
    <row r="19" spans="1:2" x14ac:dyDescent="0.3">
      <c r="A19" t="str">
        <v>Frango</v>
      </c>
      <c r="B19">
        <f>SUMIF(TB_Saídas[Produto],A19,TB_Saídas[Valor de Venda])</f>
        <v>450</v>
      </c>
    </row>
    <row r="20" spans="1:2" x14ac:dyDescent="0.3">
      <c r="A20" t="str">
        <v xml:space="preserve">Água </v>
      </c>
      <c r="B20">
        <f>SUMIF(TB_Saídas[Produto],A20,TB_Saídas[Valor de Venda])</f>
        <v>0</v>
      </c>
    </row>
    <row r="21" spans="1:2" x14ac:dyDescent="0.3">
      <c r="A21" t="str">
        <v>Cerveja</v>
      </c>
      <c r="B21">
        <f>SUMIF(TB_Saídas[Produto],A21,TB_Saídas[Valor de Venda])</f>
        <v>200</v>
      </c>
    </row>
    <row r="22" spans="1:2" x14ac:dyDescent="0.3">
      <c r="A22" t="str">
        <v>Queijo</v>
      </c>
      <c r="B22">
        <f>SUMIF(TB_Saídas[Produto],A22,TB_Saídas[Valor de Venda])</f>
        <v>0</v>
      </c>
    </row>
    <row r="23" spans="1:2" x14ac:dyDescent="0.3">
      <c r="A23" t="str">
        <v>Presunto</v>
      </c>
      <c r="B23">
        <f>SUMIF(TB_Saídas[Produto],A23,TB_Saídas[Valor de Venda])</f>
        <v>0</v>
      </c>
    </row>
    <row r="24" spans="1:2" x14ac:dyDescent="0.3">
      <c r="A24" t="str">
        <v>Mortadela</v>
      </c>
      <c r="B24">
        <f>SUMIF(TB_Saídas[Produto],A24,TB_Saídas[Valor de Venda])</f>
        <v>0</v>
      </c>
    </row>
    <row r="25" spans="1:2" x14ac:dyDescent="0.3">
      <c r="A25" t="str">
        <v>Peito de Peru</v>
      </c>
      <c r="B25">
        <f>SUMIF(TB_Saídas[Produto],A25,TB_Saídas[Valor de Venda])</f>
        <v>0</v>
      </c>
    </row>
    <row r="26" spans="1:2" x14ac:dyDescent="0.3">
      <c r="A26" t="str">
        <v>Refrigerante</v>
      </c>
      <c r="B26">
        <f>SUMIF(TB_Saídas[Produto],A26,TB_Saídas[Valor de Venda])</f>
        <v>1680</v>
      </c>
    </row>
    <row r="27" spans="1:2" x14ac:dyDescent="0.3">
      <c r="A27" t="str">
        <v>Enroladinho</v>
      </c>
      <c r="B27">
        <f>SUMIF(TB_Saídas[Produto],A27,TB_Saídas[Valor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E6" sqref="E6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6.2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6.2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I59"/>
  <sheetViews>
    <sheetView showGridLines="0" zoomScale="140" zoomScaleNormal="140" workbookViewId="0">
      <selection activeCell="C7" sqref="C7"/>
    </sheetView>
  </sheetViews>
  <sheetFormatPr defaultColWidth="9.109375" defaultRowHeight="14.4" x14ac:dyDescent="0.3"/>
  <cols>
    <col min="1" max="1" width="5.33203125" customWidth="1"/>
    <col min="2" max="2" width="0" hidden="1" customWidth="1"/>
    <col min="4" max="4" width="15.6640625" customWidth="1"/>
    <col min="5" max="5" width="17.109375" style="2" customWidth="1"/>
    <col min="6" max="6" width="18" style="2" customWidth="1"/>
    <col min="7" max="7" width="22.88671875" customWidth="1"/>
    <col min="8" max="8" width="22.33203125" style="2" customWidth="1"/>
    <col min="9" max="9" width="17.44140625" customWidth="1"/>
    <col min="10" max="10" width="18.44140625" customWidth="1"/>
  </cols>
  <sheetData>
    <row r="1" spans="2:9" s="29" customFormat="1" ht="60" customHeight="1" x14ac:dyDescent="0.3">
      <c r="G1" s="37" t="s">
        <v>60</v>
      </c>
      <c r="H1" s="30"/>
    </row>
    <row r="2" spans="2:9" s="32" customFormat="1" ht="6" customHeight="1" x14ac:dyDescent="0.3">
      <c r="H2" s="33"/>
    </row>
    <row r="4" spans="2:9" x14ac:dyDescent="0.3">
      <c r="E4"/>
    </row>
    <row r="5" spans="2:9" s="4" customFormat="1" x14ac:dyDescent="0.3">
      <c r="B5" s="84" t="s">
        <v>61</v>
      </c>
      <c r="C5" s="84" t="s">
        <v>109</v>
      </c>
      <c r="D5" s="48" t="s">
        <v>62</v>
      </c>
      <c r="E5" s="48" t="s">
        <v>1</v>
      </c>
      <c r="F5" s="48" t="s">
        <v>63</v>
      </c>
      <c r="G5" s="48" t="s">
        <v>64</v>
      </c>
      <c r="H5" s="49" t="s">
        <v>4</v>
      </c>
      <c r="I5" s="49" t="s">
        <v>65</v>
      </c>
    </row>
    <row r="6" spans="2:9" ht="16.2" x14ac:dyDescent="0.35">
      <c r="B6" s="50">
        <f>MONTH(TB_Entradas[[#This Row],[Data]])</f>
        <v>1</v>
      </c>
      <c r="C6" s="50">
        <f>MONTH(TB_Entradas[[#This Row],[Data]])</f>
        <v>1</v>
      </c>
      <c r="D6" s="45">
        <v>44566</v>
      </c>
      <c r="E6" s="42" t="s">
        <v>6</v>
      </c>
      <c r="F6" s="35" t="s">
        <v>43</v>
      </c>
      <c r="G6" s="43">
        <v>100</v>
      </c>
      <c r="H6" s="44" cm="1">
        <f t="array" ref="H6">_xlfn.XLOOKUP(TB_Entradas[[#This Row],[Produto]],TB_Produtos[[#All],[Produto]],TB_Produtos[[#All],[Custo Unitário]],"Produto não Encontrado",0,1)</f>
        <v>2</v>
      </c>
      <c r="I6" s="44">
        <f>IFERROR(TB_Entradas[[#This Row],[Quantidade Comprada]]*TB_Entradas[[#This Row],[Custo Unitário]],"Erro ao calcular")</f>
        <v>200</v>
      </c>
    </row>
    <row r="7" spans="2:9" ht="16.2" x14ac:dyDescent="0.35">
      <c r="B7" s="50">
        <f>MONTH(TB_Entradas[[#This Row],[Data]])</f>
        <v>1</v>
      </c>
      <c r="C7" s="50">
        <f>MONTH(TB_Entradas[[#This Row],[Data]])</f>
        <v>1</v>
      </c>
      <c r="D7" s="45">
        <v>44566</v>
      </c>
      <c r="E7" s="42" t="s">
        <v>10</v>
      </c>
      <c r="F7" s="35" t="s">
        <v>56</v>
      </c>
      <c r="G7" s="43">
        <v>100</v>
      </c>
      <c r="H7" s="44" cm="1">
        <f t="array" ref="H7">_xlfn.XLOOKUP(TB_Entradas[[#This Row],[Produto]],TB_Produtos[[#All],[Produto]],TB_Produtos[[#All],[Custo Unitário]],"Produto não Encontrado",0,1)</f>
        <v>0.5</v>
      </c>
      <c r="I7" s="44">
        <f>IFERROR(TB_Entradas[[#This Row],[Quantidade Comprada]]*TB_Entradas[[#This Row],[Custo Unitário]],"Erro ao calcular")</f>
        <v>50</v>
      </c>
    </row>
    <row r="8" spans="2:9" ht="16.2" x14ac:dyDescent="0.35">
      <c r="B8" s="50">
        <f>MONTH(TB_Entradas[[#This Row],[Data]])</f>
        <v>1</v>
      </c>
      <c r="C8" s="50">
        <f>MONTH(TB_Entradas[[#This Row],[Data]])</f>
        <v>1</v>
      </c>
      <c r="D8" s="45">
        <v>44576</v>
      </c>
      <c r="E8" s="42" t="s">
        <v>19</v>
      </c>
      <c r="F8" s="35" t="s">
        <v>43</v>
      </c>
      <c r="G8" s="43">
        <v>90</v>
      </c>
      <c r="H8" s="44" cm="1">
        <f t="array" ref="H8">_xlfn.XLOOKUP(TB_Entradas[[#This Row],[Produto]],TB_Produtos[[#All],[Produto]],TB_Produtos[[#All],[Custo Unitário]],"Produto não Encontrado",0,1)</f>
        <v>0.25</v>
      </c>
      <c r="I8" s="44">
        <f>IFERROR(TB_Entradas[[#This Row],[Quantidade Comprada]]*TB_Entradas[[#This Row],[Custo Unitário]],"Erro ao calcular")</f>
        <v>22.5</v>
      </c>
    </row>
    <row r="9" spans="2:9" ht="16.2" x14ac:dyDescent="0.35">
      <c r="B9" s="50">
        <f>MONTH(TB_Entradas[[#This Row],[Data]])</f>
        <v>1</v>
      </c>
      <c r="C9" s="50">
        <f>MONTH(TB_Entradas[[#This Row],[Data]])</f>
        <v>1</v>
      </c>
      <c r="D9" s="45">
        <v>44578</v>
      </c>
      <c r="E9" s="42" t="s">
        <v>25</v>
      </c>
      <c r="F9" s="35" t="s">
        <v>56</v>
      </c>
      <c r="G9" s="43">
        <v>100</v>
      </c>
      <c r="H9" s="44" cm="1">
        <f t="array" ref="H9">_xlfn.XLOOKUP(TB_Entradas[[#This Row],[Produto]],TB_Produtos[[#All],[Produto]],TB_Produtos[[#All],[Custo Unitário]],"Produto não Encontrado",0,1)</f>
        <v>0.25</v>
      </c>
      <c r="I9" s="44">
        <f>IFERROR(TB_Entradas[[#This Row],[Quantidade Comprada]]*TB_Entradas[[#This Row],[Custo Unitário]],"Erro ao calcular")</f>
        <v>25</v>
      </c>
    </row>
    <row r="10" spans="2:9" ht="16.2" x14ac:dyDescent="0.35">
      <c r="B10" s="50">
        <f>MONTH(TB_Entradas[[#This Row],[Data]])</f>
        <v>2</v>
      </c>
      <c r="C10" s="50">
        <f>MONTH(TB_Entradas[[#This Row],[Data]])</f>
        <v>2</v>
      </c>
      <c r="D10" s="45">
        <v>44593</v>
      </c>
      <c r="E10" s="42" t="s">
        <v>25</v>
      </c>
      <c r="F10" s="35" t="s">
        <v>56</v>
      </c>
      <c r="G10" s="43">
        <v>85</v>
      </c>
      <c r="H10" s="44" cm="1">
        <f t="array" ref="H10">_xlfn.XLOOKUP(TB_Entradas[[#This Row],[Produto]],TB_Produtos[[#All],[Produto]],TB_Produtos[[#All],[Custo Unitário]],"Produto não Encontrado",0,1)</f>
        <v>0.25</v>
      </c>
      <c r="I10" s="44">
        <f>IFERROR(TB_Entradas[[#This Row],[Quantidade Comprada]]*TB_Entradas[[#This Row],[Custo Unitário]],"Erro ao calcular")</f>
        <v>21.25</v>
      </c>
    </row>
    <row r="11" spans="2:9" ht="16.2" x14ac:dyDescent="0.35">
      <c r="B11" s="50">
        <f>MONTH(TB_Entradas[[#This Row],[Data]])</f>
        <v>2</v>
      </c>
      <c r="C11" s="50">
        <f>MONTH(TB_Entradas[[#This Row],[Data]])</f>
        <v>2</v>
      </c>
      <c r="D11" s="45">
        <v>44594</v>
      </c>
      <c r="E11" s="42" t="s">
        <v>19</v>
      </c>
      <c r="F11" s="35" t="s">
        <v>43</v>
      </c>
      <c r="G11" s="43">
        <v>80</v>
      </c>
      <c r="H11" s="44" cm="1">
        <f t="array" ref="H11">_xlfn.XLOOKUP(TB_Entradas[[#This Row],[Produto]],TB_Produtos[[#All],[Produto]],TB_Produtos[[#All],[Custo Unitário]],"Produto não Encontrado",0,1)</f>
        <v>0.25</v>
      </c>
      <c r="I11" s="44">
        <f>IFERROR(TB_Entradas[[#This Row],[Quantidade Comprada]]*TB_Entradas[[#This Row],[Custo Unitário]],"Erro ao calcular")</f>
        <v>20</v>
      </c>
    </row>
    <row r="12" spans="2:9" ht="16.2" x14ac:dyDescent="0.35">
      <c r="B12" s="50">
        <f>MONTH(TB_Entradas[[#This Row],[Data]])</f>
        <v>2</v>
      </c>
      <c r="C12" s="50">
        <f>MONTH(TB_Entradas[[#This Row],[Data]])</f>
        <v>2</v>
      </c>
      <c r="D12" s="45">
        <v>44598</v>
      </c>
      <c r="E12" s="42" t="s">
        <v>6</v>
      </c>
      <c r="F12" s="35" t="s">
        <v>43</v>
      </c>
      <c r="G12" s="43">
        <v>125</v>
      </c>
      <c r="H12" s="44" cm="1">
        <f t="array" ref="H12">_xlfn.XLOOKUP(TB_Entradas[[#This Row],[Produto]],TB_Produtos[[#All],[Produto]],TB_Produtos[[#All],[Custo Unitário]],"Produto não Encontrado",0,1)</f>
        <v>2</v>
      </c>
      <c r="I12" s="44">
        <f>IFERROR(TB_Entradas[[#This Row],[Quantidade Comprada]]*TB_Entradas[[#This Row],[Custo Unitário]],"Erro ao calcular")</f>
        <v>250</v>
      </c>
    </row>
    <row r="13" spans="2:9" ht="16.2" x14ac:dyDescent="0.35">
      <c r="B13" s="50">
        <f>MONTH(TB_Entradas[[#This Row],[Data]])</f>
        <v>2</v>
      </c>
      <c r="C13" s="50">
        <f>MONTH(TB_Entradas[[#This Row],[Data]])</f>
        <v>2</v>
      </c>
      <c r="D13" s="45">
        <v>44602</v>
      </c>
      <c r="E13" s="42" t="s">
        <v>31</v>
      </c>
      <c r="F13" s="35" t="s">
        <v>51</v>
      </c>
      <c r="G13" s="43">
        <v>50</v>
      </c>
      <c r="H13" s="44" cm="1">
        <f t="array" ref="H13">_xlfn.XLOOKUP(TB_Entradas[[#This Row],[Produto]],TB_Produtos[[#All],[Produto]],TB_Produtos[[#All],[Custo Unitário]],"Produto não Encontrado",0,1)</f>
        <v>0.75</v>
      </c>
      <c r="I13" s="44">
        <f>IFERROR(TB_Entradas[[#This Row],[Quantidade Comprada]]*TB_Entradas[[#This Row],[Custo Unitário]],"Erro ao calcular")</f>
        <v>37.5</v>
      </c>
    </row>
    <row r="14" spans="2:9" ht="16.2" x14ac:dyDescent="0.35">
      <c r="B14" s="50">
        <f>MONTH(TB_Entradas[[#This Row],[Data]])</f>
        <v>2</v>
      </c>
      <c r="C14" s="50">
        <f>MONTH(TB_Entradas[[#This Row],[Data]])</f>
        <v>2</v>
      </c>
      <c r="D14" s="45">
        <v>44612</v>
      </c>
      <c r="E14" s="42" t="s">
        <v>10</v>
      </c>
      <c r="F14" s="35" t="s">
        <v>56</v>
      </c>
      <c r="G14" s="43">
        <v>100</v>
      </c>
      <c r="H14" s="44" cm="1">
        <f t="array" ref="H14">_xlfn.XLOOKUP(TB_Entradas[[#This Row],[Produto]],TB_Produtos[[#All],[Produto]],TB_Produtos[[#All],[Custo Unitário]],"Produto não Encontrado",0,1)</f>
        <v>0.5</v>
      </c>
      <c r="I14" s="44">
        <f>IFERROR(TB_Entradas[[#This Row],[Quantidade Comprada]]*TB_Entradas[[#This Row],[Custo Unitário]],"Erro ao calcular")</f>
        <v>50</v>
      </c>
    </row>
    <row r="15" spans="2:9" ht="16.2" x14ac:dyDescent="0.35">
      <c r="B15" s="50">
        <f>MONTH(TB_Entradas[[#This Row],[Data]])</f>
        <v>3</v>
      </c>
      <c r="C15" s="50">
        <f>MONTH(TB_Entradas[[#This Row],[Data]])</f>
        <v>3</v>
      </c>
      <c r="D15" s="45">
        <v>44625</v>
      </c>
      <c r="E15" s="42" t="s">
        <v>36</v>
      </c>
      <c r="F15" s="35" t="s">
        <v>51</v>
      </c>
      <c r="G15" s="43">
        <v>250</v>
      </c>
      <c r="H15" s="44" cm="1">
        <f t="array" ref="H15">_xlfn.XLOOKUP(TB_Entradas[[#This Row],[Produto]],TB_Produtos[[#All],[Produto]],TB_Produtos[[#All],[Custo Unitário]],"Produto não Encontrado",0,1)</f>
        <v>2</v>
      </c>
      <c r="I15" s="44">
        <f>IFERROR(TB_Entradas[[#This Row],[Quantidade Comprada]]*TB_Entradas[[#This Row],[Custo Unitário]],"Erro ao calcular")</f>
        <v>500</v>
      </c>
    </row>
    <row r="16" spans="2:9" ht="16.2" x14ac:dyDescent="0.35">
      <c r="B16" s="50">
        <f>MONTH(TB_Entradas[[#This Row],[Data]])</f>
        <v>3</v>
      </c>
      <c r="C16" s="50">
        <f>MONTH(TB_Entradas[[#This Row],[Data]])</f>
        <v>3</v>
      </c>
      <c r="D16" s="45">
        <v>44630</v>
      </c>
      <c r="E16" s="42" t="s">
        <v>25</v>
      </c>
      <c r="F16" s="35" t="s">
        <v>56</v>
      </c>
      <c r="G16" s="43">
        <v>50</v>
      </c>
      <c r="H16" s="44" cm="1">
        <f t="array" ref="H16">_xlfn.XLOOKUP(TB_Entradas[[#This Row],[Produto]],TB_Produtos[[#All],[Produto]],TB_Produtos[[#All],[Custo Unitário]],"Produto não Encontrado",0,1)</f>
        <v>0.25</v>
      </c>
      <c r="I16" s="44">
        <f>IFERROR(TB_Entradas[[#This Row],[Quantidade Comprada]]*TB_Entradas[[#This Row],[Custo Unitário]],"Erro ao calcular")</f>
        <v>12.5</v>
      </c>
    </row>
    <row r="17" spans="2:9" ht="16.2" x14ac:dyDescent="0.35">
      <c r="B17" s="50">
        <f>MONTH(TB_Entradas[[#This Row],[Data]])</f>
        <v>3</v>
      </c>
      <c r="C17" s="50">
        <f>MONTH(TB_Entradas[[#This Row],[Data]])</f>
        <v>3</v>
      </c>
      <c r="D17" s="45">
        <v>44635</v>
      </c>
      <c r="E17" s="42" t="s">
        <v>6</v>
      </c>
      <c r="F17" s="35" t="s">
        <v>43</v>
      </c>
      <c r="G17" s="43">
        <v>150</v>
      </c>
      <c r="H17" s="44" cm="1">
        <f t="array" ref="H17">_xlfn.XLOOKUP(TB_Entradas[[#This Row],[Produto]],TB_Produtos[[#All],[Produto]],TB_Produtos[[#All],[Custo Unitário]],"Produto não Encontrado",0,1)</f>
        <v>2</v>
      </c>
      <c r="I17" s="44">
        <f>IFERROR(TB_Entradas[[#This Row],[Quantidade Comprada]]*TB_Entradas[[#This Row],[Custo Unitário]],"Erro ao calcular")</f>
        <v>300</v>
      </c>
    </row>
    <row r="18" spans="2:9" ht="16.2" x14ac:dyDescent="0.35">
      <c r="B18" s="50">
        <f>MONTH(TB_Entradas[[#This Row],[Data]])</f>
        <v>3</v>
      </c>
      <c r="C18" s="50">
        <f>MONTH(TB_Entradas[[#This Row],[Data]])</f>
        <v>3</v>
      </c>
      <c r="D18" s="45">
        <v>44637</v>
      </c>
      <c r="E18" s="42" t="s">
        <v>26</v>
      </c>
      <c r="F18" s="35" t="s">
        <v>43</v>
      </c>
      <c r="G18" s="43">
        <v>100</v>
      </c>
      <c r="H18" s="44" cm="1">
        <f t="array" ref="H18">_xlfn.XLOOKUP(TB_Entradas[[#This Row],[Produto]],TB_Produtos[[#All],[Produto]],TB_Produtos[[#All],[Custo Unitário]],"Produto não Encontrado",0,1)</f>
        <v>0.75</v>
      </c>
      <c r="I18" s="44">
        <f>IFERROR(TB_Entradas[[#This Row],[Quantidade Comprada]]*TB_Entradas[[#This Row],[Custo Unitário]],"Erro ao calcular")</f>
        <v>75</v>
      </c>
    </row>
    <row r="19" spans="2:9" ht="16.2" x14ac:dyDescent="0.35">
      <c r="B19" s="50">
        <f>MONTH(TB_Entradas[[#This Row],[Data]])</f>
        <v>3</v>
      </c>
      <c r="C19" s="50">
        <f>MONTH(TB_Entradas[[#This Row],[Data]])</f>
        <v>3</v>
      </c>
      <c r="D19" s="45">
        <v>44644</v>
      </c>
      <c r="E19" s="42" t="s">
        <v>19</v>
      </c>
      <c r="F19" s="35" t="s">
        <v>43</v>
      </c>
      <c r="G19" s="43">
        <v>40</v>
      </c>
      <c r="H19" s="44" cm="1">
        <f t="array" ref="H19">_xlfn.XLOOKUP(TB_Entradas[[#This Row],[Produto]],TB_Produtos[[#All],[Produto]],TB_Produtos[[#All],[Custo Unitário]],"Produto não Encontrado",0,1)</f>
        <v>0.25</v>
      </c>
      <c r="I19" s="44">
        <f>IFERROR(TB_Entradas[[#This Row],[Quantidade Comprada]]*TB_Entradas[[#This Row],[Custo Unitário]],"Erro ao calcular")</f>
        <v>10</v>
      </c>
    </row>
    <row r="20" spans="2:9" ht="16.2" x14ac:dyDescent="0.35">
      <c r="B20" s="50">
        <f>MONTH(TB_Entradas[[#This Row],[Data]])</f>
        <v>3</v>
      </c>
      <c r="C20" s="50">
        <f>MONTH(TB_Entradas[[#This Row],[Data]])</f>
        <v>3</v>
      </c>
      <c r="D20" s="45">
        <v>44647</v>
      </c>
      <c r="E20" s="42" t="s">
        <v>10</v>
      </c>
      <c r="F20" s="35" t="s">
        <v>56</v>
      </c>
      <c r="G20" s="43">
        <v>50</v>
      </c>
      <c r="H20" s="44" cm="1">
        <f t="array" ref="H20">_xlfn.XLOOKUP(TB_Entradas[[#This Row],[Produto]],TB_Produtos[[#All],[Produto]],TB_Produtos[[#All],[Custo Unitário]],"Produto não Encontrado",0,1)</f>
        <v>0.5</v>
      </c>
      <c r="I20" s="44">
        <f>IFERROR(TB_Entradas[[#This Row],[Quantidade Comprada]]*TB_Entradas[[#This Row],[Custo Unitário]],"Erro ao calcular")</f>
        <v>25</v>
      </c>
    </row>
    <row r="21" spans="2:9" ht="16.2" x14ac:dyDescent="0.35">
      <c r="B21" s="50">
        <f>MONTH(TB_Entradas[[#This Row],[Data]])</f>
        <v>4</v>
      </c>
      <c r="C21" s="50">
        <f>MONTH(TB_Entradas[[#This Row],[Data]])</f>
        <v>4</v>
      </c>
      <c r="D21" s="45">
        <v>44655</v>
      </c>
      <c r="E21" s="42" t="s">
        <v>25</v>
      </c>
      <c r="F21" s="35" t="s">
        <v>56</v>
      </c>
      <c r="G21" s="43">
        <v>90</v>
      </c>
      <c r="H21" s="44" cm="1">
        <f t="array" ref="H21">_xlfn.XLOOKUP(TB_Entradas[[#This Row],[Produto]],TB_Produtos[[#All],[Produto]],TB_Produtos[[#All],[Custo Unitário]],"Produto não Encontrado",0,1)</f>
        <v>0.25</v>
      </c>
      <c r="I21" s="44">
        <f>IFERROR(TB_Entradas[[#This Row],[Quantidade Comprada]]*TB_Entradas[[#This Row],[Custo Unitário]],"Erro ao calcular")</f>
        <v>22.5</v>
      </c>
    </row>
    <row r="22" spans="2:9" ht="16.2" x14ac:dyDescent="0.35">
      <c r="B22" s="50">
        <f>MONTH(TB_Entradas[[#This Row],[Data]])</f>
        <v>4</v>
      </c>
      <c r="C22" s="50">
        <f>MONTH(TB_Entradas[[#This Row],[Data]])</f>
        <v>4</v>
      </c>
      <c r="D22" s="45">
        <v>44661</v>
      </c>
      <c r="E22" s="42" t="s">
        <v>6</v>
      </c>
      <c r="F22" s="35" t="s">
        <v>43</v>
      </c>
      <c r="G22" s="43">
        <v>150</v>
      </c>
      <c r="H22" s="44" cm="1">
        <f t="array" ref="H22">_xlfn.XLOOKUP(TB_Entradas[[#This Row],[Produto]],TB_Produtos[[#All],[Produto]],TB_Produtos[[#All],[Custo Unitário]],"Produto não Encontrado",0,1)</f>
        <v>2</v>
      </c>
      <c r="I22" s="44">
        <f>IFERROR(TB_Entradas[[#This Row],[Quantidade Comprada]]*TB_Entradas[[#This Row],[Custo Unitário]],"Erro ao calcular")</f>
        <v>300</v>
      </c>
    </row>
    <row r="23" spans="2:9" ht="16.2" x14ac:dyDescent="0.35">
      <c r="B23" s="50">
        <f>MONTH(TB_Entradas[[#This Row],[Data]])</f>
        <v>4</v>
      </c>
      <c r="C23" s="50">
        <f>MONTH(TB_Entradas[[#This Row],[Data]])</f>
        <v>4</v>
      </c>
      <c r="D23" s="45">
        <v>44672</v>
      </c>
      <c r="E23" s="42" t="s">
        <v>19</v>
      </c>
      <c r="F23" s="35" t="s">
        <v>43</v>
      </c>
      <c r="G23" s="43">
        <v>60</v>
      </c>
      <c r="H23" s="44" cm="1">
        <f t="array" ref="H23">_xlfn.XLOOKUP(TB_Entradas[[#This Row],[Produto]],TB_Produtos[[#All],[Produto]],TB_Produtos[[#All],[Custo Unitário]],"Produto não Encontrado",0,1)</f>
        <v>0.25</v>
      </c>
      <c r="I23" s="44">
        <f>IFERROR(TB_Entradas[[#This Row],[Quantidade Comprada]]*TB_Entradas[[#This Row],[Custo Unitário]],"Erro ao calcular")</f>
        <v>15</v>
      </c>
    </row>
    <row r="24" spans="2:9" ht="16.2" x14ac:dyDescent="0.35">
      <c r="B24" s="50">
        <f>MONTH(TB_Entradas[[#This Row],[Data]])</f>
        <v>4</v>
      </c>
      <c r="C24" s="50">
        <f>MONTH(TB_Entradas[[#This Row],[Data]])</f>
        <v>4</v>
      </c>
      <c r="D24" s="45">
        <v>44681</v>
      </c>
      <c r="E24" s="42" t="s">
        <v>10</v>
      </c>
      <c r="F24" s="35" t="s">
        <v>56</v>
      </c>
      <c r="G24" s="43">
        <v>50</v>
      </c>
      <c r="H24" s="44" cm="1">
        <f t="array" ref="H24">_xlfn.XLOOKUP(TB_Entradas[[#This Row],[Produto]],TB_Produtos[[#All],[Produto]],TB_Produtos[[#All],[Custo Unitário]],"Produto não Encontrado",0,1)</f>
        <v>0.5</v>
      </c>
      <c r="I24" s="44">
        <f>IFERROR(TB_Entradas[[#This Row],[Quantidade Comprada]]*TB_Entradas[[#This Row],[Custo Unitário]],"Erro ao calcular")</f>
        <v>25</v>
      </c>
    </row>
    <row r="25" spans="2:9" ht="16.2" x14ac:dyDescent="0.35">
      <c r="B25" s="50">
        <f>MONTH(TB_Entradas[[#This Row],[Data]])</f>
        <v>5</v>
      </c>
      <c r="C25" s="50">
        <f>MONTH(TB_Entradas[[#This Row],[Data]])</f>
        <v>5</v>
      </c>
      <c r="D25" s="45">
        <v>44686</v>
      </c>
      <c r="E25" s="42" t="s">
        <v>27</v>
      </c>
      <c r="F25" s="35" t="s">
        <v>47</v>
      </c>
      <c r="G25" s="43">
        <v>60</v>
      </c>
      <c r="H25" s="44" cm="1">
        <f t="array" ref="H25">_xlfn.XLOOKUP(TB_Entradas[[#This Row],[Produto]],TB_Produtos[[#All],[Produto]],TB_Produtos[[#All],[Custo Unitário]],"Produto não Encontrado",0,1)</f>
        <v>8</v>
      </c>
      <c r="I25" s="44">
        <f>IFERROR(TB_Entradas[[#This Row],[Quantidade Comprada]]*TB_Entradas[[#This Row],[Custo Unitário]],"Erro ao calcular")</f>
        <v>480</v>
      </c>
    </row>
    <row r="26" spans="2:9" ht="16.2" x14ac:dyDescent="0.35">
      <c r="B26" s="50">
        <f>MONTH(TB_Entradas[[#This Row],[Data]])</f>
        <v>5</v>
      </c>
      <c r="C26" s="50">
        <f>MONTH(TB_Entradas[[#This Row],[Data]])</f>
        <v>5</v>
      </c>
      <c r="D26" s="45">
        <v>44687</v>
      </c>
      <c r="E26" s="42" t="s">
        <v>10</v>
      </c>
      <c r="F26" s="35" t="s">
        <v>56</v>
      </c>
      <c r="G26" s="43">
        <v>50</v>
      </c>
      <c r="H26" s="44" cm="1">
        <f t="array" ref="H26">_xlfn.XLOOKUP(TB_Entradas[[#This Row],[Produto]],TB_Produtos[[#All],[Produto]],TB_Produtos[[#All],[Custo Unitário]],"Produto não Encontrado",0,1)</f>
        <v>0.5</v>
      </c>
      <c r="I26" s="44">
        <f>IFERROR(TB_Entradas[[#This Row],[Quantidade Comprada]]*TB_Entradas[[#This Row],[Custo Unitário]],"Erro ao calcular")</f>
        <v>25</v>
      </c>
    </row>
    <row r="27" spans="2:9" ht="16.2" x14ac:dyDescent="0.35">
      <c r="B27" s="50">
        <f>MONTH(TB_Entradas[[#This Row],[Data]])</f>
        <v>5</v>
      </c>
      <c r="C27" s="50">
        <f>MONTH(TB_Entradas[[#This Row],[Data]])</f>
        <v>5</v>
      </c>
      <c r="D27" s="45">
        <v>44691</v>
      </c>
      <c r="E27" s="42" t="s">
        <v>25</v>
      </c>
      <c r="F27" s="35" t="s">
        <v>56</v>
      </c>
      <c r="G27" s="43">
        <v>30</v>
      </c>
      <c r="H27" s="44" cm="1">
        <f t="array" ref="H27">_xlfn.XLOOKUP(TB_Entradas[[#This Row],[Produto]],TB_Produtos[[#All],[Produto]],TB_Produtos[[#All],[Custo Unitário]],"Produto não Encontrado",0,1)</f>
        <v>0.25</v>
      </c>
      <c r="I27" s="44">
        <f>IFERROR(TB_Entradas[[#This Row],[Quantidade Comprada]]*TB_Entradas[[#This Row],[Custo Unitário]],"Erro ao calcular")</f>
        <v>7.5</v>
      </c>
    </row>
    <row r="28" spans="2:9" ht="16.2" x14ac:dyDescent="0.35">
      <c r="B28" s="50">
        <f>MONTH(TB_Entradas[[#This Row],[Data]])</f>
        <v>5</v>
      </c>
      <c r="C28" s="50">
        <f>MONTH(TB_Entradas[[#This Row],[Data]])</f>
        <v>5</v>
      </c>
      <c r="D28" s="45">
        <v>44691</v>
      </c>
      <c r="E28" s="42" t="s">
        <v>6</v>
      </c>
      <c r="F28" s="35" t="s">
        <v>43</v>
      </c>
      <c r="G28" s="43">
        <v>100</v>
      </c>
      <c r="H28" s="44" cm="1">
        <f t="array" ref="H28">_xlfn.XLOOKUP(TB_Entradas[[#This Row],[Produto]],TB_Produtos[[#All],[Produto]],TB_Produtos[[#All],[Custo Unitário]],"Produto não Encontrado",0,1)</f>
        <v>2</v>
      </c>
      <c r="I28" s="44">
        <f>IFERROR(TB_Entradas[[#This Row],[Quantidade Comprada]]*TB_Entradas[[#This Row],[Custo Unitário]],"Erro ao calcular")</f>
        <v>200</v>
      </c>
    </row>
    <row r="29" spans="2:9" ht="16.2" x14ac:dyDescent="0.35">
      <c r="B29" s="50">
        <f>MONTH(TB_Entradas[[#This Row],[Data]])</f>
        <v>5</v>
      </c>
      <c r="C29" s="50">
        <f>MONTH(TB_Entradas[[#This Row],[Data]])</f>
        <v>5</v>
      </c>
      <c r="D29" s="45">
        <v>44698</v>
      </c>
      <c r="E29" s="42" t="s">
        <v>19</v>
      </c>
      <c r="F29" s="35" t="s">
        <v>43</v>
      </c>
      <c r="G29" s="43">
        <v>45</v>
      </c>
      <c r="H29" s="44" cm="1">
        <f t="array" ref="H29">_xlfn.XLOOKUP(TB_Entradas[[#This Row],[Produto]],TB_Produtos[[#All],[Produto]],TB_Produtos[[#All],[Custo Unitário]],"Produto não Encontrado",0,1)</f>
        <v>0.25</v>
      </c>
      <c r="I29" s="44">
        <f>IFERROR(TB_Entradas[[#This Row],[Quantidade Comprada]]*TB_Entradas[[#This Row],[Custo Unitário]],"Erro ao calcular")</f>
        <v>11.25</v>
      </c>
    </row>
    <row r="30" spans="2:9" ht="16.2" x14ac:dyDescent="0.35">
      <c r="B30" s="50">
        <f>MONTH(TB_Entradas[[#This Row],[Data]])</f>
        <v>6</v>
      </c>
      <c r="C30" s="50">
        <f>MONTH(TB_Entradas[[#This Row],[Data]])</f>
        <v>6</v>
      </c>
      <c r="D30" s="45">
        <v>44714</v>
      </c>
      <c r="E30" s="42" t="s">
        <v>6</v>
      </c>
      <c r="F30" s="35" t="s">
        <v>43</v>
      </c>
      <c r="G30" s="43">
        <v>150</v>
      </c>
      <c r="H30" s="44" cm="1">
        <f t="array" ref="H30">_xlfn.XLOOKUP(TB_Entradas[[#This Row],[Produto]],TB_Produtos[[#All],[Produto]],TB_Produtos[[#All],[Custo Unitário]],"Produto não Encontrado",0,1)</f>
        <v>2</v>
      </c>
      <c r="I30" s="44">
        <f>IFERROR(TB_Entradas[[#This Row],[Quantidade Comprada]]*TB_Entradas[[#This Row],[Custo Unitário]],"Erro ao calcular")</f>
        <v>300</v>
      </c>
    </row>
    <row r="31" spans="2:9" ht="16.2" x14ac:dyDescent="0.35">
      <c r="B31" s="50">
        <f>MONTH(TB_Entradas[[#This Row],[Data]])</f>
        <v>6</v>
      </c>
      <c r="C31" s="50">
        <f>MONTH(TB_Entradas[[#This Row],[Data]])</f>
        <v>6</v>
      </c>
      <c r="D31" s="45">
        <v>44719</v>
      </c>
      <c r="E31" s="42" t="s">
        <v>19</v>
      </c>
      <c r="F31" s="35" t="s">
        <v>43</v>
      </c>
      <c r="G31" s="43">
        <v>115</v>
      </c>
      <c r="H31" s="44" cm="1">
        <f t="array" ref="H31">_xlfn.XLOOKUP(TB_Entradas[[#This Row],[Produto]],TB_Produtos[[#All],[Produto]],TB_Produtos[[#All],[Custo Unitário]],"Produto não Encontrado",0,1)</f>
        <v>0.25</v>
      </c>
      <c r="I31" s="44">
        <f>IFERROR(TB_Entradas[[#This Row],[Quantidade Comprada]]*TB_Entradas[[#This Row],[Custo Unitário]],"Erro ao calcular")</f>
        <v>28.75</v>
      </c>
    </row>
    <row r="32" spans="2:9" ht="16.2" x14ac:dyDescent="0.35">
      <c r="B32" s="50">
        <f>MONTH(TB_Entradas[[#This Row],[Data]])</f>
        <v>6</v>
      </c>
      <c r="C32" s="50">
        <f>MONTH(TB_Entradas[[#This Row],[Data]])</f>
        <v>6</v>
      </c>
      <c r="D32" s="45">
        <v>44727</v>
      </c>
      <c r="E32" s="42" t="s">
        <v>25</v>
      </c>
      <c r="F32" s="35" t="s">
        <v>56</v>
      </c>
      <c r="G32" s="43">
        <v>100</v>
      </c>
      <c r="H32" s="44" cm="1">
        <f t="array" ref="H32">_xlfn.XLOOKUP(TB_Entradas[[#This Row],[Produto]],TB_Produtos[[#All],[Produto]],TB_Produtos[[#All],[Custo Unitário]],"Produto não Encontrado",0,1)</f>
        <v>0.25</v>
      </c>
      <c r="I32" s="44">
        <f>IFERROR(TB_Entradas[[#This Row],[Quantidade Comprada]]*TB_Entradas[[#This Row],[Custo Unitário]],"Erro ao calcular")</f>
        <v>25</v>
      </c>
    </row>
    <row r="33" spans="2:9" ht="16.2" x14ac:dyDescent="0.35">
      <c r="B33" s="50">
        <f>MONTH(TB_Entradas[[#This Row],[Data]])</f>
        <v>6</v>
      </c>
      <c r="C33" s="50">
        <f>MONTH(TB_Entradas[[#This Row],[Data]])</f>
        <v>6</v>
      </c>
      <c r="D33" s="45">
        <v>44735</v>
      </c>
      <c r="E33" s="42" t="s">
        <v>10</v>
      </c>
      <c r="F33" s="35" t="s">
        <v>56</v>
      </c>
      <c r="G33" s="43">
        <v>45</v>
      </c>
      <c r="H33" s="44" cm="1">
        <f t="array" ref="H33">_xlfn.XLOOKUP(TB_Entradas[[#This Row],[Produto]],TB_Produtos[[#All],[Produto]],TB_Produtos[[#All],[Custo Unitário]],"Produto não Encontrado",0,1)</f>
        <v>0.5</v>
      </c>
      <c r="I33" s="44">
        <f>IFERROR(TB_Entradas[[#This Row],[Quantidade Comprada]]*TB_Entradas[[#This Row],[Custo Unitário]],"Erro ao calcular")</f>
        <v>22.5</v>
      </c>
    </row>
    <row r="34" spans="2:9" ht="16.2" x14ac:dyDescent="0.35">
      <c r="B34" s="50">
        <f>MONTH(TB_Entradas[[#This Row],[Data]])</f>
        <v>7</v>
      </c>
      <c r="C34" s="50">
        <f>MONTH(TB_Entradas[[#This Row],[Data]])</f>
        <v>7</v>
      </c>
      <c r="D34" s="45">
        <v>44743</v>
      </c>
      <c r="E34" s="42" t="s">
        <v>6</v>
      </c>
      <c r="F34" s="35" t="s">
        <v>43</v>
      </c>
      <c r="G34" s="43">
        <v>150</v>
      </c>
      <c r="H34" s="44" cm="1">
        <f t="array" ref="H34">_xlfn.XLOOKUP(TB_Entradas[[#This Row],[Produto]],TB_Produtos[[#All],[Produto]],TB_Produtos[[#All],[Custo Unitário]],"Produto não Encontrado",0,1)</f>
        <v>2</v>
      </c>
      <c r="I34" s="44">
        <f>IFERROR(TB_Entradas[[#This Row],[Quantidade Comprada]]*TB_Entradas[[#This Row],[Custo Unitário]],"Erro ao calcular")</f>
        <v>300</v>
      </c>
    </row>
    <row r="35" spans="2:9" ht="16.2" x14ac:dyDescent="0.35">
      <c r="B35" s="50">
        <f>MONTH(TB_Entradas[[#This Row],[Data]])</f>
        <v>7</v>
      </c>
      <c r="C35" s="50">
        <f>MONTH(TB_Entradas[[#This Row],[Data]])</f>
        <v>7</v>
      </c>
      <c r="D35" s="45">
        <v>44747</v>
      </c>
      <c r="E35" s="42" t="s">
        <v>25</v>
      </c>
      <c r="F35" s="35" t="s">
        <v>56</v>
      </c>
      <c r="G35" s="43">
        <v>60</v>
      </c>
      <c r="H35" s="44" cm="1">
        <f t="array" ref="H35">_xlfn.XLOOKUP(TB_Entradas[[#This Row],[Produto]],TB_Produtos[[#All],[Produto]],TB_Produtos[[#All],[Custo Unitário]],"Produto não Encontrado",0,1)</f>
        <v>0.25</v>
      </c>
      <c r="I35" s="44">
        <f>IFERROR(TB_Entradas[[#This Row],[Quantidade Comprada]]*TB_Entradas[[#This Row],[Custo Unitário]],"Erro ao calcular")</f>
        <v>15</v>
      </c>
    </row>
    <row r="36" spans="2:9" ht="16.2" x14ac:dyDescent="0.35">
      <c r="B36" s="50">
        <f>MONTH(TB_Entradas[[#This Row],[Data]])</f>
        <v>7</v>
      </c>
      <c r="C36" s="50">
        <f>MONTH(TB_Entradas[[#This Row],[Data]])</f>
        <v>7</v>
      </c>
      <c r="D36" s="45">
        <v>44749</v>
      </c>
      <c r="E36" s="42" t="s">
        <v>19</v>
      </c>
      <c r="F36" s="35" t="s">
        <v>43</v>
      </c>
      <c r="G36" s="43">
        <v>120</v>
      </c>
      <c r="H36" s="44" cm="1">
        <f t="array" ref="H36">_xlfn.XLOOKUP(TB_Entradas[[#This Row],[Produto]],TB_Produtos[[#All],[Produto]],TB_Produtos[[#All],[Custo Unitário]],"Produto não Encontrado",0,1)</f>
        <v>0.25</v>
      </c>
      <c r="I36" s="44">
        <f>IFERROR(TB_Entradas[[#This Row],[Quantidade Comprada]]*TB_Entradas[[#This Row],[Custo Unitário]],"Erro ao calcular")</f>
        <v>30</v>
      </c>
    </row>
    <row r="37" spans="2:9" ht="16.2" x14ac:dyDescent="0.35">
      <c r="B37" s="50">
        <f>MONTH(TB_Entradas[[#This Row],[Data]])</f>
        <v>7</v>
      </c>
      <c r="C37" s="50">
        <f>MONTH(TB_Entradas[[#This Row],[Data]])</f>
        <v>7</v>
      </c>
      <c r="D37" s="45">
        <v>44757</v>
      </c>
      <c r="E37" s="42" t="s">
        <v>10</v>
      </c>
      <c r="F37" s="35" t="s">
        <v>56</v>
      </c>
      <c r="G37" s="43">
        <v>20</v>
      </c>
      <c r="H37" s="44" cm="1">
        <f t="array" ref="H37">_xlfn.XLOOKUP(TB_Entradas[[#This Row],[Produto]],TB_Produtos[[#All],[Produto]],TB_Produtos[[#All],[Custo Unitário]],"Produto não Encontrado",0,1)</f>
        <v>0.5</v>
      </c>
      <c r="I37" s="44">
        <f>IFERROR(TB_Entradas[[#This Row],[Quantidade Comprada]]*TB_Entradas[[#This Row],[Custo Unitário]],"Erro ao calcular")</f>
        <v>10</v>
      </c>
    </row>
    <row r="38" spans="2:9" ht="16.2" x14ac:dyDescent="0.35">
      <c r="B38" s="50">
        <f>MONTH(TB_Entradas[[#This Row],[Data]])</f>
        <v>8</v>
      </c>
      <c r="C38" s="50">
        <f>MONTH(TB_Entradas[[#This Row],[Data]])</f>
        <v>8</v>
      </c>
      <c r="D38" s="45">
        <v>44778</v>
      </c>
      <c r="E38" s="42" t="s">
        <v>19</v>
      </c>
      <c r="F38" s="35" t="s">
        <v>43</v>
      </c>
      <c r="G38" s="43">
        <v>35</v>
      </c>
      <c r="H38" s="44" cm="1">
        <f t="array" ref="H38">_xlfn.XLOOKUP(TB_Entradas[[#This Row],[Produto]],TB_Produtos[[#All],[Produto]],TB_Produtos[[#All],[Custo Unitário]],"Produto não Encontrado",0,1)</f>
        <v>0.25</v>
      </c>
      <c r="I38" s="44">
        <f>IFERROR(TB_Entradas[[#This Row],[Quantidade Comprada]]*TB_Entradas[[#This Row],[Custo Unitário]],"Erro ao calcular")</f>
        <v>8.75</v>
      </c>
    </row>
    <row r="39" spans="2:9" ht="16.2" x14ac:dyDescent="0.35">
      <c r="B39" s="50">
        <f>MONTH(TB_Entradas[[#This Row],[Data]])</f>
        <v>8</v>
      </c>
      <c r="C39" s="50">
        <f>MONTH(TB_Entradas[[#This Row],[Data]])</f>
        <v>8</v>
      </c>
      <c r="D39" s="45">
        <v>44783</v>
      </c>
      <c r="E39" s="42" t="s">
        <v>23</v>
      </c>
      <c r="F39" s="35" t="s">
        <v>43</v>
      </c>
      <c r="G39" s="43">
        <v>100</v>
      </c>
      <c r="H39" s="44" cm="1">
        <f t="array" ref="H39">_xlfn.XLOOKUP(TB_Entradas[[#This Row],[Produto]],TB_Produtos[[#All],[Produto]],TB_Produtos[[#All],[Custo Unitário]],"Produto não Encontrado",0,1)</f>
        <v>1</v>
      </c>
      <c r="I39" s="44">
        <f>IFERROR(TB_Entradas[[#This Row],[Quantidade Comprada]]*TB_Entradas[[#This Row],[Custo Unitário]],"Erro ao calcular")</f>
        <v>100</v>
      </c>
    </row>
    <row r="40" spans="2:9" ht="16.2" x14ac:dyDescent="0.35">
      <c r="B40" s="50">
        <f>MONTH(TB_Entradas[[#This Row],[Data]])</f>
        <v>8</v>
      </c>
      <c r="C40" s="50">
        <f>MONTH(TB_Entradas[[#This Row],[Data]])</f>
        <v>8</v>
      </c>
      <c r="D40" s="45">
        <v>44791</v>
      </c>
      <c r="E40" s="42" t="s">
        <v>25</v>
      </c>
      <c r="F40" s="35" t="s">
        <v>56</v>
      </c>
      <c r="G40" s="43">
        <v>30</v>
      </c>
      <c r="H40" s="44" cm="1">
        <f t="array" ref="H40">_xlfn.XLOOKUP(TB_Entradas[[#This Row],[Produto]],TB_Produtos[[#All],[Produto]],TB_Produtos[[#All],[Custo Unitário]],"Produto não Encontrado",0,1)</f>
        <v>0.25</v>
      </c>
      <c r="I40" s="44">
        <f>IFERROR(TB_Entradas[[#This Row],[Quantidade Comprada]]*TB_Entradas[[#This Row],[Custo Unitário]],"Erro ao calcular")</f>
        <v>7.5</v>
      </c>
    </row>
    <row r="41" spans="2:9" ht="16.2" x14ac:dyDescent="0.35">
      <c r="B41" s="50">
        <f>MONTH(TB_Entradas[[#This Row],[Data]])</f>
        <v>8</v>
      </c>
      <c r="C41" s="50">
        <f>MONTH(TB_Entradas[[#This Row],[Data]])</f>
        <v>8</v>
      </c>
      <c r="D41" s="45">
        <v>44791</v>
      </c>
      <c r="E41" s="42" t="s">
        <v>10</v>
      </c>
      <c r="F41" s="35" t="s">
        <v>56</v>
      </c>
      <c r="G41" s="43">
        <v>30</v>
      </c>
      <c r="H41" s="44" cm="1">
        <f t="array" ref="H41">_xlfn.XLOOKUP(TB_Entradas[[#This Row],[Produto]],TB_Produtos[[#All],[Produto]],TB_Produtos[[#All],[Custo Unitário]],"Produto não Encontrado",0,1)</f>
        <v>0.5</v>
      </c>
      <c r="I41" s="44">
        <f>IFERROR(TB_Entradas[[#This Row],[Quantidade Comprada]]*TB_Entradas[[#This Row],[Custo Unitário]],"Erro ao calcular")</f>
        <v>15</v>
      </c>
    </row>
    <row r="42" spans="2:9" ht="16.2" x14ac:dyDescent="0.35">
      <c r="B42" s="50">
        <f>MONTH(TB_Entradas[[#This Row],[Data]])</f>
        <v>8</v>
      </c>
      <c r="C42" s="50">
        <f>MONTH(TB_Entradas[[#This Row],[Data]])</f>
        <v>8</v>
      </c>
      <c r="D42" s="45">
        <v>44804</v>
      </c>
      <c r="E42" s="42" t="s">
        <v>6</v>
      </c>
      <c r="F42" s="35" t="s">
        <v>43</v>
      </c>
      <c r="G42" s="43">
        <v>150</v>
      </c>
      <c r="H42" s="44" cm="1">
        <f t="array" ref="H42">_xlfn.XLOOKUP(TB_Entradas[[#This Row],[Produto]],TB_Produtos[[#All],[Produto]],TB_Produtos[[#All],[Custo Unitário]],"Produto não Encontrado",0,1)</f>
        <v>2</v>
      </c>
      <c r="I42" s="44">
        <f>IFERROR(TB_Entradas[[#This Row],[Quantidade Comprada]]*TB_Entradas[[#This Row],[Custo Unitário]],"Erro ao calcular")</f>
        <v>300</v>
      </c>
    </row>
    <row r="43" spans="2:9" ht="16.2" x14ac:dyDescent="0.35">
      <c r="B43" s="50">
        <f>MONTH(TB_Entradas[[#This Row],[Data]])</f>
        <v>9</v>
      </c>
      <c r="C43" s="50">
        <f>MONTH(TB_Entradas[[#This Row],[Data]])</f>
        <v>9</v>
      </c>
      <c r="D43" s="45">
        <v>44806</v>
      </c>
      <c r="E43" s="42" t="s">
        <v>36</v>
      </c>
      <c r="F43" s="35" t="s">
        <v>51</v>
      </c>
      <c r="G43" s="43">
        <v>100</v>
      </c>
      <c r="H43" s="44" cm="1">
        <f t="array" ref="H43">_xlfn.XLOOKUP(TB_Entradas[[#This Row],[Produto]],TB_Produtos[[#All],[Produto]],TB_Produtos[[#All],[Custo Unitário]],"Produto não Encontrado",0,1)</f>
        <v>2</v>
      </c>
      <c r="I43" s="44">
        <f>IFERROR(TB_Entradas[[#This Row],[Quantidade Comprada]]*TB_Entradas[[#This Row],[Custo Unitário]],"Erro ao calcular")</f>
        <v>200</v>
      </c>
    </row>
    <row r="44" spans="2:9" ht="16.2" x14ac:dyDescent="0.35">
      <c r="B44" s="50">
        <f>MONTH(TB_Entradas[[#This Row],[Data]])</f>
        <v>9</v>
      </c>
      <c r="C44" s="50">
        <f>MONTH(TB_Entradas[[#This Row],[Data]])</f>
        <v>9</v>
      </c>
      <c r="D44" s="45">
        <v>44811</v>
      </c>
      <c r="E44" s="42" t="s">
        <v>19</v>
      </c>
      <c r="F44" s="35" t="s">
        <v>43</v>
      </c>
      <c r="G44" s="43">
        <v>34</v>
      </c>
      <c r="H44" s="44" cm="1">
        <f t="array" ref="H44">_xlfn.XLOOKUP(TB_Entradas[[#This Row],[Produto]],TB_Produtos[[#All],[Produto]],TB_Produtos[[#All],[Custo Unitário]],"Produto não Encontrado",0,1)</f>
        <v>0.25</v>
      </c>
      <c r="I44" s="44">
        <f>IFERROR(TB_Entradas[[#This Row],[Quantidade Comprada]]*TB_Entradas[[#This Row],[Custo Unitário]],"Erro ao calcular")</f>
        <v>8.5</v>
      </c>
    </row>
    <row r="45" spans="2:9" ht="16.2" x14ac:dyDescent="0.35">
      <c r="B45" s="50">
        <f>MONTH(TB_Entradas[[#This Row],[Data]])</f>
        <v>9</v>
      </c>
      <c r="C45" s="50">
        <f>MONTH(TB_Entradas[[#This Row],[Data]])</f>
        <v>9</v>
      </c>
      <c r="D45" s="45">
        <v>44821</v>
      </c>
      <c r="E45" s="42" t="s">
        <v>28</v>
      </c>
      <c r="F45" s="35" t="s">
        <v>47</v>
      </c>
      <c r="G45" s="43">
        <v>50</v>
      </c>
      <c r="H45" s="44" cm="1">
        <f t="array" ref="H45">_xlfn.XLOOKUP(TB_Entradas[[#This Row],[Produto]],TB_Produtos[[#All],[Produto]],TB_Produtos[[#All],[Custo Unitário]],"Produto não Encontrado",0,1)</f>
        <v>4.5</v>
      </c>
      <c r="I45" s="44">
        <f>IFERROR(TB_Entradas[[#This Row],[Quantidade Comprada]]*TB_Entradas[[#This Row],[Custo Unitário]],"Erro ao calcular")</f>
        <v>225</v>
      </c>
    </row>
    <row r="46" spans="2:9" ht="16.2" x14ac:dyDescent="0.35">
      <c r="B46" s="50">
        <f>MONTH(TB_Entradas[[#This Row],[Data]])</f>
        <v>9</v>
      </c>
      <c r="C46" s="50">
        <f>MONTH(TB_Entradas[[#This Row],[Data]])</f>
        <v>9</v>
      </c>
      <c r="D46" s="45">
        <v>44823</v>
      </c>
      <c r="E46" s="42" t="s">
        <v>25</v>
      </c>
      <c r="F46" s="35" t="s">
        <v>56</v>
      </c>
      <c r="G46" s="43">
        <v>20</v>
      </c>
      <c r="H46" s="44" cm="1">
        <f t="array" ref="H46">_xlfn.XLOOKUP(TB_Entradas[[#This Row],[Produto]],TB_Produtos[[#All],[Produto]],TB_Produtos[[#All],[Custo Unitário]],"Produto não Encontrado",0,1)</f>
        <v>0.25</v>
      </c>
      <c r="I46" s="44">
        <f>IFERROR(TB_Entradas[[#This Row],[Quantidade Comprada]]*TB_Entradas[[#This Row],[Custo Unitário]],"Erro ao calcular")</f>
        <v>5</v>
      </c>
    </row>
    <row r="47" spans="2:9" ht="16.2" x14ac:dyDescent="0.35">
      <c r="B47" s="50">
        <f>MONTH(TB_Entradas[[#This Row],[Data]])</f>
        <v>9</v>
      </c>
      <c r="C47" s="50">
        <f>MONTH(TB_Entradas[[#This Row],[Data]])</f>
        <v>9</v>
      </c>
      <c r="D47" s="45">
        <v>44828</v>
      </c>
      <c r="E47" s="42" t="s">
        <v>10</v>
      </c>
      <c r="F47" s="35" t="s">
        <v>56</v>
      </c>
      <c r="G47" s="43">
        <v>15</v>
      </c>
      <c r="H47" s="44" cm="1">
        <f t="array" ref="H47">_xlfn.XLOOKUP(TB_Entradas[[#This Row],[Produto]],TB_Produtos[[#All],[Produto]],TB_Produtos[[#All],[Custo Unitário]],"Produto não Encontrado",0,1)</f>
        <v>0.5</v>
      </c>
      <c r="I47" s="44">
        <f>IFERROR(TB_Entradas[[#This Row],[Quantidade Comprada]]*TB_Entradas[[#This Row],[Custo Unitário]],"Erro ao calcular")</f>
        <v>7.5</v>
      </c>
    </row>
    <row r="48" spans="2:9" ht="16.2" x14ac:dyDescent="0.35">
      <c r="B48" s="50">
        <f>MONTH(TB_Entradas[[#This Row],[Data]])</f>
        <v>9</v>
      </c>
      <c r="C48" s="50">
        <f>MONTH(TB_Entradas[[#This Row],[Data]])</f>
        <v>9</v>
      </c>
      <c r="D48" s="45">
        <v>44834</v>
      </c>
      <c r="E48" s="42" t="s">
        <v>6</v>
      </c>
      <c r="F48" s="35" t="s">
        <v>43</v>
      </c>
      <c r="G48" s="43">
        <v>180</v>
      </c>
      <c r="H48" s="44" cm="1">
        <f t="array" ref="H48">_xlfn.XLOOKUP(TB_Entradas[[#This Row],[Produto]],TB_Produtos[[#All],[Produto]],TB_Produtos[[#All],[Custo Unitário]],"Produto não Encontrado",0,1)</f>
        <v>2</v>
      </c>
      <c r="I48" s="44">
        <f>IFERROR(TB_Entradas[[#This Row],[Quantidade Comprada]]*TB_Entradas[[#This Row],[Custo Unitário]],"Erro ao calcular")</f>
        <v>360</v>
      </c>
    </row>
    <row r="49" spans="2:9" ht="16.2" x14ac:dyDescent="0.35">
      <c r="B49" s="50">
        <f>MONTH(TB_Entradas[[#This Row],[Data]])</f>
        <v>10</v>
      </c>
      <c r="C49" s="50">
        <f>MONTH(TB_Entradas[[#This Row],[Data]])</f>
        <v>10</v>
      </c>
      <c r="D49" s="45">
        <v>44835</v>
      </c>
      <c r="E49" s="42" t="s">
        <v>19</v>
      </c>
      <c r="F49" s="35" t="s">
        <v>43</v>
      </c>
      <c r="G49" s="43">
        <v>46</v>
      </c>
      <c r="H49" s="44" cm="1">
        <f t="array" ref="H49">_xlfn.XLOOKUP(TB_Entradas[[#This Row],[Produto]],TB_Produtos[[#All],[Produto]],TB_Produtos[[#All],[Custo Unitário]],"Produto não Encontrado",0,1)</f>
        <v>0.25</v>
      </c>
      <c r="I49" s="44">
        <f>IFERROR(TB_Entradas[[#This Row],[Quantidade Comprada]]*TB_Entradas[[#This Row],[Custo Unitário]],"Erro ao calcular")</f>
        <v>11.5</v>
      </c>
    </row>
    <row r="50" spans="2:9" ht="16.2" x14ac:dyDescent="0.35">
      <c r="B50" s="50">
        <f>MONTH(TB_Entradas[[#This Row],[Data]])</f>
        <v>10</v>
      </c>
      <c r="C50" s="50">
        <f>MONTH(TB_Entradas[[#This Row],[Data]])</f>
        <v>10</v>
      </c>
      <c r="D50" s="45">
        <v>44841</v>
      </c>
      <c r="E50" s="42" t="s">
        <v>25</v>
      </c>
      <c r="F50" s="35" t="s">
        <v>56</v>
      </c>
      <c r="G50" s="43">
        <v>35</v>
      </c>
      <c r="H50" s="44" cm="1">
        <f t="array" ref="H50">_xlfn.XLOOKUP(TB_Entradas[[#This Row],[Produto]],TB_Produtos[[#All],[Produto]],TB_Produtos[[#All],[Custo Unitário]],"Produto não Encontrado",0,1)</f>
        <v>0.25</v>
      </c>
      <c r="I50" s="44">
        <f>IFERROR(TB_Entradas[[#This Row],[Quantidade Comprada]]*TB_Entradas[[#This Row],[Custo Unitário]],"Erro ao calcular")</f>
        <v>8.75</v>
      </c>
    </row>
    <row r="51" spans="2:9" ht="16.2" x14ac:dyDescent="0.35">
      <c r="B51" s="50">
        <f>MONTH(TB_Entradas[[#This Row],[Data]])</f>
        <v>10</v>
      </c>
      <c r="C51" s="50">
        <f>MONTH(TB_Entradas[[#This Row],[Data]])</f>
        <v>10</v>
      </c>
      <c r="D51" s="45">
        <v>44854</v>
      </c>
      <c r="E51" s="42" t="s">
        <v>6</v>
      </c>
      <c r="F51" s="35" t="s">
        <v>43</v>
      </c>
      <c r="G51" s="43">
        <v>100</v>
      </c>
      <c r="H51" s="44" cm="1">
        <f t="array" ref="H51">_xlfn.XLOOKUP(TB_Entradas[[#This Row],[Produto]],TB_Produtos[[#All],[Produto]],TB_Produtos[[#All],[Custo Unitário]],"Produto não Encontrado",0,1)</f>
        <v>2</v>
      </c>
      <c r="I51" s="44">
        <f>IFERROR(TB_Entradas[[#This Row],[Quantidade Comprada]]*TB_Entradas[[#This Row],[Custo Unitário]],"Erro ao calcular")</f>
        <v>200</v>
      </c>
    </row>
    <row r="52" spans="2:9" ht="16.2" x14ac:dyDescent="0.35">
      <c r="B52" s="50">
        <f>MONTH(TB_Entradas[[#This Row],[Data]])</f>
        <v>10</v>
      </c>
      <c r="C52" s="50">
        <f>MONTH(TB_Entradas[[#This Row],[Data]])</f>
        <v>10</v>
      </c>
      <c r="D52" s="45">
        <v>44859</v>
      </c>
      <c r="E52" s="42" t="s">
        <v>10</v>
      </c>
      <c r="F52" s="35" t="s">
        <v>56</v>
      </c>
      <c r="G52" s="43">
        <v>55</v>
      </c>
      <c r="H52" s="44" cm="1">
        <f t="array" ref="H52">_xlfn.XLOOKUP(TB_Entradas[[#This Row],[Produto]],TB_Produtos[[#All],[Produto]],TB_Produtos[[#All],[Custo Unitário]],"Produto não Encontrado",0,1)</f>
        <v>0.5</v>
      </c>
      <c r="I52" s="44">
        <f>IFERROR(TB_Entradas[[#This Row],[Quantidade Comprada]]*TB_Entradas[[#This Row],[Custo Unitário]],"Erro ao calcular")</f>
        <v>27.5</v>
      </c>
    </row>
    <row r="53" spans="2:9" ht="16.2" x14ac:dyDescent="0.35">
      <c r="B53" s="50">
        <f>MONTH(TB_Entradas[[#This Row],[Data]])</f>
        <v>11</v>
      </c>
      <c r="C53" s="50">
        <f>MONTH(TB_Entradas[[#This Row],[Data]])</f>
        <v>11</v>
      </c>
      <c r="D53" s="45">
        <v>44874</v>
      </c>
      <c r="E53" s="42" t="s">
        <v>29</v>
      </c>
      <c r="F53" s="35" t="s">
        <v>51</v>
      </c>
      <c r="G53" s="43">
        <v>100</v>
      </c>
      <c r="H53" s="44" cm="1">
        <f t="array" ref="H53">_xlfn.XLOOKUP(TB_Entradas[[#This Row],[Produto]],TB_Produtos[[#All],[Produto]],TB_Produtos[[#All],[Custo Unitário]],"Produto não Encontrado",0,1)</f>
        <v>0.25</v>
      </c>
      <c r="I53" s="44">
        <f>IFERROR(TB_Entradas[[#This Row],[Quantidade Comprada]]*TB_Entradas[[#This Row],[Custo Unitário]],"Erro ao calcular")</f>
        <v>25</v>
      </c>
    </row>
    <row r="54" spans="2:9" ht="16.2" x14ac:dyDescent="0.35">
      <c r="B54" s="50">
        <f>MONTH(TB_Entradas[[#This Row],[Data]])</f>
        <v>11</v>
      </c>
      <c r="C54" s="50">
        <f>MONTH(TB_Entradas[[#This Row],[Data]])</f>
        <v>11</v>
      </c>
      <c r="D54" s="45">
        <v>44880</v>
      </c>
      <c r="E54" s="42" t="s">
        <v>6</v>
      </c>
      <c r="F54" s="35" t="s">
        <v>43</v>
      </c>
      <c r="G54" s="43">
        <v>80</v>
      </c>
      <c r="H54" s="44" cm="1">
        <f t="array" ref="H54">_xlfn.XLOOKUP(TB_Entradas[[#This Row],[Produto]],TB_Produtos[[#All],[Produto]],TB_Produtos[[#All],[Custo Unitário]],"Produto não Encontrado",0,1)</f>
        <v>2</v>
      </c>
      <c r="I54" s="44">
        <f>IFERROR(TB_Entradas[[#This Row],[Quantidade Comprada]]*TB_Entradas[[#This Row],[Custo Unitário]],"Erro ao calcular")</f>
        <v>160</v>
      </c>
    </row>
    <row r="55" spans="2:9" ht="16.2" x14ac:dyDescent="0.35">
      <c r="B55" s="50">
        <f>MONTH(TB_Entradas[[#This Row],[Data]])</f>
        <v>11</v>
      </c>
      <c r="C55" s="50">
        <f>MONTH(TB_Entradas[[#This Row],[Data]])</f>
        <v>11</v>
      </c>
      <c r="D55" s="45">
        <v>44883</v>
      </c>
      <c r="E55" s="42" t="s">
        <v>19</v>
      </c>
      <c r="F55" s="35" t="s">
        <v>43</v>
      </c>
      <c r="G55" s="43">
        <v>45</v>
      </c>
      <c r="H55" s="44" cm="1">
        <f t="array" ref="H55">_xlfn.XLOOKUP(TB_Entradas[[#This Row],[Produto]],TB_Produtos[[#All],[Produto]],TB_Produtos[[#All],[Custo Unitário]],"Produto não Encontrado",0,1)</f>
        <v>0.25</v>
      </c>
      <c r="I55" s="44">
        <f>IFERROR(TB_Entradas[[#This Row],[Quantidade Comprada]]*TB_Entradas[[#This Row],[Custo Unitário]],"Erro ao calcular")</f>
        <v>11.25</v>
      </c>
    </row>
    <row r="56" spans="2:9" ht="16.2" x14ac:dyDescent="0.35">
      <c r="B56" s="50">
        <f>MONTH(TB_Entradas[[#This Row],[Data]])</f>
        <v>11</v>
      </c>
      <c r="C56" s="50">
        <f>MONTH(TB_Entradas[[#This Row],[Data]])</f>
        <v>11</v>
      </c>
      <c r="D56" s="45">
        <v>44888</v>
      </c>
      <c r="E56" s="42" t="s">
        <v>25</v>
      </c>
      <c r="F56" s="35" t="s">
        <v>56</v>
      </c>
      <c r="G56" s="43">
        <v>20</v>
      </c>
      <c r="H56" s="44" cm="1">
        <f t="array" ref="H56">_xlfn.XLOOKUP(TB_Entradas[[#This Row],[Produto]],TB_Produtos[[#All],[Produto]],TB_Produtos[[#All],[Custo Unitário]],"Produto não Encontrado",0,1)</f>
        <v>0.25</v>
      </c>
      <c r="I56" s="44">
        <f>IFERROR(TB_Entradas[[#This Row],[Quantidade Comprada]]*TB_Entradas[[#This Row],[Custo Unitário]],"Erro ao calcular")</f>
        <v>5</v>
      </c>
    </row>
    <row r="57" spans="2:9" ht="16.2" x14ac:dyDescent="0.35">
      <c r="B57" s="50">
        <f>MONTH(TB_Entradas[[#This Row],[Data]])</f>
        <v>11</v>
      </c>
      <c r="C57" s="50">
        <f>MONTH(TB_Entradas[[#This Row],[Data]])</f>
        <v>11</v>
      </c>
      <c r="D57" s="45">
        <v>44895</v>
      </c>
      <c r="E57" s="42" t="s">
        <v>10</v>
      </c>
      <c r="F57" s="35" t="s">
        <v>56</v>
      </c>
      <c r="G57" s="43">
        <v>35</v>
      </c>
      <c r="H57" s="44" cm="1">
        <f t="array" ref="H57">_xlfn.XLOOKUP(TB_Entradas[[#This Row],[Produto]],TB_Produtos[[#All],[Produto]],TB_Produtos[[#All],[Custo Unitário]],"Produto não Encontrado",0,1)</f>
        <v>0.5</v>
      </c>
      <c r="I57" s="44">
        <f>IFERROR(TB_Entradas[[#This Row],[Quantidade Comprada]]*TB_Entradas[[#This Row],[Custo Unitário]],"Erro ao calcular")</f>
        <v>17.5</v>
      </c>
    </row>
    <row r="58" spans="2:9" ht="16.2" x14ac:dyDescent="0.35">
      <c r="B58" s="50">
        <f>MONTH(TB_Entradas[[#This Row],[Data]])</f>
        <v>12</v>
      </c>
      <c r="C58" s="50">
        <f>MONTH(TB_Entradas[[#This Row],[Data]])</f>
        <v>12</v>
      </c>
      <c r="D58" s="45">
        <v>44907</v>
      </c>
      <c r="E58" s="42" t="s">
        <v>6</v>
      </c>
      <c r="F58" s="35" t="s">
        <v>43</v>
      </c>
      <c r="G58" s="46">
        <v>200</v>
      </c>
      <c r="H58" s="44" cm="1">
        <f t="array" ref="H58">_xlfn.XLOOKUP(TB_Entradas[[#This Row],[Produto]],TB_Produtos[[#All],[Produto]],TB_Produtos[[#All],[Custo Unitário]],"Produto não Encontrado",0,1)</f>
        <v>2</v>
      </c>
      <c r="I58" s="44">
        <f>IFERROR(TB_Entradas[[#This Row],[Quantidade Comprada]]*TB_Entradas[[#This Row],[Custo Unitário]],"Erro ao calcular")</f>
        <v>400</v>
      </c>
    </row>
    <row r="59" spans="2:9" ht="16.2" x14ac:dyDescent="0.35">
      <c r="B59" s="50">
        <f>MONTH(TB_Entradas[[#This Row],[Data]])</f>
        <v>12</v>
      </c>
      <c r="C59" s="50">
        <f>MONTH(TB_Entradas[[#This Row],[Data]])</f>
        <v>12</v>
      </c>
      <c r="D59" s="45">
        <v>44910</v>
      </c>
      <c r="E59" s="42" t="s">
        <v>19</v>
      </c>
      <c r="F59" s="35" t="s">
        <v>43</v>
      </c>
      <c r="G59" s="46">
        <v>40</v>
      </c>
      <c r="H59" s="44" cm="1">
        <f t="array" ref="H59">_xlfn.XLOOKUP(TB_Entradas[[#This Row],[Produto]],TB_Produtos[[#All],[Produto]],TB_Produtos[[#All],[Custo Unitário]],"Produto não Encontrado",0,1)</f>
        <v>0.25</v>
      </c>
      <c r="I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E6:E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2A8-48B7-4F84-B947-E3253EFAB086}">
  <dimension ref="A1:B3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tr" cm="1">
        <f t="array" ref="A1:A27">TB_Produtos[Produto]</f>
        <v>Café</v>
      </c>
      <c r="B1">
        <f>SUMIF(TB_Saídas[Produto],A1,TB_Saídas[Quantidade Vendida])</f>
        <v>945</v>
      </c>
    </row>
    <row r="2" spans="1:2" x14ac:dyDescent="0.3">
      <c r="A2" t="str">
        <v>Pão</v>
      </c>
      <c r="B2">
        <f>SUMIF(TB_Saídas[Produto],A2,TB_Saídas[Quantidade Vendida])</f>
        <v>0</v>
      </c>
    </row>
    <row r="3" spans="1:2" x14ac:dyDescent="0.3">
      <c r="A3" t="str">
        <v>Coxinha</v>
      </c>
      <c r="B3">
        <f>SUMIF(TB_Saídas[Produto],A3,TB_Saídas[Quantidade Vendida])</f>
        <v>245</v>
      </c>
    </row>
    <row r="4" spans="1:2" x14ac:dyDescent="0.3">
      <c r="A4" t="str">
        <v>Esfiha</v>
      </c>
      <c r="B4">
        <f>SUMIF(TB_Saídas[Produto],A4,TB_Saídas[Quantidade Vendida])</f>
        <v>0</v>
      </c>
    </row>
    <row r="5" spans="1:2" x14ac:dyDescent="0.3">
      <c r="A5" t="str">
        <v>Risoles</v>
      </c>
      <c r="B5">
        <f>SUMIF(TB_Saídas[Produto],A5,TB_Saídas[Quantidade Vendida])</f>
        <v>0</v>
      </c>
    </row>
    <row r="6" spans="1:2" x14ac:dyDescent="0.3">
      <c r="A6" t="str">
        <v>Empada</v>
      </c>
      <c r="B6">
        <f>SUMIF(TB_Saídas[Produto],A6,TB_Saídas[Quantidade Vendida])</f>
        <v>0</v>
      </c>
    </row>
    <row r="7" spans="1:2" x14ac:dyDescent="0.3">
      <c r="A7" t="str">
        <v>Quibe</v>
      </c>
      <c r="B7">
        <f>SUMIF(TB_Saídas[Produto],A7,TB_Saídas[Quantidade Vendida])</f>
        <v>0</v>
      </c>
    </row>
    <row r="8" spans="1:2" x14ac:dyDescent="0.3">
      <c r="A8" t="str">
        <v>Chá</v>
      </c>
      <c r="B8">
        <f>SUMIF(TB_Saídas[Produto],A8,TB_Saídas[Quantidade Vendida])</f>
        <v>0</v>
      </c>
    </row>
    <row r="9" spans="1:2" x14ac:dyDescent="0.3">
      <c r="A9" t="str">
        <v>Manteiga</v>
      </c>
      <c r="B9">
        <f>SUMIF(TB_Saídas[Produto],A9,TB_Saídas[Quantidade Vendida])</f>
        <v>0</v>
      </c>
    </row>
    <row r="10" spans="1:2" x14ac:dyDescent="0.3">
      <c r="A10" t="str">
        <v>Requeijão</v>
      </c>
      <c r="B10">
        <f>SUMIF(TB_Saídas[Produto],A10,TB_Saídas[Quantidade Vendida])</f>
        <v>0</v>
      </c>
    </row>
    <row r="11" spans="1:2" x14ac:dyDescent="0.3">
      <c r="A11" t="str">
        <v>Chocolate Quente</v>
      </c>
      <c r="B11">
        <f>SUMIF(TB_Saídas[Produto],A11,TB_Saídas[Quantidade Vendida])</f>
        <v>500</v>
      </c>
    </row>
    <row r="12" spans="1:2" x14ac:dyDescent="0.3">
      <c r="A12" t="str">
        <v xml:space="preserve">Leite </v>
      </c>
      <c r="B12">
        <f>SUMIF(TB_Saídas[Produto],A12,TB_Saídas[Quantidade Vendida])</f>
        <v>0</v>
      </c>
    </row>
    <row r="13" spans="1:2" x14ac:dyDescent="0.3">
      <c r="A13" t="str">
        <v>Açúcar</v>
      </c>
      <c r="B13">
        <f>SUMIF(TB_Saídas[Produto],A13,TB_Saídas[Quantidade Vendida])</f>
        <v>0</v>
      </c>
    </row>
    <row r="14" spans="1:2" x14ac:dyDescent="0.3">
      <c r="A14" t="str">
        <v>Mini Pizza</v>
      </c>
      <c r="B14">
        <f>SUMIF(TB_Saídas[Produto],A14,TB_Saídas[Quantidade Vendida])</f>
        <v>90</v>
      </c>
    </row>
    <row r="15" spans="1:2" x14ac:dyDescent="0.3">
      <c r="A15" t="str">
        <v>Chantilly</v>
      </c>
      <c r="B15">
        <f>SUMIF(TB_Saídas[Produto],A15,TB_Saídas[Quantidade Vendida])</f>
        <v>0</v>
      </c>
    </row>
    <row r="16" spans="1:2" x14ac:dyDescent="0.3">
      <c r="A16" t="str">
        <v>Pão de Queijo</v>
      </c>
      <c r="B16">
        <f>SUMIF(TB_Saídas[Produto],A16,TB_Saídas[Quantidade Vendida])</f>
        <v>400</v>
      </c>
    </row>
    <row r="17" spans="1:2" x14ac:dyDescent="0.3">
      <c r="A17" t="str">
        <v>Suco de Laranja</v>
      </c>
      <c r="B17">
        <f>SUMIF(TB_Saídas[Produto],A17,TB_Saídas[Quantidade Vendida])</f>
        <v>100</v>
      </c>
    </row>
    <row r="18" spans="1:2" x14ac:dyDescent="0.3">
      <c r="A18" t="str">
        <v>Hamburguer</v>
      </c>
      <c r="B18">
        <f>SUMIF(TB_Saídas[Produto],A18,TB_Saídas[Quantidade Vendida])</f>
        <v>50</v>
      </c>
    </row>
    <row r="19" spans="1:2" x14ac:dyDescent="0.3">
      <c r="A19" t="str">
        <v>Frango</v>
      </c>
      <c r="B19">
        <f>SUMIF(TB_Saídas[Produto],A19,TB_Saídas[Quantidade Vendida])</f>
        <v>30</v>
      </c>
    </row>
    <row r="20" spans="1:2" x14ac:dyDescent="0.3">
      <c r="A20" t="str">
        <v xml:space="preserve">Água </v>
      </c>
      <c r="B20">
        <f>SUMIF(TB_Saídas[Produto],A20,TB_Saídas[Quantidade Vendida])</f>
        <v>0</v>
      </c>
    </row>
    <row r="21" spans="1:2" x14ac:dyDescent="0.3">
      <c r="A21" t="str">
        <v>Cerveja</v>
      </c>
      <c r="B21">
        <f>SUMIF(TB_Saídas[Produto],A21,TB_Saídas[Quantidade Vendida])</f>
        <v>25</v>
      </c>
    </row>
    <row r="22" spans="1:2" x14ac:dyDescent="0.3">
      <c r="A22" t="str">
        <v>Queijo</v>
      </c>
      <c r="B22">
        <f>SUMIF(TB_Saídas[Produto],A22,TB_Saídas[Quantidade Vendida])</f>
        <v>0</v>
      </c>
    </row>
    <row r="23" spans="1:2" x14ac:dyDescent="0.3">
      <c r="A23" t="str">
        <v>Presunto</v>
      </c>
      <c r="B23">
        <f>SUMIF(TB_Saídas[Produto],A23,TB_Saídas[Quantidade Vendida])</f>
        <v>0</v>
      </c>
    </row>
    <row r="24" spans="1:2" x14ac:dyDescent="0.3">
      <c r="A24" t="str">
        <v>Mortadela</v>
      </c>
      <c r="B24">
        <f>SUMIF(TB_Saídas[Produto],A24,TB_Saídas[Quantidade Vendida])</f>
        <v>0</v>
      </c>
    </row>
    <row r="25" spans="1:2" x14ac:dyDescent="0.3">
      <c r="A25" t="str">
        <v>Peito de Peru</v>
      </c>
      <c r="B25">
        <f>SUMIF(TB_Saídas[Produto],A25,TB_Saídas[Quantidade Vendida])</f>
        <v>0</v>
      </c>
    </row>
    <row r="26" spans="1:2" x14ac:dyDescent="0.3">
      <c r="A26" t="str">
        <v>Refrigerante</v>
      </c>
      <c r="B26">
        <f>SUMIF(TB_Saídas[Produto],A26,TB_Saídas[Quantidade Vendida])</f>
        <v>210</v>
      </c>
    </row>
    <row r="27" spans="1:2" x14ac:dyDescent="0.3">
      <c r="A27" t="str">
        <v>Enroladinho</v>
      </c>
      <c r="B27">
        <f>SUMIF(TB_Saídas[Produto],A27,TB_Saídas[Quantidade Vendida])</f>
        <v>0</v>
      </c>
    </row>
    <row r="28" spans="1:2" x14ac:dyDescent="0.3">
      <c r="B28">
        <f>SUMIF(TB_Saídas[Produto],A28,TB_Saídas[Quantidade Vendida])</f>
        <v>0</v>
      </c>
    </row>
    <row r="29" spans="1:2" x14ac:dyDescent="0.3">
      <c r="B29">
        <f>SUMIF(TB_Saídas[Produto],A29,TB_Saídas[Quantidade Vendida])</f>
        <v>0</v>
      </c>
    </row>
    <row r="30" spans="1:2" x14ac:dyDescent="0.3">
      <c r="B30">
        <f>SUMIF(TB_Saídas[Produto],A30,TB_Saídas[Quantidade Vendida])</f>
        <v>0</v>
      </c>
    </row>
    <row r="31" spans="1:2" x14ac:dyDescent="0.3">
      <c r="B31">
        <f>SUMIF(TB_Saídas[Produto],A31,TB_Saídas[Quantidade Vendida])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H63"/>
  <sheetViews>
    <sheetView showGridLines="0" zoomScale="140" zoomScaleNormal="140" workbookViewId="0">
      <selection activeCell="C7" sqref="C7"/>
    </sheetView>
  </sheetViews>
  <sheetFormatPr defaultColWidth="9.109375" defaultRowHeight="14.4" x14ac:dyDescent="0.3"/>
  <cols>
    <col min="1" max="1" width="5.33203125" customWidth="1"/>
    <col min="2" max="2" width="10.88671875" style="2" hidden="1" customWidth="1"/>
    <col min="3" max="3" width="10.88671875" style="2" customWidth="1"/>
    <col min="4" max="4" width="15.33203125" customWidth="1"/>
    <col min="5" max="5" width="20.88671875" customWidth="1"/>
    <col min="6" max="6" width="23.33203125" customWidth="1"/>
    <col min="7" max="7" width="17.33203125" customWidth="1"/>
    <col min="8" max="8" width="17.5546875" customWidth="1"/>
  </cols>
  <sheetData>
    <row r="1" spans="2:8" s="29" customFormat="1" ht="60" customHeight="1" x14ac:dyDescent="0.3">
      <c r="F1" s="37" t="s">
        <v>66</v>
      </c>
      <c r="G1" s="30"/>
    </row>
    <row r="2" spans="2:8" s="32" customFormat="1" ht="6" customHeight="1" x14ac:dyDescent="0.3">
      <c r="G2" s="33"/>
    </row>
    <row r="5" spans="2:8" x14ac:dyDescent="0.3">
      <c r="B5" s="39" t="s">
        <v>61</v>
      </c>
      <c r="C5" s="39" t="s">
        <v>109</v>
      </c>
      <c r="D5" s="39" t="s">
        <v>62</v>
      </c>
      <c r="E5" s="39" t="s">
        <v>1</v>
      </c>
      <c r="F5" s="39" t="s">
        <v>67</v>
      </c>
      <c r="G5" s="40" t="s">
        <v>5</v>
      </c>
      <c r="H5" s="40" t="s">
        <v>68</v>
      </c>
    </row>
    <row r="6" spans="2:8" ht="16.2" x14ac:dyDescent="0.35">
      <c r="B6" s="50">
        <f>MONTH(TB_Saídas[[#This Row],[Data]])</f>
        <v>1</v>
      </c>
      <c r="C6" s="50">
        <f>MONTH(TB_Saídas[[#This Row],[Data]])</f>
        <v>1</v>
      </c>
      <c r="D6" s="41">
        <v>44566</v>
      </c>
      <c r="E6" s="42" t="s">
        <v>10</v>
      </c>
      <c r="F6" s="35">
        <v>30</v>
      </c>
      <c r="G6" s="51" cm="1">
        <f t="array" ref="G6">_xlfn.XLOOKUP(TB_Saídas[[#This Row],[Produto]],TB_Produtos[[#All],[Produto]],TB_Produtos[[#All],[Preço Unitário]],"Produto não Encontrado",0,1)</f>
        <v>6.5</v>
      </c>
      <c r="H6" s="44">
        <f>IFERROR(TB_Saídas[[#This Row],[Quantidade Vendida]]*TB_Saídas[[#This Row],[Preço Unitário]],"Não foi possível calcular")</f>
        <v>195</v>
      </c>
    </row>
    <row r="7" spans="2:8" ht="16.2" x14ac:dyDescent="0.35">
      <c r="B7" s="50">
        <f>MONTH(TB_Saídas[[#This Row],[Data]])</f>
        <v>1</v>
      </c>
      <c r="C7" s="50">
        <f>MONTH(TB_Saídas[[#This Row],[Data]])</f>
        <v>1</v>
      </c>
      <c r="D7" s="41">
        <v>44567</v>
      </c>
      <c r="E7" s="42" t="s">
        <v>6</v>
      </c>
      <c r="F7" s="35">
        <v>80</v>
      </c>
      <c r="G7" s="51" cm="1">
        <f t="array" ref="G7">_xlfn.XLOOKUP(TB_Saídas[[#This Row],[Produto]],TB_Produtos[[#All],[Produto]],TB_Produtos[[#All],[Preço Unitário]],"Produto não Encontrado",0,1)</f>
        <v>6</v>
      </c>
      <c r="H7" s="44">
        <f>IFERROR(TB_Saídas[[#This Row],[Quantidade Vendida]]*TB_Saídas[[#This Row],[Preço Unitário]],"Não foi possível calcular")</f>
        <v>480</v>
      </c>
    </row>
    <row r="8" spans="2:8" ht="16.2" x14ac:dyDescent="0.35">
      <c r="B8" s="50">
        <f>MONTH(TB_Saídas[[#This Row],[Data]])</f>
        <v>1</v>
      </c>
      <c r="C8" s="50">
        <f>MONTH(TB_Saídas[[#This Row],[Data]])</f>
        <v>1</v>
      </c>
      <c r="D8" s="41">
        <v>44581</v>
      </c>
      <c r="E8" s="42" t="s">
        <v>25</v>
      </c>
      <c r="F8" s="35">
        <v>50</v>
      </c>
      <c r="G8" s="51" cm="1">
        <f t="array" ref="G8">_xlfn.XLOOKUP(TB_Saídas[[#This Row],[Produto]],TB_Produtos[[#All],[Produto]],TB_Produtos[[#All],[Preço Unitário]],"Produto não Encontrado",0,1)</f>
        <v>7.5</v>
      </c>
      <c r="H8" s="44">
        <f>IFERROR(TB_Saídas[[#This Row],[Quantidade Vendida]]*TB_Saídas[[#This Row],[Preço Unitário]],"Não foi possível calcular")</f>
        <v>375</v>
      </c>
    </row>
    <row r="9" spans="2:8" ht="16.2" x14ac:dyDescent="0.35">
      <c r="B9" s="50">
        <f>MONTH(TB_Saídas[[#This Row],[Data]])</f>
        <v>1</v>
      </c>
      <c r="C9" s="50">
        <f>MONTH(TB_Saídas[[#This Row],[Data]])</f>
        <v>1</v>
      </c>
      <c r="D9" s="41">
        <v>44586</v>
      </c>
      <c r="E9" s="42" t="s">
        <v>19</v>
      </c>
      <c r="F9" s="35">
        <v>50</v>
      </c>
      <c r="G9" s="51" cm="1">
        <f t="array" ref="G9">_xlfn.XLOOKUP(TB_Saídas[[#This Row],[Produto]],TB_Produtos[[#All],[Produto]],TB_Produtos[[#All],[Preço Unitário]],"Produto não Encontrado",0,1)</f>
        <v>8.5</v>
      </c>
      <c r="H9" s="44">
        <f>IFERROR(TB_Saídas[[#This Row],[Quantidade Vendida]]*TB_Saídas[[#This Row],[Preço Unitário]],"Não foi possível calcular")</f>
        <v>425</v>
      </c>
    </row>
    <row r="10" spans="2:8" ht="16.2" x14ac:dyDescent="0.35">
      <c r="B10" s="50">
        <f>MONTH(TB_Saídas[[#This Row],[Data]])</f>
        <v>2</v>
      </c>
      <c r="C10" s="50">
        <f>MONTH(TB_Saídas[[#This Row],[Data]])</f>
        <v>2</v>
      </c>
      <c r="D10" s="41">
        <v>44597</v>
      </c>
      <c r="E10" s="42" t="s">
        <v>25</v>
      </c>
      <c r="F10" s="35">
        <v>30</v>
      </c>
      <c r="G10" s="51" cm="1">
        <f t="array" ref="G10">_xlfn.XLOOKUP(TB_Saídas[[#This Row],[Produto]],TB_Produtos[[#All],[Produto]],TB_Produtos[[#All],[Preço Unitário]],"Produto não Encontrado",0,1)</f>
        <v>7.5</v>
      </c>
      <c r="H10" s="44">
        <f>IFERROR(TB_Saídas[[#This Row],[Quantidade Vendida]]*TB_Saídas[[#This Row],[Preço Unitário]],"Não foi possível calcular")</f>
        <v>225</v>
      </c>
    </row>
    <row r="11" spans="2:8" ht="16.2" x14ac:dyDescent="0.35">
      <c r="B11" s="50">
        <f>MONTH(TB_Saídas[[#This Row],[Data]])</f>
        <v>2</v>
      </c>
      <c r="C11" s="50">
        <f>MONTH(TB_Saídas[[#This Row],[Data]])</f>
        <v>2</v>
      </c>
      <c r="D11" s="41">
        <v>44598</v>
      </c>
      <c r="E11" s="42" t="s">
        <v>6</v>
      </c>
      <c r="F11" s="35">
        <v>110</v>
      </c>
      <c r="G11" s="51" cm="1">
        <f t="array" ref="G11">_xlfn.XLOOKUP(TB_Saídas[[#This Row],[Produto]],TB_Produtos[[#All],[Produto]],TB_Produtos[[#All],[Preço Unitário]],"Produto não Encontrado",0,1)</f>
        <v>6</v>
      </c>
      <c r="H11" s="44">
        <f>IFERROR(TB_Saídas[[#This Row],[Quantidade Vendida]]*TB_Saídas[[#This Row],[Preço Unitário]],"Não foi possível calcular")</f>
        <v>660</v>
      </c>
    </row>
    <row r="12" spans="2:8" ht="16.2" x14ac:dyDescent="0.35">
      <c r="B12" s="50">
        <f>MONTH(TB_Saídas[[#This Row],[Data]])</f>
        <v>2</v>
      </c>
      <c r="C12" s="50">
        <f>MONTH(TB_Saídas[[#This Row],[Data]])</f>
        <v>2</v>
      </c>
      <c r="D12" s="41">
        <v>44602</v>
      </c>
      <c r="E12" s="42" t="s">
        <v>19</v>
      </c>
      <c r="F12" s="35">
        <v>75</v>
      </c>
      <c r="G12" s="51" cm="1">
        <f t="array" ref="G12">_xlfn.XLOOKUP(TB_Saídas[[#This Row],[Produto]],TB_Produtos[[#All],[Produto]],TB_Produtos[[#All],[Preço Unitário]],"Produto não Encontrado",0,1)</f>
        <v>8.5</v>
      </c>
      <c r="H12" s="44">
        <f>IFERROR(TB_Saídas[[#This Row],[Quantidade Vendida]]*TB_Saídas[[#This Row],[Preço Unitário]],"Não foi possível calcular")</f>
        <v>637.5</v>
      </c>
    </row>
    <row r="13" spans="2:8" ht="16.2" x14ac:dyDescent="0.35">
      <c r="B13" s="50">
        <f>MONTH(TB_Saídas[[#This Row],[Data]])</f>
        <v>2</v>
      </c>
      <c r="C13" s="50">
        <f>MONTH(TB_Saídas[[#This Row],[Data]])</f>
        <v>2</v>
      </c>
      <c r="D13" s="41">
        <v>44620</v>
      </c>
      <c r="E13" s="42" t="s">
        <v>10</v>
      </c>
      <c r="F13" s="35">
        <v>20</v>
      </c>
      <c r="G13" s="51" cm="1">
        <f t="array" ref="G13">_xlfn.XLOOKUP(TB_Saídas[[#This Row],[Produto]],TB_Produtos[[#All],[Produto]],TB_Produtos[[#All],[Preço Unitário]],"Produto não Encontrado",0,1)</f>
        <v>6.5</v>
      </c>
      <c r="H13" s="44">
        <f>IFERROR(TB_Saídas[[#This Row],[Quantidade Vendida]]*TB_Saídas[[#This Row],[Preço Unitário]],"Não foi possível calcular")</f>
        <v>130</v>
      </c>
    </row>
    <row r="14" spans="2:8" ht="16.2" x14ac:dyDescent="0.35">
      <c r="B14" s="50">
        <f>MONTH(TB_Saídas[[#This Row],[Data]])</f>
        <v>3</v>
      </c>
      <c r="C14" s="50">
        <f>MONTH(TB_Saídas[[#This Row],[Data]])</f>
        <v>3</v>
      </c>
      <c r="D14" s="41">
        <v>44626</v>
      </c>
      <c r="E14" s="42" t="s">
        <v>36</v>
      </c>
      <c r="F14" s="35">
        <v>110</v>
      </c>
      <c r="G14" s="51" cm="1">
        <f t="array" ref="G14">_xlfn.XLOOKUP(TB_Saídas[[#This Row],[Produto]],TB_Produtos[[#All],[Produto]],TB_Produtos[[#All],[Preço Unitário]],"Produto não Encontrado",0,1)</f>
        <v>8</v>
      </c>
      <c r="H14" s="44">
        <f>IFERROR(TB_Saídas[[#This Row],[Quantidade Vendida]]*TB_Saídas[[#This Row],[Preço Unitário]],"Não foi possível calcular")</f>
        <v>880</v>
      </c>
    </row>
    <row r="15" spans="2:8" ht="16.2" x14ac:dyDescent="0.35">
      <c r="B15" s="50">
        <f>MONTH(TB_Saídas[[#This Row],[Data]])</f>
        <v>3</v>
      </c>
      <c r="C15" s="50">
        <f>MONTH(TB_Saídas[[#This Row],[Data]])</f>
        <v>3</v>
      </c>
      <c r="D15" s="41">
        <v>44631</v>
      </c>
      <c r="E15" s="42" t="s">
        <v>25</v>
      </c>
      <c r="F15" s="35">
        <v>40</v>
      </c>
      <c r="G15" s="51" cm="1">
        <f t="array" ref="G15">_xlfn.XLOOKUP(TB_Saídas[[#This Row],[Produto]],TB_Produtos[[#All],[Produto]],TB_Produtos[[#All],[Preço Unitário]],"Produto não Encontrado",0,1)</f>
        <v>7.5</v>
      </c>
      <c r="H15" s="44">
        <f>IFERROR(TB_Saídas[[#This Row],[Quantidade Vendida]]*TB_Saídas[[#This Row],[Preço Unitário]],"Não foi possível calcular")</f>
        <v>300</v>
      </c>
    </row>
    <row r="16" spans="2:8" ht="16.2" x14ac:dyDescent="0.35">
      <c r="B16" s="50">
        <f>MONTH(TB_Saídas[[#This Row],[Data]])</f>
        <v>3</v>
      </c>
      <c r="C16" s="50">
        <f>MONTH(TB_Saídas[[#This Row],[Data]])</f>
        <v>3</v>
      </c>
      <c r="D16" s="41">
        <v>44646</v>
      </c>
      <c r="E16" s="42" t="s">
        <v>19</v>
      </c>
      <c r="F16" s="35">
        <v>50</v>
      </c>
      <c r="G16" s="51" cm="1">
        <f t="array" ref="G16">_xlfn.XLOOKUP(TB_Saídas[[#This Row],[Produto]],TB_Produtos[[#All],[Produto]],TB_Produtos[[#All],[Preço Unitário]],"Produto não Encontrado",0,1)</f>
        <v>8.5</v>
      </c>
      <c r="H16" s="44">
        <f>IFERROR(TB_Saídas[[#This Row],[Quantidade Vendida]]*TB_Saídas[[#This Row],[Preço Unitário]],"Não foi possível calcular")</f>
        <v>425</v>
      </c>
    </row>
    <row r="17" spans="2:8" ht="16.2" x14ac:dyDescent="0.35">
      <c r="B17" s="50">
        <f>MONTH(TB_Saídas[[#This Row],[Data]])</f>
        <v>3</v>
      </c>
      <c r="C17" s="50">
        <f>MONTH(TB_Saídas[[#This Row],[Data]])</f>
        <v>3</v>
      </c>
      <c r="D17" s="41">
        <v>44649</v>
      </c>
      <c r="E17" s="42" t="s">
        <v>10</v>
      </c>
      <c r="F17" s="35">
        <v>15</v>
      </c>
      <c r="G17" s="51" cm="1">
        <f t="array" ref="G17">_xlfn.XLOOKUP(TB_Saídas[[#This Row],[Produto]],TB_Produtos[[#All],[Produto]],TB_Produtos[[#All],[Preço Unitário]],"Produto não Encontrado",0,1)</f>
        <v>6.5</v>
      </c>
      <c r="H17" s="44">
        <f>IFERROR(TB_Saídas[[#This Row],[Quantidade Vendida]]*TB_Saídas[[#This Row],[Preço Unitário]],"Não foi possível calcular")</f>
        <v>97.5</v>
      </c>
    </row>
    <row r="18" spans="2:8" ht="16.2" x14ac:dyDescent="0.35">
      <c r="B18" s="50">
        <f>MONTH(TB_Saídas[[#This Row],[Data]])</f>
        <v>3</v>
      </c>
      <c r="C18" s="50">
        <f>MONTH(TB_Saídas[[#This Row],[Data]])</f>
        <v>3</v>
      </c>
      <c r="D18" s="41">
        <v>44630</v>
      </c>
      <c r="E18" s="42" t="s">
        <v>6</v>
      </c>
      <c r="F18" s="35">
        <v>100</v>
      </c>
      <c r="G18" s="51" cm="1">
        <f t="array" ref="G18">_xlfn.XLOOKUP(TB_Saídas[[#This Row],[Produto]],TB_Produtos[[#All],[Produto]],TB_Produtos[[#All],[Preço Unitário]],"Produto não Encontrado",0,1)</f>
        <v>6</v>
      </c>
      <c r="H18" s="44">
        <f>IFERROR(TB_Saídas[[#This Row],[Quantidade Vendida]]*TB_Saídas[[#This Row],[Preço Unitário]],"Não foi possível calcular")</f>
        <v>600</v>
      </c>
    </row>
    <row r="19" spans="2:8" ht="16.2" x14ac:dyDescent="0.35">
      <c r="B19" s="50">
        <f>MONTH(TB_Saídas[[#This Row],[Data]])</f>
        <v>4</v>
      </c>
      <c r="C19" s="50">
        <f>MONTH(TB_Saídas[[#This Row],[Data]])</f>
        <v>4</v>
      </c>
      <c r="D19" s="41">
        <v>44659</v>
      </c>
      <c r="E19" s="42" t="s">
        <v>10</v>
      </c>
      <c r="F19" s="35">
        <v>40</v>
      </c>
      <c r="G19" s="51" cm="1">
        <f t="array" ref="G19">_xlfn.XLOOKUP(TB_Saídas[[#This Row],[Produto]],TB_Produtos[[#All],[Produto]],TB_Produtos[[#All],[Preço Unitário]],"Produto não Encontrado",0,1)</f>
        <v>6.5</v>
      </c>
      <c r="H19" s="44">
        <f>IFERROR(TB_Saídas[[#This Row],[Quantidade Vendida]]*TB_Saídas[[#This Row],[Preço Unitário]],"Não foi possível calcular")</f>
        <v>260</v>
      </c>
    </row>
    <row r="20" spans="2:8" ht="16.2" x14ac:dyDescent="0.35">
      <c r="B20" s="50">
        <f>MONTH(TB_Saídas[[#This Row],[Data]])</f>
        <v>4</v>
      </c>
      <c r="C20" s="50">
        <f>MONTH(TB_Saídas[[#This Row],[Data]])</f>
        <v>4</v>
      </c>
      <c r="D20" s="41">
        <v>44663</v>
      </c>
      <c r="E20" s="42" t="s">
        <v>6</v>
      </c>
      <c r="F20" s="35">
        <v>75</v>
      </c>
      <c r="G20" s="51" cm="1">
        <f t="array" ref="G20">_xlfn.XLOOKUP(TB_Saídas[[#This Row],[Produto]],TB_Produtos[[#All],[Produto]],TB_Produtos[[#All],[Preço Unitário]],"Produto não Encontrado",0,1)</f>
        <v>6</v>
      </c>
      <c r="H20" s="44">
        <f>IFERROR(TB_Saídas[[#This Row],[Quantidade Vendida]]*TB_Saídas[[#This Row],[Preço Unitário]],"Não foi possível calcular")</f>
        <v>450</v>
      </c>
    </row>
    <row r="21" spans="2:8" ht="16.2" x14ac:dyDescent="0.35">
      <c r="B21" s="50">
        <f>MONTH(TB_Saídas[[#This Row],[Data]])</f>
        <v>4</v>
      </c>
      <c r="C21" s="50">
        <f>MONTH(TB_Saídas[[#This Row],[Data]])</f>
        <v>4</v>
      </c>
      <c r="D21" s="41">
        <v>44667</v>
      </c>
      <c r="E21" s="42" t="s">
        <v>31</v>
      </c>
      <c r="F21" s="35">
        <v>25</v>
      </c>
      <c r="G21" s="51" cm="1">
        <f t="array" ref="G21">_xlfn.XLOOKUP(TB_Saídas[[#This Row],[Produto]],TB_Produtos[[#All],[Produto]],TB_Produtos[[#All],[Preço Unitário]],"Produto não Encontrado",0,1)</f>
        <v>8</v>
      </c>
      <c r="H21" s="44">
        <f>IFERROR(TB_Saídas[[#This Row],[Quantidade Vendida]]*TB_Saídas[[#This Row],[Preço Unitário]],"Não foi possível calcular")</f>
        <v>200</v>
      </c>
    </row>
    <row r="22" spans="2:8" ht="16.2" x14ac:dyDescent="0.35">
      <c r="B22" s="50">
        <f>MONTH(TB_Saídas[[#This Row],[Data]])</f>
        <v>4</v>
      </c>
      <c r="C22" s="50">
        <f>MONTH(TB_Saídas[[#This Row],[Data]])</f>
        <v>4</v>
      </c>
      <c r="D22" s="41">
        <v>44671</v>
      </c>
      <c r="E22" s="42" t="s">
        <v>25</v>
      </c>
      <c r="F22" s="35">
        <v>40</v>
      </c>
      <c r="G22" s="51" cm="1">
        <f t="array" ref="G22">_xlfn.XLOOKUP(TB_Saídas[[#This Row],[Produto]],TB_Produtos[[#All],[Produto]],TB_Produtos[[#All],[Preço Unitário]],"Produto não Encontrado",0,1)</f>
        <v>7.5</v>
      </c>
      <c r="H22" s="44">
        <f>IFERROR(TB_Saídas[[#This Row],[Quantidade Vendida]]*TB_Saídas[[#This Row],[Preço Unitário]],"Não foi possível calcular")</f>
        <v>300</v>
      </c>
    </row>
    <row r="23" spans="2:8" ht="16.2" x14ac:dyDescent="0.35">
      <c r="B23" s="50">
        <f>MONTH(TB_Saídas[[#This Row],[Data]])</f>
        <v>4</v>
      </c>
      <c r="C23" s="50">
        <f>MONTH(TB_Saídas[[#This Row],[Data]])</f>
        <v>4</v>
      </c>
      <c r="D23" s="41">
        <v>44681</v>
      </c>
      <c r="E23" s="42" t="s">
        <v>19</v>
      </c>
      <c r="F23" s="35">
        <v>35</v>
      </c>
      <c r="G23" s="51" cm="1">
        <f t="array" ref="G23">_xlfn.XLOOKUP(TB_Saídas[[#This Row],[Produto]],TB_Produtos[[#All],[Produto]],TB_Produtos[[#All],[Preço Unitário]],"Produto não Encontrado",0,1)</f>
        <v>8.5</v>
      </c>
      <c r="H23" s="44">
        <f>IFERROR(TB_Saídas[[#This Row],[Quantidade Vendida]]*TB_Saídas[[#This Row],[Preço Unitário]],"Não foi possível calcular")</f>
        <v>297.5</v>
      </c>
    </row>
    <row r="24" spans="2:8" ht="16.2" x14ac:dyDescent="0.35">
      <c r="B24" s="50">
        <f>MONTH(TB_Saídas[[#This Row],[Data]])</f>
        <v>5</v>
      </c>
      <c r="C24" s="50">
        <f>MONTH(TB_Saídas[[#This Row],[Data]])</f>
        <v>5</v>
      </c>
      <c r="D24" s="41">
        <v>44691</v>
      </c>
      <c r="E24" s="42" t="s">
        <v>25</v>
      </c>
      <c r="F24" s="35">
        <v>35</v>
      </c>
      <c r="G24" s="51" cm="1">
        <f t="array" ref="G24">_xlfn.XLOOKUP(TB_Saídas[[#This Row],[Produto]],TB_Produtos[[#All],[Produto]],TB_Produtos[[#All],[Preço Unitário]],"Produto não Encontrado",0,1)</f>
        <v>7.5</v>
      </c>
      <c r="H24" s="44">
        <f>IFERROR(TB_Saídas[[#This Row],[Quantidade Vendida]]*TB_Saídas[[#This Row],[Preço Unitário]],"Não foi possível calcular")</f>
        <v>262.5</v>
      </c>
    </row>
    <row r="25" spans="2:8" ht="16.2" x14ac:dyDescent="0.35">
      <c r="B25" s="50">
        <f>MONTH(TB_Saídas[[#This Row],[Data]])</f>
        <v>5</v>
      </c>
      <c r="C25" s="50">
        <f>MONTH(TB_Saídas[[#This Row],[Data]])</f>
        <v>5</v>
      </c>
      <c r="D25" s="41">
        <v>44692</v>
      </c>
      <c r="E25" s="42" t="s">
        <v>27</v>
      </c>
      <c r="F25" s="35">
        <v>20</v>
      </c>
      <c r="G25" s="51" cm="1">
        <f t="array" ref="G25">_xlfn.XLOOKUP(TB_Saídas[[#This Row],[Produto]],TB_Produtos[[#All],[Produto]],TB_Produtos[[#All],[Preço Unitário]],"Produto não Encontrado",0,1)</f>
        <v>15</v>
      </c>
      <c r="H25" s="44">
        <f>IFERROR(TB_Saídas[[#This Row],[Quantidade Vendida]]*TB_Saídas[[#This Row],[Preço Unitário]],"Não foi possível calcular")</f>
        <v>300</v>
      </c>
    </row>
    <row r="26" spans="2:8" ht="16.2" x14ac:dyDescent="0.35">
      <c r="B26" s="50">
        <f>MONTH(TB_Saídas[[#This Row],[Data]])</f>
        <v>5</v>
      </c>
      <c r="C26" s="50">
        <f>MONTH(TB_Saídas[[#This Row],[Data]])</f>
        <v>5</v>
      </c>
      <c r="D26" s="41">
        <v>44692</v>
      </c>
      <c r="E26" s="42" t="s">
        <v>6</v>
      </c>
      <c r="F26" s="35">
        <v>75</v>
      </c>
      <c r="G26" s="51" cm="1">
        <f t="array" ref="G26">_xlfn.XLOOKUP(TB_Saídas[[#This Row],[Produto]],TB_Produtos[[#All],[Produto]],TB_Produtos[[#All],[Preço Unitário]],"Produto não Encontrado",0,1)</f>
        <v>6</v>
      </c>
      <c r="H26" s="44">
        <f>IFERROR(TB_Saídas[[#This Row],[Quantidade Vendida]]*TB_Saídas[[#This Row],[Preço Unitário]],"Não foi possível calcular")</f>
        <v>450</v>
      </c>
    </row>
    <row r="27" spans="2:8" ht="16.2" x14ac:dyDescent="0.35">
      <c r="B27" s="50">
        <f>MONTH(TB_Saídas[[#This Row],[Data]])</f>
        <v>5</v>
      </c>
      <c r="C27" s="50">
        <f>MONTH(TB_Saídas[[#This Row],[Data]])</f>
        <v>5</v>
      </c>
      <c r="D27" s="41">
        <v>44700</v>
      </c>
      <c r="E27" s="42" t="s">
        <v>19</v>
      </c>
      <c r="F27" s="35">
        <v>27</v>
      </c>
      <c r="G27" s="51" cm="1">
        <f t="array" ref="G27">_xlfn.XLOOKUP(TB_Saídas[[#This Row],[Produto]],TB_Produtos[[#All],[Produto]],TB_Produtos[[#All],[Preço Unitário]],"Produto não Encontrado",0,1)</f>
        <v>8.5</v>
      </c>
      <c r="H27" s="44">
        <f>IFERROR(TB_Saídas[[#This Row],[Quantidade Vendida]]*TB_Saídas[[#This Row],[Preço Unitário]],"Não foi possível calcular")</f>
        <v>229.5</v>
      </c>
    </row>
    <row r="28" spans="2:8" ht="16.2" x14ac:dyDescent="0.35">
      <c r="B28" s="50">
        <f>MONTH(TB_Saídas[[#This Row],[Data]])</f>
        <v>5</v>
      </c>
      <c r="C28" s="50">
        <f>MONTH(TB_Saídas[[#This Row],[Data]])</f>
        <v>5</v>
      </c>
      <c r="D28" s="41">
        <v>44700</v>
      </c>
      <c r="E28" s="42" t="s">
        <v>10</v>
      </c>
      <c r="F28" s="35">
        <v>20</v>
      </c>
      <c r="G28" s="51" cm="1">
        <f t="array" ref="G28">_xlfn.XLOOKUP(TB_Saídas[[#This Row],[Produto]],TB_Produtos[[#All],[Produto]],TB_Produtos[[#All],[Preço Unitário]],"Produto não Encontrado",0,1)</f>
        <v>6.5</v>
      </c>
      <c r="H28" s="44">
        <f>IFERROR(TB_Saídas[[#This Row],[Quantidade Vendida]]*TB_Saídas[[#This Row],[Preço Unitário]],"Não foi possível calcular")</f>
        <v>130</v>
      </c>
    </row>
    <row r="29" spans="2:8" ht="16.2" x14ac:dyDescent="0.35">
      <c r="B29" s="50">
        <f>MONTH(TB_Saídas[[#This Row],[Data]])</f>
        <v>6</v>
      </c>
      <c r="C29" s="50">
        <f>MONTH(TB_Saídas[[#This Row],[Data]])</f>
        <v>6</v>
      </c>
      <c r="D29" s="41">
        <v>44737</v>
      </c>
      <c r="E29" s="42" t="s">
        <v>19</v>
      </c>
      <c r="F29" s="35">
        <v>35</v>
      </c>
      <c r="G29" s="51" cm="1">
        <f t="array" ref="G29">_xlfn.XLOOKUP(TB_Saídas[[#This Row],[Produto]],TB_Produtos[[#All],[Produto]],TB_Produtos[[#All],[Preço Unitário]],"Produto não Encontrado",0,1)</f>
        <v>8.5</v>
      </c>
      <c r="H29" s="44">
        <f>IFERROR(TB_Saídas[[#This Row],[Quantidade Vendida]]*TB_Saídas[[#This Row],[Preço Unitário]],"Não foi possível calcular")</f>
        <v>297.5</v>
      </c>
    </row>
    <row r="30" spans="2:8" ht="16.2" x14ac:dyDescent="0.35">
      <c r="B30" s="50">
        <f>MONTH(TB_Saídas[[#This Row],[Data]])</f>
        <v>6</v>
      </c>
      <c r="C30" s="50">
        <f>MONTH(TB_Saídas[[#This Row],[Data]])</f>
        <v>6</v>
      </c>
      <c r="D30" s="41">
        <v>44738</v>
      </c>
      <c r="E30" s="42" t="s">
        <v>6</v>
      </c>
      <c r="F30" s="35">
        <v>100</v>
      </c>
      <c r="G30" s="51" cm="1">
        <f t="array" ref="G30">_xlfn.XLOOKUP(TB_Saídas[[#This Row],[Produto]],TB_Produtos[[#All],[Produto]],TB_Produtos[[#All],[Preço Unitário]],"Produto não Encontrado",0,1)</f>
        <v>6</v>
      </c>
      <c r="H30" s="44">
        <f>IFERROR(TB_Saídas[[#This Row],[Quantidade Vendida]]*TB_Saídas[[#This Row],[Preço Unitário]],"Não foi possível calcular")</f>
        <v>600</v>
      </c>
    </row>
    <row r="31" spans="2:8" ht="16.2" x14ac:dyDescent="0.35">
      <c r="B31" s="50">
        <f>MONTH(TB_Saídas[[#This Row],[Data]])</f>
        <v>6</v>
      </c>
      <c r="C31" s="50">
        <f>MONTH(TB_Saídas[[#This Row],[Data]])</f>
        <v>6</v>
      </c>
      <c r="D31" s="41">
        <v>44738</v>
      </c>
      <c r="E31" s="42" t="s">
        <v>25</v>
      </c>
      <c r="F31" s="35">
        <v>20</v>
      </c>
      <c r="G31" s="51" cm="1">
        <f t="array" ref="G31">_xlfn.XLOOKUP(TB_Saídas[[#This Row],[Produto]],TB_Produtos[[#All],[Produto]],TB_Produtos[[#All],[Preço Unitário]],"Produto não Encontrado",0,1)</f>
        <v>7.5</v>
      </c>
      <c r="H31" s="44">
        <f>IFERROR(TB_Saídas[[#This Row],[Quantidade Vendida]]*TB_Saídas[[#This Row],[Preço Unitário]],"Não foi possível calcular")</f>
        <v>150</v>
      </c>
    </row>
    <row r="32" spans="2:8" ht="16.2" x14ac:dyDescent="0.35">
      <c r="B32" s="50">
        <f>MONTH(TB_Saídas[[#This Row],[Data]])</f>
        <v>6</v>
      </c>
      <c r="C32" s="50">
        <f>MONTH(TB_Saídas[[#This Row],[Data]])</f>
        <v>6</v>
      </c>
      <c r="D32" s="41">
        <v>44739</v>
      </c>
      <c r="E32" s="42" t="s">
        <v>10</v>
      </c>
      <c r="F32" s="35">
        <v>15</v>
      </c>
      <c r="G32" s="51" cm="1">
        <f t="array" ref="G32">_xlfn.XLOOKUP(TB_Saídas[[#This Row],[Produto]],TB_Produtos[[#All],[Produto]],TB_Produtos[[#All],[Preço Unitário]],"Produto não Encontrado",0,1)</f>
        <v>6.5</v>
      </c>
      <c r="H32" s="44">
        <f>IFERROR(TB_Saídas[[#This Row],[Quantidade Vendida]]*TB_Saídas[[#This Row],[Preço Unitário]],"Não foi possível calcular")</f>
        <v>97.5</v>
      </c>
    </row>
    <row r="33" spans="2:8" ht="16.2" x14ac:dyDescent="0.35">
      <c r="B33" s="50">
        <f>MONTH(TB_Saídas[[#This Row],[Data]])</f>
        <v>7</v>
      </c>
      <c r="C33" s="50">
        <f>MONTH(TB_Saídas[[#This Row],[Data]])</f>
        <v>7</v>
      </c>
      <c r="D33" s="41">
        <v>44749</v>
      </c>
      <c r="E33" s="42" t="s">
        <v>26</v>
      </c>
      <c r="F33" s="35">
        <v>40</v>
      </c>
      <c r="G33" s="51" cm="1">
        <f t="array" ref="G33">_xlfn.XLOOKUP(TB_Saídas[[#This Row],[Produto]],TB_Produtos[[#All],[Produto]],TB_Produtos[[#All],[Preço Unitário]],"Produto não Encontrado",0,1)</f>
        <v>10</v>
      </c>
      <c r="H33" s="44">
        <f>IFERROR(TB_Saídas[[#This Row],[Quantidade Vendida]]*TB_Saídas[[#This Row],[Preço Unitário]],"Não foi possível calcular")</f>
        <v>400</v>
      </c>
    </row>
    <row r="34" spans="2:8" ht="16.2" x14ac:dyDescent="0.35">
      <c r="B34" s="50">
        <f>MONTH(TB_Saídas[[#This Row],[Data]])</f>
        <v>7</v>
      </c>
      <c r="C34" s="50">
        <f>MONTH(TB_Saídas[[#This Row],[Data]])</f>
        <v>7</v>
      </c>
      <c r="D34" s="41">
        <v>44749</v>
      </c>
      <c r="E34" s="42" t="s">
        <v>6</v>
      </c>
      <c r="F34" s="35">
        <v>90</v>
      </c>
      <c r="G34" s="51" cm="1">
        <f t="array" ref="G34">_xlfn.XLOOKUP(TB_Saídas[[#This Row],[Produto]],TB_Produtos[[#All],[Produto]],TB_Produtos[[#All],[Preço Unitário]],"Produto não Encontrado",0,1)</f>
        <v>6</v>
      </c>
      <c r="H34" s="44">
        <f>IFERROR(TB_Saídas[[#This Row],[Quantidade Vendida]]*TB_Saídas[[#This Row],[Preço Unitário]],"Não foi possível calcular")</f>
        <v>540</v>
      </c>
    </row>
    <row r="35" spans="2:8" ht="16.2" x14ac:dyDescent="0.35">
      <c r="B35" s="50">
        <f>MONTH(TB_Saídas[[#This Row],[Data]])</f>
        <v>7</v>
      </c>
      <c r="C35" s="50">
        <f>MONTH(TB_Saídas[[#This Row],[Data]])</f>
        <v>7</v>
      </c>
      <c r="D35" s="41">
        <v>44758</v>
      </c>
      <c r="E35" s="42" t="s">
        <v>10</v>
      </c>
      <c r="F35" s="35">
        <v>35</v>
      </c>
      <c r="G35" s="51" cm="1">
        <f t="array" ref="G35">_xlfn.XLOOKUP(TB_Saídas[[#This Row],[Produto]],TB_Produtos[[#All],[Produto]],TB_Produtos[[#All],[Preço Unitário]],"Produto não Encontrado",0,1)</f>
        <v>6.5</v>
      </c>
      <c r="H35" s="44">
        <f>IFERROR(TB_Saídas[[#This Row],[Quantidade Vendida]]*TB_Saídas[[#This Row],[Preço Unitário]],"Não foi possível calcular")</f>
        <v>227.5</v>
      </c>
    </row>
    <row r="36" spans="2:8" ht="16.2" x14ac:dyDescent="0.35">
      <c r="B36" s="50">
        <f>MONTH(TB_Saídas[[#This Row],[Data]])</f>
        <v>7</v>
      </c>
      <c r="C36" s="50">
        <f>MONTH(TB_Saídas[[#This Row],[Data]])</f>
        <v>7</v>
      </c>
      <c r="D36" s="41">
        <v>44765</v>
      </c>
      <c r="E36" s="42" t="s">
        <v>19</v>
      </c>
      <c r="F36" s="35">
        <v>75</v>
      </c>
      <c r="G36" s="51" cm="1">
        <f t="array" ref="G36">_xlfn.XLOOKUP(TB_Saídas[[#This Row],[Produto]],TB_Produtos[[#All],[Produto]],TB_Produtos[[#All],[Preço Unitário]],"Produto não Encontrado",0,1)</f>
        <v>8.5</v>
      </c>
      <c r="H36" s="44">
        <f>IFERROR(TB_Saídas[[#This Row],[Quantidade Vendida]]*TB_Saídas[[#This Row],[Preço Unitário]],"Não foi possível calcular")</f>
        <v>637.5</v>
      </c>
    </row>
    <row r="37" spans="2:8" ht="16.2" x14ac:dyDescent="0.35">
      <c r="B37" s="50">
        <f>MONTH(TB_Saídas[[#This Row],[Data]])</f>
        <v>7</v>
      </c>
      <c r="C37" s="50">
        <f>MONTH(TB_Saídas[[#This Row],[Data]])</f>
        <v>7</v>
      </c>
      <c r="D37" s="41">
        <v>44772</v>
      </c>
      <c r="E37" s="42" t="s">
        <v>25</v>
      </c>
      <c r="F37" s="35">
        <v>55</v>
      </c>
      <c r="G37" s="51" cm="1">
        <f t="array" ref="G37">_xlfn.XLOOKUP(TB_Saídas[[#This Row],[Produto]],TB_Produtos[[#All],[Produto]],TB_Produtos[[#All],[Preço Unitário]],"Produto não Encontrado",0,1)</f>
        <v>7.5</v>
      </c>
      <c r="H37" s="44">
        <f>IFERROR(TB_Saídas[[#This Row],[Quantidade Vendida]]*TB_Saídas[[#This Row],[Preço Unitário]],"Não foi possível calcular")</f>
        <v>412.5</v>
      </c>
    </row>
    <row r="38" spans="2:8" ht="16.2" x14ac:dyDescent="0.35">
      <c r="B38" s="50">
        <f>MONTH(TB_Saídas[[#This Row],[Data]])</f>
        <v>8</v>
      </c>
      <c r="C38" s="50">
        <f>MONTH(TB_Saídas[[#This Row],[Data]])</f>
        <v>8</v>
      </c>
      <c r="D38" s="41">
        <v>44792</v>
      </c>
      <c r="E38" s="42" t="s">
        <v>10</v>
      </c>
      <c r="F38" s="35">
        <v>12</v>
      </c>
      <c r="G38" s="51" cm="1">
        <f t="array" ref="G38">_xlfn.XLOOKUP(TB_Saídas[[#This Row],[Produto]],TB_Produtos[[#All],[Produto]],TB_Produtos[[#All],[Preço Unitário]],"Produto não Encontrado",0,1)</f>
        <v>6.5</v>
      </c>
      <c r="H38" s="44">
        <f>IFERROR(TB_Saídas[[#This Row],[Quantidade Vendida]]*TB_Saídas[[#This Row],[Preço Unitário]],"Não foi possível calcular")</f>
        <v>78</v>
      </c>
    </row>
    <row r="39" spans="2:8" ht="16.2" x14ac:dyDescent="0.35">
      <c r="B39" s="50">
        <f>MONTH(TB_Saídas[[#This Row],[Data]])</f>
        <v>8</v>
      </c>
      <c r="C39" s="50">
        <f>MONTH(TB_Saídas[[#This Row],[Data]])</f>
        <v>8</v>
      </c>
      <c r="D39" s="41">
        <v>44794</v>
      </c>
      <c r="E39" s="42" t="s">
        <v>19</v>
      </c>
      <c r="F39" s="35">
        <v>36</v>
      </c>
      <c r="G39" s="51" cm="1">
        <f t="array" ref="G39">_xlfn.XLOOKUP(TB_Saídas[[#This Row],[Produto]],TB_Produtos[[#All],[Produto]],TB_Produtos[[#All],[Preço Unitário]],"Produto não Encontrado",0,1)</f>
        <v>8.5</v>
      </c>
      <c r="H39" s="44">
        <f>IFERROR(TB_Saídas[[#This Row],[Quantidade Vendida]]*TB_Saídas[[#This Row],[Preço Unitário]],"Não foi possível calcular")</f>
        <v>306</v>
      </c>
    </row>
    <row r="40" spans="2:8" ht="16.2" x14ac:dyDescent="0.35">
      <c r="B40" s="50">
        <f>MONTH(TB_Saídas[[#This Row],[Data]])</f>
        <v>8</v>
      </c>
      <c r="C40" s="50">
        <f>MONTH(TB_Saídas[[#This Row],[Data]])</f>
        <v>8</v>
      </c>
      <c r="D40" s="41">
        <v>44803</v>
      </c>
      <c r="E40" s="42" t="s">
        <v>23</v>
      </c>
      <c r="F40" s="35">
        <v>90</v>
      </c>
      <c r="G40" s="51" cm="1">
        <f t="array" ref="G40">_xlfn.XLOOKUP(TB_Saídas[[#This Row],[Produto]],TB_Produtos[[#All],[Produto]],TB_Produtos[[#All],[Preço Unitário]],"Produto não Encontrado",0,1)</f>
        <v>5</v>
      </c>
      <c r="H40" s="44">
        <f>IFERROR(TB_Saídas[[#This Row],[Quantidade Vendida]]*TB_Saídas[[#This Row],[Preço Unitário]],"Não foi possível calcular")</f>
        <v>450</v>
      </c>
    </row>
    <row r="41" spans="2:8" ht="16.2" x14ac:dyDescent="0.35">
      <c r="B41" s="50">
        <f>MONTH(TB_Saídas[[#This Row],[Data]])</f>
        <v>8</v>
      </c>
      <c r="C41" s="50">
        <f>MONTH(TB_Saídas[[#This Row],[Data]])</f>
        <v>8</v>
      </c>
      <c r="D41" s="41">
        <v>44803</v>
      </c>
      <c r="E41" s="42" t="s">
        <v>25</v>
      </c>
      <c r="F41" s="35">
        <v>25</v>
      </c>
      <c r="G41" s="51" cm="1">
        <f t="array" ref="G41">_xlfn.XLOOKUP(TB_Saídas[[#This Row],[Produto]],TB_Produtos[[#All],[Produto]],TB_Produtos[[#All],[Preço Unitário]],"Produto não Encontrado",0,1)</f>
        <v>7.5</v>
      </c>
      <c r="H41" s="44">
        <f>IFERROR(TB_Saídas[[#This Row],[Quantidade Vendida]]*TB_Saídas[[#This Row],[Preço Unitário]],"Não foi possível calcular")</f>
        <v>187.5</v>
      </c>
    </row>
    <row r="42" spans="2:8" ht="16.2" x14ac:dyDescent="0.35">
      <c r="B42" s="50">
        <f>MONTH(TB_Saídas[[#This Row],[Data]])</f>
        <v>8</v>
      </c>
      <c r="C42" s="50">
        <f>MONTH(TB_Saídas[[#This Row],[Data]])</f>
        <v>8</v>
      </c>
      <c r="D42" s="41">
        <v>44803</v>
      </c>
      <c r="E42" s="42" t="s">
        <v>6</v>
      </c>
      <c r="F42" s="35">
        <v>100</v>
      </c>
      <c r="G42" s="51" cm="1">
        <f t="array" ref="G42">_xlfn.XLOOKUP(TB_Saídas[[#This Row],[Produto]],TB_Produtos[[#All],[Produto]],TB_Produtos[[#All],[Preço Unitário]],"Produto não Encontrado",0,1)</f>
        <v>6</v>
      </c>
      <c r="H42" s="44">
        <f>IFERROR(TB_Saídas[[#This Row],[Quantidade Vendida]]*TB_Saídas[[#This Row],[Preço Unitário]],"Não foi possível calcular")</f>
        <v>600</v>
      </c>
    </row>
    <row r="43" spans="2:8" ht="16.2" x14ac:dyDescent="0.35">
      <c r="B43" s="50">
        <f>MONTH(TB_Saídas[[#This Row],[Data]])</f>
        <v>9</v>
      </c>
      <c r="C43" s="50">
        <f>MONTH(TB_Saídas[[#This Row],[Data]])</f>
        <v>9</v>
      </c>
      <c r="D43" s="41">
        <v>44811</v>
      </c>
      <c r="E43" s="42" t="s">
        <v>36</v>
      </c>
      <c r="F43" s="35">
        <v>100</v>
      </c>
      <c r="G43" s="51" cm="1">
        <f t="array" ref="G43">_xlfn.XLOOKUP(TB_Saídas[[#This Row],[Produto]],TB_Produtos[[#All],[Produto]],TB_Produtos[[#All],[Preço Unitário]],"Produto não Encontrado",0,1)</f>
        <v>8</v>
      </c>
      <c r="H43" s="44">
        <f>IFERROR(TB_Saídas[[#This Row],[Quantidade Vendida]]*TB_Saídas[[#This Row],[Preço Unitário]],"Não foi possível calcular")</f>
        <v>800</v>
      </c>
    </row>
    <row r="44" spans="2:8" ht="16.2" x14ac:dyDescent="0.35">
      <c r="B44" s="50">
        <f>MONTH(TB_Saídas[[#This Row],[Data]])</f>
        <v>9</v>
      </c>
      <c r="C44" s="50">
        <f>MONTH(TB_Saídas[[#This Row],[Data]])</f>
        <v>9</v>
      </c>
      <c r="D44" s="41">
        <v>44811</v>
      </c>
      <c r="E44" s="42" t="s">
        <v>6</v>
      </c>
      <c r="F44" s="35">
        <v>35</v>
      </c>
      <c r="G44" s="51" cm="1">
        <f t="array" ref="G44">_xlfn.XLOOKUP(TB_Saídas[[#This Row],[Produto]],TB_Produtos[[#All],[Produto]],TB_Produtos[[#All],[Preço Unitário]],"Produto não Encontrado",0,1)</f>
        <v>6</v>
      </c>
      <c r="H44" s="44">
        <f>IFERROR(TB_Saídas[[#This Row],[Quantidade Vendida]]*TB_Saídas[[#This Row],[Preço Unitário]],"Não foi possível calcular")</f>
        <v>210</v>
      </c>
    </row>
    <row r="45" spans="2:8" ht="16.2" x14ac:dyDescent="0.35">
      <c r="B45" s="50">
        <f>MONTH(TB_Saídas[[#This Row],[Data]])</f>
        <v>9</v>
      </c>
      <c r="C45" s="50">
        <f>MONTH(TB_Saídas[[#This Row],[Data]])</f>
        <v>9</v>
      </c>
      <c r="D45" s="41">
        <v>44821</v>
      </c>
      <c r="E45" s="42" t="s">
        <v>19</v>
      </c>
      <c r="F45" s="35">
        <v>42</v>
      </c>
      <c r="G45" s="51" cm="1">
        <f t="array" ref="G45">_xlfn.XLOOKUP(TB_Saídas[[#This Row],[Produto]],TB_Produtos[[#All],[Produto]],TB_Produtos[[#All],[Preço Unitário]],"Produto não Encontrado",0,1)</f>
        <v>8.5</v>
      </c>
      <c r="H45" s="44">
        <f>IFERROR(TB_Saídas[[#This Row],[Quantidade Vendida]]*TB_Saídas[[#This Row],[Preço Unitário]],"Não foi possível calcular")</f>
        <v>357</v>
      </c>
    </row>
    <row r="46" spans="2:8" ht="16.2" x14ac:dyDescent="0.35">
      <c r="B46" s="50">
        <f>MONTH(TB_Saídas[[#This Row],[Data]])</f>
        <v>9</v>
      </c>
      <c r="C46" s="50">
        <f>MONTH(TB_Saídas[[#This Row],[Data]])</f>
        <v>9</v>
      </c>
      <c r="D46" s="41">
        <v>44823</v>
      </c>
      <c r="E46" s="42" t="s">
        <v>28</v>
      </c>
      <c r="F46" s="35">
        <v>30</v>
      </c>
      <c r="G46" s="51" cm="1">
        <f t="array" ref="G46">_xlfn.XLOOKUP(TB_Saídas[[#This Row],[Produto]],TB_Produtos[[#All],[Produto]],TB_Produtos[[#All],[Preço Unitário]],"Produto não Encontrado",0,1)</f>
        <v>15</v>
      </c>
      <c r="H46" s="44">
        <f>IFERROR(TB_Saídas[[#This Row],[Quantidade Vendida]]*TB_Saídas[[#This Row],[Preço Unitário]],"Não foi possível calcular")</f>
        <v>450</v>
      </c>
    </row>
    <row r="47" spans="2:8" ht="16.2" x14ac:dyDescent="0.35">
      <c r="B47" s="50">
        <f>MONTH(TB_Saídas[[#This Row],[Data]])</f>
        <v>9</v>
      </c>
      <c r="C47" s="50">
        <f>MONTH(TB_Saídas[[#This Row],[Data]])</f>
        <v>9</v>
      </c>
      <c r="D47" s="41">
        <v>44829</v>
      </c>
      <c r="E47" s="42" t="s">
        <v>25</v>
      </c>
      <c r="F47" s="35">
        <v>40</v>
      </c>
      <c r="G47" s="51" cm="1">
        <f t="array" ref="G47">_xlfn.XLOOKUP(TB_Saídas[[#This Row],[Produto]],TB_Produtos[[#All],[Produto]],TB_Produtos[[#All],[Preço Unitário]],"Produto não Encontrado",0,1)</f>
        <v>7.5</v>
      </c>
      <c r="H47" s="44">
        <f>IFERROR(TB_Saídas[[#This Row],[Quantidade Vendida]]*TB_Saídas[[#This Row],[Preço Unitário]],"Não foi possível calcular")</f>
        <v>300</v>
      </c>
    </row>
    <row r="48" spans="2:8" ht="16.2" x14ac:dyDescent="0.35">
      <c r="B48" s="50">
        <f>MONTH(TB_Saídas[[#This Row],[Data]])</f>
        <v>9</v>
      </c>
      <c r="C48" s="50">
        <f>MONTH(TB_Saídas[[#This Row],[Data]])</f>
        <v>9</v>
      </c>
      <c r="D48" s="41">
        <v>44834</v>
      </c>
      <c r="E48" s="42" t="s">
        <v>10</v>
      </c>
      <c r="F48" s="35">
        <v>18</v>
      </c>
      <c r="G48" s="51" cm="1">
        <f t="array" ref="G48">_xlfn.XLOOKUP(TB_Saídas[[#This Row],[Produto]],TB_Produtos[[#All],[Produto]],TB_Produtos[[#All],[Preço Unitário]],"Produto não Encontrado",0,1)</f>
        <v>6.5</v>
      </c>
      <c r="H48" s="44">
        <f>IFERROR(TB_Saídas[[#This Row],[Quantidade Vendida]]*TB_Saídas[[#This Row],[Preço Unitário]],"Não foi possível calcular")</f>
        <v>117</v>
      </c>
    </row>
    <row r="49" spans="2:8" ht="16.2" x14ac:dyDescent="0.35">
      <c r="B49" s="50">
        <f>MONTH(TB_Saídas[[#This Row],[Data]])</f>
        <v>10</v>
      </c>
      <c r="C49" s="50">
        <f>MONTH(TB_Saídas[[#This Row],[Data]])</f>
        <v>10</v>
      </c>
      <c r="D49" s="41">
        <v>44838</v>
      </c>
      <c r="E49" s="42" t="s">
        <v>19</v>
      </c>
      <c r="F49" s="35">
        <v>28</v>
      </c>
      <c r="G49" s="51" cm="1">
        <f t="array" ref="G49">_xlfn.XLOOKUP(TB_Saídas[[#This Row],[Produto]],TB_Produtos[[#All],[Produto]],TB_Produtos[[#All],[Preço Unitário]],"Produto não Encontrado",0,1)</f>
        <v>8.5</v>
      </c>
      <c r="H49" s="44">
        <f>IFERROR(TB_Saídas[[#This Row],[Quantidade Vendida]]*TB_Saídas[[#This Row],[Preço Unitário]],"Não foi possível calcular")</f>
        <v>238</v>
      </c>
    </row>
    <row r="50" spans="2:8" ht="16.2" x14ac:dyDescent="0.35">
      <c r="B50" s="50">
        <f>MONTH(TB_Saídas[[#This Row],[Data]])</f>
        <v>10</v>
      </c>
      <c r="C50" s="50">
        <f>MONTH(TB_Saídas[[#This Row],[Data]])</f>
        <v>10</v>
      </c>
      <c r="D50" s="41">
        <v>44847</v>
      </c>
      <c r="E50" s="42" t="s">
        <v>27</v>
      </c>
      <c r="F50" s="35">
        <v>30</v>
      </c>
      <c r="G50" s="51" cm="1">
        <f t="array" ref="G50">_xlfn.XLOOKUP(TB_Saídas[[#This Row],[Produto]],TB_Produtos[[#All],[Produto]],TB_Produtos[[#All],[Preço Unitário]],"Produto não Encontrado",0,1)</f>
        <v>15</v>
      </c>
      <c r="H50" s="44">
        <f>IFERROR(TB_Saídas[[#This Row],[Quantidade Vendida]]*TB_Saídas[[#This Row],[Preço Unitário]],"Não foi possível calcular")</f>
        <v>450</v>
      </c>
    </row>
    <row r="51" spans="2:8" ht="16.2" x14ac:dyDescent="0.35">
      <c r="B51" s="50">
        <f>MONTH(TB_Saídas[[#This Row],[Data]])</f>
        <v>10</v>
      </c>
      <c r="C51" s="50">
        <f>MONTH(TB_Saídas[[#This Row],[Data]])</f>
        <v>10</v>
      </c>
      <c r="D51" s="41">
        <v>44851</v>
      </c>
      <c r="E51" s="42" t="s">
        <v>25</v>
      </c>
      <c r="F51" s="35">
        <v>30</v>
      </c>
      <c r="G51" s="51" cm="1">
        <f t="array" ref="G51">_xlfn.XLOOKUP(TB_Saídas[[#This Row],[Produto]],TB_Produtos[[#All],[Produto]],TB_Produtos[[#All],[Preço Unitário]],"Produto não Encontrado",0,1)</f>
        <v>7.5</v>
      </c>
      <c r="H51" s="44">
        <f>IFERROR(TB_Saídas[[#This Row],[Quantidade Vendida]]*TB_Saídas[[#This Row],[Preço Unitário]],"Não foi possível calcular")</f>
        <v>225</v>
      </c>
    </row>
    <row r="52" spans="2:8" ht="16.2" x14ac:dyDescent="0.35">
      <c r="B52" s="50">
        <f>MONTH(TB_Saídas[[#This Row],[Data]])</f>
        <v>10</v>
      </c>
      <c r="C52" s="50">
        <f>MONTH(TB_Saídas[[#This Row],[Data]])</f>
        <v>10</v>
      </c>
      <c r="D52" s="41">
        <v>44862</v>
      </c>
      <c r="E52" s="42" t="s">
        <v>10</v>
      </c>
      <c r="F52" s="35">
        <v>10</v>
      </c>
      <c r="G52" s="51" cm="1">
        <f t="array" ref="G52">_xlfn.XLOOKUP(TB_Saídas[[#This Row],[Produto]],TB_Produtos[[#All],[Produto]],TB_Produtos[[#All],[Preço Unitário]],"Produto não Encontrado",0,1)</f>
        <v>6.5</v>
      </c>
      <c r="H52" s="44">
        <f>IFERROR(TB_Saídas[[#This Row],[Quantidade Vendida]]*TB_Saídas[[#This Row],[Preço Unitário]],"Não foi possível calcular")</f>
        <v>65</v>
      </c>
    </row>
    <row r="53" spans="2:8" ht="16.2" x14ac:dyDescent="0.35">
      <c r="B53" s="50">
        <f>MONTH(TB_Saídas[[#This Row],[Data]])</f>
        <v>10</v>
      </c>
      <c r="C53" s="50">
        <f>MONTH(TB_Saídas[[#This Row],[Data]])</f>
        <v>10</v>
      </c>
      <c r="D53" s="41">
        <v>44865</v>
      </c>
      <c r="E53" s="42" t="s">
        <v>26</v>
      </c>
      <c r="F53" s="35">
        <v>35</v>
      </c>
      <c r="G53" s="51" cm="1">
        <f t="array" ref="G53">_xlfn.XLOOKUP(TB_Saídas[[#This Row],[Produto]],TB_Produtos[[#All],[Produto]],TB_Produtos[[#All],[Preço Unitário]],"Produto não Encontrado",0,1)</f>
        <v>10</v>
      </c>
      <c r="H53" s="44">
        <f>IFERROR(TB_Saídas[[#This Row],[Quantidade Vendida]]*TB_Saídas[[#This Row],[Preço Unitário]],"Não foi possível calcular")</f>
        <v>350</v>
      </c>
    </row>
    <row r="54" spans="2:8" ht="16.2" x14ac:dyDescent="0.35">
      <c r="B54" s="50">
        <f>MONTH(TB_Saídas[[#This Row],[Data]])</f>
        <v>10</v>
      </c>
      <c r="C54" s="50">
        <f>MONTH(TB_Saídas[[#This Row],[Data]])</f>
        <v>10</v>
      </c>
      <c r="D54" s="41">
        <v>44865</v>
      </c>
      <c r="E54" s="42" t="s">
        <v>6</v>
      </c>
      <c r="F54" s="35">
        <v>30</v>
      </c>
      <c r="G54" s="51" cm="1">
        <f t="array" ref="G54">_xlfn.XLOOKUP(TB_Saídas[[#This Row],[Produto]],TB_Produtos[[#All],[Produto]],TB_Produtos[[#All],[Preço Unitário]],"Produto não Encontrado",0,1)</f>
        <v>6</v>
      </c>
      <c r="H54" s="44">
        <f>IFERROR(TB_Saídas[[#This Row],[Quantidade Vendida]]*TB_Saídas[[#This Row],[Preço Unitário]],"Não foi possível calcular")</f>
        <v>180</v>
      </c>
    </row>
    <row r="55" spans="2:8" ht="16.2" x14ac:dyDescent="0.35">
      <c r="B55" s="50">
        <f>MONTH(TB_Saídas[[#This Row],[Data]])</f>
        <v>11</v>
      </c>
      <c r="C55" s="50">
        <f>MONTH(TB_Saídas[[#This Row],[Data]])</f>
        <v>11</v>
      </c>
      <c r="D55" s="41">
        <v>44869</v>
      </c>
      <c r="E55" s="42" t="s">
        <v>10</v>
      </c>
      <c r="F55" s="35">
        <v>30</v>
      </c>
      <c r="G55" s="51" cm="1">
        <f t="array" ref="G55">_xlfn.XLOOKUP(TB_Saídas[[#This Row],[Produto]],TB_Produtos[[#All],[Produto]],TB_Produtos[[#All],[Preço Unitário]],"Produto não Encontrado",0,1)</f>
        <v>6.5</v>
      </c>
      <c r="H55" s="44">
        <f>IFERROR(TB_Saídas[[#This Row],[Quantidade Vendida]]*TB_Saídas[[#This Row],[Preço Unitário]],"Não foi possível calcular")</f>
        <v>195</v>
      </c>
    </row>
    <row r="56" spans="2:8" ht="16.2" x14ac:dyDescent="0.35">
      <c r="B56" s="50">
        <f>MONTH(TB_Saídas[[#This Row],[Data]])</f>
        <v>11</v>
      </c>
      <c r="C56" s="50">
        <f>MONTH(TB_Saídas[[#This Row],[Data]])</f>
        <v>11</v>
      </c>
      <c r="D56" s="41">
        <v>44870</v>
      </c>
      <c r="E56" s="42" t="s">
        <v>25</v>
      </c>
      <c r="F56" s="35">
        <v>15</v>
      </c>
      <c r="G56" s="51" cm="1">
        <f t="array" ref="G56">_xlfn.XLOOKUP(TB_Saídas[[#This Row],[Produto]],TB_Produtos[[#All],[Produto]],TB_Produtos[[#All],[Preço Unitário]],"Produto não Encontrado",0,1)</f>
        <v>7.5</v>
      </c>
      <c r="H56" s="44">
        <f>IFERROR(TB_Saídas[[#This Row],[Quantidade Vendida]]*TB_Saídas[[#This Row],[Preço Unitário]],"Não foi possível calcular")</f>
        <v>112.5</v>
      </c>
    </row>
    <row r="57" spans="2:8" ht="16.2" x14ac:dyDescent="0.35">
      <c r="B57" s="50">
        <f>MONTH(TB_Saídas[[#This Row],[Data]])</f>
        <v>11</v>
      </c>
      <c r="C57" s="50">
        <f>MONTH(TB_Saídas[[#This Row],[Data]])</f>
        <v>11</v>
      </c>
      <c r="D57" s="41">
        <v>44872</v>
      </c>
      <c r="E57" s="42" t="s">
        <v>6</v>
      </c>
      <c r="F57" s="35">
        <v>50</v>
      </c>
      <c r="G57" s="51" cm="1">
        <f t="array" ref="G57">_xlfn.XLOOKUP(TB_Saídas[[#This Row],[Produto]],TB_Produtos[[#All],[Produto]],TB_Produtos[[#All],[Preço Unitário]],"Produto não Encontrado",0,1)</f>
        <v>6</v>
      </c>
      <c r="H57" s="44">
        <f>IFERROR(TB_Saídas[[#This Row],[Quantidade Vendida]]*TB_Saídas[[#This Row],[Preço Unitário]],"Não foi possível calcular")</f>
        <v>300</v>
      </c>
    </row>
    <row r="58" spans="2:8" ht="16.2" x14ac:dyDescent="0.35">
      <c r="B58" s="50">
        <f>MONTH(TB_Saídas[[#This Row],[Data]])</f>
        <v>11</v>
      </c>
      <c r="C58" s="50">
        <f>MONTH(TB_Saídas[[#This Row],[Data]])</f>
        <v>11</v>
      </c>
      <c r="D58" s="41">
        <v>44886</v>
      </c>
      <c r="E58" s="42" t="s">
        <v>19</v>
      </c>
      <c r="F58" s="35">
        <v>24</v>
      </c>
      <c r="G58" s="51" cm="1">
        <f t="array" ref="G58">_xlfn.XLOOKUP(TB_Saídas[[#This Row],[Produto]],TB_Produtos[[#All],[Produto]],TB_Produtos[[#All],[Preço Unitário]],"Produto não Encontrado",0,1)</f>
        <v>8.5</v>
      </c>
      <c r="H58" s="44">
        <f>IFERROR(TB_Saídas[[#This Row],[Quantidade Vendida]]*TB_Saídas[[#This Row],[Preço Unitário]],"Não foi possível calcular")</f>
        <v>204</v>
      </c>
    </row>
    <row r="59" spans="2:8" ht="16.2" x14ac:dyDescent="0.35">
      <c r="B59" s="50">
        <f>MONTH(TB_Saídas[[#This Row],[Data]])</f>
        <v>12</v>
      </c>
      <c r="C59" s="50">
        <f>MONTH(TB_Saídas[[#This Row],[Data]])</f>
        <v>12</v>
      </c>
      <c r="D59" s="41">
        <v>44897</v>
      </c>
      <c r="E59" s="42" t="s">
        <v>25</v>
      </c>
      <c r="F59" s="35">
        <v>20</v>
      </c>
      <c r="G59" s="51" cm="1">
        <f t="array" ref="G59">_xlfn.XLOOKUP(TB_Saídas[[#This Row],[Produto]],TB_Produtos[[#All],[Produto]],TB_Produtos[[#All],[Preço Unitário]],"Produto não Encontrado",0,1)</f>
        <v>7.5</v>
      </c>
      <c r="H59" s="44">
        <f>IFERROR(TB_Saídas[[#This Row],[Quantidade Vendida]]*TB_Saídas[[#This Row],[Preço Unitário]],"Não foi possível calcular")</f>
        <v>150</v>
      </c>
    </row>
    <row r="60" spans="2:8" ht="16.2" x14ac:dyDescent="0.35">
      <c r="B60" s="50">
        <f>MONTH(TB_Saídas[[#This Row],[Data]])</f>
        <v>12</v>
      </c>
      <c r="C60" s="50">
        <f>MONTH(TB_Saídas[[#This Row],[Data]])</f>
        <v>12</v>
      </c>
      <c r="D60" s="41">
        <v>44905</v>
      </c>
      <c r="E60" s="42" t="s">
        <v>26</v>
      </c>
      <c r="F60" s="35">
        <v>25</v>
      </c>
      <c r="G60" s="51" cm="1">
        <f t="array" ref="G60">_xlfn.XLOOKUP(TB_Saídas[[#This Row],[Produto]],TB_Produtos[[#All],[Produto]],TB_Produtos[[#All],[Preço Unitário]],"Produto não Encontrado",0,1)</f>
        <v>10</v>
      </c>
      <c r="H60" s="44">
        <f>IFERROR(TB_Saídas[[#This Row],[Quantidade Vendida]]*TB_Saídas[[#This Row],[Preço Unitário]],"Não foi possível calcular")</f>
        <v>250</v>
      </c>
    </row>
    <row r="61" spans="2:8" ht="16.2" x14ac:dyDescent="0.35">
      <c r="B61" s="50">
        <f>MONTH(TB_Saídas[[#This Row],[Data]])</f>
        <v>12</v>
      </c>
      <c r="C61" s="50">
        <f>MONTH(TB_Saídas[[#This Row],[Data]])</f>
        <v>12</v>
      </c>
      <c r="D61" s="41">
        <v>44915</v>
      </c>
      <c r="E61" s="42" t="s">
        <v>6</v>
      </c>
      <c r="F61" s="35">
        <v>100</v>
      </c>
      <c r="G61" s="51" cm="1">
        <f t="array" ref="G61">_xlfn.XLOOKUP(TB_Saídas[[#This Row],[Produto]],TB_Produtos[[#All],[Produto]],TB_Produtos[[#All],[Preço Unitário]],"Produto não Encontrado",0,1)</f>
        <v>6</v>
      </c>
      <c r="H61" s="44">
        <f>IFERROR(TB_Saídas[[#This Row],[Quantidade Vendida]]*TB_Saídas[[#This Row],[Preço Unitário]],"Não foi possível calcular")</f>
        <v>600</v>
      </c>
    </row>
    <row r="62" spans="2:8" ht="16.2" x14ac:dyDescent="0.35">
      <c r="B62" s="50">
        <f>MONTH(TB_Saídas[[#This Row],[Data]])</f>
        <v>12</v>
      </c>
      <c r="C62" s="50">
        <f>MONTH(TB_Saídas[[#This Row],[Data]])</f>
        <v>12</v>
      </c>
      <c r="D62" s="41">
        <v>44917</v>
      </c>
      <c r="E62" s="42" t="s">
        <v>19</v>
      </c>
      <c r="F62" s="35">
        <v>23</v>
      </c>
      <c r="G62" s="51" cm="1">
        <f t="array" ref="G62">_xlfn.XLOOKUP(TB_Saídas[[#This Row],[Produto]],TB_Produtos[[#All],[Produto]],TB_Produtos[[#All],[Preço Unitário]],"Produto não Encontrado",0,1)</f>
        <v>8.5</v>
      </c>
      <c r="H62" s="44">
        <f>IFERROR(TB_Saídas[[#This Row],[Quantidade Vendida]]*TB_Saídas[[#This Row],[Preço Unitário]],"Não foi possível calcular")</f>
        <v>195.5</v>
      </c>
    </row>
    <row r="63" spans="2:8" x14ac:dyDescent="0.3">
      <c r="D63" s="3"/>
    </row>
  </sheetData>
  <phoneticPr fontId="3" type="noConversion"/>
  <dataValidations count="1">
    <dataValidation type="list" allowBlank="1" showInputMessage="1" showErrorMessage="1" sqref="E6:E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69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62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70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67</v>
      </c>
      <c r="E8" s="65"/>
      <c r="F8" s="54">
        <f>DSUM(TB_Saídas[#All],Consulta!D8,Consulta!D5:F6)</f>
        <v>365</v>
      </c>
      <c r="G8" s="61" t="s">
        <v>71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72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65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68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topLeftCell="A24" zoomScaleNormal="100" workbookViewId="0">
      <selection activeCell="F7" sqref="F7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73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74</v>
      </c>
      <c r="D5" s="39" t="s">
        <v>75</v>
      </c>
      <c r="E5" s="39" t="s">
        <v>76</v>
      </c>
      <c r="F5" s="39" t="s">
        <v>3</v>
      </c>
      <c r="G5" s="39" t="s">
        <v>77</v>
      </c>
      <c r="H5" s="39" t="s">
        <v>68</v>
      </c>
      <c r="I5" s="39" t="s">
        <v>78</v>
      </c>
      <c r="J5" s="39" t="s">
        <v>79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09" t="s">
        <v>80</v>
      </c>
      <c r="O7" s="109"/>
      <c r="P7" s="109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79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10">
        <f>LARGE(TB_ControleEstoque[Lucro],1)</f>
        <v>4062.5</v>
      </c>
      <c r="O9" s="58"/>
      <c r="P9" s="112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11"/>
      <c r="O10" s="58"/>
      <c r="P10" s="113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A3" sqref="A3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81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14" t="s">
        <v>82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6"/>
      <c r="AB5" s="114" t="s">
        <v>83</v>
      </c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6"/>
    </row>
    <row r="6" spans="2:47" ht="10.5" customHeight="1" x14ac:dyDescent="0.3">
      <c r="B6" s="80"/>
      <c r="C6" s="117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9"/>
      <c r="AA6" s="80"/>
      <c r="AB6" s="117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20" t="s">
        <v>1</v>
      </c>
      <c r="AN7" s="120"/>
      <c r="AO7" s="120"/>
      <c r="AP7" s="120"/>
      <c r="AQ7" s="120"/>
      <c r="AR7" s="120"/>
      <c r="AS7" s="120"/>
      <c r="AT7" s="120"/>
      <c r="AU7" s="71"/>
    </row>
    <row r="8" spans="2:47" ht="10.5" customHeight="1" x14ac:dyDescent="0.3">
      <c r="B8" s="80"/>
      <c r="C8" s="72"/>
      <c r="D8" s="129" t="s">
        <v>84</v>
      </c>
      <c r="E8" s="129"/>
      <c r="F8" s="129"/>
      <c r="G8" s="129"/>
      <c r="H8" s="129"/>
      <c r="I8" s="129"/>
      <c r="J8" s="129"/>
      <c r="K8" s="129"/>
      <c r="L8" s="129"/>
      <c r="M8" s="129"/>
      <c r="N8" s="148">
        <f>COUNTA(_xlfn.UNIQUE(TB_Saídas[Produto]))</f>
        <v>10</v>
      </c>
      <c r="O8" s="148"/>
      <c r="P8" s="148"/>
      <c r="Q8" s="148"/>
      <c r="R8" s="148"/>
      <c r="S8" s="148"/>
      <c r="T8" s="148"/>
      <c r="U8" s="148"/>
      <c r="V8" s="77"/>
      <c r="AA8" s="80"/>
      <c r="AB8" s="72"/>
      <c r="AC8" s="121" t="s">
        <v>85</v>
      </c>
      <c r="AD8" s="121"/>
      <c r="AE8" s="121"/>
      <c r="AF8" s="121"/>
      <c r="AG8" s="121"/>
      <c r="AH8" s="121"/>
      <c r="AI8" s="121"/>
      <c r="AJ8" s="121"/>
      <c r="AK8" s="121"/>
      <c r="AL8" s="122"/>
      <c r="AM8" s="141" t="s">
        <v>6</v>
      </c>
      <c r="AN8" s="142"/>
      <c r="AO8" s="142"/>
      <c r="AP8" s="142"/>
      <c r="AQ8" s="142"/>
      <c r="AR8" s="142"/>
      <c r="AS8" s="142"/>
      <c r="AT8" s="143"/>
      <c r="AU8" s="77"/>
    </row>
    <row r="9" spans="2:47" ht="10.5" customHeight="1" x14ac:dyDescent="0.3">
      <c r="B9" s="80"/>
      <c r="C9" s="72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48"/>
      <c r="O9" s="148"/>
      <c r="P9" s="148"/>
      <c r="Q9" s="148"/>
      <c r="R9" s="148"/>
      <c r="S9" s="148"/>
      <c r="T9" s="148"/>
      <c r="U9" s="148"/>
      <c r="V9" s="77"/>
      <c r="AA9" s="80"/>
      <c r="AB9" s="72"/>
      <c r="AC9" s="121"/>
      <c r="AD9" s="121"/>
      <c r="AE9" s="121"/>
      <c r="AF9" s="121"/>
      <c r="AG9" s="121"/>
      <c r="AH9" s="121"/>
      <c r="AI9" s="121"/>
      <c r="AJ9" s="121"/>
      <c r="AK9" s="121"/>
      <c r="AL9" s="122"/>
      <c r="AM9" s="144"/>
      <c r="AN9" s="145"/>
      <c r="AO9" s="145"/>
      <c r="AP9" s="145"/>
      <c r="AQ9" s="145"/>
      <c r="AR9" s="145"/>
      <c r="AS9" s="145"/>
      <c r="AT9" s="146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129" t="s">
        <v>86</v>
      </c>
      <c r="E11" s="129"/>
      <c r="F11" s="129"/>
      <c r="G11" s="129"/>
      <c r="H11" s="129"/>
      <c r="I11" s="129"/>
      <c r="J11" s="129"/>
      <c r="K11" s="129"/>
      <c r="L11" s="129"/>
      <c r="M11" s="129"/>
      <c r="N11" s="148">
        <f>SUM(TB_ControleEstoque[Saldo em Estoque])</f>
        <v>1670</v>
      </c>
      <c r="O11" s="148"/>
      <c r="P11" s="148"/>
      <c r="Q11" s="148"/>
      <c r="R11" s="148"/>
      <c r="S11" s="148"/>
      <c r="T11" s="148"/>
      <c r="U11" s="148"/>
      <c r="V11" s="77"/>
      <c r="AA11" s="80"/>
      <c r="AB11" s="72"/>
      <c r="AC11" s="121" t="s">
        <v>86</v>
      </c>
      <c r="AD11" s="121"/>
      <c r="AE11" s="121"/>
      <c r="AF11" s="121"/>
      <c r="AG11" s="121"/>
      <c r="AH11" s="121"/>
      <c r="AI11" s="121"/>
      <c r="AJ11" s="121"/>
      <c r="AK11" s="121"/>
      <c r="AL11" s="122"/>
      <c r="AM11" s="147">
        <f>DSUM(TB_ControleEstoque[#All],TB_ControleEstoque[[#Headers],[Saldo em Estoque]],CriteriosConsultaProduto)</f>
        <v>690</v>
      </c>
      <c r="AN11" s="130"/>
      <c r="AO11" s="130"/>
      <c r="AP11" s="130"/>
      <c r="AQ11" s="130"/>
      <c r="AR11" s="130"/>
      <c r="AS11" s="130"/>
      <c r="AT11" s="131"/>
      <c r="AU11" s="77"/>
    </row>
    <row r="12" spans="2:47" ht="10.5" customHeight="1" x14ac:dyDescent="0.3">
      <c r="B12" s="80"/>
      <c r="C12" s="72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48"/>
      <c r="O12" s="148"/>
      <c r="P12" s="148"/>
      <c r="Q12" s="148"/>
      <c r="R12" s="148"/>
      <c r="S12" s="148"/>
      <c r="T12" s="148"/>
      <c r="U12" s="148"/>
      <c r="V12" s="77"/>
      <c r="AA12" s="80"/>
      <c r="AB12" s="72"/>
      <c r="AC12" s="121"/>
      <c r="AD12" s="121"/>
      <c r="AE12" s="121"/>
      <c r="AF12" s="121"/>
      <c r="AG12" s="121"/>
      <c r="AH12" s="121"/>
      <c r="AI12" s="121"/>
      <c r="AJ12" s="121"/>
      <c r="AK12" s="121"/>
      <c r="AL12" s="122"/>
      <c r="AM12" s="132"/>
      <c r="AN12" s="133"/>
      <c r="AO12" s="133"/>
      <c r="AP12" s="133"/>
      <c r="AQ12" s="133"/>
      <c r="AR12" s="133"/>
      <c r="AS12" s="133"/>
      <c r="AT12" s="134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129" t="s">
        <v>87</v>
      </c>
      <c r="E14" s="129"/>
      <c r="F14" s="129"/>
      <c r="G14" s="129"/>
      <c r="H14" s="129"/>
      <c r="I14" s="129"/>
      <c r="J14" s="129"/>
      <c r="K14" s="129"/>
      <c r="L14" s="129"/>
      <c r="M14" s="129"/>
      <c r="N14" s="149">
        <f>SUM(TB_Saídas[Valor de Venda])</f>
        <v>19042.5</v>
      </c>
      <c r="O14" s="149"/>
      <c r="P14" s="149"/>
      <c r="Q14" s="149"/>
      <c r="R14" s="149"/>
      <c r="S14" s="149"/>
      <c r="T14" s="149"/>
      <c r="U14" s="149"/>
      <c r="V14" s="77"/>
      <c r="AA14" s="80"/>
      <c r="AB14" s="72"/>
      <c r="AC14" s="121" t="s">
        <v>87</v>
      </c>
      <c r="AD14" s="121"/>
      <c r="AE14" s="121"/>
      <c r="AF14" s="121"/>
      <c r="AG14" s="121"/>
      <c r="AH14" s="121"/>
      <c r="AI14" s="121"/>
      <c r="AJ14" s="121"/>
      <c r="AK14" s="121"/>
      <c r="AL14" s="122"/>
      <c r="AM14" s="123">
        <f>DSUM(TB_Saídas[#All],TB_Saídas[[#Headers],[Valor de Venda]],CriteriosConsultaProduto)</f>
        <v>5670</v>
      </c>
      <c r="AN14" s="124"/>
      <c r="AO14" s="124"/>
      <c r="AP14" s="124"/>
      <c r="AQ14" s="124"/>
      <c r="AR14" s="124"/>
      <c r="AS14" s="124"/>
      <c r="AT14" s="125"/>
      <c r="AU14" s="77"/>
    </row>
    <row r="15" spans="2:47" ht="10.5" customHeight="1" x14ac:dyDescent="0.3">
      <c r="B15" s="80"/>
      <c r="C15" s="72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49"/>
      <c r="O15" s="149"/>
      <c r="P15" s="149"/>
      <c r="Q15" s="149"/>
      <c r="R15" s="149"/>
      <c r="S15" s="149"/>
      <c r="T15" s="149"/>
      <c r="U15" s="149"/>
      <c r="V15" s="77"/>
      <c r="AA15" s="80"/>
      <c r="AB15" s="72"/>
      <c r="AC15" s="121"/>
      <c r="AD15" s="121"/>
      <c r="AE15" s="121"/>
      <c r="AF15" s="121"/>
      <c r="AG15" s="121"/>
      <c r="AH15" s="121"/>
      <c r="AI15" s="121"/>
      <c r="AJ15" s="121"/>
      <c r="AK15" s="121"/>
      <c r="AL15" s="122"/>
      <c r="AM15" s="126"/>
      <c r="AN15" s="127"/>
      <c r="AO15" s="127"/>
      <c r="AP15" s="127"/>
      <c r="AQ15" s="127"/>
      <c r="AR15" s="127"/>
      <c r="AS15" s="127"/>
      <c r="AT15" s="128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129" t="s">
        <v>88</v>
      </c>
      <c r="E17" s="129"/>
      <c r="F17" s="129"/>
      <c r="G17" s="129"/>
      <c r="H17" s="129"/>
      <c r="I17" s="129"/>
      <c r="J17" s="129"/>
      <c r="K17" s="129"/>
      <c r="L17" s="129"/>
      <c r="M17" s="129"/>
      <c r="N17" s="149">
        <f>SUM(TB_Entradas[Valor da Compra])</f>
        <v>5530</v>
      </c>
      <c r="O17" s="149"/>
      <c r="P17" s="149"/>
      <c r="Q17" s="149"/>
      <c r="R17" s="149"/>
      <c r="S17" s="149"/>
      <c r="T17" s="149"/>
      <c r="U17" s="149"/>
      <c r="V17" s="77"/>
      <c r="AA17" s="80"/>
      <c r="AB17" s="72"/>
      <c r="AC17" s="121" t="s">
        <v>88</v>
      </c>
      <c r="AD17" s="121"/>
      <c r="AE17" s="121"/>
      <c r="AF17" s="121"/>
      <c r="AG17" s="121"/>
      <c r="AH17" s="121"/>
      <c r="AI17" s="121"/>
      <c r="AJ17" s="121"/>
      <c r="AK17" s="121"/>
      <c r="AL17" s="122"/>
      <c r="AM17" s="123">
        <f>DSUM(TB_Entradas[#All],TB_Entradas[[#Headers],[Valor da Compra]],CriteriosConsultaProduto)</f>
        <v>3270</v>
      </c>
      <c r="AN17" s="124"/>
      <c r="AO17" s="124"/>
      <c r="AP17" s="124"/>
      <c r="AQ17" s="124"/>
      <c r="AR17" s="124"/>
      <c r="AS17" s="124"/>
      <c r="AT17" s="125"/>
      <c r="AU17" s="77"/>
    </row>
    <row r="18" spans="2:47" ht="10.5" customHeight="1" x14ac:dyDescent="0.3">
      <c r="B18" s="80"/>
      <c r="C18" s="72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49"/>
      <c r="O18" s="149"/>
      <c r="P18" s="149"/>
      <c r="Q18" s="149"/>
      <c r="R18" s="149"/>
      <c r="S18" s="149"/>
      <c r="T18" s="149"/>
      <c r="U18" s="149"/>
      <c r="V18" s="77"/>
      <c r="AA18" s="80"/>
      <c r="AB18" s="72"/>
      <c r="AC18" s="121"/>
      <c r="AD18" s="121"/>
      <c r="AE18" s="121"/>
      <c r="AF18" s="121"/>
      <c r="AG18" s="121"/>
      <c r="AH18" s="121"/>
      <c r="AI18" s="121"/>
      <c r="AJ18" s="121"/>
      <c r="AK18" s="121"/>
      <c r="AL18" s="122"/>
      <c r="AM18" s="126"/>
      <c r="AN18" s="127"/>
      <c r="AO18" s="127"/>
      <c r="AP18" s="127"/>
      <c r="AQ18" s="127"/>
      <c r="AR18" s="127"/>
      <c r="AS18" s="127"/>
      <c r="AT18" s="128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129" t="s">
        <v>89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49">
        <f>N14-N17</f>
        <v>13512.5</v>
      </c>
      <c r="O20" s="149"/>
      <c r="P20" s="149"/>
      <c r="Q20" s="149"/>
      <c r="R20" s="149"/>
      <c r="S20" s="149"/>
      <c r="T20" s="149"/>
      <c r="U20" s="149"/>
      <c r="V20" s="77"/>
      <c r="AA20" s="80"/>
      <c r="AB20" s="72"/>
      <c r="AC20" s="121" t="s">
        <v>89</v>
      </c>
      <c r="AD20" s="121"/>
      <c r="AE20" s="121"/>
      <c r="AF20" s="121"/>
      <c r="AG20" s="121"/>
      <c r="AH20" s="121"/>
      <c r="AI20" s="121"/>
      <c r="AJ20" s="121"/>
      <c r="AK20" s="121"/>
      <c r="AL20" s="122"/>
      <c r="AM20" s="123">
        <f>AM14-AM17</f>
        <v>2400</v>
      </c>
      <c r="AN20" s="130"/>
      <c r="AO20" s="130"/>
      <c r="AP20" s="130"/>
      <c r="AQ20" s="130"/>
      <c r="AR20" s="130"/>
      <c r="AS20" s="130"/>
      <c r="AT20" s="131"/>
      <c r="AU20" s="77"/>
    </row>
    <row r="21" spans="2:47" ht="10.5" customHeight="1" x14ac:dyDescent="0.3">
      <c r="B21" s="80"/>
      <c r="C21" s="72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49"/>
      <c r="O21" s="149"/>
      <c r="P21" s="149"/>
      <c r="Q21" s="149"/>
      <c r="R21" s="149"/>
      <c r="S21" s="149"/>
      <c r="T21" s="149"/>
      <c r="U21" s="149"/>
      <c r="V21" s="77"/>
      <c r="AA21" s="80"/>
      <c r="AB21" s="72"/>
      <c r="AC21" s="121"/>
      <c r="AD21" s="121"/>
      <c r="AE21" s="121"/>
      <c r="AF21" s="121"/>
      <c r="AG21" s="121"/>
      <c r="AH21" s="121"/>
      <c r="AI21" s="121"/>
      <c r="AJ21" s="121"/>
      <c r="AK21" s="121"/>
      <c r="AL21" s="122"/>
      <c r="AM21" s="132"/>
      <c r="AN21" s="133"/>
      <c r="AO21" s="133"/>
      <c r="AP21" s="133"/>
      <c r="AQ21" s="133"/>
      <c r="AR21" s="133"/>
      <c r="AS21" s="133"/>
      <c r="AT21" s="134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129" t="s">
        <v>90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50">
        <f>N20/N17</f>
        <v>2.4434900542495481</v>
      </c>
      <c r="O23" s="150"/>
      <c r="P23" s="150"/>
      <c r="Q23" s="150"/>
      <c r="R23" s="150"/>
      <c r="S23" s="150"/>
      <c r="T23" s="150"/>
      <c r="U23" s="150"/>
      <c r="V23" s="77"/>
      <c r="AA23" s="80"/>
      <c r="AB23" s="72"/>
      <c r="AC23" s="121" t="s">
        <v>90</v>
      </c>
      <c r="AD23" s="121"/>
      <c r="AE23" s="121"/>
      <c r="AF23" s="121"/>
      <c r="AG23" s="121"/>
      <c r="AH23" s="121"/>
      <c r="AI23" s="121"/>
      <c r="AJ23" s="121"/>
      <c r="AK23" s="121"/>
      <c r="AL23" s="122"/>
      <c r="AM23" s="135">
        <f>AM20/AM17</f>
        <v>0.73394495412844041</v>
      </c>
      <c r="AN23" s="136"/>
      <c r="AO23" s="136"/>
      <c r="AP23" s="136"/>
      <c r="AQ23" s="136"/>
      <c r="AR23" s="136"/>
      <c r="AS23" s="136"/>
      <c r="AT23" s="137"/>
      <c r="AU23" s="77"/>
    </row>
    <row r="24" spans="2:47" ht="10.5" customHeight="1" x14ac:dyDescent="0.3">
      <c r="B24" s="80"/>
      <c r="C24" s="72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50"/>
      <c r="O24" s="150"/>
      <c r="P24" s="150"/>
      <c r="Q24" s="150"/>
      <c r="R24" s="150"/>
      <c r="S24" s="150"/>
      <c r="T24" s="150"/>
      <c r="U24" s="150"/>
      <c r="V24" s="77"/>
      <c r="AA24" s="80"/>
      <c r="AB24" s="72"/>
      <c r="AC24" s="121"/>
      <c r="AD24" s="121"/>
      <c r="AE24" s="121"/>
      <c r="AF24" s="121"/>
      <c r="AG24" s="121"/>
      <c r="AH24" s="121"/>
      <c r="AI24" s="121"/>
      <c r="AJ24" s="121"/>
      <c r="AK24" s="121"/>
      <c r="AL24" s="122"/>
      <c r="AM24" s="138"/>
      <c r="AN24" s="139"/>
      <c r="AO24" s="139"/>
      <c r="AP24" s="139"/>
      <c r="AQ24" s="139"/>
      <c r="AR24" s="139"/>
      <c r="AS24" s="139"/>
      <c r="AT24" s="140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9"/>
  <sheetViews>
    <sheetView showGridLines="0" tabSelected="1" zoomScaleNormal="100" workbookViewId="0">
      <selection activeCell="AN32" sqref="AN32:BC33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x14ac:dyDescent="0.75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thickBot="1" x14ac:dyDescent="0.35">
      <c r="B2" s="215" t="s">
        <v>91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2:99" ht="9" customHeight="1" x14ac:dyDescent="0.3"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92" t="s">
        <v>92</v>
      </c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6"/>
      <c r="AU3" s="17"/>
      <c r="AX3" s="192" t="s">
        <v>93</v>
      </c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6"/>
      <c r="BM3" s="17"/>
      <c r="BP3" s="192" t="s">
        <v>94</v>
      </c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6"/>
    </row>
    <row r="4" spans="2:99" ht="9" customHeight="1" thickBot="1" x14ac:dyDescent="0.35"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94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200"/>
      <c r="AU4" s="17"/>
      <c r="AX4" s="194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200"/>
      <c r="BM4" s="17"/>
      <c r="BP4" s="194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200"/>
    </row>
    <row r="5" spans="2:99" ht="9" customHeight="1" x14ac:dyDescent="0.3"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216">
        <f>SUM(TB_Saídas[Valor de Venda])</f>
        <v>19042.5</v>
      </c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8"/>
      <c r="AU5" s="16"/>
      <c r="AX5" s="216">
        <f>SUM(TB_Entradas[Valor da Compra])</f>
        <v>5530</v>
      </c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8"/>
      <c r="BM5" s="21"/>
      <c r="BN5" s="22"/>
      <c r="BO5" s="22"/>
      <c r="BP5" s="222">
        <f>(AF5-AX5)/AX5</f>
        <v>2.4434900542495481</v>
      </c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/>
      <c r="CB5" s="223"/>
      <c r="CC5" s="223"/>
      <c r="CD5" s="224"/>
    </row>
    <row r="6" spans="2:99" ht="9" customHeight="1" x14ac:dyDescent="0.3"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56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F6" s="216"/>
      <c r="AG6" s="217"/>
      <c r="AH6" s="217"/>
      <c r="AI6" s="217"/>
      <c r="AJ6" s="217"/>
      <c r="AK6" s="217"/>
      <c r="AL6" s="217"/>
      <c r="AM6" s="217"/>
      <c r="AN6" s="217"/>
      <c r="AO6" s="217"/>
      <c r="AP6" s="217"/>
      <c r="AQ6" s="217"/>
      <c r="AR6" s="217"/>
      <c r="AS6" s="217"/>
      <c r="AT6" s="218"/>
      <c r="AU6" s="16"/>
      <c r="AX6" s="216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8"/>
      <c r="BM6" s="21"/>
      <c r="BN6" s="22"/>
      <c r="BO6" s="22"/>
      <c r="BP6" s="222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/>
      <c r="CB6" s="223"/>
      <c r="CC6" s="223"/>
      <c r="CD6" s="224"/>
    </row>
    <row r="7" spans="2:99" ht="9" customHeigh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F7" s="216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8"/>
      <c r="AU7" s="16"/>
      <c r="AX7" s="216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8"/>
      <c r="BM7" s="21"/>
      <c r="BN7" s="22"/>
      <c r="BO7" s="22"/>
      <c r="BP7" s="222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3"/>
      <c r="CB7" s="223"/>
      <c r="CC7" s="223"/>
      <c r="CD7" s="224"/>
    </row>
    <row r="8" spans="2:99" ht="9" customHeight="1" thickBot="1" x14ac:dyDescent="0.35">
      <c r="B8" s="27"/>
      <c r="Z8" s="27"/>
      <c r="AF8" s="219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1"/>
      <c r="AU8" s="16"/>
      <c r="AX8" s="219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1"/>
      <c r="BM8" s="21"/>
      <c r="BN8" s="22"/>
      <c r="BO8" s="22"/>
      <c r="BP8" s="225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26"/>
      <c r="CC8" s="226"/>
      <c r="CD8" s="227"/>
      <c r="CE8" s="15"/>
      <c r="CF8" s="1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</row>
    <row r="9" spans="2:99" ht="9" customHeight="1" thickBot="1" x14ac:dyDescent="0.35">
      <c r="B9" s="27"/>
      <c r="C9" s="192" t="s">
        <v>95</v>
      </c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27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X9" s="26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5"/>
      <c r="CF9" s="15"/>
      <c r="CG9" s="25"/>
      <c r="CT9" s="25"/>
      <c r="CU9" s="25"/>
    </row>
    <row r="10" spans="2:99" ht="9" customHeight="1" thickBot="1" x14ac:dyDescent="0.35">
      <c r="B10" s="23"/>
      <c r="C10" s="194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23"/>
      <c r="AB10" s="192" t="s">
        <v>96</v>
      </c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6"/>
      <c r="CG10" s="14"/>
    </row>
    <row r="11" spans="2:99" ht="9" customHeight="1" x14ac:dyDescent="0.3">
      <c r="B11" s="23"/>
      <c r="C11" s="186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8"/>
      <c r="Z11" s="23"/>
      <c r="AB11" s="197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  <c r="BY11" s="198"/>
      <c r="BZ11" s="198"/>
      <c r="CA11" s="198"/>
      <c r="CB11" s="198"/>
      <c r="CC11" s="198"/>
      <c r="CD11" s="198"/>
      <c r="CE11" s="198"/>
      <c r="CF11" s="199"/>
    </row>
    <row r="12" spans="2:99" ht="9" customHeight="1" x14ac:dyDescent="0.3">
      <c r="B12" s="23"/>
      <c r="C12" s="186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8"/>
      <c r="Z12" s="23"/>
      <c r="AB12" s="210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2"/>
    </row>
    <row r="13" spans="2:99" ht="9" customHeight="1" x14ac:dyDescent="0.3">
      <c r="B13" s="23"/>
      <c r="C13" s="186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8"/>
      <c r="Z13" s="23"/>
      <c r="AB13" s="213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214"/>
    </row>
    <row r="14" spans="2:99" ht="9" customHeight="1" x14ac:dyDescent="0.3">
      <c r="B14" s="23"/>
      <c r="C14" s="186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8"/>
      <c r="Z14" s="23"/>
      <c r="AA14" s="15"/>
      <c r="AB14" s="213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214"/>
    </row>
    <row r="15" spans="2:99" ht="9" customHeight="1" x14ac:dyDescent="0.3">
      <c r="C15" s="186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8"/>
      <c r="Z15" s="15"/>
      <c r="AB15" s="213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214"/>
    </row>
    <row r="16" spans="2:99" ht="9" customHeight="1" x14ac:dyDescent="0.3">
      <c r="C16" s="186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8"/>
      <c r="Z16" s="15"/>
      <c r="AB16" s="213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214"/>
    </row>
    <row r="17" spans="2:84" ht="9" customHeight="1" x14ac:dyDescent="0.3">
      <c r="C17" s="186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8"/>
      <c r="Z17" s="15"/>
      <c r="AB17" s="213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214"/>
    </row>
    <row r="18" spans="2:84" ht="9" customHeight="1" x14ac:dyDescent="0.3"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8"/>
      <c r="Z18" s="15"/>
      <c r="AB18" s="213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214"/>
    </row>
    <row r="19" spans="2:84" ht="9" customHeight="1" x14ac:dyDescent="0.3">
      <c r="C19" s="186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8"/>
      <c r="Z19" s="15"/>
      <c r="AB19" s="213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214"/>
    </row>
    <row r="20" spans="2:84" ht="9" customHeight="1" x14ac:dyDescent="0.3">
      <c r="C20" s="186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8"/>
      <c r="AB20" s="213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214"/>
    </row>
    <row r="21" spans="2:84" ht="9" customHeight="1" x14ac:dyDescent="0.3">
      <c r="C21" s="186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8"/>
      <c r="AB21" s="213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214"/>
    </row>
    <row r="22" spans="2:84" ht="9" customHeight="1" x14ac:dyDescent="0.3">
      <c r="C22" s="186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8"/>
      <c r="Z22" s="15"/>
      <c r="AB22" s="213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214"/>
    </row>
    <row r="23" spans="2:84" ht="9" customHeight="1" x14ac:dyDescent="0.3">
      <c r="C23" s="186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8"/>
      <c r="Z23" s="15"/>
      <c r="AB23" s="213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BA23" s="187"/>
      <c r="BB23" s="187"/>
      <c r="BC23" s="187"/>
      <c r="BD23" s="187"/>
      <c r="BE23" s="187"/>
      <c r="BF23" s="187"/>
      <c r="BG23" s="187"/>
      <c r="BH23" s="187"/>
      <c r="BI23" s="187"/>
      <c r="BJ23" s="187"/>
      <c r="BK23" s="187"/>
      <c r="BL23" s="187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214"/>
    </row>
    <row r="24" spans="2:84" ht="9" customHeight="1" x14ac:dyDescent="0.3">
      <c r="C24" s="186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8"/>
      <c r="Z24" s="15"/>
      <c r="AB24" s="213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  <c r="BC24" s="187"/>
      <c r="BD24" s="187"/>
      <c r="BE24" s="187"/>
      <c r="BF24" s="187"/>
      <c r="BG24" s="187"/>
      <c r="BH24" s="187"/>
      <c r="BI24" s="187"/>
      <c r="BJ24" s="187"/>
      <c r="BK24" s="187"/>
      <c r="BL24" s="187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214"/>
    </row>
    <row r="25" spans="2:84" ht="9" customHeight="1" x14ac:dyDescent="0.3">
      <c r="C25" s="186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8"/>
      <c r="Z25" s="15"/>
      <c r="AB25" s="213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214"/>
    </row>
    <row r="26" spans="2:84" ht="9" customHeight="1" x14ac:dyDescent="0.3">
      <c r="C26" s="186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8"/>
      <c r="Z26" s="15"/>
      <c r="AA26" s="28"/>
      <c r="AB26" s="213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214"/>
    </row>
    <row r="27" spans="2:84" ht="9" customHeight="1" x14ac:dyDescent="0.3">
      <c r="C27" s="186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8"/>
      <c r="Z27" s="15"/>
      <c r="AB27" s="100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6"/>
      <c r="CC27" s="86"/>
      <c r="CD27" s="86"/>
      <c r="CE27" s="86"/>
      <c r="CF27" s="101"/>
    </row>
    <row r="28" spans="2:84" ht="9" customHeight="1" thickBot="1" x14ac:dyDescent="0.35">
      <c r="B28" s="18"/>
      <c r="C28" s="189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1"/>
      <c r="Z28" s="15"/>
      <c r="AB28" s="102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4"/>
    </row>
    <row r="29" spans="2:84" ht="9" customHeight="1" thickBot="1" x14ac:dyDescent="0.35">
      <c r="Z29" s="15"/>
    </row>
    <row r="30" spans="2:84" ht="9" customHeight="1" x14ac:dyDescent="0.3">
      <c r="C30" s="201" t="s">
        <v>99</v>
      </c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3"/>
      <c r="AB30" s="192" t="s">
        <v>97</v>
      </c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  <c r="BI30" s="193"/>
      <c r="BJ30" s="193"/>
      <c r="BK30" s="193"/>
      <c r="BL30" s="193"/>
      <c r="BM30" s="193"/>
      <c r="BN30" s="196"/>
      <c r="BO30" s="83"/>
      <c r="BP30" s="192" t="s">
        <v>98</v>
      </c>
      <c r="BQ30" s="193"/>
      <c r="BR30" s="193"/>
      <c r="BS30" s="193"/>
      <c r="BT30" s="193"/>
      <c r="BU30" s="193"/>
      <c r="BV30" s="193"/>
      <c r="BW30" s="193"/>
      <c r="BX30" s="193"/>
      <c r="BY30" s="193"/>
      <c r="BZ30" s="193"/>
      <c r="CA30" s="193"/>
      <c r="CB30" s="193"/>
      <c r="CC30" s="193"/>
      <c r="CD30" s="193"/>
      <c r="CE30" s="193"/>
      <c r="CF30" s="196"/>
    </row>
    <row r="31" spans="2:84" ht="9" customHeight="1" thickBot="1" x14ac:dyDescent="0.35">
      <c r="B31" s="20"/>
      <c r="C31" s="20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205"/>
      <c r="AB31" s="194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95"/>
      <c r="BG31" s="195"/>
      <c r="BH31" s="195"/>
      <c r="BI31" s="195"/>
      <c r="BJ31" s="195"/>
      <c r="BK31" s="195"/>
      <c r="BL31" s="195"/>
      <c r="BM31" s="195"/>
      <c r="BN31" s="200"/>
      <c r="BO31" s="83"/>
      <c r="BP31" s="194"/>
      <c r="BQ31" s="195"/>
      <c r="BR31" s="195"/>
      <c r="BS31" s="195"/>
      <c r="BT31" s="195"/>
      <c r="BU31" s="195"/>
      <c r="BV31" s="195"/>
      <c r="BW31" s="195"/>
      <c r="BX31" s="195"/>
      <c r="BY31" s="195"/>
      <c r="BZ31" s="195"/>
      <c r="CA31" s="195"/>
      <c r="CB31" s="195"/>
      <c r="CC31" s="195"/>
      <c r="CD31" s="195"/>
      <c r="CE31" s="195"/>
      <c r="CF31" s="200"/>
    </row>
    <row r="32" spans="2:84" ht="9" customHeight="1" x14ac:dyDescent="0.3">
      <c r="C32" s="208" t="s">
        <v>100</v>
      </c>
      <c r="D32" s="209"/>
      <c r="E32" s="209"/>
      <c r="F32" s="209"/>
      <c r="G32" s="157" t="str">
        <f>'Base de Cálculos'!B12</f>
        <v>Café</v>
      </c>
      <c r="H32" s="158"/>
      <c r="I32" s="158"/>
      <c r="J32" s="158"/>
      <c r="K32" s="158"/>
      <c r="L32" s="158"/>
      <c r="M32" s="158"/>
      <c r="N32" s="158"/>
      <c r="O32" s="158"/>
      <c r="P32" s="159"/>
      <c r="Q32" s="163">
        <f>'Base de Cálculos'!C12</f>
        <v>5670</v>
      </c>
      <c r="R32" s="164"/>
      <c r="S32" s="164"/>
      <c r="T32" s="164"/>
      <c r="U32" s="164"/>
      <c r="V32" s="164"/>
      <c r="W32" s="164"/>
      <c r="X32" s="164"/>
      <c r="Y32" s="165"/>
      <c r="AB32" s="85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206" t="s">
        <v>6</v>
      </c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7"/>
      <c r="BP32" s="183"/>
      <c r="BQ32" s="184"/>
      <c r="BR32" s="184"/>
      <c r="BS32" s="184"/>
      <c r="BT32" s="184"/>
      <c r="BU32" s="184"/>
      <c r="BV32" s="184"/>
      <c r="BW32" s="184"/>
      <c r="BX32" s="184"/>
      <c r="BY32" s="184"/>
      <c r="BZ32" s="184"/>
      <c r="CA32" s="184"/>
      <c r="CB32" s="184"/>
      <c r="CC32" s="184"/>
      <c r="CD32" s="184"/>
      <c r="CE32" s="184"/>
      <c r="CF32" s="185"/>
    </row>
    <row r="33" spans="2:126" ht="9" customHeight="1" x14ac:dyDescent="0.3">
      <c r="C33" s="153"/>
      <c r="D33" s="154"/>
      <c r="E33" s="154"/>
      <c r="F33" s="154"/>
      <c r="G33" s="160"/>
      <c r="H33" s="161"/>
      <c r="I33" s="161"/>
      <c r="J33" s="161"/>
      <c r="K33" s="161"/>
      <c r="L33" s="161"/>
      <c r="M33" s="161"/>
      <c r="N33" s="161"/>
      <c r="O33" s="161"/>
      <c r="P33" s="162"/>
      <c r="Q33" s="166"/>
      <c r="R33" s="167"/>
      <c r="S33" s="167"/>
      <c r="T33" s="167"/>
      <c r="U33" s="167"/>
      <c r="V33" s="167"/>
      <c r="W33" s="167"/>
      <c r="X33" s="167"/>
      <c r="Y33" s="168"/>
      <c r="AB33" s="85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207"/>
      <c r="AO33" s="207"/>
      <c r="AP33" s="207"/>
      <c r="AQ33" s="207"/>
      <c r="AR33" s="207"/>
      <c r="AS33" s="207"/>
      <c r="AT33" s="207"/>
      <c r="AU33" s="207"/>
      <c r="AV33" s="207"/>
      <c r="AW33" s="207"/>
      <c r="AX33" s="207"/>
      <c r="AY33" s="207"/>
      <c r="AZ33" s="207"/>
      <c r="BA33" s="207"/>
      <c r="BB33" s="207"/>
      <c r="BC33" s="207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7"/>
      <c r="BP33" s="186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8"/>
    </row>
    <row r="34" spans="2:126" ht="9" customHeight="1" thickBot="1" x14ac:dyDescent="0.35">
      <c r="C34" s="155"/>
      <c r="D34" s="156"/>
      <c r="E34" s="156"/>
      <c r="F34" s="156"/>
      <c r="G34" s="160"/>
      <c r="H34" s="161"/>
      <c r="I34" s="161"/>
      <c r="J34" s="161"/>
      <c r="K34" s="161"/>
      <c r="L34" s="161"/>
      <c r="M34" s="161"/>
      <c r="N34" s="161"/>
      <c r="O34" s="161"/>
      <c r="P34" s="162"/>
      <c r="Q34" s="169"/>
      <c r="R34" s="170"/>
      <c r="S34" s="170"/>
      <c r="T34" s="170"/>
      <c r="U34" s="170"/>
      <c r="V34" s="170"/>
      <c r="W34" s="170"/>
      <c r="X34" s="170"/>
      <c r="Y34" s="171"/>
      <c r="AB34" s="186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8"/>
      <c r="BP34" s="186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8"/>
    </row>
    <row r="35" spans="2:126" ht="9" customHeight="1" x14ac:dyDescent="0.3">
      <c r="C35" s="151" t="s">
        <v>101</v>
      </c>
      <c r="D35" s="152"/>
      <c r="E35" s="152"/>
      <c r="F35" s="152"/>
      <c r="G35" s="157" t="str">
        <f>'Base de Cálculos'!B13</f>
        <v>Chocolate Quente</v>
      </c>
      <c r="H35" s="158"/>
      <c r="I35" s="158"/>
      <c r="J35" s="158"/>
      <c r="K35" s="158"/>
      <c r="L35" s="158"/>
      <c r="M35" s="158"/>
      <c r="N35" s="158"/>
      <c r="O35" s="158"/>
      <c r="P35" s="159"/>
      <c r="Q35" s="163">
        <f>'Base de Cálculos'!C13</f>
        <v>4250</v>
      </c>
      <c r="R35" s="164"/>
      <c r="S35" s="164"/>
      <c r="T35" s="164"/>
      <c r="U35" s="164"/>
      <c r="V35" s="164"/>
      <c r="W35" s="164"/>
      <c r="X35" s="164"/>
      <c r="Y35" s="165"/>
      <c r="Z35" s="18"/>
      <c r="AB35" s="186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7"/>
      <c r="BN35" s="188"/>
      <c r="BP35" s="186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8"/>
    </row>
    <row r="36" spans="2:126" ht="9" customHeight="1" x14ac:dyDescent="0.3">
      <c r="B36" s="18"/>
      <c r="C36" s="153"/>
      <c r="D36" s="154"/>
      <c r="E36" s="154"/>
      <c r="F36" s="154"/>
      <c r="G36" s="160"/>
      <c r="H36" s="161"/>
      <c r="I36" s="161"/>
      <c r="J36" s="161"/>
      <c r="K36" s="161"/>
      <c r="L36" s="161"/>
      <c r="M36" s="161"/>
      <c r="N36" s="161"/>
      <c r="O36" s="161"/>
      <c r="P36" s="162"/>
      <c r="Q36" s="166"/>
      <c r="R36" s="167"/>
      <c r="S36" s="167"/>
      <c r="T36" s="167"/>
      <c r="U36" s="167"/>
      <c r="V36" s="167"/>
      <c r="W36" s="167"/>
      <c r="X36" s="167"/>
      <c r="Y36" s="168"/>
      <c r="Z36" s="19"/>
      <c r="AA36" s="19"/>
      <c r="AB36" s="186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8"/>
      <c r="BP36" s="186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8"/>
    </row>
    <row r="37" spans="2:126" ht="9" customHeight="1" thickBot="1" x14ac:dyDescent="0.35">
      <c r="C37" s="155"/>
      <c r="D37" s="156"/>
      <c r="E37" s="156"/>
      <c r="F37" s="156"/>
      <c r="G37" s="160"/>
      <c r="H37" s="161"/>
      <c r="I37" s="161"/>
      <c r="J37" s="161"/>
      <c r="K37" s="161"/>
      <c r="L37" s="161"/>
      <c r="M37" s="161"/>
      <c r="N37" s="161"/>
      <c r="O37" s="161"/>
      <c r="P37" s="162"/>
      <c r="Q37" s="169"/>
      <c r="R37" s="170"/>
      <c r="S37" s="170"/>
      <c r="T37" s="170"/>
      <c r="U37" s="170"/>
      <c r="V37" s="170"/>
      <c r="W37" s="170"/>
      <c r="X37" s="170"/>
      <c r="Y37" s="171"/>
      <c r="Z37" s="19"/>
      <c r="AA37" s="19"/>
      <c r="AB37" s="186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8"/>
      <c r="BP37" s="186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8"/>
    </row>
    <row r="38" spans="2:126" ht="9" customHeight="1" x14ac:dyDescent="0.3">
      <c r="C38" s="151" t="s">
        <v>102</v>
      </c>
      <c r="D38" s="152"/>
      <c r="E38" s="152"/>
      <c r="F38" s="152"/>
      <c r="G38" s="157" t="str">
        <f>'Base de Cálculos'!B14</f>
        <v>Pão de Queijo</v>
      </c>
      <c r="H38" s="158"/>
      <c r="I38" s="158"/>
      <c r="J38" s="158"/>
      <c r="K38" s="158"/>
      <c r="L38" s="158"/>
      <c r="M38" s="158"/>
      <c r="N38" s="158"/>
      <c r="O38" s="158"/>
      <c r="P38" s="159"/>
      <c r="Q38" s="163">
        <f>'Base de Cálculos'!C14</f>
        <v>3000</v>
      </c>
      <c r="R38" s="164"/>
      <c r="S38" s="164"/>
      <c r="T38" s="164"/>
      <c r="U38" s="164"/>
      <c r="V38" s="164"/>
      <c r="W38" s="164"/>
      <c r="X38" s="164"/>
      <c r="Y38" s="165"/>
      <c r="Z38" s="180"/>
      <c r="AB38" s="186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8"/>
      <c r="BP38" s="186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8"/>
    </row>
    <row r="39" spans="2:126" ht="9" customHeight="1" x14ac:dyDescent="0.3">
      <c r="C39" s="153"/>
      <c r="D39" s="154"/>
      <c r="E39" s="154"/>
      <c r="F39" s="154"/>
      <c r="G39" s="160"/>
      <c r="H39" s="161"/>
      <c r="I39" s="161"/>
      <c r="J39" s="161"/>
      <c r="K39" s="161"/>
      <c r="L39" s="161"/>
      <c r="M39" s="161"/>
      <c r="N39" s="161"/>
      <c r="O39" s="161"/>
      <c r="P39" s="162"/>
      <c r="Q39" s="166"/>
      <c r="R39" s="167"/>
      <c r="S39" s="167"/>
      <c r="T39" s="167"/>
      <c r="U39" s="167"/>
      <c r="V39" s="167"/>
      <c r="W39" s="167"/>
      <c r="X39" s="167"/>
      <c r="Y39" s="168"/>
      <c r="Z39" s="180"/>
      <c r="AB39" s="186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8"/>
      <c r="BP39" s="186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8"/>
    </row>
    <row r="40" spans="2:126" ht="9" customHeight="1" thickBot="1" x14ac:dyDescent="0.35">
      <c r="C40" s="155"/>
      <c r="D40" s="156"/>
      <c r="E40" s="156"/>
      <c r="F40" s="156"/>
      <c r="G40" s="160"/>
      <c r="H40" s="161"/>
      <c r="I40" s="161"/>
      <c r="J40" s="161"/>
      <c r="K40" s="161"/>
      <c r="L40" s="161"/>
      <c r="M40" s="161"/>
      <c r="N40" s="161"/>
      <c r="O40" s="161"/>
      <c r="P40" s="162"/>
      <c r="Q40" s="169"/>
      <c r="R40" s="170"/>
      <c r="S40" s="170"/>
      <c r="T40" s="170"/>
      <c r="U40" s="170"/>
      <c r="V40" s="170"/>
      <c r="W40" s="170"/>
      <c r="X40" s="170"/>
      <c r="Y40" s="171"/>
      <c r="Z40" s="180"/>
      <c r="AB40" s="186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8"/>
      <c r="BP40" s="186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8"/>
    </row>
    <row r="41" spans="2:126" ht="9" customHeight="1" x14ac:dyDescent="0.3">
      <c r="C41" s="151" t="s">
        <v>103</v>
      </c>
      <c r="D41" s="152"/>
      <c r="E41" s="152"/>
      <c r="F41" s="152"/>
      <c r="G41" s="157" t="str">
        <f>'Base de Cálculos'!B15</f>
        <v>Refrigerante</v>
      </c>
      <c r="H41" s="158"/>
      <c r="I41" s="158"/>
      <c r="J41" s="158"/>
      <c r="K41" s="158"/>
      <c r="L41" s="158"/>
      <c r="M41" s="158"/>
      <c r="N41" s="158"/>
      <c r="O41" s="158"/>
      <c r="P41" s="159"/>
      <c r="Q41" s="163">
        <f>'Base de Cálculos'!C15</f>
        <v>1680</v>
      </c>
      <c r="R41" s="164"/>
      <c r="S41" s="164"/>
      <c r="T41" s="164"/>
      <c r="U41" s="164"/>
      <c r="V41" s="164"/>
      <c r="W41" s="164"/>
      <c r="X41" s="164"/>
      <c r="Y41" s="165"/>
      <c r="Z41" s="180"/>
      <c r="AB41" s="186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8"/>
      <c r="BP41" s="186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8"/>
    </row>
    <row r="42" spans="2:126" ht="9" customHeight="1" x14ac:dyDescent="0.3">
      <c r="C42" s="153"/>
      <c r="D42" s="154"/>
      <c r="E42" s="154"/>
      <c r="F42" s="154"/>
      <c r="G42" s="160"/>
      <c r="H42" s="161"/>
      <c r="I42" s="161"/>
      <c r="J42" s="161"/>
      <c r="K42" s="161"/>
      <c r="L42" s="161"/>
      <c r="M42" s="161"/>
      <c r="N42" s="161"/>
      <c r="O42" s="161"/>
      <c r="P42" s="162"/>
      <c r="Q42" s="166"/>
      <c r="R42" s="167"/>
      <c r="S42" s="167"/>
      <c r="T42" s="167"/>
      <c r="U42" s="167"/>
      <c r="V42" s="167"/>
      <c r="W42" s="167"/>
      <c r="X42" s="167"/>
      <c r="Y42" s="168"/>
      <c r="Z42" s="180"/>
      <c r="AB42" s="186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  <c r="BC42" s="187"/>
      <c r="BD42" s="187"/>
      <c r="BE42" s="187"/>
      <c r="BF42" s="187"/>
      <c r="BG42" s="187"/>
      <c r="BH42" s="187"/>
      <c r="BI42" s="187"/>
      <c r="BJ42" s="187"/>
      <c r="BK42" s="187"/>
      <c r="BL42" s="187"/>
      <c r="BM42" s="187"/>
      <c r="BN42" s="188"/>
      <c r="BP42" s="186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8"/>
    </row>
    <row r="43" spans="2:126" ht="9" customHeight="1" thickBot="1" x14ac:dyDescent="0.35">
      <c r="C43" s="155"/>
      <c r="D43" s="156"/>
      <c r="E43" s="156"/>
      <c r="F43" s="156"/>
      <c r="G43" s="160"/>
      <c r="H43" s="161"/>
      <c r="I43" s="161"/>
      <c r="J43" s="161"/>
      <c r="K43" s="161"/>
      <c r="L43" s="161"/>
      <c r="M43" s="161"/>
      <c r="N43" s="161"/>
      <c r="O43" s="161"/>
      <c r="P43" s="162"/>
      <c r="Q43" s="169"/>
      <c r="R43" s="170"/>
      <c r="S43" s="170"/>
      <c r="T43" s="170"/>
      <c r="U43" s="170"/>
      <c r="V43" s="170"/>
      <c r="W43" s="170"/>
      <c r="X43" s="170"/>
      <c r="Y43" s="171"/>
      <c r="Z43" s="180"/>
      <c r="AB43" s="186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7"/>
      <c r="BD43" s="187"/>
      <c r="BE43" s="187"/>
      <c r="BF43" s="187"/>
      <c r="BG43" s="187"/>
      <c r="BH43" s="187"/>
      <c r="BI43" s="187"/>
      <c r="BJ43" s="187"/>
      <c r="BK43" s="187"/>
      <c r="BL43" s="187"/>
      <c r="BM43" s="187"/>
      <c r="BN43" s="188"/>
      <c r="BP43" s="186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8"/>
    </row>
    <row r="44" spans="2:126" ht="9" customHeight="1" x14ac:dyDescent="0.3">
      <c r="C44" s="151" t="s">
        <v>104</v>
      </c>
      <c r="D44" s="152"/>
      <c r="E44" s="152"/>
      <c r="F44" s="152"/>
      <c r="G44" s="157" t="str">
        <f>'Base de Cálculos'!B16</f>
        <v>Coxinha</v>
      </c>
      <c r="H44" s="158"/>
      <c r="I44" s="158"/>
      <c r="J44" s="158"/>
      <c r="K44" s="158"/>
      <c r="L44" s="158"/>
      <c r="M44" s="158"/>
      <c r="N44" s="158"/>
      <c r="O44" s="158"/>
      <c r="P44" s="159"/>
      <c r="Q44" s="163">
        <f>'Base de Cálculos'!C16</f>
        <v>1592.5</v>
      </c>
      <c r="R44" s="164"/>
      <c r="S44" s="164"/>
      <c r="T44" s="164"/>
      <c r="U44" s="164"/>
      <c r="V44" s="164"/>
      <c r="W44" s="164"/>
      <c r="X44" s="164"/>
      <c r="Y44" s="165"/>
      <c r="Z44" s="180"/>
      <c r="AB44" s="186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187"/>
      <c r="BL44" s="187"/>
      <c r="BM44" s="187"/>
      <c r="BN44" s="188"/>
      <c r="BP44" s="186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8"/>
    </row>
    <row r="45" spans="2:126" ht="9" customHeight="1" x14ac:dyDescent="0.3">
      <c r="C45" s="153"/>
      <c r="D45" s="154"/>
      <c r="E45" s="154"/>
      <c r="F45" s="154"/>
      <c r="G45" s="160"/>
      <c r="H45" s="161"/>
      <c r="I45" s="161"/>
      <c r="J45" s="161"/>
      <c r="K45" s="161"/>
      <c r="L45" s="161"/>
      <c r="M45" s="161"/>
      <c r="N45" s="161"/>
      <c r="O45" s="161"/>
      <c r="P45" s="162"/>
      <c r="Q45" s="166"/>
      <c r="R45" s="167"/>
      <c r="S45" s="167"/>
      <c r="T45" s="167"/>
      <c r="U45" s="167"/>
      <c r="V45" s="167"/>
      <c r="W45" s="167"/>
      <c r="X45" s="167"/>
      <c r="Y45" s="168"/>
      <c r="Z45" s="180"/>
      <c r="AB45" s="186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8"/>
      <c r="BP45" s="186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8"/>
    </row>
    <row r="46" spans="2:126" ht="9" customHeight="1" x14ac:dyDescent="0.3">
      <c r="C46" s="172"/>
      <c r="D46" s="173"/>
      <c r="E46" s="173"/>
      <c r="F46" s="173"/>
      <c r="G46" s="174"/>
      <c r="H46" s="175"/>
      <c r="I46" s="175"/>
      <c r="J46" s="175"/>
      <c r="K46" s="175"/>
      <c r="L46" s="175"/>
      <c r="M46" s="175"/>
      <c r="N46" s="175"/>
      <c r="O46" s="175"/>
      <c r="P46" s="176"/>
      <c r="Q46" s="177"/>
      <c r="R46" s="178"/>
      <c r="S46" s="178"/>
      <c r="T46" s="178"/>
      <c r="U46" s="178"/>
      <c r="V46" s="178"/>
      <c r="W46" s="178"/>
      <c r="X46" s="178"/>
      <c r="Y46" s="179"/>
      <c r="AB46" s="186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8"/>
      <c r="BP46" s="186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8"/>
    </row>
    <row r="47" spans="2:126" ht="9" customHeight="1" thickBot="1" x14ac:dyDescent="0.35">
      <c r="AB47" s="189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  <c r="BD47" s="190"/>
      <c r="BE47" s="190"/>
      <c r="BF47" s="190"/>
      <c r="BG47" s="190"/>
      <c r="BH47" s="190"/>
      <c r="BI47" s="190"/>
      <c r="BJ47" s="190"/>
      <c r="BK47" s="190"/>
      <c r="BL47" s="190"/>
      <c r="BM47" s="190"/>
      <c r="BN47" s="191"/>
      <c r="BP47" s="189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1"/>
      <c r="DJ47" s="181"/>
      <c r="DK47" s="181"/>
      <c r="DL47" s="181"/>
      <c r="DM47" s="181"/>
      <c r="DN47" s="181"/>
      <c r="DO47" s="181"/>
      <c r="DP47" s="181"/>
      <c r="DQ47" s="181"/>
      <c r="DR47" s="181"/>
      <c r="DS47" s="181"/>
      <c r="DT47" s="181"/>
      <c r="DU47" s="181"/>
      <c r="DV47" s="181"/>
    </row>
    <row r="48" spans="2:126" ht="9" customHeight="1" x14ac:dyDescent="0.3">
      <c r="DJ48" s="181"/>
      <c r="DK48" s="181"/>
      <c r="DL48" s="181"/>
      <c r="DM48" s="181"/>
      <c r="DN48" s="181"/>
      <c r="DO48" s="181"/>
      <c r="DP48" s="181"/>
      <c r="DQ48" s="181"/>
      <c r="DR48" s="181"/>
      <c r="DS48" s="181"/>
      <c r="DT48" s="181"/>
      <c r="DU48" s="181"/>
      <c r="DV48" s="181"/>
    </row>
    <row r="49" spans="114:126" ht="9" customHeight="1" x14ac:dyDescent="0.3">
      <c r="DJ49" s="182"/>
      <c r="DK49" s="182"/>
      <c r="DL49" s="182"/>
      <c r="DM49" s="182"/>
      <c r="DN49" s="182"/>
      <c r="DO49" s="182"/>
      <c r="DP49" s="182"/>
      <c r="DQ49" s="182"/>
      <c r="DR49" s="182"/>
      <c r="DS49" s="182"/>
      <c r="DT49" s="182"/>
      <c r="DU49" s="182"/>
      <c r="DV49" s="182"/>
    </row>
  </sheetData>
  <mergeCells count="38">
    <mergeCell ref="C32:F34"/>
    <mergeCell ref="G32:P34"/>
    <mergeCell ref="AB12:CF26"/>
    <mergeCell ref="Q32:Y34"/>
    <mergeCell ref="B2:O6"/>
    <mergeCell ref="AF3:AT4"/>
    <mergeCell ref="AX3:BL4"/>
    <mergeCell ref="BP3:CD4"/>
    <mergeCell ref="AF5:AT8"/>
    <mergeCell ref="AX5:BL8"/>
    <mergeCell ref="BP5:CD8"/>
    <mergeCell ref="C9:Y10"/>
    <mergeCell ref="AB10:CF11"/>
    <mergeCell ref="C11:Y28"/>
    <mergeCell ref="AB30:BN31"/>
    <mergeCell ref="BP30:CF31"/>
    <mergeCell ref="C30:Y31"/>
    <mergeCell ref="DJ47:DV48"/>
    <mergeCell ref="DJ49:DV49"/>
    <mergeCell ref="BP32:CF47"/>
    <mergeCell ref="AB34:BN47"/>
    <mergeCell ref="Z38:Z39"/>
    <mergeCell ref="Z40:Z41"/>
    <mergeCell ref="Z42:Z43"/>
    <mergeCell ref="AN32:BC33"/>
    <mergeCell ref="C44:F46"/>
    <mergeCell ref="G44:P46"/>
    <mergeCell ref="Q44:Y46"/>
    <mergeCell ref="Z44:Z45"/>
    <mergeCell ref="C41:F43"/>
    <mergeCell ref="G41:P43"/>
    <mergeCell ref="Q41:Y43"/>
    <mergeCell ref="C35:F37"/>
    <mergeCell ref="G35:P37"/>
    <mergeCell ref="Q35:Y37"/>
    <mergeCell ref="C38:F40"/>
    <mergeCell ref="G38:P40"/>
    <mergeCell ref="Q38:Y40"/>
  </mergeCells>
  <dataValidations count="1">
    <dataValidation type="list" allowBlank="1" showInputMessage="1" showErrorMessage="1" sqref="AN32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2D7-4DD6-44FF-A1F2-73A0ACB3EB38}">
  <dimension ref="A1:N25"/>
  <sheetViews>
    <sheetView workbookViewId="0">
      <selection activeCell="M16" sqref="M16:N17"/>
    </sheetView>
  </sheetViews>
  <sheetFormatPr defaultRowHeight="14.4" x14ac:dyDescent="0.3"/>
  <cols>
    <col min="2" max="2" width="15.88671875" bestFit="1" customWidth="1"/>
    <col min="3" max="3" width="12.88671875" customWidth="1"/>
    <col min="5" max="5" width="4.33203125" customWidth="1"/>
    <col min="7" max="7" width="10.5546875" bestFit="1" customWidth="1"/>
    <col min="8" max="8" width="13" customWidth="1"/>
    <col min="9" max="9" width="14.33203125" customWidth="1"/>
    <col min="10" max="10" width="4.33203125" customWidth="1"/>
  </cols>
  <sheetData>
    <row r="1" spans="1:14" ht="15.6" thickTop="1" thickBot="1" x14ac:dyDescent="0.35">
      <c r="A1" s="228" t="s">
        <v>105</v>
      </c>
      <c r="B1" s="229"/>
      <c r="C1" s="229"/>
      <c r="D1" s="230"/>
      <c r="F1" s="231" t="s">
        <v>110</v>
      </c>
      <c r="G1" s="232"/>
      <c r="H1" s="232"/>
      <c r="I1" s="233"/>
      <c r="K1" s="105" t="s">
        <v>113</v>
      </c>
      <c r="L1" s="234" t="s">
        <v>114</v>
      </c>
      <c r="M1" s="234"/>
      <c r="N1" s="234"/>
    </row>
    <row r="2" spans="1:14" ht="15.6" thickTop="1" thickBot="1" x14ac:dyDescent="0.35">
      <c r="A2" s="97"/>
      <c r="B2" s="2" t="s">
        <v>1</v>
      </c>
      <c r="C2" t="s">
        <v>74</v>
      </c>
      <c r="D2" s="90" t="s">
        <v>106</v>
      </c>
      <c r="F2" s="89" t="s">
        <v>111</v>
      </c>
      <c r="G2" t="s">
        <v>109</v>
      </c>
      <c r="H2" t="s">
        <v>108</v>
      </c>
      <c r="I2" s="90" t="s">
        <v>112</v>
      </c>
      <c r="K2" s="105" t="str">
        <f>Dashboard!AN32</f>
        <v>Café</v>
      </c>
      <c r="L2" t="s">
        <v>109</v>
      </c>
      <c r="M2" t="s">
        <v>115</v>
      </c>
      <c r="N2" s="108" t="s">
        <v>106</v>
      </c>
    </row>
    <row r="3" spans="1:14" ht="15" thickTop="1" x14ac:dyDescent="0.3">
      <c r="A3" s="89">
        <v>1</v>
      </c>
      <c r="B3" t="str">
        <f>_xlfn.XLOOKUP(D3,'Top 5 Produtos Mais Vendidos'!B:B,'Top 5 Produtos Mais Vendidos'!A:A)</f>
        <v>Café</v>
      </c>
      <c r="C3">
        <f>SUMIF(TB_Entradas[Produto],B3,TB_Entradas[Quantidade Comprada])</f>
        <v>1635</v>
      </c>
      <c r="D3" s="90">
        <f>LARGE('Top 5 Produtos Mais Vendidos'!B:B,'Base de Cálculos'!A3)</f>
        <v>945</v>
      </c>
      <c r="F3" s="89">
        <v>1</v>
      </c>
      <c r="G3" s="91" t="s">
        <v>116</v>
      </c>
      <c r="H3" s="10">
        <f>SUMIF(TB_Saídas[Mês],'Base de Cálculos'!F3,TB_Saídas[Valor de Venda])</f>
        <v>1475</v>
      </c>
      <c r="I3" s="92">
        <f>SUMIF(TB_Entradas[Mês],'Base de Cálculos'!F3,TB_Entradas[Valor da Compra])</f>
        <v>297.5</v>
      </c>
      <c r="L3" s="236" t="str">
        <f>G3</f>
        <v>Jan</v>
      </c>
      <c r="M3" s="106">
        <f>SUMIFS(TB_Entradas[Quantidade Comprada],TB_Entradas[Produto],$K$2,TB_Entradas[Mês],$F3)</f>
        <v>100</v>
      </c>
      <c r="N3" s="107">
        <f>SUMIFS(TB_Saídas[Quantidade Vendida],TB_Saídas[Produto],$K$2,TB_Saídas[Mês],$F3)</f>
        <v>80</v>
      </c>
    </row>
    <row r="4" spans="1:14" x14ac:dyDescent="0.3">
      <c r="A4" s="89">
        <v>2</v>
      </c>
      <c r="B4" t="str">
        <f>_xlfn.XLOOKUP(D4,'Top 5 Produtos Mais Vendidos'!B:B,'Top 5 Produtos Mais Vendidos'!A:A)</f>
        <v>Chocolate Quente</v>
      </c>
      <c r="C4">
        <f>SUMIF(TB_Entradas[Produto],B4,TB_Entradas[Quantidade Comprada])</f>
        <v>750</v>
      </c>
      <c r="D4" s="90">
        <f>LARGE('Top 5 Produtos Mais Vendidos'!B:B,'Base de Cálculos'!A4)</f>
        <v>500</v>
      </c>
      <c r="F4" s="89">
        <v>2</v>
      </c>
      <c r="G4" s="91" t="s">
        <v>117</v>
      </c>
      <c r="H4" s="10">
        <f>SUMIF(TB_Saídas[Mês],'Base de Cálculos'!F4,TB_Saídas[Valor de Venda])</f>
        <v>1652.5</v>
      </c>
      <c r="I4" s="92">
        <f>SUMIF(TB_Entradas[Mês],'Base de Cálculos'!F4,TB_Entradas[Valor da Compra])</f>
        <v>378.75</v>
      </c>
      <c r="L4" s="97" t="str">
        <f t="shared" ref="L4:L14" si="0">G4</f>
        <v>Fev</v>
      </c>
      <c r="M4">
        <f>SUMIFS(TB_Entradas[Quantidade Comprada],TB_Entradas[Produto],$K$2,TB_Entradas[Mês],$F4)</f>
        <v>125</v>
      </c>
      <c r="N4" s="90">
        <f>SUMIFS(TB_Saídas[Quantidade Vendida],TB_Saídas[Produto],$K$2,TB_Saídas[Mês],$F4)</f>
        <v>110</v>
      </c>
    </row>
    <row r="5" spans="1:14" x14ac:dyDescent="0.3">
      <c r="A5" s="89">
        <v>3</v>
      </c>
      <c r="B5" t="str">
        <f>_xlfn.XLOOKUP(D5,'Top 5 Produtos Mais Vendidos'!B:B,'Top 5 Produtos Mais Vendidos'!A:A)</f>
        <v>Pão de Queijo</v>
      </c>
      <c r="C5">
        <f>SUMIF(TB_Entradas[Produto],B5,TB_Entradas[Quantidade Comprada])</f>
        <v>620</v>
      </c>
      <c r="D5" s="90">
        <f>LARGE('Top 5 Produtos Mais Vendidos'!B:B,'Base de Cálculos'!A5)</f>
        <v>400</v>
      </c>
      <c r="F5" s="89">
        <v>3</v>
      </c>
      <c r="G5" s="91" t="s">
        <v>118</v>
      </c>
      <c r="H5" s="10">
        <f>SUMIF(TB_Saídas[Mês],'Base de Cálculos'!F5,TB_Saídas[Valor de Venda])</f>
        <v>2302.5</v>
      </c>
      <c r="I5" s="92">
        <f>SUMIF(TB_Entradas[Mês],'Base de Cálculos'!F5,TB_Entradas[Valor da Compra])</f>
        <v>922.5</v>
      </c>
      <c r="L5" s="97" t="str">
        <f t="shared" si="0"/>
        <v>Mar</v>
      </c>
      <c r="M5">
        <f>SUMIFS(TB_Entradas[Quantidade Comprada],TB_Entradas[Produto],$K$2,TB_Entradas[Mês],$F5)</f>
        <v>150</v>
      </c>
      <c r="N5" s="90">
        <f>SUMIFS(TB_Saídas[Quantidade Vendida],TB_Saídas[Produto],$K$2,TB_Saídas[Mês],$F5)</f>
        <v>100</v>
      </c>
    </row>
    <row r="6" spans="1:14" x14ac:dyDescent="0.3">
      <c r="A6" s="89">
        <v>4</v>
      </c>
      <c r="B6" t="str">
        <f>_xlfn.XLOOKUP(D6,'Top 5 Produtos Mais Vendidos'!B:B,'Top 5 Produtos Mais Vendidos'!A:A)</f>
        <v>Coxinha</v>
      </c>
      <c r="C6">
        <f>SUMIF(TB_Entradas[Produto],B6,TB_Entradas[Quantidade Comprada])</f>
        <v>550</v>
      </c>
      <c r="D6" s="90">
        <f>LARGE('Top 5 Produtos Mais Vendidos'!B:B,'Base de Cálculos'!A6)</f>
        <v>245</v>
      </c>
      <c r="F6" s="89">
        <v>4</v>
      </c>
      <c r="G6" s="91" t="s">
        <v>119</v>
      </c>
      <c r="H6" s="10">
        <f>SUMIF(TB_Saídas[Mês],'Base de Cálculos'!F6,TB_Saídas[Valor de Venda])</f>
        <v>1507.5</v>
      </c>
      <c r="I6" s="92">
        <f>SUMIF(TB_Entradas[Mês],'Base de Cálculos'!F6,TB_Entradas[Valor da Compra])</f>
        <v>362.5</v>
      </c>
      <c r="L6" s="97" t="str">
        <f t="shared" si="0"/>
        <v>Abr</v>
      </c>
      <c r="M6">
        <f>SUMIFS(TB_Entradas[Quantidade Comprada],TB_Entradas[Produto],$K$2,TB_Entradas[Mês],$F6)</f>
        <v>150</v>
      </c>
      <c r="N6" s="90">
        <f>SUMIFS(TB_Saídas[Quantidade Vendida],TB_Saídas[Produto],$K$2,TB_Saídas[Mês],$F6)</f>
        <v>75</v>
      </c>
    </row>
    <row r="7" spans="1:14" ht="15" thickBot="1" x14ac:dyDescent="0.35">
      <c r="A7" s="93">
        <v>5</v>
      </c>
      <c r="B7" s="98" t="str">
        <f>_xlfn.XLOOKUP(D7,'Top 5 Produtos Mais Vendidos'!B:B,'Top 5 Produtos Mais Vendidos'!A:A)</f>
        <v>Refrigerante</v>
      </c>
      <c r="C7" s="98">
        <f>SUMIF(TB_Entradas[Produto],B7,TB_Entradas[Quantidade Comprada])</f>
        <v>350</v>
      </c>
      <c r="D7" s="99">
        <f>LARGE('Top 5 Produtos Mais Vendidos'!B:B,'Base de Cálculos'!A7)</f>
        <v>210</v>
      </c>
      <c r="F7" s="89">
        <v>5</v>
      </c>
      <c r="G7" s="91" t="s">
        <v>120</v>
      </c>
      <c r="H7" s="10">
        <f>SUMIF(TB_Saídas[Mês],'Base de Cálculos'!F7,TB_Saídas[Valor de Venda])</f>
        <v>1372</v>
      </c>
      <c r="I7" s="92">
        <f>SUMIF(TB_Entradas[Mês],'Base de Cálculos'!F7,TB_Entradas[Valor da Compra])</f>
        <v>723.75</v>
      </c>
      <c r="L7" s="97" t="str">
        <f t="shared" si="0"/>
        <v>Mai</v>
      </c>
      <c r="M7">
        <f>SUMIFS(TB_Entradas[Quantidade Comprada],TB_Entradas[Produto],$K$2,TB_Entradas[Mês],$F7)</f>
        <v>100</v>
      </c>
      <c r="N7" s="90">
        <f>SUMIFS(TB_Saídas[Quantidade Vendida],TB_Saídas[Produto],$K$2,TB_Saídas[Mês],$F7)</f>
        <v>75</v>
      </c>
    </row>
    <row r="8" spans="1:14" ht="15" thickTop="1" x14ac:dyDescent="0.3">
      <c r="F8" s="89">
        <v>6</v>
      </c>
      <c r="G8" s="91" t="s">
        <v>121</v>
      </c>
      <c r="H8" s="10">
        <f>SUMIF(TB_Saídas[Mês],'Base de Cálculos'!F8,TB_Saídas[Valor de Venda])</f>
        <v>1145</v>
      </c>
      <c r="I8" s="92">
        <f>SUMIF(TB_Entradas[Mês],'Base de Cálculos'!F8,TB_Entradas[Valor da Compra])</f>
        <v>376.25</v>
      </c>
      <c r="L8" s="97" t="str">
        <f t="shared" si="0"/>
        <v>Jun</v>
      </c>
      <c r="M8">
        <f>SUMIFS(TB_Entradas[Quantidade Comprada],TB_Entradas[Produto],$K$2,TB_Entradas[Mês],$F8)</f>
        <v>150</v>
      </c>
      <c r="N8" s="90">
        <f>SUMIFS(TB_Saídas[Quantidade Vendida],TB_Saídas[Produto],$K$2,TB_Saídas[Mês],$F8)</f>
        <v>100</v>
      </c>
    </row>
    <row r="9" spans="1:14" ht="15" thickBot="1" x14ac:dyDescent="0.35">
      <c r="F9" s="89">
        <v>7</v>
      </c>
      <c r="G9" s="91" t="s">
        <v>122</v>
      </c>
      <c r="H9" s="10">
        <f>SUMIF(TB_Saídas[Mês],'Base de Cálculos'!F9,TB_Saídas[Valor de Venda])</f>
        <v>2217.5</v>
      </c>
      <c r="I9" s="92">
        <f>SUMIF(TB_Entradas[Mês],'Base de Cálculos'!F9,TB_Entradas[Valor da Compra])</f>
        <v>355</v>
      </c>
      <c r="L9" s="97" t="str">
        <f t="shared" si="0"/>
        <v>Jul</v>
      </c>
      <c r="M9">
        <f>SUMIFS(TB_Entradas[Quantidade Comprada],TB_Entradas[Produto],$K$2,TB_Entradas[Mês],$F9)</f>
        <v>150</v>
      </c>
      <c r="N9" s="90">
        <f>SUMIFS(TB_Saídas[Quantidade Vendida],TB_Saídas[Produto],$K$2,TB_Saídas[Mês],$F9)</f>
        <v>90</v>
      </c>
    </row>
    <row r="10" spans="1:14" ht="15.6" thickTop="1" thickBot="1" x14ac:dyDescent="0.35">
      <c r="A10" s="228" t="s">
        <v>107</v>
      </c>
      <c r="B10" s="229"/>
      <c r="C10" s="230"/>
      <c r="F10" s="89">
        <v>8</v>
      </c>
      <c r="G10" s="91" t="s">
        <v>123</v>
      </c>
      <c r="H10" s="10">
        <f>SUMIF(TB_Saídas[Mês],'Base de Cálculos'!F10,TB_Saídas[Valor de Venda])</f>
        <v>1621.5</v>
      </c>
      <c r="I10" s="92">
        <f>SUMIF(TB_Entradas[Mês],'Base de Cálculos'!F10,TB_Entradas[Valor da Compra])</f>
        <v>431.25</v>
      </c>
      <c r="L10" s="97" t="str">
        <f t="shared" si="0"/>
        <v>Ago</v>
      </c>
      <c r="M10">
        <f>SUMIFS(TB_Entradas[Quantidade Comprada],TB_Entradas[Produto],$K$2,TB_Entradas[Mês],$F10)</f>
        <v>150</v>
      </c>
      <c r="N10" s="90">
        <f>SUMIFS(TB_Saídas[Quantidade Vendida],TB_Saídas[Produto],$K$2,TB_Saídas[Mês],$F10)</f>
        <v>100</v>
      </c>
    </row>
    <row r="11" spans="1:14" ht="15" thickTop="1" x14ac:dyDescent="0.3">
      <c r="A11" s="89"/>
      <c r="B11" t="s">
        <v>1</v>
      </c>
      <c r="C11" s="90" t="s">
        <v>108</v>
      </c>
      <c r="F11" s="89">
        <v>9</v>
      </c>
      <c r="G11" s="91" t="s">
        <v>124</v>
      </c>
      <c r="H11" s="10">
        <f>SUMIF(TB_Saídas[Mês],'Base de Cálculos'!F11,TB_Saídas[Valor de Venda])</f>
        <v>2234</v>
      </c>
      <c r="I11" s="92">
        <f>SUMIF(TB_Entradas[Mês],'Base de Cálculos'!F11,TB_Entradas[Valor da Compra])</f>
        <v>806</v>
      </c>
      <c r="L11" s="97" t="str">
        <f t="shared" si="0"/>
        <v>Set</v>
      </c>
      <c r="M11">
        <f>SUMIFS(TB_Entradas[Quantidade Comprada],TB_Entradas[Produto],$K$2,TB_Entradas[Mês],$F11)</f>
        <v>180</v>
      </c>
      <c r="N11" s="90">
        <f>SUMIFS(TB_Saídas[Quantidade Vendida],TB_Saídas[Produto],$K$2,TB_Saídas[Mês],$F11)</f>
        <v>35</v>
      </c>
    </row>
    <row r="12" spans="1:14" x14ac:dyDescent="0.3">
      <c r="A12" s="89">
        <v>1</v>
      </c>
      <c r="B12" t="str">
        <f>_xlfn.XLOOKUP(C12,ranking!B:B,ranking!A:A)</f>
        <v>Café</v>
      </c>
      <c r="C12" s="90">
        <f>LARGE(ranking!B:B,'Base de Cálculos'!A12)</f>
        <v>5670</v>
      </c>
      <c r="F12" s="89">
        <v>10</v>
      </c>
      <c r="G12" s="91" t="s">
        <v>125</v>
      </c>
      <c r="H12" s="10">
        <f>SUMIF(TB_Saídas[Mês],'Base de Cálculos'!F12,TB_Saídas[Valor de Venda])</f>
        <v>1508</v>
      </c>
      <c r="I12" s="92">
        <f>SUMIF(TB_Entradas[Mês],'Base de Cálculos'!F12,TB_Entradas[Valor da Compra])</f>
        <v>247.75</v>
      </c>
      <c r="L12" s="97" t="str">
        <f t="shared" si="0"/>
        <v>Out</v>
      </c>
      <c r="M12">
        <f>SUMIFS(TB_Entradas[Quantidade Comprada],TB_Entradas[Produto],$K$2,TB_Entradas[Mês],$F12)</f>
        <v>100</v>
      </c>
      <c r="N12" s="90">
        <f>SUMIFS(TB_Saídas[Quantidade Vendida],TB_Saídas[Produto],$K$2,TB_Saídas[Mês],$F12)</f>
        <v>30</v>
      </c>
    </row>
    <row r="13" spans="1:14" x14ac:dyDescent="0.3">
      <c r="A13" s="89">
        <v>2</v>
      </c>
      <c r="B13" t="str">
        <f>_xlfn.XLOOKUP(C13,ranking!B:B,ranking!A:A)</f>
        <v>Chocolate Quente</v>
      </c>
      <c r="C13" s="90">
        <f>LARGE(ranking!B:B,'Base de Cálculos'!A13)</f>
        <v>4250</v>
      </c>
      <c r="F13" s="89">
        <v>11</v>
      </c>
      <c r="G13" s="91" t="s">
        <v>126</v>
      </c>
      <c r="H13" s="10">
        <f>SUMIF(TB_Saídas[Mês],'Base de Cálculos'!F13,TB_Saídas[Valor de Venda])</f>
        <v>811.5</v>
      </c>
      <c r="I13" s="92">
        <f>SUMIF(TB_Entradas[Mês],'Base de Cálculos'!F13,TB_Entradas[Valor da Compra])</f>
        <v>218.75</v>
      </c>
      <c r="L13" s="97" t="str">
        <f t="shared" si="0"/>
        <v>Nov</v>
      </c>
      <c r="M13">
        <f>SUMIFS(TB_Entradas[Quantidade Comprada],TB_Entradas[Produto],$K$2,TB_Entradas[Mês],$F13)</f>
        <v>80</v>
      </c>
      <c r="N13" s="90">
        <f>SUMIFS(TB_Saídas[Quantidade Vendida],TB_Saídas[Produto],$K$2,TB_Saídas[Mês],$F13)</f>
        <v>50</v>
      </c>
    </row>
    <row r="14" spans="1:14" ht="15" thickBot="1" x14ac:dyDescent="0.35">
      <c r="A14" s="89">
        <v>3</v>
      </c>
      <c r="B14" t="str">
        <f>_xlfn.XLOOKUP(C14,ranking!B:B,ranking!A:A)</f>
        <v>Pão de Queijo</v>
      </c>
      <c r="C14" s="90">
        <f>LARGE(ranking!B:B,'Base de Cálculos'!A14)</f>
        <v>3000</v>
      </c>
      <c r="F14" s="93">
        <v>12</v>
      </c>
      <c r="G14" s="94" t="s">
        <v>127</v>
      </c>
      <c r="H14" s="95">
        <f>SUMIF(TB_Saídas[Mês],'Base de Cálculos'!F14,TB_Saídas[Valor de Venda])</f>
        <v>1195.5</v>
      </c>
      <c r="I14" s="96">
        <f>SUMIF(TB_Entradas[Mês],'Base de Cálculos'!F14,TB_Entradas[Valor da Compra])</f>
        <v>410</v>
      </c>
      <c r="L14" s="235" t="str">
        <f t="shared" si="0"/>
        <v>Dez</v>
      </c>
      <c r="M14" s="98">
        <f>SUMIFS(TB_Entradas[Quantidade Comprada],TB_Entradas[Produto],$K$2,TB_Entradas[Mês],$F14)</f>
        <v>200</v>
      </c>
      <c r="N14" s="99">
        <f>SUMIFS(TB_Saídas[Quantidade Vendida],TB_Saídas[Produto],$K$2,TB_Saídas[Mês],$F14)</f>
        <v>100</v>
      </c>
    </row>
    <row r="15" spans="1:14" ht="15.6" thickTop="1" thickBot="1" x14ac:dyDescent="0.35">
      <c r="A15" s="89">
        <v>4</v>
      </c>
      <c r="B15" t="str">
        <f>_xlfn.XLOOKUP(C15,ranking!B:B,ranking!A:A)</f>
        <v>Refrigerante</v>
      </c>
      <c r="C15" s="90">
        <f>LARGE(ranking!B:B,'Base de Cálculos'!A15)</f>
        <v>1680</v>
      </c>
    </row>
    <row r="16" spans="1:14" ht="15.6" thickTop="1" thickBot="1" x14ac:dyDescent="0.35">
      <c r="A16" s="93">
        <v>5</v>
      </c>
      <c r="B16" s="98" t="str">
        <f>_xlfn.XLOOKUP(C16,ranking!B:B,ranking!A:A)</f>
        <v>Coxinha</v>
      </c>
      <c r="C16" s="99">
        <f>LARGE(ranking!B:B,'Base de Cálculos'!A16)</f>
        <v>1592.5</v>
      </c>
      <c r="M16" s="237" t="s">
        <v>115</v>
      </c>
      <c r="N16" s="108" t="s">
        <v>106</v>
      </c>
    </row>
    <row r="17" spans="5:14" ht="15" thickTop="1" x14ac:dyDescent="0.3">
      <c r="M17">
        <f>SUM(M3:M14)</f>
        <v>1635</v>
      </c>
      <c r="N17">
        <f>SUM(N3:N14)</f>
        <v>945</v>
      </c>
    </row>
    <row r="24" spans="5:14" ht="15" thickBot="1" x14ac:dyDescent="0.35">
      <c r="E24" s="98"/>
    </row>
    <row r="25" spans="5:14" ht="15" thickTop="1" x14ac:dyDescent="0.3"/>
  </sheetData>
  <mergeCells count="4">
    <mergeCell ref="A1:D1"/>
    <mergeCell ref="A10:C10"/>
    <mergeCell ref="F1:I1"/>
    <mergeCell ref="L1:N1"/>
  </mergeCells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Produtos</vt:lpstr>
      <vt:lpstr>ranking</vt:lpstr>
      <vt:lpstr>Fornecedor</vt:lpstr>
      <vt:lpstr>Entradas</vt:lpstr>
      <vt:lpstr>Top 5 Produtos Mais Vendidos</vt:lpstr>
      <vt:lpstr>Saídas</vt:lpstr>
      <vt:lpstr>Consulta</vt:lpstr>
      <vt:lpstr>Controle de Estoque</vt:lpstr>
      <vt:lpstr>Quadro de Resumo</vt:lpstr>
      <vt:lpstr>Dashboard</vt:lpstr>
      <vt:lpstr>Base de Cálculos</vt:lpstr>
      <vt:lpstr>CriteriosConsultaProduto</vt:lpstr>
      <vt:lpstr>Dashboard!Lista_Produtos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Kennedy Menezes</cp:lastModifiedBy>
  <cp:revision/>
  <dcterms:created xsi:type="dcterms:W3CDTF">2022-11-17T13:49:56Z</dcterms:created>
  <dcterms:modified xsi:type="dcterms:W3CDTF">2025-05-21T18:37:09Z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