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 Finanças\"/>
    </mc:Choice>
  </mc:AlternateContent>
  <xr:revisionPtr revIDLastSave="0" documentId="13_ncr:1_{0140CDFD-277D-4A02-8B27-38A29C5C7EB5}" xr6:coauthVersionLast="47" xr6:coauthVersionMax="47" xr10:uidLastSave="{00000000-0000-0000-0000-000000000000}"/>
  <bookViews>
    <workbookView xWindow="-108" yWindow="-108" windowWidth="23256" windowHeight="13176" tabRatio="781" activeTab="6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  <sheet name="Quadro de Resumos" sheetId="8" r:id="rId7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" i="8" l="1"/>
  <c r="AI16" i="8" s="1"/>
  <c r="AI12" i="8"/>
  <c r="AI10" i="8"/>
  <c r="AI8" i="8"/>
  <c r="P16" i="8"/>
  <c r="P14" i="8"/>
  <c r="P12" i="8"/>
  <c r="P10" i="8"/>
  <c r="P8" i="8"/>
  <c r="P6" i="8"/>
  <c r="M9" i="7"/>
  <c r="L9" i="7"/>
  <c r="I6" i="7"/>
  <c r="I7" i="7"/>
  <c r="J7" i="7" s="1"/>
  <c r="I8" i="7"/>
  <c r="I9" i="7"/>
  <c r="I10" i="7"/>
  <c r="I11" i="7"/>
  <c r="J11" i="7" s="1"/>
  <c r="I12" i="7"/>
  <c r="I13" i="7"/>
  <c r="J13" i="7" s="1"/>
  <c r="I14" i="7"/>
  <c r="J14" i="7" s="1"/>
  <c r="I15" i="7"/>
  <c r="J15" i="7" s="1"/>
  <c r="I16" i="7"/>
  <c r="I17" i="7"/>
  <c r="J6" i="7"/>
  <c r="J8" i="7"/>
  <c r="J9" i="7"/>
  <c r="J10" i="7"/>
  <c r="J12" i="7"/>
  <c r="J16" i="7"/>
  <c r="J17" i="7"/>
  <c r="H6" i="7"/>
  <c r="H7" i="7"/>
  <c r="H8" i="7"/>
  <c r="H9" i="7"/>
  <c r="H10" i="7"/>
  <c r="H11" i="7"/>
  <c r="H12" i="7"/>
  <c r="H13" i="7"/>
  <c r="H14" i="7"/>
  <c r="H15" i="7"/>
  <c r="H16" i="7"/>
  <c r="H17" i="7"/>
  <c r="F6" i="7"/>
  <c r="F7" i="7"/>
  <c r="F8" i="7"/>
  <c r="F9" i="7"/>
  <c r="F10" i="7"/>
  <c r="F11" i="7"/>
  <c r="F12" i="7"/>
  <c r="F13" i="7"/>
  <c r="F14" i="7"/>
  <c r="F15" i="7"/>
  <c r="F16" i="7"/>
  <c r="F17" i="7"/>
  <c r="D6" i="7"/>
  <c r="D7" i="7"/>
  <c r="D8" i="7"/>
  <c r="D9" i="7"/>
  <c r="D10" i="7"/>
  <c r="D11" i="7"/>
  <c r="D12" i="7"/>
  <c r="D13" i="7"/>
  <c r="D14" i="7"/>
  <c r="D15" i="7"/>
  <c r="D16" i="7"/>
  <c r="D17" i="7"/>
  <c r="C6" i="7"/>
  <c r="C7" i="7"/>
  <c r="E7" i="7" s="1"/>
  <c r="G7" i="7" s="1" a="1"/>
  <c r="G7" i="7" s="1"/>
  <c r="C8" i="7"/>
  <c r="C9" i="7"/>
  <c r="C10" i="7"/>
  <c r="E10" i="7" s="1"/>
  <c r="G10" i="7" s="1" a="1"/>
  <c r="G10" i="7" s="1"/>
  <c r="C11" i="7"/>
  <c r="E11" i="7" s="1"/>
  <c r="G11" i="7" s="1" a="1"/>
  <c r="G11" i="7" s="1"/>
  <c r="C12" i="7"/>
  <c r="E12" i="7" s="1"/>
  <c r="G12" i="7" s="1" a="1"/>
  <c r="G12" i="7" s="1"/>
  <c r="C13" i="7"/>
  <c r="E13" i="7" s="1"/>
  <c r="G13" i="7" s="1" a="1"/>
  <c r="G13" i="7" s="1"/>
  <c r="C14" i="7"/>
  <c r="C15" i="7"/>
  <c r="E15" i="7" s="1"/>
  <c r="G15" i="7" s="1" a="1"/>
  <c r="G15" i="7" s="1"/>
  <c r="C16" i="7"/>
  <c r="C17" i="7"/>
  <c r="F12" i="6"/>
  <c r="E6" i="5" a="1"/>
  <c r="E6" i="5" s="1"/>
  <c r="E7" i="5" a="1"/>
  <c r="E7" i="5" s="1"/>
  <c r="E8" i="5" a="1"/>
  <c r="E8" i="5"/>
  <c r="E9" i="5" a="1"/>
  <c r="E9" i="5" s="1"/>
  <c r="E10" i="5" a="1"/>
  <c r="E10" i="5"/>
  <c r="E11" i="5" a="1"/>
  <c r="E11" i="5" s="1"/>
  <c r="E12" i="5" a="1"/>
  <c r="E12" i="5"/>
  <c r="E13" i="5" a="1"/>
  <c r="E13" i="5"/>
  <c r="E14" i="5" a="1"/>
  <c r="E14" i="5"/>
  <c r="E15" i="5" a="1"/>
  <c r="E15" i="5" s="1"/>
  <c r="E16" i="5" a="1"/>
  <c r="E16" i="5" s="1"/>
  <c r="E17" i="5" a="1"/>
  <c r="E17" i="5"/>
  <c r="E18" i="5" a="1"/>
  <c r="E18" i="5"/>
  <c r="E19" i="5" a="1"/>
  <c r="E19" i="5" s="1"/>
  <c r="E20" i="5" a="1"/>
  <c r="E20" i="5" s="1"/>
  <c r="E21" i="5" a="1"/>
  <c r="E21" i="5"/>
  <c r="E22" i="5" a="1"/>
  <c r="E22" i="5" s="1"/>
  <c r="E23" i="5" a="1"/>
  <c r="E23" i="5" s="1"/>
  <c r="E24" i="5" a="1"/>
  <c r="E24" i="5"/>
  <c r="E25" i="5" a="1"/>
  <c r="E25" i="5" s="1"/>
  <c r="E26" i="5" a="1"/>
  <c r="E26" i="5" s="1"/>
  <c r="E27" i="5" a="1"/>
  <c r="E27" i="5" s="1"/>
  <c r="E28" i="5" a="1"/>
  <c r="E28" i="5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17" i="7" l="1"/>
  <c r="G17" i="7" s="1" a="1"/>
  <c r="G17" i="7" s="1"/>
  <c r="E9" i="7"/>
  <c r="G9" i="7" s="1" a="1"/>
  <c r="G9" i="7" s="1"/>
  <c r="E16" i="7"/>
  <c r="G16" i="7" s="1" a="1"/>
  <c r="G16" i="7" s="1"/>
  <c r="E8" i="7"/>
  <c r="G8" i="7" s="1" a="1"/>
  <c r="G8" i="7" s="1"/>
  <c r="E14" i="7"/>
  <c r="G14" i="7" s="1" a="1"/>
  <c r="G14" i="7" s="1"/>
  <c r="E6" i="7"/>
  <c r="G6" i="7" s="1" a="1"/>
  <c r="G6" i="7" s="1"/>
  <c r="F6" i="6"/>
  <c r="F8" i="6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G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F14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<sst xmlns="http://schemas.openxmlformats.org/spreadsheetml/2006/main" count="224" uniqueCount="87">
  <si>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</si>
  <si>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</si>
  <si>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</si>
  <si>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</si>
  <si>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</si>
  <si>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</si>
  <si>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</si>
  <si>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</si>
  <si>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</si>
  <si>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</si>
  <si>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</si>
  <si>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</si>
  <si>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</si>
  <si>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</si>
  <si>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</si>
  <si>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</si>
  <si>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</si>
  <si>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</si>
  <si>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</si>
  <si>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</si>
  <si>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</si>
  <si>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</si>
  <si>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</si>
  <si>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</si>
  <si>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</si>
  <si>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</si>
  <si>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</si>
  <si>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</si>
  <si>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</si>
  <si>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</si>
  <si>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</si>
  <si>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</si>
  <si>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</si>
  <si>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</si>
  <si>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</si>
  <si>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</si>
  <si>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</si>
  <si>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</si>
  <si>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</si>
  <si>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</si>
  <si>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</si>
  <si>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</si>
  <si>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</si>
  <si>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</si>
  <si>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</si>
  <si>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</si>
  <si>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</si>
  <si>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</si>
  <si>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</si>
  <si>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</si>
  <si>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</si>
  <si>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</si>
  <si>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</si>
  <si>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</si>
  <si>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</si>
  <si>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</si>
  <si>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</si>
  <si>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</si>
  <si>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</si>
  <si>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</si>
  <si>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</si>
  <si>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</si>
  <si>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</si>
  <si>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</si>
  <si>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</si>
  <si>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</si>
  <si>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</si>
  <si>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</si>
  <si>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</si>
  <si>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</si>
  <si>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</si>
  <si>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</si>
  <si>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</si>
  <si>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</si>
  <si>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</si>
  <si>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</si>
  <si>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</si>
  <si>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</si>
  <si>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</si>
  <si>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Dados 2022</t>
  </si>
  <si>
    <t>Produtos Vendidos</t>
  </si>
  <si>
    <t>Quantidade em Estoque</t>
  </si>
  <si>
    <t>Faturamento</t>
  </si>
  <si>
    <t>Despesas</t>
  </si>
  <si>
    <t>% Lucro</t>
  </si>
  <si>
    <t>Consulta por Produto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</si>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</sst>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66" fontId="0" fillId="0" borderId="0" xfId="0" applyNumberFormat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3" xfId="0" applyNumberFormat="1" applyBorder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0" fontId="0" fillId="0" borderId="4" xfId="3" applyNumberFormat="1" applyFont="1" applyBorder="1" applyAlignment="1">
      <alignment horizontal="center"/>
    </xf>
    <xf numFmtId="10" fontId="0" fillId="0" borderId="13" xfId="3" applyNumberFormat="1" applyFont="1" applyBorder="1" applyAlignment="1">
      <alignment horizontal="center"/>
    </xf>
    <xf numFmtId="10" fontId="0" fillId="0" borderId="5" xfId="3" applyNumberFormat="1" applyFont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36"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0" formatCode="General"/>
    </dxf>
    <dxf>
      <font>
        <b/>
        <i val="0"/>
        <color theme="7" tint="0.79998168889431442"/>
      </font>
      <fill>
        <patternFill>
          <bgColor rgb="FFC00000"/>
        </patternFill>
      </fill>
    </dxf>
    <dxf>
      <font>
        <b/>
        <i val="0"/>
        <color rgb="FFC00000"/>
      </font>
      <fill>
        <patternFill>
          <bgColor theme="7" tint="0.79998168889431442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35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5780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50430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4146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9525</xdr:rowOff>
    </xdr:from>
    <xdr:to>
      <xdr:col>2</xdr:col>
      <xdr:colOff>66675</xdr:colOff>
      <xdr:row>1</xdr:row>
      <xdr:rowOff>19050</xdr:rowOff>
    </xdr:to>
    <xdr:pic>
      <xdr:nvPicPr>
        <xdr:cNvPr id="4" name="Imagem 7">
          <a:extLst>
            <a:ext uri="{FF2B5EF4-FFF2-40B4-BE49-F238E27FC236}">
              <a16:creationId xmlns:a16="http://schemas.microsoft.com/office/drawing/2014/main" id="{8CB3F641-7A5E-449D-8002-9649FC5D4F3D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"/>
          <a:ext cx="904875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34">
  <autoFilter ref="B4:F31" xr:uid="{BF78AD2E-2996-4673-93A5-FBABBADBFCAD}"/>
  <tableColumns count="5">
    <tableColumn id="1" xr3:uid="{377E90C8-0A45-4737-AC04-4C7CDB0AEAE2}" name="Produto" dataDxfId="33"/>
    <tableColumn id="2" xr3:uid="{4EB804C9-8A27-4783-BD36-FB9E656AE6E9}" name="Unidade de Medida" dataDxfId="32"/>
    <tableColumn id="3" xr3:uid="{A21D3E1F-EEC0-4E4A-BE5D-F1FC07B6F8D6}" name="Estoque Mínimo" dataDxfId="31"/>
    <tableColumn id="4" xr3:uid="{56ACBABD-1CFA-40E7-BC2B-DBA4120CD2CF}" name="Custo Unitário" dataDxfId="30" dataCellStyle="Moeda"/>
    <tableColumn id="5" xr3:uid="{96CD541B-A2C4-4577-95D7-DC8135FFC00B}" name="Preço Unitário" dataDxfId="29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8">
  <autoFilter ref="B5:E9" xr:uid="{3FE8CB29-2D3F-4475-8076-85314FAA5C42}"/>
  <tableColumns count="4">
    <tableColumn id="1" xr3:uid="{5957F8AA-CE75-4BE8-A28F-E63751C6F321}" name="Empresa" dataDxfId="27"/>
    <tableColumn id="2" xr3:uid="{714E240A-6400-4353-BAFA-98056A75BEB8}" name="Telefone" dataDxfId="26"/>
    <tableColumn id="3" xr3:uid="{83F2A368-4F63-4459-A8E0-C24478833107}" name="Responsável" dataDxfId="25"/>
    <tableColumn id="4" xr3:uid="{B26AA4D1-77D3-4E4E-8E26-1DD67159E60C}" name="E-mail" dataDxfId="2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23">
  <autoFilter ref="B5:G31" xr:uid="{96889516-6D39-4469-A223-4B0F7168EF79}"/>
  <tableColumns count="6">
    <tableColumn id="1" xr3:uid="{701AD28A-1CD8-44C9-BCEB-958AEB0E91DD}" name="Data" dataDxfId="22"/>
    <tableColumn id="2" xr3:uid="{F247CE0B-0EF4-4B75-A4B5-2205D8CF8B59}" name="Produto" dataDxfId="21"/>
    <tableColumn id="3" xr3:uid="{1A5D1499-6E9D-496F-95A9-F290D6FBA0EA}" name="Fornecedor" dataDxfId="20"/>
    <tableColumn id="4" xr3:uid="{8E9FF413-1C84-4664-AA13-4DDF2E3D7D9D}" name="Quantidade Comprada" dataDxfId="19" dataCellStyle="Moeda"/>
    <tableColumn id="5" xr3:uid="{A02F7FDA-CBAC-4B18-A2AB-0654AA440E5C}" name="Custo Unitário" dataDxfId="1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16">
  <autoFilter ref="B5:F33" xr:uid="{586A585A-A0FE-42A4-967D-5B04DAD1156E}"/>
  <tableColumns count="5"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7" totalsRowShown="0" headerRowDxfId="10">
  <autoFilter ref="B5:J17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Comprada]),"Vazio")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Vendida]),"Vazio")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0">
      <calculatedColumnFormula>SUMIFS(TB_Entradas[Valor da Compra],TB_Entradas[Produto],TB_ControleEstoque[[#This Row],[Produto]])</calculatedColumnFormula>
    </tableColumn>
    <tableColumn id="9" xr3:uid="{15E00F21-6DB5-437E-ABC8-BDF107CA8A75}" name="Lucro" dataDxfId="1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4" zoomScale="150" zoomScaleNormal="150" workbookViewId="0"/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8.44140625" customWidth="1"/>
    <col min="6" max="6" width="20.44140625" style="3" customWidth="1"/>
    <col min="8" max="8" width="13.5546875" customWidth="1"/>
    <col min="9" max="9" width="15.33203125" customWidth="1"/>
  </cols>
  <sheetData>
    <row r="1" spans="2:9" s="1" customFormat="1" ht="60" customHeight="1" x14ac:dyDescent="0.3">
      <c r="C1" s="5" t="s">
        <v>0</v>
      </c>
      <c r="F1" s="9"/>
    </row>
    <row r="2" spans="2:9" s="2" customFormat="1" ht="6" customHeight="1" x14ac:dyDescent="0.3">
      <c r="F2" s="10"/>
    </row>
    <row r="4" spans="2:9" x14ac:dyDescent="0.3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 x14ac:dyDescent="0.3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 x14ac:dyDescent="0.3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 x14ac:dyDescent="0.3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 x14ac:dyDescent="0.3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 x14ac:dyDescent="0.3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 x14ac:dyDescent="0.3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 x14ac:dyDescent="0.3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 x14ac:dyDescent="0.3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 x14ac:dyDescent="0.3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 x14ac:dyDescent="0.3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 x14ac:dyDescent="0.3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 x14ac:dyDescent="0.3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 x14ac:dyDescent="0.3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 x14ac:dyDescent="0.3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 x14ac:dyDescent="0.3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 x14ac:dyDescent="0.3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 x14ac:dyDescent="0.3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 x14ac:dyDescent="0.3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 x14ac:dyDescent="0.3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 x14ac:dyDescent="0.3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 x14ac:dyDescent="0.3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 x14ac:dyDescent="0.3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 x14ac:dyDescent="0.3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 x14ac:dyDescent="0.3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 x14ac:dyDescent="0.3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 x14ac:dyDescent="0.3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 x14ac:dyDescent="0.3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B10" sqref="B10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1" customFormat="1" ht="60" customHeight="1" x14ac:dyDescent="0.3">
      <c r="C1" s="5" t="s">
        <v>38</v>
      </c>
    </row>
    <row r="2" spans="2:8" s="2" customFormat="1" ht="6" customHeight="1" x14ac:dyDescent="0.3"/>
    <row r="5" spans="2:8" x14ac:dyDescent="0.3">
      <c r="B5" s="13" t="s">
        <v>39</v>
      </c>
      <c r="C5" s="13" t="s">
        <v>40</v>
      </c>
      <c r="D5" s="13" t="s">
        <v>41</v>
      </c>
      <c r="E5" s="13" t="s">
        <v>42</v>
      </c>
    </row>
    <row r="6" spans="2:8" x14ac:dyDescent="0.3">
      <c r="B6" s="14" t="s">
        <v>43</v>
      </c>
      <c r="C6" s="15" t="s">
        <v>44</v>
      </c>
      <c r="D6" s="15" t="s">
        <v>45</v>
      </c>
      <c r="E6" s="16" t="s">
        <v>46</v>
      </c>
    </row>
    <row r="7" spans="2:8" x14ac:dyDescent="0.3">
      <c r="B7" s="14" t="s">
        <v>47</v>
      </c>
      <c r="C7" s="15" t="s">
        <v>48</v>
      </c>
      <c r="D7" s="15" t="s">
        <v>49</v>
      </c>
      <c r="E7" s="16" t="s">
        <v>50</v>
      </c>
    </row>
    <row r="8" spans="2:8" x14ac:dyDescent="0.3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 x14ac:dyDescent="0.3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opLeftCell="A5" zoomScale="110" zoomScaleNormal="110" workbookViewId="0">
      <selection activeCell="G5" sqref="G5"/>
    </sheetView>
  </sheetViews>
  <sheetFormatPr defaultColWidth="9.109375" defaultRowHeight="14.4" x14ac:dyDescent="0.3"/>
  <cols>
    <col min="1" max="1" width="5.33203125" customWidth="1"/>
    <col min="2" max="2" width="15.88671875" style="4" customWidth="1"/>
    <col min="3" max="3" width="16.88671875" style="4" bestFit="1" customWidth="1"/>
    <col min="4" max="4" width="20.5546875" customWidth="1"/>
    <col min="5" max="5" width="21.109375" style="4" customWidth="1"/>
    <col min="6" max="6" width="17.44140625" customWidth="1"/>
    <col min="7" max="7" width="18.44140625" customWidth="1"/>
  </cols>
  <sheetData>
    <row r="1" spans="2:7" s="1" customFormat="1" ht="60" customHeight="1" x14ac:dyDescent="0.3">
      <c r="B1" s="6"/>
      <c r="C1" s="8" t="s">
        <v>60</v>
      </c>
      <c r="E1" s="6"/>
    </row>
    <row r="2" spans="2:7" s="2" customFormat="1" ht="6" customHeight="1" x14ac:dyDescent="0.3">
      <c r="B2" s="7"/>
      <c r="C2" s="7"/>
      <c r="E2" s="7"/>
    </row>
    <row r="4" spans="2:7" x14ac:dyDescent="0.3">
      <c r="B4"/>
    </row>
    <row r="5" spans="2:7" s="12" customFormat="1" x14ac:dyDescent="0.3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 x14ac:dyDescent="0.3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 x14ac:dyDescent="0.3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 x14ac:dyDescent="0.3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 x14ac:dyDescent="0.3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 x14ac:dyDescent="0.3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 x14ac:dyDescent="0.3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 x14ac:dyDescent="0.3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 x14ac:dyDescent="0.3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 x14ac:dyDescent="0.3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 x14ac:dyDescent="0.3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 x14ac:dyDescent="0.3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 x14ac:dyDescent="0.3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 x14ac:dyDescent="0.3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 x14ac:dyDescent="0.3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 x14ac:dyDescent="0.3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 x14ac:dyDescent="0.3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 x14ac:dyDescent="0.3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 x14ac:dyDescent="0.3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 x14ac:dyDescent="0.3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 x14ac:dyDescent="0.3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 x14ac:dyDescent="0.3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 x14ac:dyDescent="0.3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 x14ac:dyDescent="0.3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 x14ac:dyDescent="0.3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 x14ac:dyDescent="0.3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 x14ac:dyDescent="0.3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10" zoomScaleNormal="110" workbookViewId="0">
      <selection activeCell="E7" sqref="E7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20.88671875" customWidth="1"/>
    <col min="4" max="4" width="23.33203125" customWidth="1"/>
    <col min="5" max="5" width="17.33203125" customWidth="1"/>
    <col min="6" max="6" width="17.5546875" customWidth="1"/>
  </cols>
  <sheetData>
    <row r="1" spans="2:6" s="1" customFormat="1" ht="60" customHeight="1" x14ac:dyDescent="0.3">
      <c r="C1" s="5" t="s">
        <v>65</v>
      </c>
    </row>
    <row r="2" spans="2:6" s="2" customFormat="1" ht="6" customHeight="1" x14ac:dyDescent="0.3"/>
    <row r="5" spans="2:6" x14ac:dyDescent="0.3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 x14ac:dyDescent="0.3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 x14ac:dyDescent="0.3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 x14ac:dyDescent="0.3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 x14ac:dyDescent="0.3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 x14ac:dyDescent="0.3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 x14ac:dyDescent="0.3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 x14ac:dyDescent="0.3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 x14ac:dyDescent="0.3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 x14ac:dyDescent="0.3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 x14ac:dyDescent="0.3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 x14ac:dyDescent="0.3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 x14ac:dyDescent="0.3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 x14ac:dyDescent="0.3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 x14ac:dyDescent="0.3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 x14ac:dyDescent="0.3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 x14ac:dyDescent="0.3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 x14ac:dyDescent="0.3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 x14ac:dyDescent="0.3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 x14ac:dyDescent="0.3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 x14ac:dyDescent="0.3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 x14ac:dyDescent="0.3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 x14ac:dyDescent="0.3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 x14ac:dyDescent="0.3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 x14ac:dyDescent="0.3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 x14ac:dyDescent="0.3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 x14ac:dyDescent="0.3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 x14ac:dyDescent="0.3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 x14ac:dyDescent="0.3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opLeftCell="A3" workbookViewId="0">
      <selection activeCell="F6" sqref="F6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1" customFormat="1" ht="60" customHeight="1" x14ac:dyDescent="0.3">
      <c r="F1" s="5" t="s">
        <v>68</v>
      </c>
    </row>
    <row r="2" spans="2:10" s="2" customFormat="1" ht="6" customHeight="1" x14ac:dyDescent="0.3"/>
    <row r="3" spans="2:10" x14ac:dyDescent="0.3">
      <c r="C3" s="24"/>
      <c r="F3" s="24"/>
    </row>
    <row r="4" spans="2:10" ht="9.75" customHeight="1" thickBot="1" x14ac:dyDescent="0.35">
      <c r="C4" s="30"/>
      <c r="D4" s="31"/>
      <c r="E4" s="31"/>
      <c r="F4" s="31"/>
      <c r="G4" s="30"/>
    </row>
    <row r="5" spans="2:10" ht="27.75" customHeight="1" x14ac:dyDescent="0.3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 x14ac:dyDescent="0.35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 x14ac:dyDescent="0.3">
      <c r="B7" s="25"/>
      <c r="C7" s="30"/>
      <c r="D7" s="38"/>
      <c r="E7" s="30"/>
      <c r="F7" s="38"/>
      <c r="G7" s="30"/>
    </row>
    <row r="8" spans="2:10" ht="27.75" customHeight="1" x14ac:dyDescent="0.3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 x14ac:dyDescent="0.3">
      <c r="B9" s="25"/>
      <c r="C9" s="32"/>
      <c r="D9" s="34"/>
      <c r="E9" s="34"/>
      <c r="F9" s="32"/>
      <c r="G9" s="32"/>
    </row>
    <row r="10" spans="2:10" ht="27.75" customHeight="1" x14ac:dyDescent="0.3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 x14ac:dyDescent="0.3">
      <c r="B11" s="25"/>
      <c r="C11" s="32"/>
      <c r="D11" s="34"/>
      <c r="E11" s="34"/>
      <c r="F11" s="32"/>
      <c r="G11" s="32"/>
    </row>
    <row r="12" spans="2:10" ht="27.75" customHeight="1" x14ac:dyDescent="0.3">
      <c r="B12" s="25"/>
      <c r="C12" s="32"/>
      <c r="D12" s="34" t="s">
        <v>64</v>
      </c>
      <c r="E12" s="34"/>
      <c r="F12" s="35">
        <f>DSUM(TB_Entradas[#All],Consulta!D12,Consulta!D5:F6)</f>
        <v>3200</v>
      </c>
      <c r="G12" s="32"/>
    </row>
    <row r="13" spans="2:10" ht="15" customHeight="1" x14ac:dyDescent="0.3">
      <c r="B13" s="25"/>
      <c r="C13" s="32"/>
      <c r="D13" s="34"/>
      <c r="E13" s="34"/>
      <c r="F13" s="32"/>
      <c r="G13" s="32"/>
    </row>
    <row r="14" spans="2:10" ht="27.75" customHeight="1" x14ac:dyDescent="0.3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 x14ac:dyDescent="0.3">
      <c r="B15" s="25"/>
      <c r="C15" s="32"/>
      <c r="D15" s="32"/>
      <c r="E15" s="32"/>
      <c r="F15" s="32"/>
      <c r="G15" s="32"/>
    </row>
    <row r="16" spans="2:10" ht="12" customHeight="1" x14ac:dyDescent="0.3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M17"/>
  <sheetViews>
    <sheetView showGridLines="0" topLeftCell="A3" zoomScale="140" zoomScaleNormal="140" workbookViewId="0">
      <selection activeCell="F20" sqref="F20"/>
    </sheetView>
  </sheetViews>
  <sheetFormatPr defaultRowHeight="14.4" x14ac:dyDescent="0.3"/>
  <cols>
    <col min="1" max="1" width="3.88671875" customWidth="1"/>
    <col min="2" max="2" width="18.5546875" customWidth="1"/>
    <col min="3" max="10" width="13.44140625" customWidth="1"/>
    <col min="12" max="12" width="12.6640625" customWidth="1"/>
    <col min="13" max="13" width="9.77734375" customWidth="1"/>
  </cols>
  <sheetData>
    <row r="1" spans="2:13" s="1" customFormat="1" ht="60" customHeight="1" x14ac:dyDescent="0.3">
      <c r="E1" s="5" t="s">
        <v>68</v>
      </c>
    </row>
    <row r="2" spans="2:13" s="2" customFormat="1" ht="6" customHeight="1" x14ac:dyDescent="0.3"/>
    <row r="5" spans="2:13" s="43" customFormat="1" ht="36" x14ac:dyDescent="0.3">
      <c r="B5" s="45" t="s">
        <v>1</v>
      </c>
      <c r="C5" s="44" t="s">
        <v>72</v>
      </c>
      <c r="D5" s="44" t="s">
        <v>73</v>
      </c>
      <c r="E5" s="44" t="s">
        <v>74</v>
      </c>
      <c r="F5" s="44" t="s">
        <v>3</v>
      </c>
      <c r="G5" s="44" t="s">
        <v>75</v>
      </c>
      <c r="H5" s="44" t="s">
        <v>67</v>
      </c>
      <c r="I5" s="44" t="s">
        <v>76</v>
      </c>
      <c r="J5" s="44" t="s">
        <v>77</v>
      </c>
    </row>
    <row r="6" spans="2:13" x14ac:dyDescent="0.3">
      <c r="B6" t="s">
        <v>36</v>
      </c>
      <c r="C6" s="4">
        <f>IFERROR(SUMIF(TB_Entradas[Produto],TB_ControleEstoque[[#This Row],[Produto]],TB_Entradas[Quantidade Comprada]),"Vazio")</f>
        <v>1150</v>
      </c>
      <c r="D6" s="4">
        <f>IFERROR(SUMIF(TB_Saídas[Produto],TB_ControleEstoque[[#This Row],[Produto]],TB_Saídas[Quantidade Vendida]),"Vazio")</f>
        <v>648</v>
      </c>
      <c r="E6" s="4">
        <f>TB_ControleEstoque[[#This Row],[Entradas]]-TB_ControleEstoque[[#This Row],[Saídas ]]</f>
        <v>502</v>
      </c>
      <c r="F6" s="4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46">
        <f>SUMIFS(TB_Saídas[Valor de Venda],TB_Saídas[Produto],TB_ControleEstoque[[#This Row],[Produto]])</f>
        <v>5184</v>
      </c>
      <c r="I6" s="46">
        <f>SUMIFS(TB_Entradas[Valor da Compra],TB_Entradas[Produto],TB_ControleEstoque[[#This Row],[Produto]])</f>
        <v>2300</v>
      </c>
      <c r="J6" s="46">
        <f>TB_ControleEstoque[[#This Row],[Valor de Venda]]-TB_ControleEstoque[[#This Row],[Custo Total]]</f>
        <v>2884</v>
      </c>
    </row>
    <row r="7" spans="2:13" x14ac:dyDescent="0.3">
      <c r="B7" t="s">
        <v>11</v>
      </c>
      <c r="C7" s="4">
        <f>IFERROR(SUMIF(TB_Entradas[Produto],TB_ControleEstoque[[#This Row],[Produto]],TB_Entradas[Quantidade Comprada]),"Vazio")</f>
        <v>550</v>
      </c>
      <c r="D7" s="4">
        <f>IFERROR(SUMIF(TB_Saídas[Produto],TB_ControleEstoque[[#This Row],[Produto]],TB_Saídas[Quantidade Vendida]),"Vazio")</f>
        <v>500</v>
      </c>
      <c r="E7" s="4">
        <f>TB_ControleEstoque[[#This Row],[Entradas]]-TB_ControleEstoque[[#This Row],[Saídas ]]</f>
        <v>50</v>
      </c>
      <c r="F7" s="4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  <c r="H7" s="46">
        <f>SUMIFS(TB_Saídas[Valor de Venda],TB_Saídas[Produto],TB_ControleEstoque[[#This Row],[Produto]])</f>
        <v>2250</v>
      </c>
      <c r="I7" s="46">
        <f>SUMIFS(TB_Entradas[Valor da Compra],TB_Entradas[Produto],TB_ControleEstoque[[#This Row],[Produto]])</f>
        <v>550</v>
      </c>
      <c r="J7" s="46">
        <f>TB_ControleEstoque[[#This Row],[Valor de Venda]]-TB_ControleEstoque[[#This Row],[Custo Total]]</f>
        <v>1700</v>
      </c>
      <c r="L7" s="48" t="s">
        <v>78</v>
      </c>
      <c r="M7" s="49"/>
    </row>
    <row r="8" spans="2:13" x14ac:dyDescent="0.3">
      <c r="B8" t="s">
        <v>6</v>
      </c>
      <c r="C8" s="4">
        <f>IFERROR(SUMIF(TB_Entradas[Produto],TB_ControleEstoque[[#This Row],[Produto]],TB_Entradas[Quantidade Comprada]),"Vazio")</f>
        <v>3150</v>
      </c>
      <c r="D8" s="4">
        <f>IFERROR(SUMIF(TB_Saídas[Produto],TB_ControleEstoque[[#This Row],[Produto]],TB_Saídas[Quantidade Vendida]),"Vazio")</f>
        <v>1591</v>
      </c>
      <c r="E8" s="4">
        <f>TB_ControleEstoque[[#This Row],[Entradas]]-TB_ControleEstoque[[#This Row],[Saídas ]]</f>
        <v>1559</v>
      </c>
      <c r="F8" s="4">
        <f>_xlfn.XLOOKUP(TB_ControleEstoque[[#This Row],[Produto]],TB_Produtos[Produto],TB_Produtos[Estoque Mínimo],"Erro",0,1)</f>
        <v>50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  <c r="H8" s="46">
        <f>SUMIFS(TB_Saídas[Valor de Venda],TB_Saídas[Produto],TB_ControleEstoque[[#This Row],[Produto]])</f>
        <v>9546</v>
      </c>
      <c r="I8" s="46">
        <f>SUMIFS(TB_Entradas[Valor da Compra],TB_Entradas[Produto],TB_ControleEstoque[[#This Row],[Produto]])</f>
        <v>6300</v>
      </c>
      <c r="J8" s="46">
        <f>TB_ControleEstoque[[#This Row],[Valor de Venda]]-TB_ControleEstoque[[#This Row],[Custo Total]]</f>
        <v>3246</v>
      </c>
      <c r="L8" s="47" t="s">
        <v>77</v>
      </c>
      <c r="M8" s="47" t="s">
        <v>1</v>
      </c>
    </row>
    <row r="9" spans="2:13" x14ac:dyDescent="0.3">
      <c r="B9" t="s">
        <v>26</v>
      </c>
      <c r="C9" s="4">
        <f>IFERROR(SUMIF(TB_Entradas[Produto],TB_ControleEstoque[[#This Row],[Produto]],TB_Entradas[Quantidade Comprada]),"Vazio")</f>
        <v>450</v>
      </c>
      <c r="D9" s="4">
        <f>IFERROR(SUMIF(TB_Saídas[Produto],TB_ControleEstoque[[#This Row],[Produto]],TB_Saídas[Quantidade Vendida]),"Vazio")</f>
        <v>300</v>
      </c>
      <c r="E9" s="4">
        <f>TB_ControleEstoque[[#This Row],[Entradas]]-TB_ControleEstoque[[#This Row],[Saídas ]]</f>
        <v>150</v>
      </c>
      <c r="F9" s="4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46">
        <f>SUMIFS(TB_Saídas[Valor de Venda],TB_Saídas[Produto],TB_ControleEstoque[[#This Row],[Produto]])</f>
        <v>3000</v>
      </c>
      <c r="I9" s="46">
        <f>SUMIFS(TB_Entradas[Valor da Compra],TB_Entradas[Produto],TB_ControleEstoque[[#This Row],[Produto]])</f>
        <v>337.5</v>
      </c>
      <c r="J9" s="46">
        <f>TB_ControleEstoque[[#This Row],[Valor de Venda]]-TB_ControleEstoque[[#This Row],[Custo Total]]</f>
        <v>2662.5</v>
      </c>
      <c r="L9" s="50">
        <f>LARGE(TB_ControleEstoque[Lucro],1)</f>
        <v>6660</v>
      </c>
      <c r="M9" s="47" t="str">
        <f>DGET(TB_ControleEstoque[#All],"Produto",L8:L9)</f>
        <v>Cerveja</v>
      </c>
    </row>
    <row r="10" spans="2:13" x14ac:dyDescent="0.3">
      <c r="B10" t="s">
        <v>37</v>
      </c>
      <c r="C10" s="4">
        <f>IFERROR(SUMIF(TB_Entradas[Produto],TB_ControleEstoque[[#This Row],[Produto]],TB_Entradas[Quantidade Comprada]),"Vazio")</f>
        <v>300</v>
      </c>
      <c r="D10" s="4">
        <f>IFERROR(SUMIF(TB_Saídas[Produto],TB_ControleEstoque[[#This Row],[Produto]],TB_Saídas[Quantidade Vendida]),"Vazio")</f>
        <v>250</v>
      </c>
      <c r="E10" s="4">
        <f>TB_ControleEstoque[[#This Row],[Entradas]]-TB_ControleEstoque[[#This Row],[Saídas ]]</f>
        <v>50</v>
      </c>
      <c r="F10" s="4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46">
        <f>SUMIFS(TB_Saídas[Valor de Venda],TB_Saídas[Produto],TB_ControleEstoque[[#This Row],[Produto]])</f>
        <v>1250</v>
      </c>
      <c r="I10" s="46">
        <f>SUMIFS(TB_Entradas[Valor da Compra],TB_Entradas[Produto],TB_ControleEstoque[[#This Row],[Produto]])</f>
        <v>75</v>
      </c>
      <c r="J10" s="46">
        <f>TB_ControleEstoque[[#This Row],[Valor de Venda]]-TB_ControleEstoque[[#This Row],[Custo Total]]</f>
        <v>1175</v>
      </c>
    </row>
    <row r="11" spans="2:13" x14ac:dyDescent="0.3">
      <c r="B11" t="s">
        <v>31</v>
      </c>
      <c r="C11" s="4">
        <f>IFERROR(SUMIF(TB_Entradas[Produto],TB_ControleEstoque[[#This Row],[Produto]],TB_Entradas[Quantidade Comprada]),"Vazio")</f>
        <v>1200</v>
      </c>
      <c r="D11" s="4">
        <f>IFERROR(SUMIF(TB_Saídas[Produto],TB_ControleEstoque[[#This Row],[Produto]],TB_Saídas[Quantidade Vendida]),"Vazio")</f>
        <v>945</v>
      </c>
      <c r="E11" s="4">
        <f>TB_ControleEstoque[[#This Row],[Entradas]]-TB_ControleEstoque[[#This Row],[Saídas ]]</f>
        <v>255</v>
      </c>
      <c r="F11" s="4">
        <f>_xlfn.XLOOKUP(TB_ControleEstoque[[#This Row],[Produto]],TB_Produtos[Produto],TB_Produtos[Estoque Mínimo],"Erro",0,1)</f>
        <v>5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46">
        <f>SUMIFS(TB_Saídas[Valor de Venda],TB_Saídas[Produto],TB_ControleEstoque[[#This Row],[Produto]])</f>
        <v>7560</v>
      </c>
      <c r="I11" s="46">
        <f>SUMIFS(TB_Entradas[Valor da Compra],TB_Entradas[Produto],TB_ControleEstoque[[#This Row],[Produto]])</f>
        <v>900</v>
      </c>
      <c r="J11" s="46">
        <f>TB_ControleEstoque[[#This Row],[Valor de Venda]]-TB_ControleEstoque[[#This Row],[Custo Total]]</f>
        <v>6660</v>
      </c>
    </row>
    <row r="12" spans="2:13" x14ac:dyDescent="0.3">
      <c r="B12" t="s">
        <v>19</v>
      </c>
      <c r="C12" s="4">
        <f>IFERROR(SUMIF(TB_Entradas[Produto],TB_ControleEstoque[[#This Row],[Produto]],TB_Entradas[Quantidade Comprada]),"Vazio")</f>
        <v>350</v>
      </c>
      <c r="D12" s="4">
        <f>IFERROR(SUMIF(TB_Saídas[Produto],TB_ControleEstoque[[#This Row],[Produto]],TB_Saídas[Quantidade Vendida]),"Vazio")</f>
        <v>150</v>
      </c>
      <c r="E12" s="4">
        <f>TB_ControleEstoque[[#This Row],[Entradas]]-TB_ControleEstoque[[#This Row],[Saídas ]]</f>
        <v>200</v>
      </c>
      <c r="F12" s="4">
        <f>_xlfn.XLOOKUP(TB_ControleEstoque[[#This Row],[Produto]],TB_Produtos[Produto],TB_Produtos[Estoque Mínimo],"Erro",0,1)</f>
        <v>10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46">
        <f>SUMIFS(TB_Saídas[Valor de Venda],TB_Saídas[Produto],TB_ControleEstoque[[#This Row],[Produto]])</f>
        <v>1275</v>
      </c>
      <c r="I12" s="46">
        <f>SUMIFS(TB_Entradas[Valor da Compra],TB_Entradas[Produto],TB_ControleEstoque[[#This Row],[Produto]])</f>
        <v>87.5</v>
      </c>
      <c r="J12" s="46">
        <f>TB_ControleEstoque[[#This Row],[Valor de Venda]]-TB_ControleEstoque[[#This Row],[Custo Total]]</f>
        <v>1187.5</v>
      </c>
    </row>
    <row r="13" spans="2:13" x14ac:dyDescent="0.3">
      <c r="B13" t="s">
        <v>25</v>
      </c>
      <c r="C13" s="4">
        <f>IFERROR(SUMIF(TB_Entradas[Produto],TB_ControleEstoque[[#This Row],[Produto]],TB_Entradas[Quantidade Comprada]),"Vazio")</f>
        <v>300</v>
      </c>
      <c r="D13" s="4">
        <f>IFERROR(SUMIF(TB_Saídas[Produto],TB_ControleEstoque[[#This Row],[Produto]],TB_Saídas[Quantidade Vendida]),"Vazio")</f>
        <v>245</v>
      </c>
      <c r="E13" s="4">
        <f>TB_ControleEstoque[[#This Row],[Entradas]]-TB_ControleEstoque[[#This Row],[Saídas ]]</f>
        <v>55</v>
      </c>
      <c r="F13" s="4">
        <f>_xlfn.XLOOKUP(TB_ControleEstoque[[#This Row],[Produto]],TB_Produtos[Produto],TB_Produtos[Estoque Mínimo],"Erro",0,1)</f>
        <v>10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46">
        <f>SUMIFS(TB_Saídas[Valor de Venda],TB_Saídas[Produto],TB_ControleEstoque[[#This Row],[Produto]])</f>
        <v>1837.5</v>
      </c>
      <c r="I13" s="46">
        <f>SUMIFS(TB_Entradas[Valor da Compra],TB_Entradas[Produto],TB_ControleEstoque[[#This Row],[Produto]])</f>
        <v>75</v>
      </c>
      <c r="J13" s="46">
        <f>TB_ControleEstoque[[#This Row],[Valor de Venda]]-TB_ControleEstoque[[#This Row],[Custo Total]]</f>
        <v>1762.5</v>
      </c>
    </row>
    <row r="14" spans="2:13" x14ac:dyDescent="0.3">
      <c r="B14" t="s">
        <v>10</v>
      </c>
      <c r="C14" s="4">
        <f>IFERROR(SUMIF(TB_Entradas[Produto],TB_ControleEstoque[[#This Row],[Produto]],TB_Entradas[Quantidade Comprada]),"Vazio")</f>
        <v>500</v>
      </c>
      <c r="D14" s="4">
        <f>IFERROR(SUMIF(TB_Saídas[Produto],TB_ControleEstoque[[#This Row],[Produto]],TB_Saídas[Quantidade Vendida]),"Vazio")</f>
        <v>500</v>
      </c>
      <c r="E14" s="4">
        <f>TB_ControleEstoque[[#This Row],[Entradas]]-TB_ControleEstoque[[#This Row],[Saídas ]]</f>
        <v>0</v>
      </c>
      <c r="F14" s="4">
        <f>_xlfn.XLOOKUP(TB_ControleEstoque[[#This Row],[Produto]],TB_Produtos[Produto],TB_Produtos[Estoque Mínimo],"Erro",0,1)</f>
        <v>50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  <c r="H14" s="46">
        <f>SUMIFS(TB_Saídas[Valor de Venda],TB_Saídas[Produto],TB_ControleEstoque[[#This Row],[Produto]])</f>
        <v>3250</v>
      </c>
      <c r="I14" s="46">
        <f>SUMIFS(TB_Entradas[Valor da Compra],TB_Entradas[Produto],TB_ControleEstoque[[#This Row],[Produto]])</f>
        <v>250</v>
      </c>
      <c r="J14" s="46">
        <f>TB_ControleEstoque[[#This Row],[Valor de Venda]]-TB_ControleEstoque[[#This Row],[Custo Total]]</f>
        <v>3000</v>
      </c>
    </row>
    <row r="15" spans="2:13" x14ac:dyDescent="0.3">
      <c r="B15" t="s">
        <v>28</v>
      </c>
      <c r="C15" s="4">
        <f>IFERROR(SUMIF(TB_Entradas[Produto],TB_ControleEstoque[[#This Row],[Produto]],TB_Entradas[Quantidade Comprada]),"Vazio")</f>
        <v>100</v>
      </c>
      <c r="D15" s="4">
        <f>IFERROR(SUMIF(TB_Saídas[Produto],TB_ControleEstoque[[#This Row],[Produto]],TB_Saídas[Quantidade Vendida]),"Vazio")</f>
        <v>35</v>
      </c>
      <c r="E15" s="4">
        <f>TB_ControleEstoque[[#This Row],[Entradas]]-TB_ControleEstoque[[#This Row],[Saídas ]]</f>
        <v>65</v>
      </c>
      <c r="F15" s="4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46">
        <f>SUMIFS(TB_Saídas[Valor de Venda],TB_Saídas[Produto],TB_ControleEstoque[[#This Row],[Produto]])</f>
        <v>525</v>
      </c>
      <c r="I15" s="46">
        <f>SUMIFS(TB_Entradas[Valor da Compra],TB_Entradas[Produto],TB_ControleEstoque[[#This Row],[Produto]])</f>
        <v>450</v>
      </c>
      <c r="J15" s="46">
        <f>TB_ControleEstoque[[#This Row],[Valor de Venda]]-TB_ControleEstoque[[#This Row],[Custo Total]]</f>
        <v>75</v>
      </c>
    </row>
    <row r="16" spans="2:13" x14ac:dyDescent="0.3">
      <c r="B16" t="s">
        <v>23</v>
      </c>
      <c r="C16" s="4">
        <f>IFERROR(SUMIF(TB_Entradas[Produto],TB_ControleEstoque[[#This Row],[Produto]],TB_Entradas[Quantidade Comprada]),"Vazio")</f>
        <v>350</v>
      </c>
      <c r="D16" s="4">
        <f>IFERROR(SUMIF(TB_Saídas[Produto],TB_ControleEstoque[[#This Row],[Produto]],TB_Saídas[Quantidade Vendida]),"Vazio")</f>
        <v>150</v>
      </c>
      <c r="E16" s="4">
        <f>TB_ControleEstoque[[#This Row],[Entradas]]-TB_ControleEstoque[[#This Row],[Saídas ]]</f>
        <v>200</v>
      </c>
      <c r="F16" s="4">
        <f>_xlfn.XLOOKUP(TB_ControleEstoque[[#This Row],[Produto]],TB_Produtos[Produto],TB_Produtos[Estoque Mínimo],"Erro",0,1)</f>
        <v>10</v>
      </c>
      <c r="G16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  <c r="H16" s="46">
        <f>SUMIFS(TB_Saídas[Valor de Venda],TB_Saídas[Produto],TB_ControleEstoque[[#This Row],[Produto]])</f>
        <v>750</v>
      </c>
      <c r="I16" s="46">
        <f>SUMIFS(TB_Entradas[Valor da Compra],TB_Entradas[Produto],TB_ControleEstoque[[#This Row],[Produto]])</f>
        <v>350</v>
      </c>
      <c r="J16" s="46">
        <f>TB_ControleEstoque[[#This Row],[Valor de Venda]]-TB_ControleEstoque[[#This Row],[Custo Total]]</f>
        <v>400</v>
      </c>
    </row>
    <row r="17" spans="2:10" x14ac:dyDescent="0.3">
      <c r="B17" t="s">
        <v>27</v>
      </c>
      <c r="C17" s="4">
        <f>IFERROR(SUMIF(TB_Entradas[Produto],TB_ControleEstoque[[#This Row],[Produto]],TB_Entradas[Quantidade Comprada]),"Vazio")</f>
        <v>400</v>
      </c>
      <c r="D17" s="4">
        <f>IFERROR(SUMIF(TB_Saídas[Produto],TB_ControleEstoque[[#This Row],[Produto]],TB_Saídas[Quantidade Vendida]),"Vazio")</f>
        <v>235</v>
      </c>
      <c r="E17" s="4">
        <f>TB_ControleEstoque[[#This Row],[Entradas]]-TB_ControleEstoque[[#This Row],[Saídas ]]</f>
        <v>165</v>
      </c>
      <c r="F17" s="4">
        <f>_xlfn.XLOOKUP(TB_ControleEstoque[[#This Row],[Produto]],TB_Produtos[Produto],TB_Produtos[Estoque Mínimo],"Erro",0,1)</f>
        <v>2</v>
      </c>
      <c r="G1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  <c r="H17" s="46">
        <f>SUMIFS(TB_Saídas[Valor de Venda],TB_Saídas[Produto],TB_ControleEstoque[[#This Row],[Produto]])</f>
        <v>3525</v>
      </c>
      <c r="I17" s="46">
        <f>SUMIFS(TB_Entradas[Valor da Compra],TB_Entradas[Produto],TB_ControleEstoque[[#This Row],[Produto]])</f>
        <v>3200</v>
      </c>
      <c r="J17" s="46">
        <f>TB_ControleEstoque[[#This Row],[Valor de Venda]]-TB_ControleEstoque[[#This Row],[Custo Total]]</f>
        <v>325</v>
      </c>
    </row>
  </sheetData>
  <mergeCells count="1">
    <mergeCell ref="L7:M7"/>
  </mergeCells>
  <conditionalFormatting sqref="B6:J17">
    <cfRule type="expression" dxfId="5" priority="2">
      <formula>$G6="Estoque Zerado"</formula>
    </cfRule>
    <cfRule type="expression" dxfId="4" priority="1">
      <formula>$G6="Repor Estoque"</formula>
    </cfRule>
  </conditionalFormatting>
  <dataValidations disablePrompts="1" count="1">
    <dataValidation type="list" allowBlank="1" showInputMessage="1" showErrorMessage="1" sqref="B6:B17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E555-7EF9-45BC-A42C-2845EADF29D9}">
  <dimension ref="E2:AN17"/>
  <sheetViews>
    <sheetView showGridLines="0" tabSelected="1" workbookViewId="0">
      <selection activeCell="AX13" sqref="AX13"/>
    </sheetView>
  </sheetViews>
  <sheetFormatPr defaultColWidth="2.88671875" defaultRowHeight="14.4" x14ac:dyDescent="0.3"/>
  <cols>
    <col min="27" max="27" width="5.6640625" bestFit="1" customWidth="1"/>
  </cols>
  <sheetData>
    <row r="2" spans="5:40" x14ac:dyDescent="0.3">
      <c r="E2" s="58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X2" s="58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5:40" ht="14.4" customHeight="1" x14ac:dyDescent="0.3">
      <c r="E3" s="61"/>
      <c r="F3" s="51" t="s">
        <v>79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62"/>
      <c r="X3" s="61"/>
      <c r="Y3" s="51" t="s">
        <v>85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3"/>
      <c r="AN3" s="62"/>
    </row>
    <row r="4" spans="5:40" ht="14.4" customHeight="1" x14ac:dyDescent="0.3">
      <c r="E4" s="61"/>
      <c r="F4" s="54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  <c r="U4" s="62"/>
      <c r="X4" s="61"/>
      <c r="Y4" s="54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6"/>
      <c r="AN4" s="62"/>
    </row>
    <row r="5" spans="5:40" x14ac:dyDescent="0.3">
      <c r="E5" s="61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2"/>
      <c r="X5" s="61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2"/>
    </row>
    <row r="6" spans="5:40" x14ac:dyDescent="0.3">
      <c r="E6" s="61"/>
      <c r="F6" s="48" t="s">
        <v>80</v>
      </c>
      <c r="G6" s="57"/>
      <c r="H6" s="57"/>
      <c r="I6" s="57"/>
      <c r="J6" s="57"/>
      <c r="K6" s="57"/>
      <c r="L6" s="57"/>
      <c r="M6" s="57"/>
      <c r="N6" s="49"/>
      <c r="O6" s="63"/>
      <c r="P6" s="48">
        <f>COUNTA(_xlfn.UNIQUE(TB_Saídas[Produto]),F6)</f>
        <v>13</v>
      </c>
      <c r="Q6" s="57"/>
      <c r="R6" s="57"/>
      <c r="S6" s="57"/>
      <c r="T6" s="49"/>
      <c r="U6" s="62"/>
      <c r="X6" s="61"/>
      <c r="Y6" s="48" t="s">
        <v>86</v>
      </c>
      <c r="Z6" s="57"/>
      <c r="AA6" s="57"/>
      <c r="AB6" s="57"/>
      <c r="AC6" s="57"/>
      <c r="AD6" s="57"/>
      <c r="AE6" s="57"/>
      <c r="AF6" s="57"/>
      <c r="AG6" s="49"/>
      <c r="AH6" s="63"/>
      <c r="AI6" s="77" t="s">
        <v>6</v>
      </c>
      <c r="AJ6" s="78"/>
      <c r="AK6" s="78"/>
      <c r="AL6" s="78"/>
      <c r="AM6" s="79"/>
      <c r="AN6" s="62"/>
    </row>
    <row r="7" spans="5:40" x14ac:dyDescent="0.3">
      <c r="E7" s="61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2"/>
      <c r="X7" s="61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2"/>
    </row>
    <row r="8" spans="5:40" x14ac:dyDescent="0.3">
      <c r="E8" s="61"/>
      <c r="F8" s="48" t="s">
        <v>81</v>
      </c>
      <c r="G8" s="57"/>
      <c r="H8" s="57"/>
      <c r="I8" s="57"/>
      <c r="J8" s="57"/>
      <c r="K8" s="57"/>
      <c r="L8" s="57"/>
      <c r="M8" s="57"/>
      <c r="N8" s="49"/>
      <c r="O8" s="63"/>
      <c r="P8" s="70">
        <f>SUM(TB_ControleEstoque[Saldo em Estoque])</f>
        <v>3251</v>
      </c>
      <c r="Q8" s="71"/>
      <c r="R8" s="71"/>
      <c r="S8" s="71"/>
      <c r="T8" s="72"/>
      <c r="U8" s="62"/>
      <c r="X8" s="61"/>
      <c r="Y8" s="48" t="s">
        <v>81</v>
      </c>
      <c r="Z8" s="57"/>
      <c r="AA8" s="57"/>
      <c r="AB8" s="57"/>
      <c r="AC8" s="57"/>
      <c r="AD8" s="57"/>
      <c r="AE8" s="57"/>
      <c r="AF8" s="57"/>
      <c r="AG8" s="49"/>
      <c r="AH8" s="63"/>
      <c r="AI8" s="48">
        <f>_xlfn.XLOOKUP(AI6,'Controle de Estoque'!B6:B17,'Controle de Estoque'!E6:E17,"erro",0,1)</f>
        <v>1559</v>
      </c>
      <c r="AJ8" s="57"/>
      <c r="AK8" s="57"/>
      <c r="AL8" s="57"/>
      <c r="AM8" s="49"/>
      <c r="AN8" s="62"/>
    </row>
    <row r="9" spans="5:40" x14ac:dyDescent="0.3">
      <c r="E9" s="61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2"/>
      <c r="X9" s="61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2"/>
    </row>
    <row r="10" spans="5:40" x14ac:dyDescent="0.3">
      <c r="E10" s="61"/>
      <c r="F10" s="48" t="s">
        <v>82</v>
      </c>
      <c r="G10" s="57"/>
      <c r="H10" s="57"/>
      <c r="I10" s="57"/>
      <c r="J10" s="57"/>
      <c r="K10" s="57"/>
      <c r="L10" s="57"/>
      <c r="M10" s="57"/>
      <c r="N10" s="49"/>
      <c r="O10" s="63"/>
      <c r="P10" s="73">
        <f>SUM(TB_ControleEstoque[Valor de Venda])</f>
        <v>39952.5</v>
      </c>
      <c r="Q10" s="71"/>
      <c r="R10" s="71"/>
      <c r="S10" s="71"/>
      <c r="T10" s="72"/>
      <c r="U10" s="62"/>
      <c r="X10" s="61"/>
      <c r="Y10" s="48" t="s">
        <v>82</v>
      </c>
      <c r="Z10" s="57"/>
      <c r="AA10" s="57"/>
      <c r="AB10" s="57"/>
      <c r="AC10" s="57"/>
      <c r="AD10" s="57"/>
      <c r="AE10" s="57"/>
      <c r="AF10" s="57"/>
      <c r="AG10" s="49"/>
      <c r="AH10" s="63"/>
      <c r="AI10" s="67">
        <f>_xlfn.XLOOKUP(AI6,'Controle de Estoque'!B6:B17,'Controle de Estoque'!H6:H17,"erro")</f>
        <v>9546</v>
      </c>
      <c r="AJ10" s="68"/>
      <c r="AK10" s="68"/>
      <c r="AL10" s="68"/>
      <c r="AM10" s="69"/>
      <c r="AN10" s="62"/>
    </row>
    <row r="11" spans="5:40" x14ac:dyDescent="0.3">
      <c r="E11" s="61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2"/>
      <c r="X11" s="61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2"/>
    </row>
    <row r="12" spans="5:40" x14ac:dyDescent="0.3">
      <c r="E12" s="61"/>
      <c r="F12" s="48" t="s">
        <v>83</v>
      </c>
      <c r="G12" s="57"/>
      <c r="H12" s="57"/>
      <c r="I12" s="57"/>
      <c r="J12" s="57"/>
      <c r="K12" s="57"/>
      <c r="L12" s="57"/>
      <c r="M12" s="57"/>
      <c r="N12" s="49"/>
      <c r="O12" s="63"/>
      <c r="P12" s="73">
        <f>SUM(TB_ControleEstoque[Custo Total])</f>
        <v>14875</v>
      </c>
      <c r="Q12" s="71"/>
      <c r="R12" s="71"/>
      <c r="S12" s="71"/>
      <c r="T12" s="72"/>
      <c r="U12" s="62"/>
      <c r="X12" s="61"/>
      <c r="Y12" s="48" t="s">
        <v>83</v>
      </c>
      <c r="Z12" s="57"/>
      <c r="AA12" s="57"/>
      <c r="AB12" s="57"/>
      <c r="AC12" s="57"/>
      <c r="AD12" s="57"/>
      <c r="AE12" s="57"/>
      <c r="AF12" s="57"/>
      <c r="AG12" s="49"/>
      <c r="AH12" s="63"/>
      <c r="AI12" s="67">
        <f>_xlfn.XLOOKUP(AI6,'Controle de Estoque'!B6:B17,'Controle de Estoque'!I6:I17,"erro")</f>
        <v>6300</v>
      </c>
      <c r="AJ12" s="68"/>
      <c r="AK12" s="68"/>
      <c r="AL12" s="68"/>
      <c r="AM12" s="69"/>
      <c r="AN12" s="62"/>
    </row>
    <row r="13" spans="5:40" x14ac:dyDescent="0.3">
      <c r="E13" s="61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2"/>
      <c r="X13" s="61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2"/>
    </row>
    <row r="14" spans="5:40" x14ac:dyDescent="0.3">
      <c r="E14" s="61"/>
      <c r="F14" s="48" t="s">
        <v>77</v>
      </c>
      <c r="G14" s="57"/>
      <c r="H14" s="57"/>
      <c r="I14" s="57"/>
      <c r="J14" s="57"/>
      <c r="K14" s="57"/>
      <c r="L14" s="57"/>
      <c r="M14" s="57"/>
      <c r="N14" s="49"/>
      <c r="O14" s="63"/>
      <c r="P14" s="73">
        <f>SUM(TB_ControleEstoque[Lucro])</f>
        <v>25077.5</v>
      </c>
      <c r="Q14" s="71"/>
      <c r="R14" s="71"/>
      <c r="S14" s="71"/>
      <c r="T14" s="72"/>
      <c r="U14" s="62"/>
      <c r="X14" s="61"/>
      <c r="Y14" s="48" t="s">
        <v>77</v>
      </c>
      <c r="Z14" s="57"/>
      <c r="AA14" s="57"/>
      <c r="AB14" s="57"/>
      <c r="AC14" s="57"/>
      <c r="AD14" s="57"/>
      <c r="AE14" s="57"/>
      <c r="AF14" s="57"/>
      <c r="AG14" s="49"/>
      <c r="AH14" s="63"/>
      <c r="AI14" s="67">
        <f>_xlfn.XLOOKUP(AI6,'Controle de Estoque'!B6:B17,'Controle de Estoque'!J6:J17,"erro")</f>
        <v>3246</v>
      </c>
      <c r="AJ14" s="68"/>
      <c r="AK14" s="68"/>
      <c r="AL14" s="68"/>
      <c r="AM14" s="69"/>
      <c r="AN14" s="62"/>
    </row>
    <row r="15" spans="5:40" x14ac:dyDescent="0.3">
      <c r="E15" s="61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2"/>
      <c r="X15" s="61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2"/>
    </row>
    <row r="16" spans="5:40" x14ac:dyDescent="0.3">
      <c r="E16" s="61"/>
      <c r="F16" s="48" t="s">
        <v>84</v>
      </c>
      <c r="G16" s="57"/>
      <c r="H16" s="57"/>
      <c r="I16" s="57"/>
      <c r="J16" s="57"/>
      <c r="K16" s="57"/>
      <c r="L16" s="57"/>
      <c r="M16" s="57"/>
      <c r="N16" s="49"/>
      <c r="O16" s="63"/>
      <c r="P16" s="74">
        <f>(P14/P12)</f>
        <v>1.6858823529411764</v>
      </c>
      <c r="Q16" s="75"/>
      <c r="R16" s="75"/>
      <c r="S16" s="75"/>
      <c r="T16" s="76"/>
      <c r="U16" s="62"/>
      <c r="X16" s="61"/>
      <c r="Y16" s="48" t="s">
        <v>84</v>
      </c>
      <c r="Z16" s="57"/>
      <c r="AA16" s="57"/>
      <c r="AB16" s="57"/>
      <c r="AC16" s="57"/>
      <c r="AD16" s="57"/>
      <c r="AE16" s="57"/>
      <c r="AF16" s="57"/>
      <c r="AG16" s="49"/>
      <c r="AH16" s="63"/>
      <c r="AI16" s="74">
        <f>IFERROR(AI14/AI12,"erro")</f>
        <v>0.51523809523809527</v>
      </c>
      <c r="AJ16" s="75"/>
      <c r="AK16" s="75"/>
      <c r="AL16" s="75"/>
      <c r="AM16" s="76"/>
      <c r="AN16" s="62"/>
    </row>
    <row r="17" spans="5:40" x14ac:dyDescent="0.3"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6"/>
      <c r="X17" s="64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6"/>
    </row>
  </sheetData>
  <sheetProtection selectLockedCells="1"/>
  <mergeCells count="26">
    <mergeCell ref="AI12:AM12"/>
    <mergeCell ref="Y14:AG14"/>
    <mergeCell ref="AI14:AM14"/>
    <mergeCell ref="Y16:AG16"/>
    <mergeCell ref="AI16:AM16"/>
    <mergeCell ref="F16:N16"/>
    <mergeCell ref="P16:T16"/>
    <mergeCell ref="Y3:AM4"/>
    <mergeCell ref="Y6:AG6"/>
    <mergeCell ref="AI6:AM6"/>
    <mergeCell ref="Y8:AG8"/>
    <mergeCell ref="AI8:AM8"/>
    <mergeCell ref="Y10:AG10"/>
    <mergeCell ref="AI10:AM10"/>
    <mergeCell ref="Y12:AG12"/>
    <mergeCell ref="F10:N10"/>
    <mergeCell ref="P10:T10"/>
    <mergeCell ref="F12:N12"/>
    <mergeCell ref="P12:T12"/>
    <mergeCell ref="F14:N14"/>
    <mergeCell ref="P14:T14"/>
    <mergeCell ref="F3:T4"/>
    <mergeCell ref="F6:N6"/>
    <mergeCell ref="P6:T6"/>
    <mergeCell ref="F8:N8"/>
    <mergeCell ref="P8:T8"/>
  </mergeCells>
  <dataValidations count="1">
    <dataValidation type="list" allowBlank="1" showInputMessage="1" showErrorMessage="1" sqref="AI6:AM6" xr:uid="{3EDF649C-2261-42BA-9B6C-8F1736CC2D12}">
      <formula1>Lista_Produtos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Resumos</vt:lpstr>
      <vt:lpstr>Lista_Fornecedores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Kennedy Menezes</cp:lastModifiedBy>
  <cp:revision/>
  <dcterms:created xsi:type="dcterms:W3CDTF">2022-11-17T13:49:56Z</dcterms:created>
  <dcterms:modified xsi:type="dcterms:W3CDTF">2025-04-09T01:35:30Z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